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95" yWindow="-105" windowWidth="14850" windowHeight="12735"/>
  </bookViews>
  <sheets>
    <sheet name="BIData" sheetId="2" r:id="rId1"/>
    <sheet name="ReferenceData" sheetId="3" r:id="rId2"/>
    <sheet name="帮助-参考" sheetId="4" r:id="rId3"/>
  </sheets>
  <calcPr calcId="124519"/>
</workbook>
</file>

<file path=xl/calcChain.xml><?xml version="1.0" encoding="utf-8"?>
<calcChain xmlns="http://schemas.openxmlformats.org/spreadsheetml/2006/main">
  <c r="DU594" i="3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BV594"/>
  <c r="BU594"/>
  <c r="BT594"/>
  <c r="BS594"/>
  <c r="BR594"/>
  <c r="BQ594"/>
  <c r="BP594"/>
  <c r="BO594"/>
  <c r="BN594"/>
  <c r="E594"/>
  <c r="D594"/>
  <c r="C594"/>
  <c r="B594"/>
  <c r="A594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BV593"/>
  <c r="BU593"/>
  <c r="BT593"/>
  <c r="BS593"/>
  <c r="BR593"/>
  <c r="BQ593"/>
  <c r="BP593"/>
  <c r="BO593"/>
  <c r="BN593"/>
  <c r="A593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BV592"/>
  <c r="BU592"/>
  <c r="BT592"/>
  <c r="BS592"/>
  <c r="BR592"/>
  <c r="BQ592"/>
  <c r="BP592"/>
  <c r="BO592"/>
  <c r="BN592"/>
  <c r="A592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BV591"/>
  <c r="BU591"/>
  <c r="BT591"/>
  <c r="BS591"/>
  <c r="BR591"/>
  <c r="BQ591"/>
  <c r="BP591"/>
  <c r="BO591"/>
  <c r="BN591"/>
  <c r="A591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BV590"/>
  <c r="BU590"/>
  <c r="BT590"/>
  <c r="BS590"/>
  <c r="BR590"/>
  <c r="BQ590"/>
  <c r="BP590"/>
  <c r="BO590"/>
  <c r="BN590"/>
  <c r="A590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BV589"/>
  <c r="BU589"/>
  <c r="BT589"/>
  <c r="BS589"/>
  <c r="BR589"/>
  <c r="BQ589"/>
  <c r="BP589"/>
  <c r="BO589"/>
  <c r="BN589"/>
  <c r="A589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BV588"/>
  <c r="BU588"/>
  <c r="BT588"/>
  <c r="BS588"/>
  <c r="BR588"/>
  <c r="BQ588"/>
  <c r="BP588"/>
  <c r="BO588"/>
  <c r="BN588"/>
  <c r="A588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BV587"/>
  <c r="BU587"/>
  <c r="BT587"/>
  <c r="BS587"/>
  <c r="BR587"/>
  <c r="BQ587"/>
  <c r="BP587"/>
  <c r="BO587"/>
  <c r="BN587"/>
  <c r="A587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BV586"/>
  <c r="BU586"/>
  <c r="BT586"/>
  <c r="BS586"/>
  <c r="BR586"/>
  <c r="BQ586"/>
  <c r="BP586"/>
  <c r="BO586"/>
  <c r="BN586"/>
  <c r="A586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BV585"/>
  <c r="BU585"/>
  <c r="BT585"/>
  <c r="BS585"/>
  <c r="BR585"/>
  <c r="BQ585"/>
  <c r="BP585"/>
  <c r="BO585"/>
  <c r="BN585"/>
  <c r="A585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BV584"/>
  <c r="BU584"/>
  <c r="BT584"/>
  <c r="BS584"/>
  <c r="BR584"/>
  <c r="BQ584"/>
  <c r="BP584"/>
  <c r="BO584"/>
  <c r="BN584"/>
  <c r="A584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BV583"/>
  <c r="BU583"/>
  <c r="BT583"/>
  <c r="BS583"/>
  <c r="BR583"/>
  <c r="BQ583"/>
  <c r="BP583"/>
  <c r="BO583"/>
  <c r="BN583"/>
  <c r="A583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BV582"/>
  <c r="BU582"/>
  <c r="BT582"/>
  <c r="BS582"/>
  <c r="BR582"/>
  <c r="BQ582"/>
  <c r="BP582"/>
  <c r="BO582"/>
  <c r="BN582"/>
  <c r="A582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BV581"/>
  <c r="BU581"/>
  <c r="BT581"/>
  <c r="BS581"/>
  <c r="BR581"/>
  <c r="BQ581"/>
  <c r="BP581"/>
  <c r="BO581"/>
  <c r="BN581"/>
  <c r="A581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BV580"/>
  <c r="BU580"/>
  <c r="BT580"/>
  <c r="BS580"/>
  <c r="BR580"/>
  <c r="BQ580"/>
  <c r="BP580"/>
  <c r="BO580"/>
  <c r="BN580"/>
  <c r="A580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BV579"/>
  <c r="BU579"/>
  <c r="BT579"/>
  <c r="BS579"/>
  <c r="BR579"/>
  <c r="BQ579"/>
  <c r="BP579"/>
  <c r="BO579"/>
  <c r="BN579"/>
  <c r="A579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BV578"/>
  <c r="BU578"/>
  <c r="BT578"/>
  <c r="BS578"/>
  <c r="BR578"/>
  <c r="BQ578"/>
  <c r="BP578"/>
  <c r="BO578"/>
  <c r="BN578"/>
  <c r="A578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BV577"/>
  <c r="BU577"/>
  <c r="BT577"/>
  <c r="BS577"/>
  <c r="BR577"/>
  <c r="BQ577"/>
  <c r="BP577"/>
  <c r="BO577"/>
  <c r="BN577"/>
  <c r="BJ577"/>
  <c r="BI577"/>
  <c r="BH577"/>
  <c r="BG577"/>
  <c r="BF577"/>
  <c r="BE577"/>
  <c r="BD577"/>
  <c r="BC577"/>
  <c r="BB577"/>
  <c r="BA577"/>
  <c r="AZ577"/>
  <c r="AY577"/>
  <c r="AX577"/>
  <c r="AW577"/>
  <c r="AV577"/>
  <c r="AU577"/>
  <c r="AT577"/>
  <c r="AS577"/>
  <c r="AR577"/>
  <c r="AQ577"/>
  <c r="AP577"/>
  <c r="AO577"/>
  <c r="AN577"/>
  <c r="AM577"/>
  <c r="AL577"/>
  <c r="AK577"/>
  <c r="AJ577"/>
  <c r="AI577"/>
  <c r="AH577"/>
  <c r="AG577"/>
  <c r="AF577"/>
  <c r="AE577"/>
  <c r="AD577"/>
  <c r="AC577"/>
  <c r="AB577"/>
  <c r="AA577"/>
  <c r="Z577"/>
  <c r="Y577"/>
  <c r="X577"/>
  <c r="W577"/>
  <c r="V577"/>
  <c r="U577"/>
  <c r="T577"/>
  <c r="S577"/>
  <c r="R577"/>
  <c r="Q577"/>
  <c r="P577"/>
  <c r="O577"/>
  <c r="N577"/>
  <c r="M577"/>
  <c r="L577"/>
  <c r="K577"/>
  <c r="J577"/>
  <c r="I577"/>
  <c r="H577"/>
  <c r="G577"/>
  <c r="F577"/>
  <c r="E577"/>
  <c r="D577"/>
  <c r="C577"/>
  <c r="B577"/>
  <c r="A577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BV576"/>
  <c r="BU576"/>
  <c r="BT576"/>
  <c r="BS576"/>
  <c r="BR576"/>
  <c r="BQ576"/>
  <c r="BP576"/>
  <c r="BO576"/>
  <c r="BN576"/>
  <c r="E576"/>
  <c r="D576"/>
  <c r="C576"/>
  <c r="B576"/>
  <c r="A576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BV575"/>
  <c r="BU575"/>
  <c r="BT575"/>
  <c r="BS575"/>
  <c r="BR575"/>
  <c r="BQ575"/>
  <c r="BP575"/>
  <c r="BO575"/>
  <c r="BN575"/>
  <c r="E575"/>
  <c r="D575"/>
  <c r="C575"/>
  <c r="B575"/>
  <c r="A575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BV574"/>
  <c r="BU574"/>
  <c r="BT574"/>
  <c r="BS574"/>
  <c r="BR574"/>
  <c r="BQ574"/>
  <c r="BP574"/>
  <c r="BO574"/>
  <c r="BN574"/>
  <c r="E574"/>
  <c r="D574"/>
  <c r="C574"/>
  <c r="A574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BV573"/>
  <c r="BU573"/>
  <c r="BT573"/>
  <c r="BS573"/>
  <c r="BR573"/>
  <c r="BQ573"/>
  <c r="BP573"/>
  <c r="BO573"/>
  <c r="BN573"/>
  <c r="E573"/>
  <c r="D573"/>
  <c r="C573"/>
  <c r="B573"/>
  <c r="A573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BV572"/>
  <c r="BU572"/>
  <c r="BT572"/>
  <c r="BS572"/>
  <c r="BR572"/>
  <c r="BQ572"/>
  <c r="BP572"/>
  <c r="BO572"/>
  <c r="BN572"/>
  <c r="A572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BV571"/>
  <c r="BU571"/>
  <c r="BT571"/>
  <c r="BS571"/>
  <c r="BR571"/>
  <c r="BQ571"/>
  <c r="BP571"/>
  <c r="BO571"/>
  <c r="BN571"/>
  <c r="E571"/>
  <c r="D571"/>
  <c r="C571"/>
  <c r="B571"/>
  <c r="A571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BV570"/>
  <c r="BU570"/>
  <c r="BT570"/>
  <c r="BS570"/>
  <c r="BR570"/>
  <c r="BQ570"/>
  <c r="BP570"/>
  <c r="BO570"/>
  <c r="BN570"/>
  <c r="E570"/>
  <c r="D570"/>
  <c r="C570"/>
  <c r="B570"/>
  <c r="A570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BV569"/>
  <c r="BU569"/>
  <c r="BT569"/>
  <c r="BS569"/>
  <c r="BR569"/>
  <c r="BQ569"/>
  <c r="BP569"/>
  <c r="BO569"/>
  <c r="BN569"/>
  <c r="E569"/>
  <c r="D569"/>
  <c r="C569"/>
  <c r="B569"/>
  <c r="A569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BV568"/>
  <c r="BU568"/>
  <c r="BT568"/>
  <c r="BS568"/>
  <c r="BR568"/>
  <c r="BQ568"/>
  <c r="BP568"/>
  <c r="BO568"/>
  <c r="BN568"/>
  <c r="E568"/>
  <c r="D568"/>
  <c r="C568"/>
  <c r="B568"/>
  <c r="A568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BV567"/>
  <c r="BU567"/>
  <c r="BT567"/>
  <c r="BS567"/>
  <c r="BR567"/>
  <c r="BQ567"/>
  <c r="BP567"/>
  <c r="BO567"/>
  <c r="BN567"/>
  <c r="E567"/>
  <c r="D567"/>
  <c r="C567"/>
  <c r="B567"/>
  <c r="A567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BV566"/>
  <c r="BU566"/>
  <c r="BT566"/>
  <c r="BS566"/>
  <c r="BR566"/>
  <c r="BQ566"/>
  <c r="BP566"/>
  <c r="BO566"/>
  <c r="BN566"/>
  <c r="E566"/>
  <c r="D566"/>
  <c r="C566"/>
  <c r="B566"/>
  <c r="A566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BV565"/>
  <c r="BU565"/>
  <c r="BT565"/>
  <c r="BS565"/>
  <c r="BR565"/>
  <c r="BQ565"/>
  <c r="BP565"/>
  <c r="BO565"/>
  <c r="BN565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BV564"/>
  <c r="BU564"/>
  <c r="BT564"/>
  <c r="BS564"/>
  <c r="BR564"/>
  <c r="BQ564"/>
  <c r="BP564"/>
  <c r="BO564"/>
  <c r="BN564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BV563"/>
  <c r="BU563"/>
  <c r="BT563"/>
  <c r="BS563"/>
  <c r="BR563"/>
  <c r="BQ563"/>
  <c r="BP563"/>
  <c r="BO563"/>
  <c r="BN563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BV562"/>
  <c r="BU562"/>
  <c r="BT562"/>
  <c r="BS562"/>
  <c r="BR562"/>
  <c r="BQ562"/>
  <c r="BP562"/>
  <c r="BO562"/>
  <c r="BN562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BV561"/>
  <c r="BU561"/>
  <c r="BT561"/>
  <c r="BS561"/>
  <c r="BR561"/>
  <c r="BQ561"/>
  <c r="BP561"/>
  <c r="BO561"/>
  <c r="BN561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BV560"/>
  <c r="BU560"/>
  <c r="BT560"/>
  <c r="BS560"/>
  <c r="BR560"/>
  <c r="BQ560"/>
  <c r="BP560"/>
  <c r="BO560"/>
  <c r="BN560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BV559"/>
  <c r="BU559"/>
  <c r="BT559"/>
  <c r="BS559"/>
  <c r="BR559"/>
  <c r="BQ559"/>
  <c r="BP559"/>
  <c r="BO559"/>
  <c r="BN559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BV558"/>
  <c r="BU558"/>
  <c r="BT558"/>
  <c r="BS558"/>
  <c r="BR558"/>
  <c r="BQ558"/>
  <c r="BP558"/>
  <c r="BO558"/>
  <c r="BN558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BV557"/>
  <c r="BU557"/>
  <c r="BT557"/>
  <c r="BS557"/>
  <c r="BR557"/>
  <c r="BQ557"/>
  <c r="BP557"/>
  <c r="BO557"/>
  <c r="BN557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BV556"/>
  <c r="BU556"/>
  <c r="BT556"/>
  <c r="BS556"/>
  <c r="BR556"/>
  <c r="BQ556"/>
  <c r="BP556"/>
  <c r="BO556"/>
  <c r="BN556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BV555"/>
  <c r="BU555"/>
  <c r="BT555"/>
  <c r="BS555"/>
  <c r="BR555"/>
  <c r="BQ555"/>
  <c r="BP555"/>
  <c r="BO555"/>
  <c r="BN555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BV554"/>
  <c r="BU554"/>
  <c r="BT554"/>
  <c r="BS554"/>
  <c r="BR554"/>
  <c r="BQ554"/>
  <c r="BP554"/>
  <c r="BO554"/>
  <c r="BN554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BV553"/>
  <c r="BU553"/>
  <c r="BT553"/>
  <c r="BS553"/>
  <c r="BR553"/>
  <c r="BQ553"/>
  <c r="BP553"/>
  <c r="BO553"/>
  <c r="BN553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BV552"/>
  <c r="BU552"/>
  <c r="BT552"/>
  <c r="BS552"/>
  <c r="BR552"/>
  <c r="BQ552"/>
  <c r="BP552"/>
  <c r="BO552"/>
  <c r="BN552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BV551"/>
  <c r="BU551"/>
  <c r="BT551"/>
  <c r="BS551"/>
  <c r="BR551"/>
  <c r="BQ551"/>
  <c r="BP551"/>
  <c r="BO551"/>
  <c r="BN551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BV550"/>
  <c r="BU550"/>
  <c r="BT550"/>
  <c r="BS550"/>
  <c r="BR550"/>
  <c r="BQ550"/>
  <c r="BP550"/>
  <c r="BO550"/>
  <c r="BN550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BV549"/>
  <c r="BU549"/>
  <c r="BT549"/>
  <c r="BS549"/>
  <c r="BR549"/>
  <c r="BQ549"/>
  <c r="BP549"/>
  <c r="BO549"/>
  <c r="BN549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BV548"/>
  <c r="BU548"/>
  <c r="BT548"/>
  <c r="BS548"/>
  <c r="BR548"/>
  <c r="BQ548"/>
  <c r="BP548"/>
  <c r="BO548"/>
  <c r="BN548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BV547"/>
  <c r="BU547"/>
  <c r="BT547"/>
  <c r="BS547"/>
  <c r="BR547"/>
  <c r="BQ547"/>
  <c r="BP547"/>
  <c r="BO547"/>
  <c r="BN547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BV546"/>
  <c r="BU546"/>
  <c r="BT546"/>
  <c r="BS546"/>
  <c r="BR546"/>
  <c r="BQ546"/>
  <c r="BP546"/>
  <c r="BO546"/>
  <c r="BN546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BV545"/>
  <c r="BU545"/>
  <c r="BT545"/>
  <c r="BS545"/>
  <c r="BR545"/>
  <c r="BQ545"/>
  <c r="BP545"/>
  <c r="BO545"/>
  <c r="BN545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BV544"/>
  <c r="BU544"/>
  <c r="BT544"/>
  <c r="BS544"/>
  <c r="BR544"/>
  <c r="BQ544"/>
  <c r="BP544"/>
  <c r="BO544"/>
  <c r="BN544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BV543"/>
  <c r="BU543"/>
  <c r="BT543"/>
  <c r="BS543"/>
  <c r="BR543"/>
  <c r="BQ543"/>
  <c r="BP543"/>
  <c r="BO543"/>
  <c r="BN543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BV542"/>
  <c r="BU542"/>
  <c r="BT542"/>
  <c r="BS542"/>
  <c r="BR542"/>
  <c r="BQ542"/>
  <c r="BP542"/>
  <c r="BO542"/>
  <c r="BN542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BV541"/>
  <c r="BU541"/>
  <c r="BT541"/>
  <c r="BS541"/>
  <c r="BR541"/>
  <c r="BQ541"/>
  <c r="BP541"/>
  <c r="BO541"/>
  <c r="BN541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BV540"/>
  <c r="BU540"/>
  <c r="BT540"/>
  <c r="BS540"/>
  <c r="BR540"/>
  <c r="BQ540"/>
  <c r="BP540"/>
  <c r="BO540"/>
  <c r="BN540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BV539"/>
  <c r="BU539"/>
  <c r="BT539"/>
  <c r="BS539"/>
  <c r="BR539"/>
  <c r="BQ539"/>
  <c r="BP539"/>
  <c r="BO539"/>
  <c r="BN539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BV538"/>
  <c r="BU538"/>
  <c r="BT538"/>
  <c r="BS538"/>
  <c r="BR538"/>
  <c r="BQ538"/>
  <c r="BP538"/>
  <c r="BO538"/>
  <c r="BN538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BV537"/>
  <c r="BU537"/>
  <c r="BT537"/>
  <c r="BS537"/>
  <c r="BR537"/>
  <c r="BQ537"/>
  <c r="BP537"/>
  <c r="BO537"/>
  <c r="BN537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BV536"/>
  <c r="BU536"/>
  <c r="BT536"/>
  <c r="BS536"/>
  <c r="BR536"/>
  <c r="BQ536"/>
  <c r="BP536"/>
  <c r="BO536"/>
  <c r="BN536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BV535"/>
  <c r="BU535"/>
  <c r="BT535"/>
  <c r="BS535"/>
  <c r="BR535"/>
  <c r="BQ535"/>
  <c r="BP535"/>
  <c r="BO535"/>
  <c r="BN535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BV534"/>
  <c r="BU534"/>
  <c r="BT534"/>
  <c r="BS534"/>
  <c r="BR534"/>
  <c r="BQ534"/>
  <c r="BP534"/>
  <c r="BO534"/>
  <c r="BN534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BV533"/>
  <c r="BU533"/>
  <c r="BT533"/>
  <c r="BS533"/>
  <c r="BR533"/>
  <c r="BQ533"/>
  <c r="BP533"/>
  <c r="BO533"/>
  <c r="BN533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BV532"/>
  <c r="BU532"/>
  <c r="BT532"/>
  <c r="BS532"/>
  <c r="BR532"/>
  <c r="BQ532"/>
  <c r="BP532"/>
  <c r="BO532"/>
  <c r="BN532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BV531"/>
  <c r="BU531"/>
  <c r="BT531"/>
  <c r="BS531"/>
  <c r="BR531"/>
  <c r="BQ531"/>
  <c r="BP531"/>
  <c r="BO531"/>
  <c r="BN531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BV530"/>
  <c r="BU530"/>
  <c r="BT530"/>
  <c r="BS530"/>
  <c r="BR530"/>
  <c r="BQ530"/>
  <c r="BP530"/>
  <c r="BO530"/>
  <c r="BN530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BV529"/>
  <c r="BU529"/>
  <c r="BT529"/>
  <c r="BS529"/>
  <c r="BR529"/>
  <c r="BQ529"/>
  <c r="BP529"/>
  <c r="BO529"/>
  <c r="BN529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BV528"/>
  <c r="BU528"/>
  <c r="BT528"/>
  <c r="BS528"/>
  <c r="BR528"/>
  <c r="BQ528"/>
  <c r="BP528"/>
  <c r="BO528"/>
  <c r="BN528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BV527"/>
  <c r="BU527"/>
  <c r="BT527"/>
  <c r="BS527"/>
  <c r="BR527"/>
  <c r="BQ527"/>
  <c r="BP527"/>
  <c r="BO527"/>
  <c r="BN527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BV526"/>
  <c r="BU526"/>
  <c r="BT526"/>
  <c r="BS526"/>
  <c r="BR526"/>
  <c r="BQ526"/>
  <c r="BP526"/>
  <c r="BO526"/>
  <c r="BN526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BV525"/>
  <c r="BU525"/>
  <c r="BT525"/>
  <c r="BS525"/>
  <c r="BR525"/>
  <c r="BQ525"/>
  <c r="BP525"/>
  <c r="BO525"/>
  <c r="BN525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BV524"/>
  <c r="BU524"/>
  <c r="BT524"/>
  <c r="BS524"/>
  <c r="BR524"/>
  <c r="BQ524"/>
  <c r="BP524"/>
  <c r="BO524"/>
  <c r="BN524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BV523"/>
  <c r="BU523"/>
  <c r="BT523"/>
  <c r="BS523"/>
  <c r="BR523"/>
  <c r="BQ523"/>
  <c r="BP523"/>
  <c r="BO523"/>
  <c r="BN523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BV522"/>
  <c r="BU522"/>
  <c r="BT522"/>
  <c r="BS522"/>
  <c r="BR522"/>
  <c r="BQ522"/>
  <c r="BP522"/>
  <c r="BO522"/>
  <c r="BN522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BV521"/>
  <c r="BU521"/>
  <c r="BT521"/>
  <c r="BS521"/>
  <c r="BR521"/>
  <c r="BQ521"/>
  <c r="BP521"/>
  <c r="BO521"/>
  <c r="BN521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BV520"/>
  <c r="BU520"/>
  <c r="BT520"/>
  <c r="BS520"/>
  <c r="BR520"/>
  <c r="BQ520"/>
  <c r="BP520"/>
  <c r="BO520"/>
  <c r="BN520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BV519"/>
  <c r="BU519"/>
  <c r="BT519"/>
  <c r="BS519"/>
  <c r="BR519"/>
  <c r="BQ519"/>
  <c r="BP519"/>
  <c r="BO519"/>
  <c r="BN519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BV518"/>
  <c r="BU518"/>
  <c r="BT518"/>
  <c r="BS518"/>
  <c r="BR518"/>
  <c r="BQ518"/>
  <c r="BP518"/>
  <c r="BO518"/>
  <c r="BN518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BV517"/>
  <c r="BU517"/>
  <c r="BT517"/>
  <c r="BS517"/>
  <c r="BR517"/>
  <c r="BQ517"/>
  <c r="BP517"/>
  <c r="BO517"/>
  <c r="BN517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BV516"/>
  <c r="BU516"/>
  <c r="BT516"/>
  <c r="BS516"/>
  <c r="BR516"/>
  <c r="BQ516"/>
  <c r="BP516"/>
  <c r="BO516"/>
  <c r="BN516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BV515"/>
  <c r="BU515"/>
  <c r="BT515"/>
  <c r="BS515"/>
  <c r="BR515"/>
  <c r="BQ515"/>
  <c r="BP515"/>
  <c r="BO515"/>
  <c r="BN515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BV514"/>
  <c r="BU514"/>
  <c r="BT514"/>
  <c r="BS514"/>
  <c r="BR514"/>
  <c r="BQ514"/>
  <c r="BP514"/>
  <c r="BO514"/>
  <c r="BN514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BV513"/>
  <c r="BU513"/>
  <c r="BT513"/>
  <c r="BS513"/>
  <c r="BR513"/>
  <c r="BQ513"/>
  <c r="BP513"/>
  <c r="BO513"/>
  <c r="BN513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BV512"/>
  <c r="BU512"/>
  <c r="BT512"/>
  <c r="BS512"/>
  <c r="BR512"/>
  <c r="BQ512"/>
  <c r="BP512"/>
  <c r="BO512"/>
  <c r="BN512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BV511"/>
  <c r="BU511"/>
  <c r="BT511"/>
  <c r="BS511"/>
  <c r="BR511"/>
  <c r="BQ511"/>
  <c r="BP511"/>
  <c r="BO511"/>
  <c r="BN511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BV510"/>
  <c r="BU510"/>
  <c r="BT510"/>
  <c r="BS510"/>
  <c r="BR510"/>
  <c r="BQ510"/>
  <c r="BP510"/>
  <c r="BO510"/>
  <c r="BN510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BV509"/>
  <c r="BU509"/>
  <c r="BT509"/>
  <c r="BS509"/>
  <c r="BR509"/>
  <c r="BQ509"/>
  <c r="BP509"/>
  <c r="BO509"/>
  <c r="BN509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BV508"/>
  <c r="BU508"/>
  <c r="BT508"/>
  <c r="BS508"/>
  <c r="BR508"/>
  <c r="BQ508"/>
  <c r="BP508"/>
  <c r="BO508"/>
  <c r="BN508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BV507"/>
  <c r="BU507"/>
  <c r="BT507"/>
  <c r="BS507"/>
  <c r="BR507"/>
  <c r="BQ507"/>
  <c r="BP507"/>
  <c r="BO507"/>
  <c r="BN507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BV506"/>
  <c r="BU506"/>
  <c r="BT506"/>
  <c r="BS506"/>
  <c r="BR506"/>
  <c r="BQ506"/>
  <c r="BP506"/>
  <c r="BO506"/>
  <c r="BN506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BV505"/>
  <c r="BU505"/>
  <c r="BT505"/>
  <c r="BS505"/>
  <c r="BR505"/>
  <c r="BQ505"/>
  <c r="BP505"/>
  <c r="BO505"/>
  <c r="BN505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BV504"/>
  <c r="BU504"/>
  <c r="BT504"/>
  <c r="BS504"/>
  <c r="BR504"/>
  <c r="BQ504"/>
  <c r="BP504"/>
  <c r="BO504"/>
  <c r="BN504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BV503"/>
  <c r="BU503"/>
  <c r="BT503"/>
  <c r="BS503"/>
  <c r="BR503"/>
  <c r="BQ503"/>
  <c r="BP503"/>
  <c r="BO503"/>
  <c r="BN503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BV502"/>
  <c r="BU502"/>
  <c r="BT502"/>
  <c r="BS502"/>
  <c r="BR502"/>
  <c r="BQ502"/>
  <c r="BP502"/>
  <c r="BO502"/>
  <c r="BN502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BV501"/>
  <c r="BU501"/>
  <c r="BT501"/>
  <c r="BS501"/>
  <c r="BR501"/>
  <c r="BQ501"/>
  <c r="BP501"/>
  <c r="BO501"/>
  <c r="BN501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BV500"/>
  <c r="BU500"/>
  <c r="BT500"/>
  <c r="BS500"/>
  <c r="BR500"/>
  <c r="BQ500"/>
  <c r="BP500"/>
  <c r="BO500"/>
  <c r="BN500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BV499"/>
  <c r="BU499"/>
  <c r="BT499"/>
  <c r="BS499"/>
  <c r="BR499"/>
  <c r="BQ499"/>
  <c r="BP499"/>
  <c r="BO499"/>
  <c r="BN499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BV498"/>
  <c r="BU498"/>
  <c r="BT498"/>
  <c r="BS498"/>
  <c r="BR498"/>
  <c r="BQ498"/>
  <c r="BP498"/>
  <c r="BO498"/>
  <c r="BN498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BV497"/>
  <c r="BU497"/>
  <c r="BT497"/>
  <c r="BS497"/>
  <c r="BR497"/>
  <c r="BQ497"/>
  <c r="BP497"/>
  <c r="BO497"/>
  <c r="BN497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BV496"/>
  <c r="BU496"/>
  <c r="BT496"/>
  <c r="BS496"/>
  <c r="BR496"/>
  <c r="BQ496"/>
  <c r="BP496"/>
  <c r="BO496"/>
  <c r="BN496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BV495"/>
  <c r="BU495"/>
  <c r="BT495"/>
  <c r="BS495"/>
  <c r="BR495"/>
  <c r="BQ495"/>
  <c r="BP495"/>
  <c r="BO495"/>
  <c r="BN495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BV494"/>
  <c r="BU494"/>
  <c r="BT494"/>
  <c r="BS494"/>
  <c r="BR494"/>
  <c r="BQ494"/>
  <c r="BP494"/>
  <c r="BO494"/>
  <c r="BN494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BV493"/>
  <c r="BU493"/>
  <c r="BT493"/>
  <c r="BS493"/>
  <c r="BR493"/>
  <c r="BQ493"/>
  <c r="BP493"/>
  <c r="BO493"/>
  <c r="BN493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BV492"/>
  <c r="BU492"/>
  <c r="BT492"/>
  <c r="BS492"/>
  <c r="BR492"/>
  <c r="BQ492"/>
  <c r="BP492"/>
  <c r="BO492"/>
  <c r="BN492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BV491"/>
  <c r="BU491"/>
  <c r="BT491"/>
  <c r="BS491"/>
  <c r="BR491"/>
  <c r="BQ491"/>
  <c r="BP491"/>
  <c r="BO491"/>
  <c r="BN491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BV490"/>
  <c r="BU490"/>
  <c r="BT490"/>
  <c r="BS490"/>
  <c r="BR490"/>
  <c r="BQ490"/>
  <c r="BP490"/>
  <c r="BO490"/>
  <c r="BN490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BV489"/>
  <c r="BU489"/>
  <c r="BT489"/>
  <c r="BS489"/>
  <c r="BR489"/>
  <c r="BQ489"/>
  <c r="BP489"/>
  <c r="BO489"/>
  <c r="BN489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BV488"/>
  <c r="BU488"/>
  <c r="BT488"/>
  <c r="BS488"/>
  <c r="BR488"/>
  <c r="BQ488"/>
  <c r="BP488"/>
  <c r="BO488"/>
  <c r="BN488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BV487"/>
  <c r="BU487"/>
  <c r="BT487"/>
  <c r="BS487"/>
  <c r="BR487"/>
  <c r="BQ487"/>
  <c r="BP487"/>
  <c r="BO487"/>
  <c r="BN487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BV486"/>
  <c r="BU486"/>
  <c r="BT486"/>
  <c r="BS486"/>
  <c r="BR486"/>
  <c r="BQ486"/>
  <c r="BP486"/>
  <c r="BO486"/>
  <c r="BN486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BV485"/>
  <c r="BU485"/>
  <c r="BT485"/>
  <c r="BS485"/>
  <c r="BR485"/>
  <c r="BQ485"/>
  <c r="BP485"/>
  <c r="BO485"/>
  <c r="BN485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BV484"/>
  <c r="BU484"/>
  <c r="BT484"/>
  <c r="BS484"/>
  <c r="BR484"/>
  <c r="BQ484"/>
  <c r="BP484"/>
  <c r="BO484"/>
  <c r="BN484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BV483"/>
  <c r="BU483"/>
  <c r="BT483"/>
  <c r="BS483"/>
  <c r="BR483"/>
  <c r="BQ483"/>
  <c r="BP483"/>
  <c r="BO483"/>
  <c r="BN483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BV482"/>
  <c r="BU482"/>
  <c r="BT482"/>
  <c r="BS482"/>
  <c r="BR482"/>
  <c r="BQ482"/>
  <c r="BP482"/>
  <c r="BO482"/>
  <c r="BN482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BV481"/>
  <c r="BU481"/>
  <c r="BT481"/>
  <c r="BS481"/>
  <c r="BR481"/>
  <c r="BQ481"/>
  <c r="BP481"/>
  <c r="BO481"/>
  <c r="BN481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BV480"/>
  <c r="BU480"/>
  <c r="BT480"/>
  <c r="BS480"/>
  <c r="BR480"/>
  <c r="BQ480"/>
  <c r="BP480"/>
  <c r="BO480"/>
  <c r="BN480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BV479"/>
  <c r="BU479"/>
  <c r="BT479"/>
  <c r="BS479"/>
  <c r="BR479"/>
  <c r="BQ479"/>
  <c r="BP479"/>
  <c r="BO479"/>
  <c r="BN479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BV478"/>
  <c r="BU478"/>
  <c r="BT478"/>
  <c r="BS478"/>
  <c r="BR478"/>
  <c r="BQ478"/>
  <c r="BP478"/>
  <c r="BO478"/>
  <c r="BN478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BV477"/>
  <c r="BU477"/>
  <c r="BT477"/>
  <c r="BS477"/>
  <c r="BR477"/>
  <c r="BQ477"/>
  <c r="BP477"/>
  <c r="BO477"/>
  <c r="BN477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BV476"/>
  <c r="BU476"/>
  <c r="BT476"/>
  <c r="BS476"/>
  <c r="BR476"/>
  <c r="BQ476"/>
  <c r="BP476"/>
  <c r="BO476"/>
  <c r="BN476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BV475"/>
  <c r="BU475"/>
  <c r="BT475"/>
  <c r="BS475"/>
  <c r="BR475"/>
  <c r="BQ475"/>
  <c r="BP475"/>
  <c r="BO475"/>
  <c r="BN475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BV474"/>
  <c r="BU474"/>
  <c r="BT474"/>
  <c r="BS474"/>
  <c r="BR474"/>
  <c r="BQ474"/>
  <c r="BP474"/>
  <c r="BO474"/>
  <c r="BN474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BV473"/>
  <c r="BU473"/>
  <c r="BT473"/>
  <c r="BS473"/>
  <c r="BR473"/>
  <c r="BQ473"/>
  <c r="BP473"/>
  <c r="BO473"/>
  <c r="BN473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BV472"/>
  <c r="BU472"/>
  <c r="BT472"/>
  <c r="BS472"/>
  <c r="BR472"/>
  <c r="BQ472"/>
  <c r="BP472"/>
  <c r="BO472"/>
  <c r="BN472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BV471"/>
  <c r="BU471"/>
  <c r="BT471"/>
  <c r="BS471"/>
  <c r="BR471"/>
  <c r="BQ471"/>
  <c r="BP471"/>
  <c r="BO471"/>
  <c r="BN471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BV470"/>
  <c r="BU470"/>
  <c r="BT470"/>
  <c r="BS470"/>
  <c r="BR470"/>
  <c r="BQ470"/>
  <c r="BP470"/>
  <c r="BO470"/>
  <c r="BN470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BV469"/>
  <c r="BU469"/>
  <c r="BT469"/>
  <c r="BS469"/>
  <c r="BR469"/>
  <c r="BQ469"/>
  <c r="BP469"/>
  <c r="BO469"/>
  <c r="BN469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BV468"/>
  <c r="BU468"/>
  <c r="BT468"/>
  <c r="BS468"/>
  <c r="BR468"/>
  <c r="BQ468"/>
  <c r="BP468"/>
  <c r="BO468"/>
  <c r="BN468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BV467"/>
  <c r="BU467"/>
  <c r="BT467"/>
  <c r="BS467"/>
  <c r="BR467"/>
  <c r="BQ467"/>
  <c r="BP467"/>
  <c r="BO467"/>
  <c r="BN467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BV466"/>
  <c r="BU466"/>
  <c r="BT466"/>
  <c r="BS466"/>
  <c r="BR466"/>
  <c r="BQ466"/>
  <c r="BP466"/>
  <c r="BO466"/>
  <c r="BN466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BV465"/>
  <c r="BU465"/>
  <c r="BT465"/>
  <c r="BS465"/>
  <c r="BR465"/>
  <c r="BQ465"/>
  <c r="BP465"/>
  <c r="BO465"/>
  <c r="BN465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BV464"/>
  <c r="BU464"/>
  <c r="BT464"/>
  <c r="BS464"/>
  <c r="BR464"/>
  <c r="BQ464"/>
  <c r="BP464"/>
  <c r="BO464"/>
  <c r="BN464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BV463"/>
  <c r="BU463"/>
  <c r="BT463"/>
  <c r="BS463"/>
  <c r="BR463"/>
  <c r="BQ463"/>
  <c r="BP463"/>
  <c r="BO463"/>
  <c r="BN463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BV462"/>
  <c r="BU462"/>
  <c r="BT462"/>
  <c r="BS462"/>
  <c r="BR462"/>
  <c r="BQ462"/>
  <c r="BP462"/>
  <c r="BO462"/>
  <c r="BN462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BV461"/>
  <c r="BU461"/>
  <c r="BT461"/>
  <c r="BS461"/>
  <c r="BR461"/>
  <c r="BQ461"/>
  <c r="BP461"/>
  <c r="BO461"/>
  <c r="BN461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BV460"/>
  <c r="BU460"/>
  <c r="BT460"/>
  <c r="BS460"/>
  <c r="BR460"/>
  <c r="BQ460"/>
  <c r="BP460"/>
  <c r="BO460"/>
  <c r="BN460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BV459"/>
  <c r="BU459"/>
  <c r="BT459"/>
  <c r="BS459"/>
  <c r="BR459"/>
  <c r="BQ459"/>
  <c r="BP459"/>
  <c r="BO459"/>
  <c r="BN459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BV458"/>
  <c r="BU458"/>
  <c r="BT458"/>
  <c r="BS458"/>
  <c r="BR458"/>
  <c r="BQ458"/>
  <c r="BP458"/>
  <c r="BO458"/>
  <c r="BN458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BV457"/>
  <c r="BU457"/>
  <c r="BT457"/>
  <c r="BS457"/>
  <c r="BR457"/>
  <c r="BQ457"/>
  <c r="BP457"/>
  <c r="BO457"/>
  <c r="BN457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BV456"/>
  <c r="BU456"/>
  <c r="BT456"/>
  <c r="BS456"/>
  <c r="BR456"/>
  <c r="BQ456"/>
  <c r="BP456"/>
  <c r="BO456"/>
  <c r="BN456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BV455"/>
  <c r="BU455"/>
  <c r="BT455"/>
  <c r="BS455"/>
  <c r="BR455"/>
  <c r="BQ455"/>
  <c r="BP455"/>
  <c r="BO455"/>
  <c r="BN455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BV454"/>
  <c r="BU454"/>
  <c r="BT454"/>
  <c r="BS454"/>
  <c r="BR454"/>
  <c r="BQ454"/>
  <c r="BP454"/>
  <c r="BO454"/>
  <c r="BN454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BV453"/>
  <c r="BU453"/>
  <c r="BT453"/>
  <c r="BS453"/>
  <c r="BR453"/>
  <c r="BQ453"/>
  <c r="BP453"/>
  <c r="BO453"/>
  <c r="BN453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BV452"/>
  <c r="BU452"/>
  <c r="BT452"/>
  <c r="BS452"/>
  <c r="BR452"/>
  <c r="BQ452"/>
  <c r="BP452"/>
  <c r="BO452"/>
  <c r="BN452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BV451"/>
  <c r="BU451"/>
  <c r="BT451"/>
  <c r="BS451"/>
  <c r="BR451"/>
  <c r="BQ451"/>
  <c r="BP451"/>
  <c r="BO451"/>
  <c r="BN451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BV450"/>
  <c r="BU450"/>
  <c r="BT450"/>
  <c r="BS450"/>
  <c r="BR450"/>
  <c r="BQ450"/>
  <c r="BP450"/>
  <c r="BO450"/>
  <c r="BN450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BV449"/>
  <c r="BU449"/>
  <c r="BT449"/>
  <c r="BS449"/>
  <c r="BR449"/>
  <c r="BQ449"/>
  <c r="BP449"/>
  <c r="BO449"/>
  <c r="BN449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BV448"/>
  <c r="BU448"/>
  <c r="BT448"/>
  <c r="BS448"/>
  <c r="BR448"/>
  <c r="BQ448"/>
  <c r="BP448"/>
  <c r="BO448"/>
  <c r="BN448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BV447"/>
  <c r="BU447"/>
  <c r="BT447"/>
  <c r="BS447"/>
  <c r="BR447"/>
  <c r="BQ447"/>
  <c r="BP447"/>
  <c r="BO447"/>
  <c r="BN447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BV446"/>
  <c r="BU446"/>
  <c r="BT446"/>
  <c r="BS446"/>
  <c r="BR446"/>
  <c r="BQ446"/>
  <c r="BP446"/>
  <c r="BO446"/>
  <c r="BN446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BV445"/>
  <c r="BU445"/>
  <c r="BT445"/>
  <c r="BS445"/>
  <c r="BR445"/>
  <c r="BQ445"/>
  <c r="BP445"/>
  <c r="BO445"/>
  <c r="BN445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BV444"/>
  <c r="BU444"/>
  <c r="BT444"/>
  <c r="BS444"/>
  <c r="BR444"/>
  <c r="BQ444"/>
  <c r="BP444"/>
  <c r="BO444"/>
  <c r="BN444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BV443"/>
  <c r="BU443"/>
  <c r="BT443"/>
  <c r="BS443"/>
  <c r="BR443"/>
  <c r="BQ443"/>
  <c r="BP443"/>
  <c r="BO443"/>
  <c r="BN443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BV442"/>
  <c r="BU442"/>
  <c r="BT442"/>
  <c r="BS442"/>
  <c r="BR442"/>
  <c r="BQ442"/>
  <c r="BP442"/>
  <c r="BO442"/>
  <c r="BN442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BV441"/>
  <c r="BU441"/>
  <c r="BT441"/>
  <c r="BS441"/>
  <c r="BR441"/>
  <c r="BQ441"/>
  <c r="BP441"/>
  <c r="BO441"/>
  <c r="BN441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BV440"/>
  <c r="BU440"/>
  <c r="BT440"/>
  <c r="BS440"/>
  <c r="BR440"/>
  <c r="BQ440"/>
  <c r="BP440"/>
  <c r="BO440"/>
  <c r="BN440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BV439"/>
  <c r="BU439"/>
  <c r="BT439"/>
  <c r="BS439"/>
  <c r="BR439"/>
  <c r="BQ439"/>
  <c r="BP439"/>
  <c r="BO439"/>
  <c r="BN439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BV438"/>
  <c r="BU438"/>
  <c r="BT438"/>
  <c r="BS438"/>
  <c r="BR438"/>
  <c r="BQ438"/>
  <c r="BP438"/>
  <c r="BO438"/>
  <c r="BN438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BV437"/>
  <c r="BU437"/>
  <c r="BT437"/>
  <c r="BS437"/>
  <c r="BR437"/>
  <c r="BQ437"/>
  <c r="BP437"/>
  <c r="BO437"/>
  <c r="BN437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BV436"/>
  <c r="BU436"/>
  <c r="BT436"/>
  <c r="BS436"/>
  <c r="BR436"/>
  <c r="BQ436"/>
  <c r="BP436"/>
  <c r="BO436"/>
  <c r="BN436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BV435"/>
  <c r="BU435"/>
  <c r="BT435"/>
  <c r="BS435"/>
  <c r="BR435"/>
  <c r="BQ435"/>
  <c r="BP435"/>
  <c r="BO435"/>
  <c r="BN435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BV434"/>
  <c r="BU434"/>
  <c r="BT434"/>
  <c r="BS434"/>
  <c r="BR434"/>
  <c r="BQ434"/>
  <c r="BP434"/>
  <c r="BO434"/>
  <c r="BN434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BV433"/>
  <c r="BU433"/>
  <c r="BT433"/>
  <c r="BS433"/>
  <c r="BR433"/>
  <c r="BQ433"/>
  <c r="BP433"/>
  <c r="BO433"/>
  <c r="BN433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BV432"/>
  <c r="BU432"/>
  <c r="BT432"/>
  <c r="BS432"/>
  <c r="BR432"/>
  <c r="BQ432"/>
  <c r="BP432"/>
  <c r="BO432"/>
  <c r="BN432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BV431"/>
  <c r="BU431"/>
  <c r="BT431"/>
  <c r="BS431"/>
  <c r="BR431"/>
  <c r="BQ431"/>
  <c r="BP431"/>
  <c r="BO431"/>
  <c r="BN431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BV430"/>
  <c r="BU430"/>
  <c r="BT430"/>
  <c r="BS430"/>
  <c r="BR430"/>
  <c r="BQ430"/>
  <c r="BP430"/>
  <c r="BO430"/>
  <c r="BN430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BV429"/>
  <c r="BU429"/>
  <c r="BT429"/>
  <c r="BS429"/>
  <c r="BR429"/>
  <c r="BQ429"/>
  <c r="BP429"/>
  <c r="BO429"/>
  <c r="BN429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BV428"/>
  <c r="BU428"/>
  <c r="BT428"/>
  <c r="BS428"/>
  <c r="BR428"/>
  <c r="BQ428"/>
  <c r="BP428"/>
  <c r="BO428"/>
  <c r="BN428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BV427"/>
  <c r="BU427"/>
  <c r="BT427"/>
  <c r="BS427"/>
  <c r="BR427"/>
  <c r="BQ427"/>
  <c r="BP427"/>
  <c r="BO427"/>
  <c r="BN427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BV426"/>
  <c r="BU426"/>
  <c r="BT426"/>
  <c r="BS426"/>
  <c r="BR426"/>
  <c r="BQ426"/>
  <c r="BP426"/>
  <c r="BO426"/>
  <c r="BN426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BV425"/>
  <c r="BU425"/>
  <c r="BT425"/>
  <c r="BS425"/>
  <c r="BR425"/>
  <c r="BQ425"/>
  <c r="BP425"/>
  <c r="BO425"/>
  <c r="BN425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BV424"/>
  <c r="BU424"/>
  <c r="BT424"/>
  <c r="BS424"/>
  <c r="BR424"/>
  <c r="BQ424"/>
  <c r="BP424"/>
  <c r="BO424"/>
  <c r="BN424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BV423"/>
  <c r="BU423"/>
  <c r="BT423"/>
  <c r="BS423"/>
  <c r="BR423"/>
  <c r="BQ423"/>
  <c r="BP423"/>
  <c r="BO423"/>
  <c r="BN423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BV422"/>
  <c r="BU422"/>
  <c r="BT422"/>
  <c r="BS422"/>
  <c r="BR422"/>
  <c r="BQ422"/>
  <c r="BP422"/>
  <c r="BO422"/>
  <c r="BN422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BV421"/>
  <c r="BU421"/>
  <c r="BT421"/>
  <c r="BS421"/>
  <c r="BR421"/>
  <c r="BQ421"/>
  <c r="BP421"/>
  <c r="BO421"/>
  <c r="BN421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BV420"/>
  <c r="BU420"/>
  <c r="BT420"/>
  <c r="BS420"/>
  <c r="BR420"/>
  <c r="BQ420"/>
  <c r="BP420"/>
  <c r="BO420"/>
  <c r="BN420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BV419"/>
  <c r="BU419"/>
  <c r="BT419"/>
  <c r="BS419"/>
  <c r="BR419"/>
  <c r="BQ419"/>
  <c r="BP419"/>
  <c r="BO419"/>
  <c r="BN419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BV418"/>
  <c r="BU418"/>
  <c r="BT418"/>
  <c r="BS418"/>
  <c r="BR418"/>
  <c r="BQ418"/>
  <c r="BP418"/>
  <c r="BO418"/>
  <c r="BN418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BV417"/>
  <c r="BU417"/>
  <c r="BT417"/>
  <c r="BS417"/>
  <c r="BR417"/>
  <c r="BQ417"/>
  <c r="BP417"/>
  <c r="BO417"/>
  <c r="BN417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BV416"/>
  <c r="BU416"/>
  <c r="BT416"/>
  <c r="BS416"/>
  <c r="BR416"/>
  <c r="BQ416"/>
  <c r="BP416"/>
  <c r="BO416"/>
  <c r="BN416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BV415"/>
  <c r="BU415"/>
  <c r="BT415"/>
  <c r="BS415"/>
  <c r="BR415"/>
  <c r="BQ415"/>
  <c r="BP415"/>
  <c r="BO415"/>
  <c r="BN415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BV414"/>
  <c r="BU414"/>
  <c r="BT414"/>
  <c r="BS414"/>
  <c r="BR414"/>
  <c r="BQ414"/>
  <c r="BP414"/>
  <c r="BO414"/>
  <c r="BN414"/>
  <c r="B414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BV413"/>
  <c r="BU413"/>
  <c r="BT413"/>
  <c r="BS413"/>
  <c r="BR413"/>
  <c r="BQ413"/>
  <c r="BP413"/>
  <c r="BO413"/>
  <c r="BN413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BV412"/>
  <c r="BU412"/>
  <c r="BT412"/>
  <c r="BS412"/>
  <c r="BR412"/>
  <c r="BQ412"/>
  <c r="BP412"/>
  <c r="BO412"/>
  <c r="BN412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BV411"/>
  <c r="BU411"/>
  <c r="BT411"/>
  <c r="BS411"/>
  <c r="BR411"/>
  <c r="BQ411"/>
  <c r="BP411"/>
  <c r="BO411"/>
  <c r="BN411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BV410"/>
  <c r="BU410"/>
  <c r="BT410"/>
  <c r="BS410"/>
  <c r="BR410"/>
  <c r="BQ410"/>
  <c r="BP410"/>
  <c r="BO410"/>
  <c r="BN410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BV409"/>
  <c r="BU409"/>
  <c r="BT409"/>
  <c r="BS409"/>
  <c r="BR409"/>
  <c r="BQ409"/>
  <c r="BP409"/>
  <c r="BO409"/>
  <c r="BN409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BV408"/>
  <c r="BU408"/>
  <c r="BT408"/>
  <c r="BS408"/>
  <c r="BR408"/>
  <c r="BQ408"/>
  <c r="BP408"/>
  <c r="BO408"/>
  <c r="BN408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BV407"/>
  <c r="BU407"/>
  <c r="BT407"/>
  <c r="BS407"/>
  <c r="BR407"/>
  <c r="BQ407"/>
  <c r="BP407"/>
  <c r="BO407"/>
  <c r="BN407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BV406"/>
  <c r="BU406"/>
  <c r="BT406"/>
  <c r="BS406"/>
  <c r="BR406"/>
  <c r="BQ406"/>
  <c r="BP406"/>
  <c r="BO406"/>
  <c r="BN406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BV405"/>
  <c r="BU405"/>
  <c r="BT405"/>
  <c r="BS405"/>
  <c r="BR405"/>
  <c r="BQ405"/>
  <c r="BP405"/>
  <c r="BO405"/>
  <c r="BN405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BV404"/>
  <c r="BU404"/>
  <c r="BT404"/>
  <c r="BS404"/>
  <c r="BR404"/>
  <c r="BQ404"/>
  <c r="BP404"/>
  <c r="BO404"/>
  <c r="BN404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BV403"/>
  <c r="BU403"/>
  <c r="BT403"/>
  <c r="BS403"/>
  <c r="BR403"/>
  <c r="BQ403"/>
  <c r="BP403"/>
  <c r="BO403"/>
  <c r="BN403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BV402"/>
  <c r="BU402"/>
  <c r="BT402"/>
  <c r="BS402"/>
  <c r="BR402"/>
  <c r="BQ402"/>
  <c r="BP402"/>
  <c r="BO402"/>
  <c r="BN402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BV401"/>
  <c r="BU401"/>
  <c r="BT401"/>
  <c r="BS401"/>
  <c r="BR401"/>
  <c r="BQ401"/>
  <c r="BP401"/>
  <c r="BO401"/>
  <c r="BN401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BV400"/>
  <c r="BU400"/>
  <c r="BT400"/>
  <c r="BS400"/>
  <c r="BR400"/>
  <c r="BQ400"/>
  <c r="BP400"/>
  <c r="BO400"/>
  <c r="BN400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BV399"/>
  <c r="BU399"/>
  <c r="BT399"/>
  <c r="BS399"/>
  <c r="BR399"/>
  <c r="BQ399"/>
  <c r="BP399"/>
  <c r="BO399"/>
  <c r="BN399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BV398"/>
  <c r="BU398"/>
  <c r="BT398"/>
  <c r="BS398"/>
  <c r="BR398"/>
  <c r="BQ398"/>
  <c r="BP398"/>
  <c r="BO398"/>
  <c r="BN398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BV397"/>
  <c r="BU397"/>
  <c r="BT397"/>
  <c r="BS397"/>
  <c r="BR397"/>
  <c r="BQ397"/>
  <c r="BP397"/>
  <c r="BO397"/>
  <c r="BN397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BV396"/>
  <c r="BU396"/>
  <c r="BT396"/>
  <c r="BS396"/>
  <c r="BR396"/>
  <c r="BQ396"/>
  <c r="BP396"/>
  <c r="BO396"/>
  <c r="BN396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BV395"/>
  <c r="BU395"/>
  <c r="BT395"/>
  <c r="BS395"/>
  <c r="BR395"/>
  <c r="BQ395"/>
  <c r="BP395"/>
  <c r="BO395"/>
  <c r="BN395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BV394"/>
  <c r="BU394"/>
  <c r="BT394"/>
  <c r="BS394"/>
  <c r="BR394"/>
  <c r="BQ394"/>
  <c r="BP394"/>
  <c r="BO394"/>
  <c r="BN394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BV393"/>
  <c r="BU393"/>
  <c r="BT393"/>
  <c r="BS393"/>
  <c r="BR393"/>
  <c r="BQ393"/>
  <c r="BP393"/>
  <c r="BO393"/>
  <c r="BN393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BV392"/>
  <c r="BU392"/>
  <c r="BT392"/>
  <c r="BS392"/>
  <c r="BR392"/>
  <c r="BQ392"/>
  <c r="BP392"/>
  <c r="BO392"/>
  <c r="BN392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BV391"/>
  <c r="BU391"/>
  <c r="BT391"/>
  <c r="BS391"/>
  <c r="BR391"/>
  <c r="BQ391"/>
  <c r="BP391"/>
  <c r="BO391"/>
  <c r="BN391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BV390"/>
  <c r="BU390"/>
  <c r="BT390"/>
  <c r="BS390"/>
  <c r="BR390"/>
  <c r="BQ390"/>
  <c r="BP390"/>
  <c r="BO390"/>
  <c r="BN390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BV389"/>
  <c r="BU389"/>
  <c r="BT389"/>
  <c r="BS389"/>
  <c r="BR389"/>
  <c r="BQ389"/>
  <c r="BP389"/>
  <c r="BO389"/>
  <c r="BN389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BV388"/>
  <c r="BU388"/>
  <c r="BT388"/>
  <c r="BS388"/>
  <c r="BR388"/>
  <c r="BQ388"/>
  <c r="BP388"/>
  <c r="BO388"/>
  <c r="BN388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BV387"/>
  <c r="BU387"/>
  <c r="BT387"/>
  <c r="BS387"/>
  <c r="BR387"/>
  <c r="BQ387"/>
  <c r="BP387"/>
  <c r="BO387"/>
  <c r="BN387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BV386"/>
  <c r="BU386"/>
  <c r="BT386"/>
  <c r="BS386"/>
  <c r="BR386"/>
  <c r="BQ386"/>
  <c r="BP386"/>
  <c r="BO386"/>
  <c r="BN386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BV385"/>
  <c r="BU385"/>
  <c r="BT385"/>
  <c r="BS385"/>
  <c r="BR385"/>
  <c r="BQ385"/>
  <c r="BP385"/>
  <c r="BO385"/>
  <c r="BN385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BV384"/>
  <c r="BU384"/>
  <c r="BT384"/>
  <c r="BS384"/>
  <c r="BR384"/>
  <c r="BQ384"/>
  <c r="BP384"/>
  <c r="BO384"/>
  <c r="BN384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BV383"/>
  <c r="BU383"/>
  <c r="BT383"/>
  <c r="BS383"/>
  <c r="BR383"/>
  <c r="BQ383"/>
  <c r="BP383"/>
  <c r="BO383"/>
  <c r="BN383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BV382"/>
  <c r="BU382"/>
  <c r="BT382"/>
  <c r="BS382"/>
  <c r="BR382"/>
  <c r="BQ382"/>
  <c r="BP382"/>
  <c r="BO382"/>
  <c r="BN382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BV381"/>
  <c r="BU381"/>
  <c r="BT381"/>
  <c r="BS381"/>
  <c r="BR381"/>
  <c r="BQ381"/>
  <c r="BP381"/>
  <c r="BO381"/>
  <c r="BN381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BV380"/>
  <c r="BU380"/>
  <c r="BT380"/>
  <c r="BS380"/>
  <c r="BR380"/>
  <c r="BQ380"/>
  <c r="BP380"/>
  <c r="BO380"/>
  <c r="BN380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BV379"/>
  <c r="BU379"/>
  <c r="BT379"/>
  <c r="BS379"/>
  <c r="BR379"/>
  <c r="BQ379"/>
  <c r="BP379"/>
  <c r="BO379"/>
  <c r="BN379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BV378"/>
  <c r="BU378"/>
  <c r="BT378"/>
  <c r="BS378"/>
  <c r="BR378"/>
  <c r="BQ378"/>
  <c r="BP378"/>
  <c r="BO378"/>
  <c r="BN378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BV377"/>
  <c r="BU377"/>
  <c r="BT377"/>
  <c r="BS377"/>
  <c r="BR377"/>
  <c r="BQ377"/>
  <c r="BP377"/>
  <c r="BO377"/>
  <c r="BN377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BV376"/>
  <c r="BU376"/>
  <c r="BT376"/>
  <c r="BS376"/>
  <c r="BR376"/>
  <c r="BQ376"/>
  <c r="BP376"/>
  <c r="BO376"/>
  <c r="BN376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BV375"/>
  <c r="BU375"/>
  <c r="BT375"/>
  <c r="BS375"/>
  <c r="BR375"/>
  <c r="BQ375"/>
  <c r="BP375"/>
  <c r="BO375"/>
  <c r="BN375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BV374"/>
  <c r="BU374"/>
  <c r="BT374"/>
  <c r="BS374"/>
  <c r="BR374"/>
  <c r="BQ374"/>
  <c r="BP374"/>
  <c r="BO374"/>
  <c r="BN374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BV373"/>
  <c r="BU373"/>
  <c r="BT373"/>
  <c r="BS373"/>
  <c r="BR373"/>
  <c r="BQ373"/>
  <c r="BP373"/>
  <c r="BO373"/>
  <c r="BN373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BV372"/>
  <c r="BU372"/>
  <c r="BT372"/>
  <c r="BS372"/>
  <c r="BR372"/>
  <c r="BQ372"/>
  <c r="BP372"/>
  <c r="BO372"/>
  <c r="BN372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BV371"/>
  <c r="BU371"/>
  <c r="BT371"/>
  <c r="BS371"/>
  <c r="BR371"/>
  <c r="BQ371"/>
  <c r="BP371"/>
  <c r="BO371"/>
  <c r="BN371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BV370"/>
  <c r="BU370"/>
  <c r="BT370"/>
  <c r="BS370"/>
  <c r="BR370"/>
  <c r="BQ370"/>
  <c r="BP370"/>
  <c r="BO370"/>
  <c r="BN370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BV369"/>
  <c r="BU369"/>
  <c r="BT369"/>
  <c r="BS369"/>
  <c r="BR369"/>
  <c r="BQ369"/>
  <c r="BP369"/>
  <c r="BO369"/>
  <c r="BN369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BV368"/>
  <c r="BU368"/>
  <c r="BT368"/>
  <c r="BS368"/>
  <c r="BR368"/>
  <c r="BQ368"/>
  <c r="BP368"/>
  <c r="BO368"/>
  <c r="BN368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BV367"/>
  <c r="BU367"/>
  <c r="BT367"/>
  <c r="BS367"/>
  <c r="BR367"/>
  <c r="BQ367"/>
  <c r="BP367"/>
  <c r="BO367"/>
  <c r="BN367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BV366"/>
  <c r="BU366"/>
  <c r="BT366"/>
  <c r="BS366"/>
  <c r="BR366"/>
  <c r="BQ366"/>
  <c r="BP366"/>
  <c r="BO366"/>
  <c r="BN366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BV365"/>
  <c r="BU365"/>
  <c r="BT365"/>
  <c r="BS365"/>
  <c r="BR365"/>
  <c r="BQ365"/>
  <c r="BP365"/>
  <c r="BO365"/>
  <c r="BN365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BV364"/>
  <c r="BU364"/>
  <c r="BT364"/>
  <c r="BS364"/>
  <c r="BR364"/>
  <c r="BQ364"/>
  <c r="BP364"/>
  <c r="BO364"/>
  <c r="BN364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BV363"/>
  <c r="BU363"/>
  <c r="BT363"/>
  <c r="BS363"/>
  <c r="BR363"/>
  <c r="BQ363"/>
  <c r="BP363"/>
  <c r="BO363"/>
  <c r="BN363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BV362"/>
  <c r="BU362"/>
  <c r="BT362"/>
  <c r="BS362"/>
  <c r="BR362"/>
  <c r="BQ362"/>
  <c r="BP362"/>
  <c r="BO362"/>
  <c r="BN362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BV361"/>
  <c r="BU361"/>
  <c r="BT361"/>
  <c r="BS361"/>
  <c r="BR361"/>
  <c r="BQ361"/>
  <c r="BP361"/>
  <c r="BO361"/>
  <c r="BN361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BV360"/>
  <c r="BU360"/>
  <c r="BT360"/>
  <c r="BS360"/>
  <c r="BR360"/>
  <c r="BQ360"/>
  <c r="BP360"/>
  <c r="BO360"/>
  <c r="BN360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BV359"/>
  <c r="BU359"/>
  <c r="BT359"/>
  <c r="BS359"/>
  <c r="BR359"/>
  <c r="BQ359"/>
  <c r="BP359"/>
  <c r="BO359"/>
  <c r="BN359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BV358"/>
  <c r="BU358"/>
  <c r="BT358"/>
  <c r="BS358"/>
  <c r="BR358"/>
  <c r="BQ358"/>
  <c r="BP358"/>
  <c r="BO358"/>
  <c r="BN358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BV357"/>
  <c r="BU357"/>
  <c r="BT357"/>
  <c r="BS357"/>
  <c r="BR357"/>
  <c r="BQ357"/>
  <c r="BP357"/>
  <c r="BO357"/>
  <c r="BN357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BV356"/>
  <c r="BU356"/>
  <c r="BT356"/>
  <c r="BS356"/>
  <c r="BR356"/>
  <c r="BQ356"/>
  <c r="BP356"/>
  <c r="BO356"/>
  <c r="BN356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BV355"/>
  <c r="BU355"/>
  <c r="BT355"/>
  <c r="BS355"/>
  <c r="BR355"/>
  <c r="BQ355"/>
  <c r="BP355"/>
  <c r="BO355"/>
  <c r="BN355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BV354"/>
  <c r="BU354"/>
  <c r="BT354"/>
  <c r="BS354"/>
  <c r="BR354"/>
  <c r="BQ354"/>
  <c r="BP354"/>
  <c r="BO354"/>
  <c r="BN354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BV353"/>
  <c r="BU353"/>
  <c r="BT353"/>
  <c r="BS353"/>
  <c r="BR353"/>
  <c r="BQ353"/>
  <c r="BP353"/>
  <c r="BO353"/>
  <c r="BN353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BV352"/>
  <c r="BU352"/>
  <c r="BT352"/>
  <c r="BS352"/>
  <c r="BR352"/>
  <c r="BQ352"/>
  <c r="BP352"/>
  <c r="BO352"/>
  <c r="BN352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BV351"/>
  <c r="BU351"/>
  <c r="BT351"/>
  <c r="BS351"/>
  <c r="BR351"/>
  <c r="BQ351"/>
  <c r="BP351"/>
  <c r="BO351"/>
  <c r="BN351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BV350"/>
  <c r="BU350"/>
  <c r="BT350"/>
  <c r="BS350"/>
  <c r="BR350"/>
  <c r="BQ350"/>
  <c r="BP350"/>
  <c r="BO350"/>
  <c r="BN350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BV349"/>
  <c r="BU349"/>
  <c r="BT349"/>
  <c r="BS349"/>
  <c r="BR349"/>
  <c r="BQ349"/>
  <c r="BP349"/>
  <c r="BO349"/>
  <c r="BN349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BV348"/>
  <c r="BU348"/>
  <c r="BT348"/>
  <c r="BS348"/>
  <c r="BR348"/>
  <c r="BQ348"/>
  <c r="BP348"/>
  <c r="BO348"/>
  <c r="BN348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BV347"/>
  <c r="BU347"/>
  <c r="BT347"/>
  <c r="BS347"/>
  <c r="BR347"/>
  <c r="BQ347"/>
  <c r="BP347"/>
  <c r="BO347"/>
  <c r="BN347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BV346"/>
  <c r="BU346"/>
  <c r="BT346"/>
  <c r="BS346"/>
  <c r="BR346"/>
  <c r="BQ346"/>
  <c r="BP346"/>
  <c r="BO346"/>
  <c r="BN346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BV345"/>
  <c r="BU345"/>
  <c r="BT345"/>
  <c r="BS345"/>
  <c r="BR345"/>
  <c r="BQ345"/>
  <c r="BP345"/>
  <c r="BO345"/>
  <c r="BN345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BV344"/>
  <c r="BU344"/>
  <c r="BT344"/>
  <c r="BS344"/>
  <c r="BR344"/>
  <c r="BQ344"/>
  <c r="BP344"/>
  <c r="BO344"/>
  <c r="BN344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BV343"/>
  <c r="BU343"/>
  <c r="BT343"/>
  <c r="BS343"/>
  <c r="BR343"/>
  <c r="BQ343"/>
  <c r="BP343"/>
  <c r="BO343"/>
  <c r="BN343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BV342"/>
  <c r="BU342"/>
  <c r="BT342"/>
  <c r="BS342"/>
  <c r="BR342"/>
  <c r="BQ342"/>
  <c r="BP342"/>
  <c r="BO342"/>
  <c r="BN342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BV341"/>
  <c r="BU341"/>
  <c r="BT341"/>
  <c r="BS341"/>
  <c r="BR341"/>
  <c r="BQ341"/>
  <c r="BP341"/>
  <c r="BO341"/>
  <c r="BN341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BV340"/>
  <c r="BU340"/>
  <c r="BT340"/>
  <c r="BS340"/>
  <c r="BR340"/>
  <c r="BQ340"/>
  <c r="BP340"/>
  <c r="BO340"/>
  <c r="BN340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BV339"/>
  <c r="BU339"/>
  <c r="BT339"/>
  <c r="BS339"/>
  <c r="BR339"/>
  <c r="BQ339"/>
  <c r="BP339"/>
  <c r="BO339"/>
  <c r="BN339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BV338"/>
  <c r="BU338"/>
  <c r="BT338"/>
  <c r="BS338"/>
  <c r="BR338"/>
  <c r="BQ338"/>
  <c r="BP338"/>
  <c r="BO338"/>
  <c r="BN338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BV337"/>
  <c r="BU337"/>
  <c r="BT337"/>
  <c r="BS337"/>
  <c r="BR337"/>
  <c r="BQ337"/>
  <c r="BP337"/>
  <c r="BO337"/>
  <c r="BN337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BV336"/>
  <c r="BU336"/>
  <c r="BT336"/>
  <c r="BS336"/>
  <c r="BR336"/>
  <c r="BQ336"/>
  <c r="BP336"/>
  <c r="BO336"/>
  <c r="BN336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BV335"/>
  <c r="BU335"/>
  <c r="BT335"/>
  <c r="BS335"/>
  <c r="BR335"/>
  <c r="BQ335"/>
  <c r="BP335"/>
  <c r="BO335"/>
  <c r="BN335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BV334"/>
  <c r="BU334"/>
  <c r="BT334"/>
  <c r="BS334"/>
  <c r="BR334"/>
  <c r="BQ334"/>
  <c r="BP334"/>
  <c r="BO334"/>
  <c r="BN334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BV333"/>
  <c r="BU333"/>
  <c r="BT333"/>
  <c r="BS333"/>
  <c r="BR333"/>
  <c r="BQ333"/>
  <c r="BP333"/>
  <c r="BO333"/>
  <c r="BN333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BV332"/>
  <c r="BU332"/>
  <c r="BT332"/>
  <c r="BS332"/>
  <c r="BR332"/>
  <c r="BQ332"/>
  <c r="BP332"/>
  <c r="BO332"/>
  <c r="BN332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BV331"/>
  <c r="BU331"/>
  <c r="BT331"/>
  <c r="BS331"/>
  <c r="BR331"/>
  <c r="BQ331"/>
  <c r="BP331"/>
  <c r="BO331"/>
  <c r="BN331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BV330"/>
  <c r="BU330"/>
  <c r="BT330"/>
  <c r="BS330"/>
  <c r="BR330"/>
  <c r="BQ330"/>
  <c r="BP330"/>
  <c r="BO330"/>
  <c r="BN330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BV329"/>
  <c r="BU329"/>
  <c r="BT329"/>
  <c r="BS329"/>
  <c r="BR329"/>
  <c r="BQ329"/>
  <c r="BP329"/>
  <c r="BO329"/>
  <c r="BN329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BV328"/>
  <c r="BU328"/>
  <c r="BT328"/>
  <c r="BS328"/>
  <c r="BR328"/>
  <c r="BQ328"/>
  <c r="BP328"/>
  <c r="BO328"/>
  <c r="BN328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BV327"/>
  <c r="BU327"/>
  <c r="BT327"/>
  <c r="BS327"/>
  <c r="BR327"/>
  <c r="BQ327"/>
  <c r="BP327"/>
  <c r="BO327"/>
  <c r="BN327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BV326"/>
  <c r="BU326"/>
  <c r="BT326"/>
  <c r="BS326"/>
  <c r="BR326"/>
  <c r="BQ326"/>
  <c r="BP326"/>
  <c r="BO326"/>
  <c r="BN326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BV325"/>
  <c r="BU325"/>
  <c r="BT325"/>
  <c r="BS325"/>
  <c r="BR325"/>
  <c r="BQ325"/>
  <c r="BP325"/>
  <c r="BO325"/>
  <c r="BN325"/>
  <c r="E325"/>
  <c r="D325"/>
  <c r="C325"/>
  <c r="B325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BV324"/>
  <c r="BU324"/>
  <c r="BT324"/>
  <c r="BS324"/>
  <c r="BR324"/>
  <c r="BQ324"/>
  <c r="BP324"/>
  <c r="BO324"/>
  <c r="BN324"/>
  <c r="E324"/>
  <c r="D324"/>
  <c r="C324"/>
  <c r="B324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BV323"/>
  <c r="BU323"/>
  <c r="BT323"/>
  <c r="BS323"/>
  <c r="BR323"/>
  <c r="BQ323"/>
  <c r="BP323"/>
  <c r="BO323"/>
  <c r="BN323"/>
  <c r="E323"/>
  <c r="D323"/>
  <c r="C323"/>
  <c r="B323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BV322"/>
  <c r="BU322"/>
  <c r="BT322"/>
  <c r="BS322"/>
  <c r="BR322"/>
  <c r="BQ322"/>
  <c r="BP322"/>
  <c r="BO322"/>
  <c r="BN322"/>
  <c r="E322"/>
  <c r="D322"/>
  <c r="C322"/>
  <c r="B322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BV321"/>
  <c r="BU321"/>
  <c r="BT321"/>
  <c r="BS321"/>
  <c r="BR321"/>
  <c r="BQ321"/>
  <c r="BP321"/>
  <c r="BO321"/>
  <c r="BN321"/>
  <c r="E321"/>
  <c r="D321"/>
  <c r="C321"/>
  <c r="B321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BV320"/>
  <c r="BU320"/>
  <c r="BT320"/>
  <c r="BS320"/>
  <c r="BR320"/>
  <c r="BQ320"/>
  <c r="BP320"/>
  <c r="BO320"/>
  <c r="BN320"/>
  <c r="E320"/>
  <c r="D320"/>
  <c r="C320"/>
  <c r="B320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BV319"/>
  <c r="BU319"/>
  <c r="BT319"/>
  <c r="BS319"/>
  <c r="BR319"/>
  <c r="BQ319"/>
  <c r="BP319"/>
  <c r="BO319"/>
  <c r="BN319"/>
  <c r="E319"/>
  <c r="D319"/>
  <c r="C319"/>
  <c r="B319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BV318"/>
  <c r="BU318"/>
  <c r="BT318"/>
  <c r="BS318"/>
  <c r="BR318"/>
  <c r="BQ318"/>
  <c r="BP318"/>
  <c r="BO318"/>
  <c r="BN318"/>
  <c r="E318"/>
  <c r="D318"/>
  <c r="C318"/>
  <c r="B318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BV317"/>
  <c r="BU317"/>
  <c r="BT317"/>
  <c r="BS317"/>
  <c r="BR317"/>
  <c r="BQ317"/>
  <c r="BP317"/>
  <c r="BO317"/>
  <c r="BN317"/>
  <c r="E317"/>
  <c r="D317"/>
  <c r="C317"/>
  <c r="B317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BV316"/>
  <c r="BU316"/>
  <c r="BT316"/>
  <c r="BS316"/>
  <c r="BR316"/>
  <c r="BQ316"/>
  <c r="BP316"/>
  <c r="BO316"/>
  <c r="BN316"/>
  <c r="E316"/>
  <c r="D316"/>
  <c r="C316"/>
  <c r="B316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BV315"/>
  <c r="BU315"/>
  <c r="BT315"/>
  <c r="BS315"/>
  <c r="BR315"/>
  <c r="BQ315"/>
  <c r="BP315"/>
  <c r="BO315"/>
  <c r="BN315"/>
  <c r="E315"/>
  <c r="D315"/>
  <c r="C315"/>
  <c r="B315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BV314"/>
  <c r="BU314"/>
  <c r="BT314"/>
  <c r="BS314"/>
  <c r="BR314"/>
  <c r="BQ314"/>
  <c r="BP314"/>
  <c r="BO314"/>
  <c r="BN314"/>
  <c r="E314"/>
  <c r="D314"/>
  <c r="C314"/>
  <c r="B314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BV313"/>
  <c r="BU313"/>
  <c r="BT313"/>
  <c r="BS313"/>
  <c r="BR313"/>
  <c r="BQ313"/>
  <c r="BP313"/>
  <c r="BO313"/>
  <c r="BN313"/>
  <c r="E313"/>
  <c r="D313"/>
  <c r="C313"/>
  <c r="B313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BV312"/>
  <c r="BU312"/>
  <c r="BT312"/>
  <c r="BS312"/>
  <c r="BR312"/>
  <c r="BQ312"/>
  <c r="BP312"/>
  <c r="BO312"/>
  <c r="BN312"/>
  <c r="E312"/>
  <c r="D312"/>
  <c r="C312"/>
  <c r="B312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BV311"/>
  <c r="BU311"/>
  <c r="BT311"/>
  <c r="BS311"/>
  <c r="BR311"/>
  <c r="BQ311"/>
  <c r="BP311"/>
  <c r="BO311"/>
  <c r="BN311"/>
  <c r="E311"/>
  <c r="D311"/>
  <c r="C311"/>
  <c r="B311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BV310"/>
  <c r="BU310"/>
  <c r="BT310"/>
  <c r="BS310"/>
  <c r="BR310"/>
  <c r="BQ310"/>
  <c r="BP310"/>
  <c r="BO310"/>
  <c r="BN310"/>
  <c r="E310"/>
  <c r="D310"/>
  <c r="C310"/>
  <c r="B310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BV309"/>
  <c r="BU309"/>
  <c r="BT309"/>
  <c r="BS309"/>
  <c r="BR309"/>
  <c r="BQ309"/>
  <c r="BP309"/>
  <c r="BO309"/>
  <c r="BN309"/>
  <c r="E309"/>
  <c r="D309"/>
  <c r="C309"/>
  <c r="B309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BV308"/>
  <c r="BU308"/>
  <c r="BT308"/>
  <c r="BS308"/>
  <c r="BR308"/>
  <c r="BQ308"/>
  <c r="BP308"/>
  <c r="BO308"/>
  <c r="BN308"/>
  <c r="E308"/>
  <c r="D308"/>
  <c r="C308"/>
  <c r="B308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BV307"/>
  <c r="BU307"/>
  <c r="BT307"/>
  <c r="BS307"/>
  <c r="BR307"/>
  <c r="BQ307"/>
  <c r="BP307"/>
  <c r="BO307"/>
  <c r="BN307"/>
  <c r="E307"/>
  <c r="D307"/>
  <c r="C307"/>
  <c r="B307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BV306"/>
  <c r="BU306"/>
  <c r="BT306"/>
  <c r="BS306"/>
  <c r="BR306"/>
  <c r="BQ306"/>
  <c r="BP306"/>
  <c r="BO306"/>
  <c r="BN306"/>
  <c r="E306"/>
  <c r="D306"/>
  <c r="C306"/>
  <c r="B306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BV305"/>
  <c r="BU305"/>
  <c r="BT305"/>
  <c r="BS305"/>
  <c r="BR305"/>
  <c r="BQ305"/>
  <c r="BP305"/>
  <c r="BO305"/>
  <c r="BN305"/>
  <c r="E305"/>
  <c r="D305"/>
  <c r="C305"/>
  <c r="B305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BV304"/>
  <c r="BU304"/>
  <c r="BT304"/>
  <c r="BS304"/>
  <c r="BR304"/>
  <c r="BQ304"/>
  <c r="BP304"/>
  <c r="BO304"/>
  <c r="BN304"/>
  <c r="E304"/>
  <c r="D304"/>
  <c r="C304"/>
  <c r="B304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BV303"/>
  <c r="BU303"/>
  <c r="BT303"/>
  <c r="BS303"/>
  <c r="BR303"/>
  <c r="BQ303"/>
  <c r="BP303"/>
  <c r="BO303"/>
  <c r="BN303"/>
  <c r="E303"/>
  <c r="D303"/>
  <c r="C303"/>
  <c r="B303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BV302"/>
  <c r="BU302"/>
  <c r="BT302"/>
  <c r="BS302"/>
  <c r="BR302"/>
  <c r="BQ302"/>
  <c r="BP302"/>
  <c r="BO302"/>
  <c r="BN302"/>
  <c r="E302"/>
  <c r="D302"/>
  <c r="C302"/>
  <c r="B302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BV301"/>
  <c r="BU301"/>
  <c r="BT301"/>
  <c r="BS301"/>
  <c r="BR301"/>
  <c r="BQ301"/>
  <c r="BP301"/>
  <c r="BO301"/>
  <c r="BN301"/>
  <c r="E301"/>
  <c r="D301"/>
  <c r="C301"/>
  <c r="B301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BV300"/>
  <c r="BU300"/>
  <c r="BT300"/>
  <c r="BS300"/>
  <c r="BR300"/>
  <c r="BQ300"/>
  <c r="BP300"/>
  <c r="BO300"/>
  <c r="BN300"/>
  <c r="E300"/>
  <c r="D300"/>
  <c r="C300"/>
  <c r="B300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BV299"/>
  <c r="BU299"/>
  <c r="BT299"/>
  <c r="BS299"/>
  <c r="BR299"/>
  <c r="BQ299"/>
  <c r="BP299"/>
  <c r="BO299"/>
  <c r="BN299"/>
  <c r="E299"/>
  <c r="D299"/>
  <c r="C299"/>
  <c r="B299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BV298"/>
  <c r="BU298"/>
  <c r="BT298"/>
  <c r="BS298"/>
  <c r="BR298"/>
  <c r="BQ298"/>
  <c r="BP298"/>
  <c r="BO298"/>
  <c r="BN298"/>
  <c r="E298"/>
  <c r="D298"/>
  <c r="C298"/>
  <c r="B298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BV297"/>
  <c r="BU297"/>
  <c r="BT297"/>
  <c r="BS297"/>
  <c r="BR297"/>
  <c r="BQ297"/>
  <c r="BP297"/>
  <c r="BO297"/>
  <c r="BN297"/>
  <c r="E297"/>
  <c r="D297"/>
  <c r="C297"/>
  <c r="B297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BV296"/>
  <c r="BU296"/>
  <c r="BT296"/>
  <c r="BS296"/>
  <c r="BR296"/>
  <c r="BQ296"/>
  <c r="BP296"/>
  <c r="BO296"/>
  <c r="BN296"/>
  <c r="E296"/>
  <c r="D296"/>
  <c r="C296"/>
  <c r="B296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BV295"/>
  <c r="BU295"/>
  <c r="BT295"/>
  <c r="BS295"/>
  <c r="BR295"/>
  <c r="BQ295"/>
  <c r="BP295"/>
  <c r="BO295"/>
  <c r="BN295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BV294"/>
  <c r="BU294"/>
  <c r="BT294"/>
  <c r="BS294"/>
  <c r="BR294"/>
  <c r="BQ294"/>
  <c r="BP294"/>
  <c r="BO294"/>
  <c r="BN294"/>
  <c r="A294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BV293"/>
  <c r="BU293"/>
  <c r="BT293"/>
  <c r="BS293"/>
  <c r="BR293"/>
  <c r="BQ293"/>
  <c r="BP293"/>
  <c r="BO293"/>
  <c r="BN293"/>
  <c r="B293"/>
  <c r="B574" s="1"/>
  <c r="A293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/>
  <c r="BV292"/>
  <c r="BU292"/>
  <c r="BT292"/>
  <c r="BS292"/>
  <c r="BR292"/>
  <c r="BQ292"/>
  <c r="BP292"/>
  <c r="BO292"/>
  <c r="BN292"/>
  <c r="A292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BV291"/>
  <c r="BU291"/>
  <c r="BT291"/>
  <c r="BS291"/>
  <c r="BR291"/>
  <c r="BQ291"/>
  <c r="BP291"/>
  <c r="BO291"/>
  <c r="BN291"/>
  <c r="B291"/>
  <c r="B292" s="1"/>
  <c r="A291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BV290"/>
  <c r="BU290"/>
  <c r="BT290"/>
  <c r="BS290"/>
  <c r="BR290"/>
  <c r="BQ290"/>
  <c r="BP290"/>
  <c r="BO290"/>
  <c r="BN290"/>
  <c r="C290"/>
  <c r="B290"/>
  <c r="A290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BV289"/>
  <c r="BU289"/>
  <c r="BT289"/>
  <c r="BS289"/>
  <c r="BR289"/>
  <c r="BQ289"/>
  <c r="BP289"/>
  <c r="BO289"/>
  <c r="BN289"/>
  <c r="B289"/>
  <c r="A289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BV288"/>
  <c r="BU288"/>
  <c r="BT288"/>
  <c r="BS288"/>
  <c r="BR288"/>
  <c r="BQ288"/>
  <c r="BP288"/>
  <c r="BO288"/>
  <c r="BN288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BV287"/>
  <c r="BU287"/>
  <c r="BT287"/>
  <c r="BS287"/>
  <c r="BR287"/>
  <c r="BQ287"/>
  <c r="BP287"/>
  <c r="BO287"/>
  <c r="BN287"/>
  <c r="A287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BV286"/>
  <c r="BU286"/>
  <c r="BT286"/>
  <c r="BS286"/>
  <c r="BR286"/>
  <c r="BQ286"/>
  <c r="BP286"/>
  <c r="BO286"/>
  <c r="BN286"/>
  <c r="BM286"/>
  <c r="BL286"/>
  <c r="BK286"/>
  <c r="BJ286"/>
  <c r="BI286"/>
  <c r="BH286"/>
  <c r="BG286"/>
  <c r="BF286"/>
  <c r="BE286"/>
  <c r="BD286"/>
  <c r="BC286"/>
  <c r="BB286"/>
  <c r="BA286"/>
  <c r="AZ286"/>
  <c r="AY286"/>
  <c r="AX286"/>
  <c r="AW286"/>
  <c r="AV286"/>
  <c r="AU286"/>
  <c r="AT286"/>
  <c r="AS286"/>
  <c r="AR286"/>
  <c r="AQ286"/>
  <c r="AP286"/>
  <c r="AO286"/>
  <c r="AN286"/>
  <c r="AM286"/>
  <c r="AL286"/>
  <c r="AK286"/>
  <c r="AJ286"/>
  <c r="AI286"/>
  <c r="AH286"/>
  <c r="AG286"/>
  <c r="AF286"/>
  <c r="AE286"/>
  <c r="AD286"/>
  <c r="AC286"/>
  <c r="AB286"/>
  <c r="AA286"/>
  <c r="Z286"/>
  <c r="Y286"/>
  <c r="X286"/>
  <c r="W286"/>
  <c r="V286"/>
  <c r="U286"/>
  <c r="T286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B286"/>
  <c r="A286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BV285"/>
  <c r="BU285"/>
  <c r="BT285"/>
  <c r="BS285"/>
  <c r="BR285"/>
  <c r="BQ285"/>
  <c r="BP285"/>
  <c r="BO285"/>
  <c r="BN285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BV284"/>
  <c r="BU284"/>
  <c r="BT284"/>
  <c r="BS284"/>
  <c r="BR284"/>
  <c r="BQ284"/>
  <c r="BP284"/>
  <c r="BO284"/>
  <c r="BN284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BV283"/>
  <c r="BU283"/>
  <c r="BT283"/>
  <c r="BS283"/>
  <c r="BR283"/>
  <c r="BQ283"/>
  <c r="BP283"/>
  <c r="BO283"/>
  <c r="BN283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/>
  <c r="BV282"/>
  <c r="BU282"/>
  <c r="BT282"/>
  <c r="BS282"/>
  <c r="BR282"/>
  <c r="BQ282"/>
  <c r="BP282"/>
  <c r="BO282"/>
  <c r="BN282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BV281"/>
  <c r="BU281"/>
  <c r="BT281"/>
  <c r="BS281"/>
  <c r="BR281"/>
  <c r="BQ281"/>
  <c r="BP281"/>
  <c r="BO281"/>
  <c r="BN281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BV280"/>
  <c r="BU280"/>
  <c r="BT280"/>
  <c r="BS280"/>
  <c r="BR280"/>
  <c r="BQ280"/>
  <c r="BP280"/>
  <c r="BO280"/>
  <c r="BN280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BV279"/>
  <c r="BU279"/>
  <c r="BT279"/>
  <c r="BS279"/>
  <c r="BR279"/>
  <c r="BQ279"/>
  <c r="BP279"/>
  <c r="BO279"/>
  <c r="BN279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BV278"/>
  <c r="BU278"/>
  <c r="BT278"/>
  <c r="BS278"/>
  <c r="BR278"/>
  <c r="BQ278"/>
  <c r="BP278"/>
  <c r="BO278"/>
  <c r="BN278"/>
  <c r="E278"/>
  <c r="E565" s="1"/>
  <c r="D278"/>
  <c r="D565" s="1"/>
  <c r="C278"/>
  <c r="C565" s="1"/>
  <c r="B278"/>
  <c r="B565" s="1"/>
  <c r="A278"/>
  <c r="A565" s="1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BV277"/>
  <c r="BU277"/>
  <c r="BT277"/>
  <c r="BS277"/>
  <c r="BR277"/>
  <c r="BQ277"/>
  <c r="BP277"/>
  <c r="BO277"/>
  <c r="BN277"/>
  <c r="E277"/>
  <c r="E564" s="1"/>
  <c r="D277"/>
  <c r="D564" s="1"/>
  <c r="C277"/>
  <c r="C564" s="1"/>
  <c r="B277"/>
  <c r="B564" s="1"/>
  <c r="A277"/>
  <c r="A564" s="1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BV276"/>
  <c r="BU276"/>
  <c r="BT276"/>
  <c r="BS276"/>
  <c r="BR276"/>
  <c r="BQ276"/>
  <c r="BP276"/>
  <c r="BO276"/>
  <c r="BN276"/>
  <c r="E276"/>
  <c r="E563" s="1"/>
  <c r="D276"/>
  <c r="D276" i="2" s="1"/>
  <c r="C276" i="3"/>
  <c r="C563" s="1"/>
  <c r="B276"/>
  <c r="B563" s="1"/>
  <c r="A276"/>
  <c r="A563" s="1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BV275"/>
  <c r="BU275"/>
  <c r="BT275"/>
  <c r="BS275"/>
  <c r="BR275"/>
  <c r="BQ275"/>
  <c r="BP275"/>
  <c r="BO275"/>
  <c r="BN275"/>
  <c r="E275"/>
  <c r="E562" s="1"/>
  <c r="D275"/>
  <c r="D562" s="1"/>
  <c r="C275"/>
  <c r="C562" s="1"/>
  <c r="B275"/>
  <c r="B562" s="1"/>
  <c r="A275"/>
  <c r="A562" s="1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BV274"/>
  <c r="BU274"/>
  <c r="BT274"/>
  <c r="BS274"/>
  <c r="BR274"/>
  <c r="BQ274"/>
  <c r="BP274"/>
  <c r="BO274"/>
  <c r="BN274"/>
  <c r="E274"/>
  <c r="E561" s="1"/>
  <c r="D274"/>
  <c r="D561" s="1"/>
  <c r="C274"/>
  <c r="C561" s="1"/>
  <c r="B274"/>
  <c r="B561" s="1"/>
  <c r="A274"/>
  <c r="A561" s="1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BV273"/>
  <c r="BU273"/>
  <c r="BT273"/>
  <c r="BS273"/>
  <c r="BR273"/>
  <c r="BQ273"/>
  <c r="BP273"/>
  <c r="BO273"/>
  <c r="BN273"/>
  <c r="E273"/>
  <c r="E560" s="1"/>
  <c r="D273"/>
  <c r="D560" s="1"/>
  <c r="C273"/>
  <c r="C273" i="2" s="1"/>
  <c r="B273" i="3"/>
  <c r="B560" s="1"/>
  <c r="A273"/>
  <c r="A560" s="1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BV272"/>
  <c r="BU272"/>
  <c r="BT272"/>
  <c r="BS272"/>
  <c r="BR272"/>
  <c r="BQ272"/>
  <c r="BP272"/>
  <c r="BO272"/>
  <c r="BN272"/>
  <c r="E272"/>
  <c r="E559" s="1"/>
  <c r="D272"/>
  <c r="D559" s="1"/>
  <c r="C272"/>
  <c r="C559" s="1"/>
  <c r="B272"/>
  <c r="B559" s="1"/>
  <c r="A272"/>
  <c r="A559" s="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BV271"/>
  <c r="BU271"/>
  <c r="BT271"/>
  <c r="BS271"/>
  <c r="BR271"/>
  <c r="BQ271"/>
  <c r="BP271"/>
  <c r="BO271"/>
  <c r="BN271"/>
  <c r="E271"/>
  <c r="E558" s="1"/>
  <c r="D271"/>
  <c r="D558" s="1"/>
  <c r="C271"/>
  <c r="C558" s="1"/>
  <c r="B271"/>
  <c r="B558" s="1"/>
  <c r="A271"/>
  <c r="A558" s="1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BV270"/>
  <c r="BU270"/>
  <c r="BT270"/>
  <c r="BS270"/>
  <c r="BR270"/>
  <c r="BQ270"/>
  <c r="BP270"/>
  <c r="BO270"/>
  <c r="BN270"/>
  <c r="E270"/>
  <c r="E557" s="1"/>
  <c r="D270"/>
  <c r="D557" s="1"/>
  <c r="C270"/>
  <c r="C557" s="1"/>
  <c r="B270"/>
  <c r="B557" s="1"/>
  <c r="A270"/>
  <c r="A557" s="1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BV269"/>
  <c r="BU269"/>
  <c r="BT269"/>
  <c r="BS269"/>
  <c r="BR269"/>
  <c r="BQ269"/>
  <c r="BP269"/>
  <c r="BO269"/>
  <c r="BN269"/>
  <c r="E269"/>
  <c r="E556" s="1"/>
  <c r="D269"/>
  <c r="D556" s="1"/>
  <c r="C269"/>
  <c r="C556" s="1"/>
  <c r="B269"/>
  <c r="B556" s="1"/>
  <c r="A269"/>
  <c r="A556" s="1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BV268"/>
  <c r="BU268"/>
  <c r="BT268"/>
  <c r="BS268"/>
  <c r="BR268"/>
  <c r="BQ268"/>
  <c r="BP268"/>
  <c r="BO268"/>
  <c r="BN268"/>
  <c r="E268"/>
  <c r="B268"/>
  <c r="B268" i="2" s="1"/>
  <c r="A268" i="3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BV267"/>
  <c r="BU267"/>
  <c r="BT267"/>
  <c r="BS267"/>
  <c r="BR267"/>
  <c r="BQ267"/>
  <c r="BP267"/>
  <c r="BO267"/>
  <c r="BN267"/>
  <c r="E267"/>
  <c r="B267"/>
  <c r="A267"/>
  <c r="A267" i="2" s="1"/>
  <c r="DU266" i="3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BV266"/>
  <c r="BU266"/>
  <c r="BT266"/>
  <c r="BS266"/>
  <c r="BR266"/>
  <c r="BQ266"/>
  <c r="BP266"/>
  <c r="BO266"/>
  <c r="BN266"/>
  <c r="E266"/>
  <c r="B266"/>
  <c r="A266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BV265"/>
  <c r="BU265"/>
  <c r="BT265"/>
  <c r="BS265"/>
  <c r="BR265"/>
  <c r="BQ265"/>
  <c r="BP265"/>
  <c r="BO265"/>
  <c r="BN265"/>
  <c r="E265"/>
  <c r="E265" i="2" s="1"/>
  <c r="B265" i="3"/>
  <c r="A265"/>
  <c r="A265" i="2" s="1"/>
  <c r="DU264" i="3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BV264"/>
  <c r="BU264"/>
  <c r="BT264"/>
  <c r="BS264"/>
  <c r="BR264"/>
  <c r="BQ264"/>
  <c r="BP264"/>
  <c r="BO264"/>
  <c r="BN264"/>
  <c r="E264"/>
  <c r="B264"/>
  <c r="B264" i="2" s="1"/>
  <c r="A264" i="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BV263"/>
  <c r="BU263"/>
  <c r="BT263"/>
  <c r="BS263"/>
  <c r="BR263"/>
  <c r="BQ263"/>
  <c r="BP263"/>
  <c r="BO263"/>
  <c r="BN263"/>
  <c r="E263"/>
  <c r="B263"/>
  <c r="A263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BV262"/>
  <c r="BU262"/>
  <c r="BT262"/>
  <c r="BS262"/>
  <c r="BR262"/>
  <c r="BQ262"/>
  <c r="BP262"/>
  <c r="BO262"/>
  <c r="BN262"/>
  <c r="E262"/>
  <c r="E262" i="2" s="1"/>
  <c r="B262" i="3"/>
  <c r="A262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BV261"/>
  <c r="BU261"/>
  <c r="BT261"/>
  <c r="BS261"/>
  <c r="BR261"/>
  <c r="BQ261"/>
  <c r="BP261"/>
  <c r="BO261"/>
  <c r="BN261"/>
  <c r="E261"/>
  <c r="E261" i="2" s="1"/>
  <c r="B261" i="3"/>
  <c r="B261" i="2" s="1"/>
  <c r="A261" i="3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BV260"/>
  <c r="BU260"/>
  <c r="BT260"/>
  <c r="BS260"/>
  <c r="BR260"/>
  <c r="BQ260"/>
  <c r="BP260"/>
  <c r="BO260"/>
  <c r="BN260"/>
  <c r="E260"/>
  <c r="B260"/>
  <c r="B260" i="2" s="1"/>
  <c r="A260" i="3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BV259"/>
  <c r="BU259"/>
  <c r="BT259"/>
  <c r="BS259"/>
  <c r="BR259"/>
  <c r="BQ259"/>
  <c r="BP259"/>
  <c r="BO259"/>
  <c r="BN259"/>
  <c r="E259"/>
  <c r="B259"/>
  <c r="A259"/>
  <c r="A259" i="2" s="1"/>
  <c r="DU258" i="3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BV258"/>
  <c r="BU258"/>
  <c r="BT258"/>
  <c r="BS258"/>
  <c r="BR258"/>
  <c r="BQ258"/>
  <c r="BP258"/>
  <c r="BO258"/>
  <c r="BN258"/>
  <c r="E258"/>
  <c r="B258"/>
  <c r="A258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BV257"/>
  <c r="BU257"/>
  <c r="BT257"/>
  <c r="BS257"/>
  <c r="BR257"/>
  <c r="BQ257"/>
  <c r="BP257"/>
  <c r="BO257"/>
  <c r="BN257"/>
  <c r="E257"/>
  <c r="E257" i="2" s="1"/>
  <c r="B257" i="3"/>
  <c r="A257"/>
  <c r="A257" i="2" s="1"/>
  <c r="DU256" i="3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BV256"/>
  <c r="BU256"/>
  <c r="BT256"/>
  <c r="BS256"/>
  <c r="BR256"/>
  <c r="BQ256"/>
  <c r="BP256"/>
  <c r="BO256"/>
  <c r="BN256"/>
  <c r="E256"/>
  <c r="E555" s="1"/>
  <c r="D256"/>
  <c r="D555" s="1"/>
  <c r="C256"/>
  <c r="C555" s="1"/>
  <c r="B256"/>
  <c r="B555" s="1"/>
  <c r="A256"/>
  <c r="A555" s="1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BV255"/>
  <c r="BU255"/>
  <c r="BT255"/>
  <c r="BS255"/>
  <c r="BR255"/>
  <c r="BQ255"/>
  <c r="BP255"/>
  <c r="BO255"/>
  <c r="BN255"/>
  <c r="E255"/>
  <c r="E554" s="1"/>
  <c r="D255"/>
  <c r="D554" s="1"/>
  <c r="C255"/>
  <c r="C554" s="1"/>
  <c r="B255"/>
  <c r="B554" s="1"/>
  <c r="A255"/>
  <c r="A554" s="1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BV254"/>
  <c r="BU254"/>
  <c r="BT254"/>
  <c r="BS254"/>
  <c r="BR254"/>
  <c r="BQ254"/>
  <c r="BP254"/>
  <c r="BO254"/>
  <c r="BN254"/>
  <c r="E254"/>
  <c r="E553" s="1"/>
  <c r="D254"/>
  <c r="D553" s="1"/>
  <c r="C254"/>
  <c r="C553" s="1"/>
  <c r="B254"/>
  <c r="B553" s="1"/>
  <c r="A254"/>
  <c r="A553" s="1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BV253"/>
  <c r="BU253"/>
  <c r="BT253"/>
  <c r="BS253"/>
  <c r="BR253"/>
  <c r="BQ253"/>
  <c r="BP253"/>
  <c r="BO253"/>
  <c r="BN253"/>
  <c r="E253"/>
  <c r="E552" s="1"/>
  <c r="D253"/>
  <c r="D552" s="1"/>
  <c r="C253"/>
  <c r="C552" s="1"/>
  <c r="B253"/>
  <c r="B552" s="1"/>
  <c r="A253"/>
  <c r="A552" s="1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BV252"/>
  <c r="BU252"/>
  <c r="BT252"/>
  <c r="BS252"/>
  <c r="BR252"/>
  <c r="BQ252"/>
  <c r="BP252"/>
  <c r="BO252"/>
  <c r="BN252"/>
  <c r="E252"/>
  <c r="E551" s="1"/>
  <c r="D252"/>
  <c r="D252" i="2" s="1"/>
  <c r="C252" i="3"/>
  <c r="C551" s="1"/>
  <c r="B252"/>
  <c r="B551" s="1"/>
  <c r="A252"/>
  <c r="A551" s="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BV251"/>
  <c r="BU251"/>
  <c r="BT251"/>
  <c r="BS251"/>
  <c r="BR251"/>
  <c r="BQ251"/>
  <c r="BP251"/>
  <c r="BO251"/>
  <c r="BN251"/>
  <c r="E251"/>
  <c r="E550" s="1"/>
  <c r="D251"/>
  <c r="D550" s="1"/>
  <c r="C251"/>
  <c r="C550" s="1"/>
  <c r="B251"/>
  <c r="B550" s="1"/>
  <c r="A251"/>
  <c r="A550" s="1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BV250"/>
  <c r="BU250"/>
  <c r="BT250"/>
  <c r="BS250"/>
  <c r="BR250"/>
  <c r="BQ250"/>
  <c r="BP250"/>
  <c r="BO250"/>
  <c r="BN250"/>
  <c r="E250"/>
  <c r="E549" s="1"/>
  <c r="D250"/>
  <c r="D549" s="1"/>
  <c r="C250"/>
  <c r="C549" s="1"/>
  <c r="B250"/>
  <c r="B549" s="1"/>
  <c r="A250"/>
  <c r="A549" s="1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BV249"/>
  <c r="BU249"/>
  <c r="BT249"/>
  <c r="BS249"/>
  <c r="BR249"/>
  <c r="BQ249"/>
  <c r="BP249"/>
  <c r="BO249"/>
  <c r="BN249"/>
  <c r="E249"/>
  <c r="E548" s="1"/>
  <c r="D249"/>
  <c r="D548" s="1"/>
  <c r="C249"/>
  <c r="C249" i="2" s="1"/>
  <c r="B249" i="3"/>
  <c r="B548" s="1"/>
  <c r="A249"/>
  <c r="A548" s="1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BV248"/>
  <c r="BU248"/>
  <c r="BT248"/>
  <c r="BS248"/>
  <c r="BR248"/>
  <c r="BQ248"/>
  <c r="BP248"/>
  <c r="BO248"/>
  <c r="BN248"/>
  <c r="E248"/>
  <c r="E547" s="1"/>
  <c r="D248"/>
  <c r="D547" s="1"/>
  <c r="C248"/>
  <c r="C547" s="1"/>
  <c r="B248"/>
  <c r="B547" s="1"/>
  <c r="A248"/>
  <c r="A547" s="1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BV247"/>
  <c r="BU247"/>
  <c r="BT247"/>
  <c r="BS247"/>
  <c r="BR247"/>
  <c r="BQ247"/>
  <c r="BP247"/>
  <c r="BO247"/>
  <c r="BN247"/>
  <c r="E247"/>
  <c r="E546" s="1"/>
  <c r="D247"/>
  <c r="D546" s="1"/>
  <c r="C247"/>
  <c r="C546" s="1"/>
  <c r="B247"/>
  <c r="B546" s="1"/>
  <c r="A247"/>
  <c r="A546" s="1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BV246"/>
  <c r="BU246"/>
  <c r="BT246"/>
  <c r="BS246"/>
  <c r="BR246"/>
  <c r="BQ246"/>
  <c r="BP246"/>
  <c r="BO246"/>
  <c r="BN246"/>
  <c r="E246"/>
  <c r="E246" i="2" s="1"/>
  <c r="B246" i="3"/>
  <c r="A246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BV245"/>
  <c r="BU245"/>
  <c r="BT245"/>
  <c r="BS245"/>
  <c r="BR245"/>
  <c r="BQ245"/>
  <c r="BP245"/>
  <c r="BO245"/>
  <c r="BN245"/>
  <c r="E245"/>
  <c r="E545" s="1"/>
  <c r="D245"/>
  <c r="D545" s="1"/>
  <c r="C245"/>
  <c r="C545" s="1"/>
  <c r="B245"/>
  <c r="B545" s="1"/>
  <c r="A245"/>
  <c r="A545" s="1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BV244"/>
  <c r="BU244"/>
  <c r="BT244"/>
  <c r="BS244"/>
  <c r="BR244"/>
  <c r="BQ244"/>
  <c r="BP244"/>
  <c r="BO244"/>
  <c r="BN244"/>
  <c r="E244"/>
  <c r="E544" s="1"/>
  <c r="D244"/>
  <c r="D544" s="1"/>
  <c r="C244"/>
  <c r="C544" s="1"/>
  <c r="B244"/>
  <c r="B244" i="2" s="1"/>
  <c r="A244" i="3"/>
  <c r="A544" s="1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BW243"/>
  <c r="BV243"/>
  <c r="BU243"/>
  <c r="BT243"/>
  <c r="BS243"/>
  <c r="BR243"/>
  <c r="BQ243"/>
  <c r="BP243"/>
  <c r="BO243"/>
  <c r="BN243"/>
  <c r="E243"/>
  <c r="E543" s="1"/>
  <c r="D243"/>
  <c r="D543" s="1"/>
  <c r="C243"/>
  <c r="C543" s="1"/>
  <c r="B243"/>
  <c r="B543" s="1"/>
  <c r="A243"/>
  <c r="A543" s="1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/>
  <c r="BV242"/>
  <c r="BU242"/>
  <c r="BT242"/>
  <c r="BS242"/>
  <c r="BR242"/>
  <c r="BQ242"/>
  <c r="BP242"/>
  <c r="BO242"/>
  <c r="BN242"/>
  <c r="E242"/>
  <c r="E542" s="1"/>
  <c r="D242"/>
  <c r="D542" s="1"/>
  <c r="C242"/>
  <c r="C542" s="1"/>
  <c r="B242"/>
  <c r="B542" s="1"/>
  <c r="A242"/>
  <c r="A542" s="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BV241"/>
  <c r="BU241"/>
  <c r="BT241"/>
  <c r="BS241"/>
  <c r="BR241"/>
  <c r="BQ241"/>
  <c r="BP241"/>
  <c r="BO241"/>
  <c r="BN241"/>
  <c r="E241"/>
  <c r="E541" s="1"/>
  <c r="D241"/>
  <c r="D541" s="1"/>
  <c r="C241"/>
  <c r="C541" s="1"/>
  <c r="B241"/>
  <c r="B541" s="1"/>
  <c r="A241"/>
  <c r="A541" s="1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BV240"/>
  <c r="BU240"/>
  <c r="BT240"/>
  <c r="BS240"/>
  <c r="BR240"/>
  <c r="BQ240"/>
  <c r="BP240"/>
  <c r="BO240"/>
  <c r="BN240"/>
  <c r="E240"/>
  <c r="E540" s="1"/>
  <c r="D240"/>
  <c r="D540" s="1"/>
  <c r="C240"/>
  <c r="C540" s="1"/>
  <c r="B240"/>
  <c r="B540" s="1"/>
  <c r="A240"/>
  <c r="A540" s="1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BV239"/>
  <c r="BU239"/>
  <c r="BT239"/>
  <c r="BS239"/>
  <c r="BR239"/>
  <c r="BQ239"/>
  <c r="BP239"/>
  <c r="BO239"/>
  <c r="BN239"/>
  <c r="E239"/>
  <c r="E539" s="1"/>
  <c r="D239"/>
  <c r="D539" s="1"/>
  <c r="C239"/>
  <c r="C539" s="1"/>
  <c r="B239"/>
  <c r="B539" s="1"/>
  <c r="A239"/>
  <c r="A539" s="1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BV238"/>
  <c r="BU238"/>
  <c r="BT238"/>
  <c r="BS238"/>
  <c r="BR238"/>
  <c r="BQ238"/>
  <c r="BP238"/>
  <c r="BO238"/>
  <c r="BN238"/>
  <c r="E238"/>
  <c r="E538" s="1"/>
  <c r="D238"/>
  <c r="D538" s="1"/>
  <c r="C238"/>
  <c r="C538" s="1"/>
  <c r="B238"/>
  <c r="B538" s="1"/>
  <c r="A238"/>
  <c r="A538" s="1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BV237"/>
  <c r="BU237"/>
  <c r="BT237"/>
  <c r="BS237"/>
  <c r="BR237"/>
  <c r="BQ237"/>
  <c r="BP237"/>
  <c r="BO237"/>
  <c r="BN237"/>
  <c r="E237"/>
  <c r="E537" s="1"/>
  <c r="D237"/>
  <c r="D537" s="1"/>
  <c r="C237"/>
  <c r="C537" s="1"/>
  <c r="B237"/>
  <c r="B537" s="1"/>
  <c r="A237"/>
  <c r="A537" s="1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BV236"/>
  <c r="BU236"/>
  <c r="BT236"/>
  <c r="BS236"/>
  <c r="BR236"/>
  <c r="BQ236"/>
  <c r="BP236"/>
  <c r="BO236"/>
  <c r="BN236"/>
  <c r="E236"/>
  <c r="E536" s="1"/>
  <c r="D236"/>
  <c r="D536" s="1"/>
  <c r="C236"/>
  <c r="C536" s="1"/>
  <c r="B236"/>
  <c r="B536" s="1"/>
  <c r="A236"/>
  <c r="A536" s="1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BV235"/>
  <c r="BU235"/>
  <c r="BT235"/>
  <c r="BS235"/>
  <c r="BR235"/>
  <c r="BQ235"/>
  <c r="BP235"/>
  <c r="BO235"/>
  <c r="BN235"/>
  <c r="E235"/>
  <c r="B235"/>
  <c r="A235"/>
  <c r="A235" i="2" s="1"/>
  <c r="DU234" i="3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BV234"/>
  <c r="BU234"/>
  <c r="BT234"/>
  <c r="BS234"/>
  <c r="BR234"/>
  <c r="BQ234"/>
  <c r="BP234"/>
  <c r="BO234"/>
  <c r="BN234"/>
  <c r="E234"/>
  <c r="E535" s="1"/>
  <c r="D234"/>
  <c r="D535" s="1"/>
  <c r="C234"/>
  <c r="C535" s="1"/>
  <c r="B234"/>
  <c r="B535" s="1"/>
  <c r="A234"/>
  <c r="A535" s="1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BV233"/>
  <c r="BU233"/>
  <c r="BT233"/>
  <c r="BS233"/>
  <c r="BR233"/>
  <c r="BQ233"/>
  <c r="BP233"/>
  <c r="BO233"/>
  <c r="BN233"/>
  <c r="E233"/>
  <c r="E534" s="1"/>
  <c r="D233"/>
  <c r="D534" s="1"/>
  <c r="C233"/>
  <c r="C534" s="1"/>
  <c r="B233"/>
  <c r="B534" s="1"/>
  <c r="A233"/>
  <c r="A534" s="1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BV232"/>
  <c r="BU232"/>
  <c r="BT232"/>
  <c r="BS232"/>
  <c r="BR232"/>
  <c r="BQ232"/>
  <c r="BP232"/>
  <c r="BO232"/>
  <c r="BN232"/>
  <c r="E232"/>
  <c r="E533" s="1"/>
  <c r="D232"/>
  <c r="D533" s="1"/>
  <c r="C232"/>
  <c r="C533" s="1"/>
  <c r="B232"/>
  <c r="B533" s="1"/>
  <c r="A232"/>
  <c r="A533" s="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BV231"/>
  <c r="BU231"/>
  <c r="BT231"/>
  <c r="BS231"/>
  <c r="BR231"/>
  <c r="BQ231"/>
  <c r="BP231"/>
  <c r="BO231"/>
  <c r="BN231"/>
  <c r="E231"/>
  <c r="E532" s="1"/>
  <c r="D231"/>
  <c r="D231" i="2" s="1"/>
  <c r="C231" i="3"/>
  <c r="C532" s="1"/>
  <c r="B231"/>
  <c r="B532" s="1"/>
  <c r="A231"/>
  <c r="A532" s="1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BV230"/>
  <c r="BU230"/>
  <c r="BT230"/>
  <c r="BS230"/>
  <c r="BR230"/>
  <c r="BQ230"/>
  <c r="BP230"/>
  <c r="BO230"/>
  <c r="BN230"/>
  <c r="E230"/>
  <c r="E531" s="1"/>
  <c r="D230"/>
  <c r="D531" s="1"/>
  <c r="C230"/>
  <c r="C531" s="1"/>
  <c r="B230"/>
  <c r="B531" s="1"/>
  <c r="A230"/>
  <c r="A531" s="1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BV229"/>
  <c r="BU229"/>
  <c r="BT229"/>
  <c r="BS229"/>
  <c r="BR229"/>
  <c r="BQ229"/>
  <c r="BP229"/>
  <c r="BO229"/>
  <c r="BN229"/>
  <c r="E229"/>
  <c r="E530" s="1"/>
  <c r="D229"/>
  <c r="D530" s="1"/>
  <c r="C229"/>
  <c r="C530" s="1"/>
  <c r="B229"/>
  <c r="B530" s="1"/>
  <c r="A229"/>
  <c r="A530" s="1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BV228"/>
  <c r="BU228"/>
  <c r="BT228"/>
  <c r="BS228"/>
  <c r="BR228"/>
  <c r="BQ228"/>
  <c r="BP228"/>
  <c r="BO228"/>
  <c r="BN228"/>
  <c r="E228"/>
  <c r="E529" s="1"/>
  <c r="D228"/>
  <c r="D529" s="1"/>
  <c r="C228"/>
  <c r="C529" s="1"/>
  <c r="B228"/>
  <c r="B529" s="1"/>
  <c r="A228"/>
  <c r="A529" s="1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BV227"/>
  <c r="BU227"/>
  <c r="BT227"/>
  <c r="BS227"/>
  <c r="BR227"/>
  <c r="BQ227"/>
  <c r="BP227"/>
  <c r="BO227"/>
  <c r="BN227"/>
  <c r="E227"/>
  <c r="E528" s="1"/>
  <c r="D227"/>
  <c r="D528" s="1"/>
  <c r="C227"/>
  <c r="C528" s="1"/>
  <c r="B227"/>
  <c r="B528" s="1"/>
  <c r="A227"/>
  <c r="A528" s="1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BV226"/>
  <c r="BU226"/>
  <c r="BT226"/>
  <c r="BS226"/>
  <c r="BR226"/>
  <c r="BQ226"/>
  <c r="BP226"/>
  <c r="BO226"/>
  <c r="BN226"/>
  <c r="E226"/>
  <c r="E527" s="1"/>
  <c r="D226"/>
  <c r="D527" s="1"/>
  <c r="C226"/>
  <c r="C527" s="1"/>
  <c r="B226"/>
  <c r="B527" s="1"/>
  <c r="A226"/>
  <c r="A527" s="1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BV225"/>
  <c r="BU225"/>
  <c r="BT225"/>
  <c r="BS225"/>
  <c r="BR225"/>
  <c r="BQ225"/>
  <c r="BP225"/>
  <c r="BO225"/>
  <c r="BN225"/>
  <c r="E225"/>
  <c r="E526" s="1"/>
  <c r="D225"/>
  <c r="D526" s="1"/>
  <c r="C225"/>
  <c r="C526" s="1"/>
  <c r="B225"/>
  <c r="B526" s="1"/>
  <c r="A225"/>
  <c r="A526" s="1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BV224"/>
  <c r="BU224"/>
  <c r="BT224"/>
  <c r="BS224"/>
  <c r="BR224"/>
  <c r="BQ224"/>
  <c r="BP224"/>
  <c r="BO224"/>
  <c r="BN224"/>
  <c r="E224"/>
  <c r="B224"/>
  <c r="B224" i="2" s="1"/>
  <c r="A224" i="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BV223"/>
  <c r="BU223"/>
  <c r="BT223"/>
  <c r="BS223"/>
  <c r="BR223"/>
  <c r="BQ223"/>
  <c r="BP223"/>
  <c r="BO223"/>
  <c r="BN223"/>
  <c r="E223"/>
  <c r="E525" s="1"/>
  <c r="D223"/>
  <c r="D525" s="1"/>
  <c r="C223"/>
  <c r="C525" s="1"/>
  <c r="B223"/>
  <c r="B525" s="1"/>
  <c r="A223"/>
  <c r="A525" s="1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BV222"/>
  <c r="BU222"/>
  <c r="BT222"/>
  <c r="BS222"/>
  <c r="BR222"/>
  <c r="BQ222"/>
  <c r="BP222"/>
  <c r="BO222"/>
  <c r="BN222"/>
  <c r="E222"/>
  <c r="E524" s="1"/>
  <c r="D222"/>
  <c r="D524" s="1"/>
  <c r="C222"/>
  <c r="C524" s="1"/>
  <c r="B222"/>
  <c r="B524" s="1"/>
  <c r="A222"/>
  <c r="A524" s="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BV221"/>
  <c r="BU221"/>
  <c r="BT221"/>
  <c r="BS221"/>
  <c r="BR221"/>
  <c r="BQ221"/>
  <c r="BP221"/>
  <c r="BO221"/>
  <c r="BN221"/>
  <c r="E221"/>
  <c r="E523" s="1"/>
  <c r="D221"/>
  <c r="D523" s="1"/>
  <c r="C221"/>
  <c r="C523" s="1"/>
  <c r="B221"/>
  <c r="B523" s="1"/>
  <c r="A221"/>
  <c r="A523" s="1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BV220"/>
  <c r="BU220"/>
  <c r="BT220"/>
  <c r="BS220"/>
  <c r="BR220"/>
  <c r="BQ220"/>
  <c r="BP220"/>
  <c r="BO220"/>
  <c r="BN220"/>
  <c r="E220"/>
  <c r="E522" s="1"/>
  <c r="D220"/>
  <c r="D522" s="1"/>
  <c r="C220"/>
  <c r="C522" s="1"/>
  <c r="B220"/>
  <c r="B522" s="1"/>
  <c r="A220"/>
  <c r="A522" s="1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BV219"/>
  <c r="BU219"/>
  <c r="BT219"/>
  <c r="BS219"/>
  <c r="BR219"/>
  <c r="BQ219"/>
  <c r="BP219"/>
  <c r="BO219"/>
  <c r="BN219"/>
  <c r="E219"/>
  <c r="E521" s="1"/>
  <c r="D219"/>
  <c r="D521" s="1"/>
  <c r="C219"/>
  <c r="C521" s="1"/>
  <c r="B219"/>
  <c r="B521" s="1"/>
  <c r="A219"/>
  <c r="A521" s="1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BV218"/>
  <c r="BU218"/>
  <c r="BT218"/>
  <c r="BS218"/>
  <c r="BR218"/>
  <c r="BQ218"/>
  <c r="BP218"/>
  <c r="BO218"/>
  <c r="BN218"/>
  <c r="E218"/>
  <c r="E520" s="1"/>
  <c r="D218"/>
  <c r="D520" s="1"/>
  <c r="C218"/>
  <c r="C520" s="1"/>
  <c r="B218"/>
  <c r="B520" s="1"/>
  <c r="A218"/>
  <c r="A520" s="1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BV217"/>
  <c r="BU217"/>
  <c r="BT217"/>
  <c r="BS217"/>
  <c r="BR217"/>
  <c r="BQ217"/>
  <c r="BP217"/>
  <c r="BO217"/>
  <c r="BN217"/>
  <c r="E217"/>
  <c r="E519" s="1"/>
  <c r="D217"/>
  <c r="D519" s="1"/>
  <c r="C217"/>
  <c r="C519" s="1"/>
  <c r="B217"/>
  <c r="B519" s="1"/>
  <c r="A217"/>
  <c r="A519" s="1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BV216"/>
  <c r="BU216"/>
  <c r="BT216"/>
  <c r="BS216"/>
  <c r="BR216"/>
  <c r="BQ216"/>
  <c r="BP216"/>
  <c r="BO216"/>
  <c r="BN216"/>
  <c r="E216"/>
  <c r="E518" s="1"/>
  <c r="D216"/>
  <c r="D518" s="1"/>
  <c r="C216"/>
  <c r="C518" s="1"/>
  <c r="B216"/>
  <c r="B518" s="1"/>
  <c r="A216"/>
  <c r="A518" s="1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BV215"/>
  <c r="BU215"/>
  <c r="BT215"/>
  <c r="BS215"/>
  <c r="BR215"/>
  <c r="BQ215"/>
  <c r="BP215"/>
  <c r="BO215"/>
  <c r="BN215"/>
  <c r="E215"/>
  <c r="E517" s="1"/>
  <c r="D215"/>
  <c r="D517" s="1"/>
  <c r="C215"/>
  <c r="C517" s="1"/>
  <c r="B215"/>
  <c r="B517" s="1"/>
  <c r="A215"/>
  <c r="A517" s="1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/>
  <c r="BV214"/>
  <c r="BU214"/>
  <c r="BT214"/>
  <c r="BS214"/>
  <c r="BR214"/>
  <c r="BQ214"/>
  <c r="BP214"/>
  <c r="BO214"/>
  <c r="BN214"/>
  <c r="E214"/>
  <c r="E516" s="1"/>
  <c r="D214"/>
  <c r="D516" s="1"/>
  <c r="C214"/>
  <c r="C516" s="1"/>
  <c r="B214"/>
  <c r="B516" s="1"/>
  <c r="A214"/>
  <c r="A516" s="1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BV213"/>
  <c r="BU213"/>
  <c r="BT213"/>
  <c r="BS213"/>
  <c r="BR213"/>
  <c r="BQ213"/>
  <c r="BP213"/>
  <c r="BO213"/>
  <c r="BN213"/>
  <c r="E213"/>
  <c r="E213" i="2" s="1"/>
  <c r="B213" i="3"/>
  <c r="B213" i="2" s="1"/>
  <c r="A213" i="3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/>
  <c r="BV212"/>
  <c r="BU212"/>
  <c r="BT212"/>
  <c r="BS212"/>
  <c r="BR212"/>
  <c r="BQ212"/>
  <c r="BP212"/>
  <c r="BO212"/>
  <c r="BN212"/>
  <c r="E212"/>
  <c r="E515" s="1"/>
  <c r="D212"/>
  <c r="D212" i="2" s="1"/>
  <c r="C212" i="3"/>
  <c r="C515" s="1"/>
  <c r="B212"/>
  <c r="B515" s="1"/>
  <c r="A212"/>
  <c r="A515" s="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BW211"/>
  <c r="BV211"/>
  <c r="BU211"/>
  <c r="BT211"/>
  <c r="BS211"/>
  <c r="BR211"/>
  <c r="BQ211"/>
  <c r="BP211"/>
  <c r="BO211"/>
  <c r="BN211"/>
  <c r="E211"/>
  <c r="E514" s="1"/>
  <c r="D211"/>
  <c r="D514" s="1"/>
  <c r="C211"/>
  <c r="C514" s="1"/>
  <c r="B211"/>
  <c r="B514" s="1"/>
  <c r="A211"/>
  <c r="A514" s="1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/>
  <c r="BV210"/>
  <c r="BU210"/>
  <c r="BT210"/>
  <c r="BS210"/>
  <c r="BR210"/>
  <c r="BQ210"/>
  <c r="BP210"/>
  <c r="BO210"/>
  <c r="BN210"/>
  <c r="E210"/>
  <c r="E513" s="1"/>
  <c r="D210"/>
  <c r="D513" s="1"/>
  <c r="C210"/>
  <c r="C513" s="1"/>
  <c r="B210"/>
  <c r="B513" s="1"/>
  <c r="A210"/>
  <c r="A513" s="1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E209"/>
  <c r="E512" s="1"/>
  <c r="D209"/>
  <c r="D512" s="1"/>
  <c r="C209"/>
  <c r="C512" s="1"/>
  <c r="B209"/>
  <c r="B512" s="1"/>
  <c r="A209"/>
  <c r="A512" s="1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/>
  <c r="BV208"/>
  <c r="BU208"/>
  <c r="BT208"/>
  <c r="BS208"/>
  <c r="BR208"/>
  <c r="BQ208"/>
  <c r="BP208"/>
  <c r="BO208"/>
  <c r="BN208"/>
  <c r="E208"/>
  <c r="E511" s="1"/>
  <c r="D208"/>
  <c r="D511" s="1"/>
  <c r="C208"/>
  <c r="C511" s="1"/>
  <c r="B208"/>
  <c r="B511" s="1"/>
  <c r="A208"/>
  <c r="A511" s="1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/>
  <c r="BV207"/>
  <c r="BU207"/>
  <c r="BT207"/>
  <c r="BS207"/>
  <c r="BR207"/>
  <c r="BQ207"/>
  <c r="BP207"/>
  <c r="BO207"/>
  <c r="BN207"/>
  <c r="E207"/>
  <c r="E510" s="1"/>
  <c r="D207"/>
  <c r="D510" s="1"/>
  <c r="C207"/>
  <c r="C510" s="1"/>
  <c r="B207"/>
  <c r="B510" s="1"/>
  <c r="A207"/>
  <c r="A510" s="1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E206"/>
  <c r="E509" s="1"/>
  <c r="D206"/>
  <c r="D509" s="1"/>
  <c r="C206"/>
  <c r="C509" s="1"/>
  <c r="B206"/>
  <c r="B206" i="2" s="1"/>
  <c r="A206" i="3"/>
  <c r="A509" s="1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E205"/>
  <c r="E508" s="1"/>
  <c r="D205"/>
  <c r="D508" s="1"/>
  <c r="C205"/>
  <c r="C508" s="1"/>
  <c r="B205"/>
  <c r="B508" s="1"/>
  <c r="A205"/>
  <c r="A508" s="1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E204"/>
  <c r="E507" s="1"/>
  <c r="D204"/>
  <c r="D507" s="1"/>
  <c r="C204"/>
  <c r="C507" s="1"/>
  <c r="B204"/>
  <c r="B507" s="1"/>
  <c r="A204"/>
  <c r="A507" s="1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E203"/>
  <c r="E506" s="1"/>
  <c r="D203"/>
  <c r="D506" s="1"/>
  <c r="C203"/>
  <c r="C506" s="1"/>
  <c r="B203"/>
  <c r="B506" s="1"/>
  <c r="A203"/>
  <c r="A506" s="1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E202"/>
  <c r="E202" i="2" s="1"/>
  <c r="B202" i="3"/>
  <c r="A202"/>
  <c r="A202" i="2" s="1"/>
  <c r="DU201" i="3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E201"/>
  <c r="E505" s="1"/>
  <c r="D201"/>
  <c r="D505" s="1"/>
  <c r="C201"/>
  <c r="C505" s="1"/>
  <c r="B201"/>
  <c r="B505" s="1"/>
  <c r="A201"/>
  <c r="A505" s="1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E200"/>
  <c r="E504" s="1"/>
  <c r="D200"/>
  <c r="D504" s="1"/>
  <c r="C200"/>
  <c r="C504" s="1"/>
  <c r="B200"/>
  <c r="B504" s="1"/>
  <c r="A200"/>
  <c r="A504" s="1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E199"/>
  <c r="E503" s="1"/>
  <c r="D199"/>
  <c r="D503" s="1"/>
  <c r="C199"/>
  <c r="C503" s="1"/>
  <c r="B199"/>
  <c r="B503" s="1"/>
  <c r="A199"/>
  <c r="A503" s="1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E198"/>
  <c r="E502" s="1"/>
  <c r="D198"/>
  <c r="D502" s="1"/>
  <c r="C198"/>
  <c r="C502" s="1"/>
  <c r="B198"/>
  <c r="B502" s="1"/>
  <c r="A198"/>
  <c r="A502" s="1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E197"/>
  <c r="E501" s="1"/>
  <c r="D197"/>
  <c r="D501" s="1"/>
  <c r="C197"/>
  <c r="C501" s="1"/>
  <c r="B197"/>
  <c r="B501" s="1"/>
  <c r="A197"/>
  <c r="A501" s="1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E196"/>
  <c r="E500" s="1"/>
  <c r="D196"/>
  <c r="D500" s="1"/>
  <c r="C196"/>
  <c r="C500" s="1"/>
  <c r="B196"/>
  <c r="B500" s="1"/>
  <c r="A196"/>
  <c r="A500" s="1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E195"/>
  <c r="E499" s="1"/>
  <c r="D195"/>
  <c r="D499" s="1"/>
  <c r="C195"/>
  <c r="C499" s="1"/>
  <c r="B195"/>
  <c r="B499" s="1"/>
  <c r="A195"/>
  <c r="A499" s="1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E194"/>
  <c r="E498" s="1"/>
  <c r="D194"/>
  <c r="D498" s="1"/>
  <c r="C194"/>
  <c r="C498" s="1"/>
  <c r="B194"/>
  <c r="B498" s="1"/>
  <c r="A194"/>
  <c r="A498" s="1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E193"/>
  <c r="E497" s="1"/>
  <c r="D193"/>
  <c r="D497" s="1"/>
  <c r="C193"/>
  <c r="C497" s="1"/>
  <c r="B193"/>
  <c r="B497" s="1"/>
  <c r="A193"/>
  <c r="A497" s="1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E192"/>
  <c r="E496" s="1"/>
  <c r="D192"/>
  <c r="D496" s="1"/>
  <c r="C192"/>
  <c r="C496" s="1"/>
  <c r="B192"/>
  <c r="B496" s="1"/>
  <c r="A192"/>
  <c r="A496" s="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E191"/>
  <c r="B191"/>
  <c r="A191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E190"/>
  <c r="E495" s="1"/>
  <c r="D190"/>
  <c r="D495" s="1"/>
  <c r="C190"/>
  <c r="C495" s="1"/>
  <c r="B190"/>
  <c r="B495" s="1"/>
  <c r="A190"/>
  <c r="A495" s="1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E189"/>
  <c r="E494" s="1"/>
  <c r="D189"/>
  <c r="D494" s="1"/>
  <c r="C189"/>
  <c r="C494" s="1"/>
  <c r="B189"/>
  <c r="B494" s="1"/>
  <c r="A189"/>
  <c r="A494" s="1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E188"/>
  <c r="E493" s="1"/>
  <c r="D188"/>
  <c r="D493" s="1"/>
  <c r="C188"/>
  <c r="C493" s="1"/>
  <c r="B188"/>
  <c r="B493" s="1"/>
  <c r="A188"/>
  <c r="A493" s="1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E187"/>
  <c r="E492" s="1"/>
  <c r="D187"/>
  <c r="D492" s="1"/>
  <c r="C187"/>
  <c r="C492" s="1"/>
  <c r="B187"/>
  <c r="B492" s="1"/>
  <c r="A187"/>
  <c r="A492" s="1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E186"/>
  <c r="E491" s="1"/>
  <c r="D186"/>
  <c r="D491" s="1"/>
  <c r="C186"/>
  <c r="C491" s="1"/>
  <c r="B186"/>
  <c r="B491" s="1"/>
  <c r="A186"/>
  <c r="A491" s="1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E185"/>
  <c r="E490" s="1"/>
  <c r="D185"/>
  <c r="D490" s="1"/>
  <c r="C185"/>
  <c r="C490" s="1"/>
  <c r="B185"/>
  <c r="B490" s="1"/>
  <c r="A185"/>
  <c r="A490" s="1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E184"/>
  <c r="E489" s="1"/>
  <c r="D184"/>
  <c r="D489" s="1"/>
  <c r="C184"/>
  <c r="C489" s="1"/>
  <c r="B184"/>
  <c r="B489" s="1"/>
  <c r="A184"/>
  <c r="A489" s="1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E183"/>
  <c r="E488" s="1"/>
  <c r="D183"/>
  <c r="D488" s="1"/>
  <c r="C183"/>
  <c r="C488" s="1"/>
  <c r="B183"/>
  <c r="B488" s="1"/>
  <c r="A183"/>
  <c r="A488" s="1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E182"/>
  <c r="E487" s="1"/>
  <c r="D182"/>
  <c r="D487" s="1"/>
  <c r="C182"/>
  <c r="C487" s="1"/>
  <c r="B182"/>
  <c r="B487" s="1"/>
  <c r="A182"/>
  <c r="A487" s="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E181"/>
  <c r="E486" s="1"/>
  <c r="D181"/>
  <c r="D486" s="1"/>
  <c r="C181"/>
  <c r="C486" s="1"/>
  <c r="B181"/>
  <c r="B486" s="1"/>
  <c r="A181"/>
  <c r="A486" s="1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E180"/>
  <c r="B180"/>
  <c r="A180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E179"/>
  <c r="E485" s="1"/>
  <c r="D179"/>
  <c r="D485" s="1"/>
  <c r="C179"/>
  <c r="C485" s="1"/>
  <c r="B179"/>
  <c r="B485" s="1"/>
  <c r="A179"/>
  <c r="A485" s="1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E178"/>
  <c r="E484" s="1"/>
  <c r="D178"/>
  <c r="D484" s="1"/>
  <c r="C178"/>
  <c r="C484" s="1"/>
  <c r="B178"/>
  <c r="B484" s="1"/>
  <c r="A178"/>
  <c r="A484" s="1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E177"/>
  <c r="E483" s="1"/>
  <c r="D177"/>
  <c r="D483" s="1"/>
  <c r="C177"/>
  <c r="C483" s="1"/>
  <c r="B177"/>
  <c r="B483" s="1"/>
  <c r="A177"/>
  <c r="A483" s="1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E176"/>
  <c r="E482" s="1"/>
  <c r="D176"/>
  <c r="D482" s="1"/>
  <c r="C176"/>
  <c r="C482" s="1"/>
  <c r="B176"/>
  <c r="B482" s="1"/>
  <c r="A176"/>
  <c r="A482" s="1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E175"/>
  <c r="E481" s="1"/>
  <c r="D175"/>
  <c r="D481" s="1"/>
  <c r="C175"/>
  <c r="C481" s="1"/>
  <c r="B175"/>
  <c r="B481" s="1"/>
  <c r="A175"/>
  <c r="A481" s="1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E174"/>
  <c r="E480" s="1"/>
  <c r="D174"/>
  <c r="D480" s="1"/>
  <c r="C174"/>
  <c r="C480" s="1"/>
  <c r="B174"/>
  <c r="B480" s="1"/>
  <c r="A174"/>
  <c r="A480" s="1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E173"/>
  <c r="E479" s="1"/>
  <c r="D173"/>
  <c r="D479" s="1"/>
  <c r="C173"/>
  <c r="C479" s="1"/>
  <c r="B173"/>
  <c r="B479" s="1"/>
  <c r="A173"/>
  <c r="A479" s="1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E172"/>
  <c r="E478" s="1"/>
  <c r="D172"/>
  <c r="D478" s="1"/>
  <c r="C172"/>
  <c r="C478" s="1"/>
  <c r="B172"/>
  <c r="B478" s="1"/>
  <c r="A172"/>
  <c r="A478" s="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E171"/>
  <c r="E477" s="1"/>
  <c r="D171"/>
  <c r="D477" s="1"/>
  <c r="C171"/>
  <c r="C477" s="1"/>
  <c r="B171"/>
  <c r="B477" s="1"/>
  <c r="A171"/>
  <c r="A477" s="1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E170"/>
  <c r="E476" s="1"/>
  <c r="D170"/>
  <c r="D476" s="1"/>
  <c r="C170"/>
  <c r="C476" s="1"/>
  <c r="B170"/>
  <c r="B476" s="1"/>
  <c r="A170"/>
  <c r="A476" s="1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E169"/>
  <c r="B169"/>
  <c r="A169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E168"/>
  <c r="E475" s="1"/>
  <c r="D168"/>
  <c r="D475" s="1"/>
  <c r="C168"/>
  <c r="C475" s="1"/>
  <c r="B168"/>
  <c r="B475" s="1"/>
  <c r="A168"/>
  <c r="A475" s="1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E167"/>
  <c r="E474" s="1"/>
  <c r="D167"/>
  <c r="D474" s="1"/>
  <c r="C167"/>
  <c r="C474" s="1"/>
  <c r="B167"/>
  <c r="B474" s="1"/>
  <c r="A167"/>
  <c r="A474" s="1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E166"/>
  <c r="E473" s="1"/>
  <c r="D166"/>
  <c r="D473" s="1"/>
  <c r="C166"/>
  <c r="C473" s="1"/>
  <c r="B166"/>
  <c r="B473" s="1"/>
  <c r="A166"/>
  <c r="A473" s="1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E165"/>
  <c r="E472" s="1"/>
  <c r="D165"/>
  <c r="D472" s="1"/>
  <c r="C165"/>
  <c r="C472" s="1"/>
  <c r="B165"/>
  <c r="B472" s="1"/>
  <c r="A165"/>
  <c r="A472" s="1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E164"/>
  <c r="E471" s="1"/>
  <c r="D164"/>
  <c r="D471" s="1"/>
  <c r="C164"/>
  <c r="C471" s="1"/>
  <c r="B164"/>
  <c r="B471" s="1"/>
  <c r="A164"/>
  <c r="A471" s="1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E163"/>
  <c r="E470" s="1"/>
  <c r="D163"/>
  <c r="D470" s="1"/>
  <c r="C163"/>
  <c r="C470" s="1"/>
  <c r="B163"/>
  <c r="B470" s="1"/>
  <c r="A163"/>
  <c r="A470" s="1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E162"/>
  <c r="E469" s="1"/>
  <c r="D162"/>
  <c r="D469" s="1"/>
  <c r="C162"/>
  <c r="C469" s="1"/>
  <c r="B162"/>
  <c r="B469" s="1"/>
  <c r="A162"/>
  <c r="A469" s="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E161"/>
  <c r="E468" s="1"/>
  <c r="D161"/>
  <c r="D468" s="1"/>
  <c r="C161"/>
  <c r="C468" s="1"/>
  <c r="B161"/>
  <c r="B468" s="1"/>
  <c r="A161"/>
  <c r="A468" s="1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E160"/>
  <c r="E467" s="1"/>
  <c r="D160"/>
  <c r="D467" s="1"/>
  <c r="C160"/>
  <c r="C467" s="1"/>
  <c r="B160"/>
  <c r="B467" s="1"/>
  <c r="A160"/>
  <c r="A467" s="1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E159"/>
  <c r="E466" s="1"/>
  <c r="D159"/>
  <c r="D466" s="1"/>
  <c r="C159"/>
  <c r="C466" s="1"/>
  <c r="B159"/>
  <c r="B466" s="1"/>
  <c r="A159"/>
  <c r="A466" s="1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E158"/>
  <c r="B158"/>
  <c r="A158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E157"/>
  <c r="E465" s="1"/>
  <c r="D157"/>
  <c r="D465" s="1"/>
  <c r="C157"/>
  <c r="C465" s="1"/>
  <c r="B157"/>
  <c r="B465" s="1"/>
  <c r="A157"/>
  <c r="A465" s="1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E156"/>
  <c r="E464" s="1"/>
  <c r="D156"/>
  <c r="D464" s="1"/>
  <c r="C156"/>
  <c r="C464" s="1"/>
  <c r="B156"/>
  <c r="B464" s="1"/>
  <c r="A156"/>
  <c r="A464" s="1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E155"/>
  <c r="E463" s="1"/>
  <c r="D155"/>
  <c r="D463" s="1"/>
  <c r="C155"/>
  <c r="C463" s="1"/>
  <c r="B155"/>
  <c r="B463" s="1"/>
  <c r="A155"/>
  <c r="A463" s="1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E154"/>
  <c r="E462" s="1"/>
  <c r="D154"/>
  <c r="D462" s="1"/>
  <c r="C154"/>
  <c r="C462" s="1"/>
  <c r="B154"/>
  <c r="B462" s="1"/>
  <c r="A154"/>
  <c r="A462" s="1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E153"/>
  <c r="E461" s="1"/>
  <c r="D153"/>
  <c r="D461" s="1"/>
  <c r="C153"/>
  <c r="C461" s="1"/>
  <c r="B153"/>
  <c r="B461" s="1"/>
  <c r="A153"/>
  <c r="A461" s="1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E152"/>
  <c r="E460" s="1"/>
  <c r="D152"/>
  <c r="D460" s="1"/>
  <c r="C152"/>
  <c r="C460" s="1"/>
  <c r="B152"/>
  <c r="B460" s="1"/>
  <c r="A152"/>
  <c r="A460" s="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E151"/>
  <c r="E459" s="1"/>
  <c r="D151"/>
  <c r="D459" s="1"/>
  <c r="C151"/>
  <c r="C459" s="1"/>
  <c r="B151"/>
  <c r="B459" s="1"/>
  <c r="A151"/>
  <c r="A459" s="1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E150"/>
  <c r="E458" s="1"/>
  <c r="D150"/>
  <c r="D458" s="1"/>
  <c r="C150"/>
  <c r="C458" s="1"/>
  <c r="B150"/>
  <c r="B458" s="1"/>
  <c r="A150"/>
  <c r="A458" s="1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E149"/>
  <c r="E457" s="1"/>
  <c r="D149"/>
  <c r="D457" s="1"/>
  <c r="C149"/>
  <c r="C457" s="1"/>
  <c r="B149"/>
  <c r="B457" s="1"/>
  <c r="A149"/>
  <c r="A457" s="1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E148"/>
  <c r="E456" s="1"/>
  <c r="D148"/>
  <c r="D456" s="1"/>
  <c r="C148"/>
  <c r="C456" s="1"/>
  <c r="B148"/>
  <c r="B456" s="1"/>
  <c r="A148"/>
  <c r="A456" s="1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E147"/>
  <c r="B147"/>
  <c r="A147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E146"/>
  <c r="E455" s="1"/>
  <c r="D146"/>
  <c r="D455" s="1"/>
  <c r="C146"/>
  <c r="C455" s="1"/>
  <c r="B146"/>
  <c r="B455" s="1"/>
  <c r="A146"/>
  <c r="A455" s="1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E145"/>
  <c r="E454" s="1"/>
  <c r="D145"/>
  <c r="D454" s="1"/>
  <c r="C145"/>
  <c r="C454" s="1"/>
  <c r="B145"/>
  <c r="B454" s="1"/>
  <c r="A145"/>
  <c r="A454" s="1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E144"/>
  <c r="E453" s="1"/>
  <c r="D144"/>
  <c r="D453" s="1"/>
  <c r="C144"/>
  <c r="C453" s="1"/>
  <c r="B144"/>
  <c r="B453" s="1"/>
  <c r="A144"/>
  <c r="A453" s="1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E143"/>
  <c r="E452" s="1"/>
  <c r="D143"/>
  <c r="D452" s="1"/>
  <c r="C143"/>
  <c r="C452" s="1"/>
  <c r="B143"/>
  <c r="B452" s="1"/>
  <c r="A143"/>
  <c r="A452" s="1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E142"/>
  <c r="E451" s="1"/>
  <c r="D142"/>
  <c r="D451" s="1"/>
  <c r="C142"/>
  <c r="C451" s="1"/>
  <c r="B142"/>
  <c r="B451" s="1"/>
  <c r="A142"/>
  <c r="A451" s="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E141"/>
  <c r="E450" s="1"/>
  <c r="D141"/>
  <c r="D450" s="1"/>
  <c r="C141"/>
  <c r="C450" s="1"/>
  <c r="B141"/>
  <c r="B450" s="1"/>
  <c r="A141"/>
  <c r="A450" s="1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E140"/>
  <c r="E449" s="1"/>
  <c r="D140"/>
  <c r="D449" s="1"/>
  <c r="C140"/>
  <c r="C449" s="1"/>
  <c r="B140"/>
  <c r="B449" s="1"/>
  <c r="A140"/>
  <c r="A449" s="1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E139"/>
  <c r="E448" s="1"/>
  <c r="D139"/>
  <c r="D448" s="1"/>
  <c r="C139"/>
  <c r="C448" s="1"/>
  <c r="B139"/>
  <c r="B448" s="1"/>
  <c r="A139"/>
  <c r="A448" s="1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E138"/>
  <c r="E447" s="1"/>
  <c r="D138"/>
  <c r="D447" s="1"/>
  <c r="C138"/>
  <c r="C447" s="1"/>
  <c r="B138"/>
  <c r="B447" s="1"/>
  <c r="A138"/>
  <c r="A447" s="1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E137"/>
  <c r="E446" s="1"/>
  <c r="D137"/>
  <c r="D446" s="1"/>
  <c r="C137"/>
  <c r="C446" s="1"/>
  <c r="B137"/>
  <c r="B446" s="1"/>
  <c r="A137"/>
  <c r="A446" s="1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E136"/>
  <c r="B136"/>
  <c r="A136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E135"/>
  <c r="E445" s="1"/>
  <c r="D135"/>
  <c r="D445" s="1"/>
  <c r="C135"/>
  <c r="C445" s="1"/>
  <c r="B135"/>
  <c r="B445" s="1"/>
  <c r="A135"/>
  <c r="A445" s="1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E134"/>
  <c r="D134"/>
  <c r="D444" s="1"/>
  <c r="C134"/>
  <c r="C444" s="1"/>
  <c r="B134"/>
  <c r="B444" s="1"/>
  <c r="A134"/>
  <c r="A444" s="1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E133"/>
  <c r="E443" s="1"/>
  <c r="D133"/>
  <c r="D443" s="1"/>
  <c r="C133"/>
  <c r="C443" s="1"/>
  <c r="B133"/>
  <c r="B443" s="1"/>
  <c r="A133"/>
  <c r="A443" s="1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E132"/>
  <c r="E442" s="1"/>
  <c r="D132"/>
  <c r="D442" s="1"/>
  <c r="C132"/>
  <c r="C442" s="1"/>
  <c r="B132"/>
  <c r="B442" s="1"/>
  <c r="A132"/>
  <c r="A442" s="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E131"/>
  <c r="E441" s="1"/>
  <c r="D131"/>
  <c r="D441" s="1"/>
  <c r="C131"/>
  <c r="C441" s="1"/>
  <c r="B131"/>
  <c r="B441" s="1"/>
  <c r="A131"/>
  <c r="A441" s="1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E130"/>
  <c r="E440" s="1"/>
  <c r="D130"/>
  <c r="D440" s="1"/>
  <c r="C130"/>
  <c r="C440" s="1"/>
  <c r="B130"/>
  <c r="B440" s="1"/>
  <c r="A130"/>
  <c r="A440" s="1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E129"/>
  <c r="E439" s="1"/>
  <c r="D129"/>
  <c r="D439" s="1"/>
  <c r="C129"/>
  <c r="C439" s="1"/>
  <c r="B129"/>
  <c r="B439" s="1"/>
  <c r="A129"/>
  <c r="A439" s="1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E128"/>
  <c r="E438" s="1"/>
  <c r="D128"/>
  <c r="D438" s="1"/>
  <c r="C128"/>
  <c r="C438" s="1"/>
  <c r="B128"/>
  <c r="B438" s="1"/>
  <c r="A128"/>
  <c r="A438" s="1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E127"/>
  <c r="E437" s="1"/>
  <c r="D127"/>
  <c r="D437" s="1"/>
  <c r="C127"/>
  <c r="C437" s="1"/>
  <c r="B127"/>
  <c r="B437" s="1"/>
  <c r="A127"/>
  <c r="A437" s="1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E126"/>
  <c r="E436" s="1"/>
  <c r="D126"/>
  <c r="D436" s="1"/>
  <c r="C126"/>
  <c r="C436" s="1"/>
  <c r="B126"/>
  <c r="B436" s="1"/>
  <c r="A126"/>
  <c r="A436" s="1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E125"/>
  <c r="B125"/>
  <c r="A125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E124"/>
  <c r="E435" s="1"/>
  <c r="D124"/>
  <c r="D435" s="1"/>
  <c r="C124"/>
  <c r="C435" s="1"/>
  <c r="B124"/>
  <c r="B435" s="1"/>
  <c r="A124"/>
  <c r="A435" s="1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E123"/>
  <c r="E434" s="1"/>
  <c r="D123"/>
  <c r="D434" s="1"/>
  <c r="C123"/>
  <c r="C434" s="1"/>
  <c r="B123"/>
  <c r="B434" s="1"/>
  <c r="A123"/>
  <c r="A434" s="1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E122"/>
  <c r="E433" s="1"/>
  <c r="D122"/>
  <c r="D433" s="1"/>
  <c r="C122"/>
  <c r="C433" s="1"/>
  <c r="B122"/>
  <c r="B433" s="1"/>
  <c r="A122"/>
  <c r="A433" s="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E121"/>
  <c r="E432" s="1"/>
  <c r="D121"/>
  <c r="D432" s="1"/>
  <c r="C121"/>
  <c r="C432" s="1"/>
  <c r="B121"/>
  <c r="B432" s="1"/>
  <c r="A121"/>
  <c r="A432" s="1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E120"/>
  <c r="E431" s="1"/>
  <c r="D120"/>
  <c r="D431" s="1"/>
  <c r="C120"/>
  <c r="C431" s="1"/>
  <c r="B120"/>
  <c r="B431" s="1"/>
  <c r="A120"/>
  <c r="A431" s="1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E119"/>
  <c r="E430" s="1"/>
  <c r="D119"/>
  <c r="D430" s="1"/>
  <c r="C119"/>
  <c r="C430" s="1"/>
  <c r="B119"/>
  <c r="B430" s="1"/>
  <c r="A119"/>
  <c r="A430" s="1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E118"/>
  <c r="E429" s="1"/>
  <c r="D118"/>
  <c r="D429" s="1"/>
  <c r="C118"/>
  <c r="C429" s="1"/>
  <c r="B118"/>
  <c r="B429" s="1"/>
  <c r="A118"/>
  <c r="A429" s="1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E117"/>
  <c r="E428" s="1"/>
  <c r="D117"/>
  <c r="D428" s="1"/>
  <c r="C117"/>
  <c r="C428" s="1"/>
  <c r="B117"/>
  <c r="B428" s="1"/>
  <c r="A117"/>
  <c r="A428" s="1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E116"/>
  <c r="E427" s="1"/>
  <c r="D116"/>
  <c r="D427" s="1"/>
  <c r="C116"/>
  <c r="C427" s="1"/>
  <c r="B116"/>
  <c r="B427" s="1"/>
  <c r="A116"/>
  <c r="A427" s="1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E115"/>
  <c r="E426" s="1"/>
  <c r="D115"/>
  <c r="D426" s="1"/>
  <c r="C115"/>
  <c r="C426" s="1"/>
  <c r="B115"/>
  <c r="B426" s="1"/>
  <c r="A115"/>
  <c r="A426" s="1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E114"/>
  <c r="B114"/>
  <c r="A114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E113"/>
  <c r="E425" s="1"/>
  <c r="D113"/>
  <c r="D425" s="1"/>
  <c r="C113"/>
  <c r="C425" s="1"/>
  <c r="B113"/>
  <c r="B425" s="1"/>
  <c r="A113"/>
  <c r="A425" s="1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E112"/>
  <c r="E424" s="1"/>
  <c r="D112"/>
  <c r="D424" s="1"/>
  <c r="C112"/>
  <c r="C424" s="1"/>
  <c r="B112"/>
  <c r="B424" s="1"/>
  <c r="A112"/>
  <c r="A424" s="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E111"/>
  <c r="E423" s="1"/>
  <c r="D111"/>
  <c r="D423" s="1"/>
  <c r="C111"/>
  <c r="C423" s="1"/>
  <c r="B111"/>
  <c r="B423" s="1"/>
  <c r="A111"/>
  <c r="A423" s="1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E110"/>
  <c r="E422" s="1"/>
  <c r="D110"/>
  <c r="D422" s="1"/>
  <c r="C110"/>
  <c r="C422" s="1"/>
  <c r="B110"/>
  <c r="B422" s="1"/>
  <c r="A110"/>
  <c r="A422" s="1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E109"/>
  <c r="E421" s="1"/>
  <c r="D109"/>
  <c r="D421" s="1"/>
  <c r="C109"/>
  <c r="C421" s="1"/>
  <c r="B109"/>
  <c r="B421" s="1"/>
  <c r="A109"/>
  <c r="A421" s="1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E108"/>
  <c r="E420" s="1"/>
  <c r="D108"/>
  <c r="D420" s="1"/>
  <c r="C108"/>
  <c r="C420" s="1"/>
  <c r="B108"/>
  <c r="B420" s="1"/>
  <c r="A108"/>
  <c r="A420" s="1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E107"/>
  <c r="E419" s="1"/>
  <c r="D107"/>
  <c r="D419" s="1"/>
  <c r="C107"/>
  <c r="C419" s="1"/>
  <c r="B107"/>
  <c r="B419" s="1"/>
  <c r="A107"/>
  <c r="A419" s="1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E106"/>
  <c r="E418" s="1"/>
  <c r="D106"/>
  <c r="D418" s="1"/>
  <c r="C106"/>
  <c r="C418" s="1"/>
  <c r="B106"/>
  <c r="B418" s="1"/>
  <c r="A106"/>
  <c r="A418" s="1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E105"/>
  <c r="E417" s="1"/>
  <c r="D105"/>
  <c r="D417" s="1"/>
  <c r="C105"/>
  <c r="C417" s="1"/>
  <c r="B105"/>
  <c r="B417" s="1"/>
  <c r="A105"/>
  <c r="A417" s="1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E104"/>
  <c r="E416" s="1"/>
  <c r="D104"/>
  <c r="D416" s="1"/>
  <c r="C104"/>
  <c r="C416" s="1"/>
  <c r="B104"/>
  <c r="B416" s="1"/>
  <c r="A104"/>
  <c r="A416" s="1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E103"/>
  <c r="B103"/>
  <c r="A103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E102"/>
  <c r="E415" s="1"/>
  <c r="D102"/>
  <c r="D415" s="1"/>
  <c r="C102"/>
  <c r="C415" s="1"/>
  <c r="B102"/>
  <c r="B415" s="1"/>
  <c r="A102"/>
  <c r="A415" s="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E101"/>
  <c r="E414" s="1"/>
  <c r="D101"/>
  <c r="D414" s="1"/>
  <c r="C101"/>
  <c r="C414" s="1"/>
  <c r="B101"/>
  <c r="A101"/>
  <c r="A414" s="1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E100"/>
  <c r="E413" s="1"/>
  <c r="D100"/>
  <c r="D413" s="1"/>
  <c r="C100"/>
  <c r="C413" s="1"/>
  <c r="B100"/>
  <c r="B413" s="1"/>
  <c r="A100"/>
  <c r="A413" s="1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E99"/>
  <c r="E412" s="1"/>
  <c r="D99"/>
  <c r="D412" s="1"/>
  <c r="C99"/>
  <c r="C412" s="1"/>
  <c r="B99"/>
  <c r="B412" s="1"/>
  <c r="A99"/>
  <c r="A412" s="1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E98"/>
  <c r="E411" s="1"/>
  <c r="D98"/>
  <c r="D411" s="1"/>
  <c r="C98"/>
  <c r="C411" s="1"/>
  <c r="B98"/>
  <c r="B411" s="1"/>
  <c r="A98"/>
  <c r="A411" s="1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E97"/>
  <c r="E410" s="1"/>
  <c r="D97"/>
  <c r="D410" s="1"/>
  <c r="C97"/>
  <c r="C410" s="1"/>
  <c r="B97"/>
  <c r="B410" s="1"/>
  <c r="A97"/>
  <c r="A410" s="1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E96"/>
  <c r="E409" s="1"/>
  <c r="D96"/>
  <c r="D409" s="1"/>
  <c r="C96"/>
  <c r="C409" s="1"/>
  <c r="B96"/>
  <c r="B409" s="1"/>
  <c r="A96"/>
  <c r="A409" s="1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E95"/>
  <c r="E408" s="1"/>
  <c r="D95"/>
  <c r="D408" s="1"/>
  <c r="C95"/>
  <c r="C408" s="1"/>
  <c r="B95"/>
  <c r="B408" s="1"/>
  <c r="A95"/>
  <c r="A408" s="1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E94"/>
  <c r="E407" s="1"/>
  <c r="D94"/>
  <c r="D407" s="1"/>
  <c r="C94"/>
  <c r="C407" s="1"/>
  <c r="B94"/>
  <c r="B407" s="1"/>
  <c r="A94"/>
  <c r="A407" s="1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E93"/>
  <c r="E406" s="1"/>
  <c r="D93"/>
  <c r="D406" s="1"/>
  <c r="C93"/>
  <c r="C406" s="1"/>
  <c r="B93"/>
  <c r="B406" s="1"/>
  <c r="A93"/>
  <c r="A406" s="1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E92"/>
  <c r="B92"/>
  <c r="A92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E91"/>
  <c r="E405" s="1"/>
  <c r="D91"/>
  <c r="D405" s="1"/>
  <c r="C91"/>
  <c r="C405" s="1"/>
  <c r="B91"/>
  <c r="B405" s="1"/>
  <c r="A91"/>
  <c r="A405" s="1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E90"/>
  <c r="E404" s="1"/>
  <c r="D90"/>
  <c r="D404" s="1"/>
  <c r="C90"/>
  <c r="C404" s="1"/>
  <c r="B90"/>
  <c r="B404" s="1"/>
  <c r="A90"/>
  <c r="A404" s="1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E89"/>
  <c r="E403" s="1"/>
  <c r="D89"/>
  <c r="D403" s="1"/>
  <c r="C89"/>
  <c r="C403" s="1"/>
  <c r="B89"/>
  <c r="B403" s="1"/>
  <c r="A89"/>
  <c r="A403" s="1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E88"/>
  <c r="E402" s="1"/>
  <c r="D88"/>
  <c r="D402" s="1"/>
  <c r="C88"/>
  <c r="C402" s="1"/>
  <c r="B88"/>
  <c r="B402" s="1"/>
  <c r="A88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E87"/>
  <c r="E401" s="1"/>
  <c r="D87"/>
  <c r="D401" s="1"/>
  <c r="C87"/>
  <c r="C401" s="1"/>
  <c r="B87"/>
  <c r="B401" s="1"/>
  <c r="A87"/>
  <c r="A401" s="1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E86"/>
  <c r="E400" s="1"/>
  <c r="D86"/>
  <c r="D400" s="1"/>
  <c r="C86"/>
  <c r="C400" s="1"/>
  <c r="B86"/>
  <c r="B400" s="1"/>
  <c r="A86"/>
  <c r="A400" s="1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E85"/>
  <c r="E399" s="1"/>
  <c r="D85"/>
  <c r="D399" s="1"/>
  <c r="C85"/>
  <c r="C399" s="1"/>
  <c r="B85"/>
  <c r="B399" s="1"/>
  <c r="A85"/>
  <c r="A399" s="1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E84"/>
  <c r="E398" s="1"/>
  <c r="D84"/>
  <c r="D398" s="1"/>
  <c r="C84"/>
  <c r="C398" s="1"/>
  <c r="B84"/>
  <c r="B398" s="1"/>
  <c r="A84"/>
  <c r="A398" s="1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E83"/>
  <c r="E397" s="1"/>
  <c r="D83"/>
  <c r="D397" s="1"/>
  <c r="C83"/>
  <c r="C397" s="1"/>
  <c r="B83"/>
  <c r="B397" s="1"/>
  <c r="A83"/>
  <c r="A397" s="1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E82"/>
  <c r="E396" s="1"/>
  <c r="D82"/>
  <c r="D396" s="1"/>
  <c r="C82"/>
  <c r="C396" s="1"/>
  <c r="B82"/>
  <c r="B396" s="1"/>
  <c r="A82"/>
  <c r="A396" s="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E81"/>
  <c r="B81"/>
  <c r="A81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E80"/>
  <c r="E395" s="1"/>
  <c r="D80"/>
  <c r="D395" s="1"/>
  <c r="C80"/>
  <c r="C395" s="1"/>
  <c r="B80"/>
  <c r="B395" s="1"/>
  <c r="A80"/>
  <c r="A395" s="1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E79"/>
  <c r="E394" s="1"/>
  <c r="D79"/>
  <c r="D394" s="1"/>
  <c r="C79"/>
  <c r="C394" s="1"/>
  <c r="B79"/>
  <c r="B394" s="1"/>
  <c r="A79"/>
  <c r="A394" s="1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E78"/>
  <c r="E393" s="1"/>
  <c r="D78"/>
  <c r="D393" s="1"/>
  <c r="C78"/>
  <c r="C393" s="1"/>
  <c r="B78"/>
  <c r="B393" s="1"/>
  <c r="A78"/>
  <c r="A393" s="1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E77"/>
  <c r="E392" s="1"/>
  <c r="D77"/>
  <c r="D392" s="1"/>
  <c r="C77"/>
  <c r="C392" s="1"/>
  <c r="B77"/>
  <c r="B392" s="1"/>
  <c r="A77"/>
  <c r="A392" s="1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E76"/>
  <c r="E391" s="1"/>
  <c r="D76"/>
  <c r="D391" s="1"/>
  <c r="C76"/>
  <c r="B76"/>
  <c r="B391" s="1"/>
  <c r="A76"/>
  <c r="A391" s="1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E75"/>
  <c r="E390" s="1"/>
  <c r="D75"/>
  <c r="D390" s="1"/>
  <c r="C75"/>
  <c r="C390" s="1"/>
  <c r="B75"/>
  <c r="B390" s="1"/>
  <c r="A75"/>
  <c r="A390" s="1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E74"/>
  <c r="E389" s="1"/>
  <c r="D74"/>
  <c r="D389" s="1"/>
  <c r="C74"/>
  <c r="C389" s="1"/>
  <c r="B74"/>
  <c r="B389" s="1"/>
  <c r="A74"/>
  <c r="A389" s="1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E73"/>
  <c r="E388" s="1"/>
  <c r="D73"/>
  <c r="D388" s="1"/>
  <c r="C73"/>
  <c r="C388" s="1"/>
  <c r="B73"/>
  <c r="B388" s="1"/>
  <c r="A73"/>
  <c r="A388" s="1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E72"/>
  <c r="E387" s="1"/>
  <c r="D72"/>
  <c r="D387" s="1"/>
  <c r="C72"/>
  <c r="C387" s="1"/>
  <c r="B72"/>
  <c r="B387" s="1"/>
  <c r="A72"/>
  <c r="A387" s="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E71"/>
  <c r="E386" s="1"/>
  <c r="D71"/>
  <c r="D386" s="1"/>
  <c r="C71"/>
  <c r="B71"/>
  <c r="B386" s="1"/>
  <c r="A71"/>
  <c r="A386" s="1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E70"/>
  <c r="B70"/>
  <c r="B70" i="2" s="1"/>
  <c r="A70" i="3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E69"/>
  <c r="E385" s="1"/>
  <c r="D69"/>
  <c r="D385" s="1"/>
  <c r="C69"/>
  <c r="C385" s="1"/>
  <c r="B69"/>
  <c r="B385" s="1"/>
  <c r="A69"/>
  <c r="A385" s="1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E68"/>
  <c r="E384" s="1"/>
  <c r="D68"/>
  <c r="D384" s="1"/>
  <c r="C68"/>
  <c r="C384" s="1"/>
  <c r="B68"/>
  <c r="B384" s="1"/>
  <c r="A68"/>
  <c r="A384" s="1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E67"/>
  <c r="E383" s="1"/>
  <c r="D67"/>
  <c r="D383" s="1"/>
  <c r="C67"/>
  <c r="C383" s="1"/>
  <c r="B67"/>
  <c r="B383" s="1"/>
  <c r="A67"/>
  <c r="A383" s="1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E66"/>
  <c r="E382" s="1"/>
  <c r="D66"/>
  <c r="D382" s="1"/>
  <c r="C66"/>
  <c r="C382" s="1"/>
  <c r="B66"/>
  <c r="B382" s="1"/>
  <c r="A66"/>
  <c r="A382" s="1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E65"/>
  <c r="E381" s="1"/>
  <c r="D65"/>
  <c r="D381" s="1"/>
  <c r="C65"/>
  <c r="C381" s="1"/>
  <c r="B65"/>
  <c r="B381" s="1"/>
  <c r="A65"/>
  <c r="A381" s="1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E64"/>
  <c r="E380" s="1"/>
  <c r="D64"/>
  <c r="D380" s="1"/>
  <c r="C64"/>
  <c r="C380" s="1"/>
  <c r="B64"/>
  <c r="B380" s="1"/>
  <c r="A64"/>
  <c r="A380" s="1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E63"/>
  <c r="D63"/>
  <c r="D379" s="1"/>
  <c r="C63"/>
  <c r="C379" s="1"/>
  <c r="B63"/>
  <c r="B379" s="1"/>
  <c r="A63"/>
  <c r="A379" s="1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E62"/>
  <c r="E378" s="1"/>
  <c r="D62"/>
  <c r="D378" s="1"/>
  <c r="C62"/>
  <c r="C378" s="1"/>
  <c r="B62"/>
  <c r="B378" s="1"/>
  <c r="A62"/>
  <c r="A378" s="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E61"/>
  <c r="E377" s="1"/>
  <c r="D61"/>
  <c r="D377" s="1"/>
  <c r="C61"/>
  <c r="C377" s="1"/>
  <c r="B61"/>
  <c r="B377" s="1"/>
  <c r="A61"/>
  <c r="A377" s="1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E60"/>
  <c r="E376" s="1"/>
  <c r="D60"/>
  <c r="D376" s="1"/>
  <c r="C60"/>
  <c r="C376" s="1"/>
  <c r="B60"/>
  <c r="B376" s="1"/>
  <c r="A60"/>
  <c r="A376" s="1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E59"/>
  <c r="B59"/>
  <c r="A59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E58"/>
  <c r="E375" s="1"/>
  <c r="D58"/>
  <c r="D375" s="1"/>
  <c r="C58"/>
  <c r="C375" s="1"/>
  <c r="B58"/>
  <c r="B375" s="1"/>
  <c r="A58"/>
  <c r="A375" s="1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E57"/>
  <c r="E374" s="1"/>
  <c r="D57"/>
  <c r="D374" s="1"/>
  <c r="C57"/>
  <c r="C374" s="1"/>
  <c r="B57"/>
  <c r="B374" s="1"/>
  <c r="A57"/>
  <c r="A374" s="1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E56"/>
  <c r="E373" s="1"/>
  <c r="D56"/>
  <c r="D373" s="1"/>
  <c r="C56"/>
  <c r="C373" s="1"/>
  <c r="B56"/>
  <c r="B373" s="1"/>
  <c r="A56"/>
  <c r="A373" s="1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E55"/>
  <c r="E372" s="1"/>
  <c r="D55"/>
  <c r="D372" s="1"/>
  <c r="C55"/>
  <c r="C372" s="1"/>
  <c r="B55"/>
  <c r="B372" s="1"/>
  <c r="A55"/>
  <c r="A372" s="1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E54"/>
  <c r="E371" s="1"/>
  <c r="D54"/>
  <c r="D371" s="1"/>
  <c r="C54"/>
  <c r="C371" s="1"/>
  <c r="B54"/>
  <c r="B371" s="1"/>
  <c r="A54"/>
  <c r="A371" s="1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E53"/>
  <c r="E370" s="1"/>
  <c r="D53"/>
  <c r="D370" s="1"/>
  <c r="C53"/>
  <c r="C370" s="1"/>
  <c r="B53"/>
  <c r="B370" s="1"/>
  <c r="A53"/>
  <c r="A370" s="1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E52"/>
  <c r="E369" s="1"/>
  <c r="D52"/>
  <c r="D369" s="1"/>
  <c r="C52"/>
  <c r="C369" s="1"/>
  <c r="B52"/>
  <c r="B369" s="1"/>
  <c r="A52"/>
  <c r="A369" s="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E51"/>
  <c r="E368" s="1"/>
  <c r="D51"/>
  <c r="D368" s="1"/>
  <c r="C51"/>
  <c r="C368" s="1"/>
  <c r="B51"/>
  <c r="B368" s="1"/>
  <c r="A51"/>
  <c r="A368" s="1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E50"/>
  <c r="E367" s="1"/>
  <c r="D50"/>
  <c r="D367" s="1"/>
  <c r="C50"/>
  <c r="C367" s="1"/>
  <c r="B50"/>
  <c r="B367" s="1"/>
  <c r="A50"/>
  <c r="A367" s="1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E49"/>
  <c r="E366" s="1"/>
  <c r="D49"/>
  <c r="D366" s="1"/>
  <c r="C49"/>
  <c r="C366" s="1"/>
  <c r="B49"/>
  <c r="B366" s="1"/>
  <c r="A49"/>
  <c r="A366" s="1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E48"/>
  <c r="B48"/>
  <c r="A48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E47"/>
  <c r="E365" s="1"/>
  <c r="D47"/>
  <c r="D365" s="1"/>
  <c r="C47"/>
  <c r="C365" s="1"/>
  <c r="B47"/>
  <c r="B365" s="1"/>
  <c r="A47"/>
  <c r="A365" s="1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E46"/>
  <c r="E364" s="1"/>
  <c r="D46"/>
  <c r="D364" s="1"/>
  <c r="C46"/>
  <c r="C364" s="1"/>
  <c r="B46"/>
  <c r="B364" s="1"/>
  <c r="A46"/>
  <c r="A364" s="1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E45"/>
  <c r="E363" s="1"/>
  <c r="D45"/>
  <c r="D363" s="1"/>
  <c r="C45"/>
  <c r="C363" s="1"/>
  <c r="B45"/>
  <c r="B363" s="1"/>
  <c r="A45"/>
  <c r="A363" s="1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E44"/>
  <c r="E362" s="1"/>
  <c r="D44"/>
  <c r="D362" s="1"/>
  <c r="C44"/>
  <c r="C362" s="1"/>
  <c r="B44"/>
  <c r="B362" s="1"/>
  <c r="A44"/>
  <c r="A362" s="1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E43"/>
  <c r="E361" s="1"/>
  <c r="D43"/>
  <c r="D361" s="1"/>
  <c r="C43"/>
  <c r="C361" s="1"/>
  <c r="B43"/>
  <c r="B361" s="1"/>
  <c r="A43"/>
  <c r="A361" s="1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E42"/>
  <c r="E360" s="1"/>
  <c r="D42"/>
  <c r="D360" s="1"/>
  <c r="C42"/>
  <c r="C360" s="1"/>
  <c r="B42"/>
  <c r="B360" s="1"/>
  <c r="A42"/>
  <c r="A360" s="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E41"/>
  <c r="E359" s="1"/>
  <c r="D41"/>
  <c r="D359" s="1"/>
  <c r="C41"/>
  <c r="C359" s="1"/>
  <c r="B41"/>
  <c r="B359" s="1"/>
  <c r="A41"/>
  <c r="A359" s="1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E40"/>
  <c r="E358" s="1"/>
  <c r="D40"/>
  <c r="D358" s="1"/>
  <c r="C40"/>
  <c r="C358" s="1"/>
  <c r="B40"/>
  <c r="B358" s="1"/>
  <c r="A40"/>
  <c r="A358" s="1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E39"/>
  <c r="E357" s="1"/>
  <c r="D39"/>
  <c r="D357" s="1"/>
  <c r="C39"/>
  <c r="C357" s="1"/>
  <c r="B39"/>
  <c r="B357" s="1"/>
  <c r="A39"/>
  <c r="A357" s="1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E38"/>
  <c r="E356" s="1"/>
  <c r="D38"/>
  <c r="D356" s="1"/>
  <c r="C38"/>
  <c r="C356" s="1"/>
  <c r="B38"/>
  <c r="B356" s="1"/>
  <c r="A38"/>
  <c r="A356" s="1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E37"/>
  <c r="B37"/>
  <c r="A37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E36"/>
  <c r="E355" s="1"/>
  <c r="D36"/>
  <c r="D355" s="1"/>
  <c r="C36"/>
  <c r="C355" s="1"/>
  <c r="B36"/>
  <c r="B355" s="1"/>
  <c r="A36"/>
  <c r="A355" s="1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E35"/>
  <c r="E354" s="1"/>
  <c r="D35"/>
  <c r="D354" s="1"/>
  <c r="C35"/>
  <c r="C354" s="1"/>
  <c r="B35"/>
  <c r="B354" s="1"/>
  <c r="A35"/>
  <c r="A354" s="1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E34"/>
  <c r="E353" s="1"/>
  <c r="D34"/>
  <c r="D353" s="1"/>
  <c r="C34"/>
  <c r="B34"/>
  <c r="B353" s="1"/>
  <c r="A34"/>
  <c r="A353" s="1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E33"/>
  <c r="E352" s="1"/>
  <c r="D33"/>
  <c r="D352" s="1"/>
  <c r="C33"/>
  <c r="C352" s="1"/>
  <c r="B33"/>
  <c r="B352" s="1"/>
  <c r="A33"/>
  <c r="A352" s="1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E32"/>
  <c r="E351" s="1"/>
  <c r="D32"/>
  <c r="D351" s="1"/>
  <c r="C32"/>
  <c r="C351" s="1"/>
  <c r="B32"/>
  <c r="B351" s="1"/>
  <c r="A32"/>
  <c r="A351" s="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E31"/>
  <c r="E350" s="1"/>
  <c r="D31"/>
  <c r="D350" s="1"/>
  <c r="C31"/>
  <c r="C350" s="1"/>
  <c r="B31"/>
  <c r="B350" s="1"/>
  <c r="A31"/>
  <c r="A350" s="1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E30"/>
  <c r="E349" s="1"/>
  <c r="D30"/>
  <c r="D349" s="1"/>
  <c r="C30"/>
  <c r="C349" s="1"/>
  <c r="B30"/>
  <c r="B349" s="1"/>
  <c r="A30"/>
  <c r="A349" s="1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E29"/>
  <c r="E348" s="1"/>
  <c r="D29"/>
  <c r="D348" s="1"/>
  <c r="C29"/>
  <c r="C348" s="1"/>
  <c r="B29"/>
  <c r="B348" s="1"/>
  <c r="A29"/>
  <c r="A348" s="1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E28"/>
  <c r="E347" s="1"/>
  <c r="D28"/>
  <c r="D347" s="1"/>
  <c r="C28"/>
  <c r="C347" s="1"/>
  <c r="B28"/>
  <c r="B347" s="1"/>
  <c r="A28"/>
  <c r="A347" s="1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E27"/>
  <c r="E346" s="1"/>
  <c r="D27"/>
  <c r="D346" s="1"/>
  <c r="C27"/>
  <c r="C346" s="1"/>
  <c r="B27"/>
  <c r="B346" s="1"/>
  <c r="A27"/>
  <c r="A346" s="1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E26"/>
  <c r="B26"/>
  <c r="A26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E25"/>
  <c r="E345" s="1"/>
  <c r="D25"/>
  <c r="D345" s="1"/>
  <c r="C25"/>
  <c r="C345" s="1"/>
  <c r="B25"/>
  <c r="B345" s="1"/>
  <c r="A25"/>
  <c r="A345" s="1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E24"/>
  <c r="E344" s="1"/>
  <c r="D24"/>
  <c r="D344" s="1"/>
  <c r="C24"/>
  <c r="C344" s="1"/>
  <c r="B24"/>
  <c r="B344" s="1"/>
  <c r="A24"/>
  <c r="A344" s="1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E23"/>
  <c r="E343" s="1"/>
  <c r="D23"/>
  <c r="D343" s="1"/>
  <c r="C23"/>
  <c r="C343" s="1"/>
  <c r="B23"/>
  <c r="B343" s="1"/>
  <c r="A23"/>
  <c r="A343" s="1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E22"/>
  <c r="E342" s="1"/>
  <c r="D22"/>
  <c r="D342" s="1"/>
  <c r="C22"/>
  <c r="C342" s="1"/>
  <c r="B22"/>
  <c r="B342" s="1"/>
  <c r="A22"/>
  <c r="A342" s="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E21"/>
  <c r="E341" s="1"/>
  <c r="D21"/>
  <c r="D341" s="1"/>
  <c r="C21"/>
  <c r="C341" s="1"/>
  <c r="B21"/>
  <c r="B341" s="1"/>
  <c r="A21"/>
  <c r="A341" s="1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E20"/>
  <c r="E340" s="1"/>
  <c r="D20"/>
  <c r="D340" s="1"/>
  <c r="C20"/>
  <c r="C340" s="1"/>
  <c r="B20"/>
  <c r="B340" s="1"/>
  <c r="A20"/>
  <c r="A340" s="1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E19"/>
  <c r="E339" s="1"/>
  <c r="D19"/>
  <c r="D339" s="1"/>
  <c r="C19"/>
  <c r="C339" s="1"/>
  <c r="B19"/>
  <c r="B339" s="1"/>
  <c r="A19"/>
  <c r="A339" s="1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E18"/>
  <c r="E338" s="1"/>
  <c r="D18"/>
  <c r="D338" s="1"/>
  <c r="C18"/>
  <c r="C338" s="1"/>
  <c r="B18"/>
  <c r="B338" s="1"/>
  <c r="A18"/>
  <c r="A338" s="1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E17"/>
  <c r="E337" s="1"/>
  <c r="D17"/>
  <c r="D337" s="1"/>
  <c r="C17"/>
  <c r="C337" s="1"/>
  <c r="B17"/>
  <c r="B337" s="1"/>
  <c r="A17"/>
  <c r="A337" s="1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E16"/>
  <c r="E336" s="1"/>
  <c r="D16"/>
  <c r="D336" s="1"/>
  <c r="C16"/>
  <c r="C336" s="1"/>
  <c r="B16"/>
  <c r="B336" s="1"/>
  <c r="A16"/>
  <c r="A336" s="1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E15"/>
  <c r="B15"/>
  <c r="A15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E14"/>
  <c r="E335" s="1"/>
  <c r="D14"/>
  <c r="D335" s="1"/>
  <c r="C14"/>
  <c r="C335" s="1"/>
  <c r="B14"/>
  <c r="B335" s="1"/>
  <c r="A14"/>
  <c r="A335" s="1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E13"/>
  <c r="E334" s="1"/>
  <c r="D13"/>
  <c r="D334" s="1"/>
  <c r="C13"/>
  <c r="C334" s="1"/>
  <c r="B13"/>
  <c r="B334" s="1"/>
  <c r="A13"/>
  <c r="A334" s="1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E12"/>
  <c r="E333" s="1"/>
  <c r="D12"/>
  <c r="D333" s="1"/>
  <c r="C12"/>
  <c r="C333" s="1"/>
  <c r="B12"/>
  <c r="B333" s="1"/>
  <c r="A12"/>
  <c r="A333" s="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E11"/>
  <c r="E332" s="1"/>
  <c r="D11"/>
  <c r="D332" s="1"/>
  <c r="C11"/>
  <c r="C332" s="1"/>
  <c r="B11"/>
  <c r="B332" s="1"/>
  <c r="A11"/>
  <c r="A332" s="1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E10"/>
  <c r="E331" s="1"/>
  <c r="D10"/>
  <c r="D331" s="1"/>
  <c r="C10"/>
  <c r="C331" s="1"/>
  <c r="B10"/>
  <c r="B331" s="1"/>
  <c r="A10"/>
  <c r="A331" s="1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E9"/>
  <c r="E330" s="1"/>
  <c r="D9"/>
  <c r="D330" s="1"/>
  <c r="C9"/>
  <c r="C330" s="1"/>
  <c r="B9"/>
  <c r="B330" s="1"/>
  <c r="A9"/>
  <c r="A330" s="1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E8"/>
  <c r="E329" s="1"/>
  <c r="D8"/>
  <c r="D329" s="1"/>
  <c r="C8"/>
  <c r="C329" s="1"/>
  <c r="B8"/>
  <c r="B329" s="1"/>
  <c r="A8"/>
  <c r="A329" s="1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E7"/>
  <c r="E328" s="1"/>
  <c r="D7"/>
  <c r="D328" s="1"/>
  <c r="C7"/>
  <c r="C328" s="1"/>
  <c r="B7"/>
  <c r="B328" s="1"/>
  <c r="A7"/>
  <c r="A328" s="1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E6"/>
  <c r="E327" s="1"/>
  <c r="D6"/>
  <c r="D327" s="1"/>
  <c r="C6"/>
  <c r="C327" s="1"/>
  <c r="B6"/>
  <c r="B327" s="1"/>
  <c r="A6"/>
  <c r="A327" s="1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E5"/>
  <c r="E326" s="1"/>
  <c r="D5"/>
  <c r="D326" s="1"/>
  <c r="C5"/>
  <c r="C326" s="1"/>
  <c r="B5"/>
  <c r="B326" s="1"/>
  <c r="A5"/>
  <c r="A326" s="1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E4"/>
  <c r="B4"/>
  <c r="A4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E3"/>
  <c r="B3"/>
  <c r="A3"/>
  <c r="E2"/>
  <c r="D2"/>
  <c r="C2"/>
  <c r="B2"/>
  <c r="A2"/>
  <c r="D278" i="2"/>
  <c r="C278"/>
  <c r="D277"/>
  <c r="A277"/>
  <c r="E276"/>
  <c r="B276"/>
  <c r="A276"/>
  <c r="C275"/>
  <c r="B275"/>
  <c r="D274"/>
  <c r="C274"/>
  <c r="B274"/>
  <c r="E273"/>
  <c r="D273"/>
  <c r="B273"/>
  <c r="E272"/>
  <c r="D272"/>
  <c r="B272"/>
  <c r="A272"/>
  <c r="D271"/>
  <c r="B271"/>
  <c r="D270"/>
  <c r="C270"/>
  <c r="D269"/>
  <c r="A269"/>
  <c r="E268"/>
  <c r="D268"/>
  <c r="C268"/>
  <c r="A268"/>
  <c r="E267"/>
  <c r="D267"/>
  <c r="C267"/>
  <c r="B267"/>
  <c r="E266"/>
  <c r="D266"/>
  <c r="C266"/>
  <c r="B266"/>
  <c r="A266"/>
  <c r="D265"/>
  <c r="C265"/>
  <c r="B265"/>
  <c r="E264"/>
  <c r="D264"/>
  <c r="C264"/>
  <c r="A264"/>
  <c r="E263"/>
  <c r="D263"/>
  <c r="C263"/>
  <c r="B263"/>
  <c r="A263"/>
  <c r="D262"/>
  <c r="C262"/>
  <c r="B262"/>
  <c r="A262"/>
  <c r="D261"/>
  <c r="C261"/>
  <c r="A261"/>
  <c r="E260"/>
  <c r="D260"/>
  <c r="C260"/>
  <c r="A260"/>
  <c r="E259"/>
  <c r="D259"/>
  <c r="C259"/>
  <c r="B259"/>
  <c r="E258"/>
  <c r="D258"/>
  <c r="C258"/>
  <c r="B258"/>
  <c r="A258"/>
  <c r="D257"/>
  <c r="C257"/>
  <c r="B257"/>
  <c r="E256"/>
  <c r="D256"/>
  <c r="B256"/>
  <c r="A256"/>
  <c r="D255"/>
  <c r="B255"/>
  <c r="D254"/>
  <c r="C254"/>
  <c r="D253"/>
  <c r="A253"/>
  <c r="E252"/>
  <c r="B252"/>
  <c r="A252"/>
  <c r="C251"/>
  <c r="B251"/>
  <c r="D250"/>
  <c r="C250"/>
  <c r="B250"/>
  <c r="E249"/>
  <c r="D249"/>
  <c r="B249"/>
  <c r="E248"/>
  <c r="D248"/>
  <c r="B248"/>
  <c r="A248"/>
  <c r="D247"/>
  <c r="B247"/>
  <c r="D246"/>
  <c r="C246"/>
  <c r="B246"/>
  <c r="A246"/>
  <c r="D245"/>
  <c r="C245"/>
  <c r="B245"/>
  <c r="E244"/>
  <c r="D244"/>
  <c r="C244"/>
  <c r="A244"/>
  <c r="E243"/>
  <c r="D243"/>
  <c r="B243"/>
  <c r="A243"/>
  <c r="E242"/>
  <c r="C242"/>
  <c r="B242"/>
  <c r="D241"/>
  <c r="C241"/>
  <c r="B241"/>
  <c r="E240"/>
  <c r="D240"/>
  <c r="A240"/>
  <c r="E239"/>
  <c r="D239"/>
  <c r="B239"/>
  <c r="A239"/>
  <c r="C238"/>
  <c r="B238"/>
  <c r="A238"/>
  <c r="D237"/>
  <c r="C237"/>
  <c r="B237"/>
  <c r="E236"/>
  <c r="D236"/>
  <c r="C236"/>
  <c r="A236"/>
  <c r="E235"/>
  <c r="D235"/>
  <c r="C235"/>
  <c r="B235"/>
  <c r="E234"/>
  <c r="C234"/>
  <c r="E233"/>
  <c r="D233"/>
  <c r="A233"/>
  <c r="E232"/>
  <c r="B232"/>
  <c r="A232"/>
  <c r="C231"/>
  <c r="B231"/>
  <c r="A231"/>
  <c r="D230"/>
  <c r="C230"/>
  <c r="A230"/>
  <c r="E229"/>
  <c r="D229"/>
  <c r="C229"/>
  <c r="A229"/>
  <c r="E228"/>
  <c r="C228"/>
  <c r="A228"/>
  <c r="E227"/>
  <c r="C227"/>
  <c r="B227"/>
  <c r="E226"/>
  <c r="C226"/>
  <c r="E225"/>
  <c r="D225"/>
  <c r="A225"/>
  <c r="E224"/>
  <c r="D224"/>
  <c r="C224"/>
  <c r="A224"/>
  <c r="E223"/>
  <c r="D223"/>
  <c r="B223"/>
  <c r="A223"/>
  <c r="E222"/>
  <c r="C222"/>
  <c r="B222"/>
  <c r="A222"/>
  <c r="D221"/>
  <c r="C221"/>
  <c r="E220"/>
  <c r="D220"/>
  <c r="C220"/>
  <c r="A220"/>
  <c r="E219"/>
  <c r="B219"/>
  <c r="A219"/>
  <c r="E218"/>
  <c r="C218"/>
  <c r="B218"/>
  <c r="A218"/>
  <c r="D217"/>
  <c r="C217"/>
  <c r="B217"/>
  <c r="E216"/>
  <c r="D216"/>
  <c r="C216"/>
  <c r="A216"/>
  <c r="E215"/>
  <c r="D215"/>
  <c r="B215"/>
  <c r="A215"/>
  <c r="E214"/>
  <c r="C214"/>
  <c r="B214"/>
  <c r="A214"/>
  <c r="D213"/>
  <c r="C213"/>
  <c r="A213"/>
  <c r="E212"/>
  <c r="B212"/>
  <c r="A212"/>
  <c r="C211"/>
  <c r="B211"/>
  <c r="D210"/>
  <c r="C210"/>
  <c r="B210"/>
  <c r="E209"/>
  <c r="D209"/>
  <c r="B209"/>
  <c r="E208"/>
  <c r="D208"/>
  <c r="B208"/>
  <c r="A208"/>
  <c r="D207"/>
  <c r="B207"/>
  <c r="D206"/>
  <c r="C206"/>
  <c r="D205"/>
  <c r="A205"/>
  <c r="E204"/>
  <c r="B204"/>
  <c r="A204"/>
  <c r="C203"/>
  <c r="B203"/>
  <c r="D202"/>
  <c r="C202"/>
  <c r="B202"/>
  <c r="D201"/>
  <c r="C201"/>
  <c r="B201"/>
  <c r="E200"/>
  <c r="D200"/>
  <c r="A200"/>
  <c r="E199"/>
  <c r="D199"/>
  <c r="B199"/>
  <c r="A199"/>
  <c r="C198"/>
  <c r="B198"/>
  <c r="A198"/>
  <c r="E197"/>
  <c r="D197"/>
  <c r="C197"/>
  <c r="B197"/>
  <c r="A197"/>
  <c r="E196"/>
  <c r="D196"/>
  <c r="C196"/>
  <c r="B196"/>
  <c r="A196"/>
  <c r="E195"/>
  <c r="D195"/>
  <c r="C195"/>
  <c r="B195"/>
  <c r="A195"/>
  <c r="E194"/>
  <c r="D194"/>
  <c r="C194"/>
  <c r="B194"/>
  <c r="A194"/>
  <c r="E193"/>
  <c r="D193"/>
  <c r="C193"/>
  <c r="B193"/>
  <c r="A193"/>
  <c r="E192"/>
  <c r="D192"/>
  <c r="C192"/>
  <c r="B192"/>
  <c r="A192"/>
  <c r="E191"/>
  <c r="D191"/>
  <c r="C191"/>
  <c r="B191"/>
  <c r="A191"/>
  <c r="E190"/>
  <c r="D190"/>
  <c r="C190"/>
  <c r="B190"/>
  <c r="A190"/>
  <c r="E189"/>
  <c r="D189"/>
  <c r="C189"/>
  <c r="B189"/>
  <c r="A189"/>
  <c r="E188"/>
  <c r="D188"/>
  <c r="C188"/>
  <c r="B188"/>
  <c r="A188"/>
  <c r="E187"/>
  <c r="D187"/>
  <c r="C187"/>
  <c r="B187"/>
  <c r="A187"/>
  <c r="E186"/>
  <c r="D186"/>
  <c r="C186"/>
  <c r="B186"/>
  <c r="A186"/>
  <c r="E185"/>
  <c r="D185"/>
  <c r="C185"/>
  <c r="B185"/>
  <c r="A185"/>
  <c r="E184"/>
  <c r="D184"/>
  <c r="C184"/>
  <c r="B184"/>
  <c r="A184"/>
  <c r="E183"/>
  <c r="D183"/>
  <c r="C183"/>
  <c r="B183"/>
  <c r="A183"/>
  <c r="E182"/>
  <c r="D182"/>
  <c r="C182"/>
  <c r="B182"/>
  <c r="A182"/>
  <c r="E181"/>
  <c r="D181"/>
  <c r="C181"/>
  <c r="B181"/>
  <c r="A181"/>
  <c r="E180"/>
  <c r="D180"/>
  <c r="C180"/>
  <c r="B180"/>
  <c r="A180"/>
  <c r="E179"/>
  <c r="D179"/>
  <c r="C179"/>
  <c r="B179"/>
  <c r="A179"/>
  <c r="E178"/>
  <c r="D178"/>
  <c r="C178"/>
  <c r="B178"/>
  <c r="A178"/>
  <c r="E177"/>
  <c r="D177"/>
  <c r="C177"/>
  <c r="B177"/>
  <c r="A177"/>
  <c r="E176"/>
  <c r="D176"/>
  <c r="C176"/>
  <c r="B176"/>
  <c r="A176"/>
  <c r="E175"/>
  <c r="D175"/>
  <c r="C175"/>
  <c r="B175"/>
  <c r="A175"/>
  <c r="E174"/>
  <c r="D174"/>
  <c r="C174"/>
  <c r="B174"/>
  <c r="A174"/>
  <c r="E173"/>
  <c r="D173"/>
  <c r="C173"/>
  <c r="B173"/>
  <c r="A173"/>
  <c r="E172"/>
  <c r="D172"/>
  <c r="C172"/>
  <c r="B172"/>
  <c r="A172"/>
  <c r="E171"/>
  <c r="D171"/>
  <c r="C171"/>
  <c r="B171"/>
  <c r="A171"/>
  <c r="E170"/>
  <c r="D170"/>
  <c r="C170"/>
  <c r="B170"/>
  <c r="A170"/>
  <c r="E169"/>
  <c r="D169"/>
  <c r="C169"/>
  <c r="B169"/>
  <c r="A169"/>
  <c r="E168"/>
  <c r="D168"/>
  <c r="C168"/>
  <c r="B168"/>
  <c r="A168"/>
  <c r="E167"/>
  <c r="D167"/>
  <c r="C167"/>
  <c r="B167"/>
  <c r="A167"/>
  <c r="E166"/>
  <c r="D166"/>
  <c r="C166"/>
  <c r="B166"/>
  <c r="A166"/>
  <c r="E165"/>
  <c r="D165"/>
  <c r="C165"/>
  <c r="B165"/>
  <c r="A165"/>
  <c r="E164"/>
  <c r="D164"/>
  <c r="C164"/>
  <c r="B164"/>
  <c r="A164"/>
  <c r="E163"/>
  <c r="D163"/>
  <c r="C163"/>
  <c r="B163"/>
  <c r="A163"/>
  <c r="E162"/>
  <c r="D162"/>
  <c r="C162"/>
  <c r="B162"/>
  <c r="A162"/>
  <c r="E161"/>
  <c r="D161"/>
  <c r="C161"/>
  <c r="B161"/>
  <c r="A161"/>
  <c r="E160"/>
  <c r="D160"/>
  <c r="C160"/>
  <c r="B160"/>
  <c r="A160"/>
  <c r="E159"/>
  <c r="D159"/>
  <c r="C159"/>
  <c r="B159"/>
  <c r="A159"/>
  <c r="E158"/>
  <c r="D158"/>
  <c r="C158"/>
  <c r="B158"/>
  <c r="A158"/>
  <c r="E157"/>
  <c r="D157"/>
  <c r="C157"/>
  <c r="B157"/>
  <c r="A157"/>
  <c r="E156"/>
  <c r="D156"/>
  <c r="C156"/>
  <c r="B156"/>
  <c r="A156"/>
  <c r="E155"/>
  <c r="D155"/>
  <c r="C155"/>
  <c r="B155"/>
  <c r="A155"/>
  <c r="E154"/>
  <c r="D154"/>
  <c r="C154"/>
  <c r="B154"/>
  <c r="A154"/>
  <c r="E153"/>
  <c r="D153"/>
  <c r="C153"/>
  <c r="B153"/>
  <c r="A153"/>
  <c r="E152"/>
  <c r="D152"/>
  <c r="C152"/>
  <c r="B152"/>
  <c r="A152"/>
  <c r="E151"/>
  <c r="D151"/>
  <c r="C151"/>
  <c r="B151"/>
  <c r="A151"/>
  <c r="E150"/>
  <c r="D150"/>
  <c r="C150"/>
  <c r="B150"/>
  <c r="A150"/>
  <c r="E149"/>
  <c r="D149"/>
  <c r="C149"/>
  <c r="B149"/>
  <c r="A149"/>
  <c r="E148"/>
  <c r="D148"/>
  <c r="C148"/>
  <c r="B148"/>
  <c r="A148"/>
  <c r="E147"/>
  <c r="D147"/>
  <c r="C147"/>
  <c r="B147"/>
  <c r="A147"/>
  <c r="E146"/>
  <c r="D146"/>
  <c r="C146"/>
  <c r="B146"/>
  <c r="A146"/>
  <c r="E145"/>
  <c r="D145"/>
  <c r="C145"/>
  <c r="B145"/>
  <c r="A145"/>
  <c r="E144"/>
  <c r="D144"/>
  <c r="C144"/>
  <c r="B144"/>
  <c r="A144"/>
  <c r="E143"/>
  <c r="D143"/>
  <c r="C143"/>
  <c r="B143"/>
  <c r="A143"/>
  <c r="E142"/>
  <c r="D142"/>
  <c r="C142"/>
  <c r="B142"/>
  <c r="A142"/>
  <c r="E141"/>
  <c r="D141"/>
  <c r="C141"/>
  <c r="B141"/>
  <c r="A141"/>
  <c r="E140"/>
  <c r="D140"/>
  <c r="C140"/>
  <c r="B140"/>
  <c r="A140"/>
  <c r="E139"/>
  <c r="D139"/>
  <c r="C139"/>
  <c r="B139"/>
  <c r="A139"/>
  <c r="E138"/>
  <c r="D138"/>
  <c r="C138"/>
  <c r="B138"/>
  <c r="A138"/>
  <c r="E137"/>
  <c r="D137"/>
  <c r="C137"/>
  <c r="B137"/>
  <c r="A137"/>
  <c r="E136"/>
  <c r="D136"/>
  <c r="C136"/>
  <c r="B136"/>
  <c r="A136"/>
  <c r="E135"/>
  <c r="D135"/>
  <c r="C135"/>
  <c r="B135"/>
  <c r="A135"/>
  <c r="D134"/>
  <c r="C134"/>
  <c r="B134"/>
  <c r="A134"/>
  <c r="E133"/>
  <c r="D133"/>
  <c r="C133"/>
  <c r="B133"/>
  <c r="A133"/>
  <c r="E132"/>
  <c r="D132"/>
  <c r="C132"/>
  <c r="B132"/>
  <c r="A132"/>
  <c r="E131"/>
  <c r="D131"/>
  <c r="C131"/>
  <c r="B131"/>
  <c r="A131"/>
  <c r="E130"/>
  <c r="D130"/>
  <c r="C130"/>
  <c r="B130"/>
  <c r="A130"/>
  <c r="E129"/>
  <c r="D129"/>
  <c r="C129"/>
  <c r="B129"/>
  <c r="A129"/>
  <c r="E128"/>
  <c r="D128"/>
  <c r="C128"/>
  <c r="B128"/>
  <c r="A128"/>
  <c r="E127"/>
  <c r="D127"/>
  <c r="C127"/>
  <c r="B127"/>
  <c r="A127"/>
  <c r="E126"/>
  <c r="D126"/>
  <c r="C126"/>
  <c r="B126"/>
  <c r="A126"/>
  <c r="E125"/>
  <c r="D125"/>
  <c r="C125"/>
  <c r="B125"/>
  <c r="A125"/>
  <c r="E124"/>
  <c r="D124"/>
  <c r="C124"/>
  <c r="B124"/>
  <c r="A124"/>
  <c r="E123"/>
  <c r="D123"/>
  <c r="C123"/>
  <c r="B123"/>
  <c r="A123"/>
  <c r="E122"/>
  <c r="D122"/>
  <c r="C122"/>
  <c r="B122"/>
  <c r="A122"/>
  <c r="E121"/>
  <c r="D121"/>
  <c r="C121"/>
  <c r="B121"/>
  <c r="A121"/>
  <c r="E120"/>
  <c r="D120"/>
  <c r="C120"/>
  <c r="B120"/>
  <c r="A120"/>
  <c r="E119"/>
  <c r="D119"/>
  <c r="C119"/>
  <c r="B119"/>
  <c r="A119"/>
  <c r="E118"/>
  <c r="D118"/>
  <c r="C118"/>
  <c r="B118"/>
  <c r="A118"/>
  <c r="E117"/>
  <c r="D117"/>
  <c r="C117"/>
  <c r="B117"/>
  <c r="A117"/>
  <c r="E116"/>
  <c r="D116"/>
  <c r="C116"/>
  <c r="B116"/>
  <c r="A116"/>
  <c r="E115"/>
  <c r="D115"/>
  <c r="C115"/>
  <c r="B115"/>
  <c r="A115"/>
  <c r="E114"/>
  <c r="D114"/>
  <c r="C114"/>
  <c r="B114"/>
  <c r="A114"/>
  <c r="E113"/>
  <c r="D113"/>
  <c r="C113"/>
  <c r="B113"/>
  <c r="A113"/>
  <c r="E112"/>
  <c r="D112"/>
  <c r="C112"/>
  <c r="B112"/>
  <c r="A112"/>
  <c r="E111"/>
  <c r="D111"/>
  <c r="C111"/>
  <c r="B111"/>
  <c r="A111"/>
  <c r="E110"/>
  <c r="D110"/>
  <c r="C110"/>
  <c r="B110"/>
  <c r="A110"/>
  <c r="E109"/>
  <c r="D109"/>
  <c r="C109"/>
  <c r="B109"/>
  <c r="A109"/>
  <c r="E108"/>
  <c r="D108"/>
  <c r="C108"/>
  <c r="B108"/>
  <c r="A108"/>
  <c r="E107"/>
  <c r="D107"/>
  <c r="C107"/>
  <c r="B107"/>
  <c r="A107"/>
  <c r="E106"/>
  <c r="D106"/>
  <c r="C106"/>
  <c r="B106"/>
  <c r="A106"/>
  <c r="E105"/>
  <c r="D105"/>
  <c r="C105"/>
  <c r="B105"/>
  <c r="A105"/>
  <c r="E104"/>
  <c r="D104"/>
  <c r="C104"/>
  <c r="B104"/>
  <c r="A104"/>
  <c r="E103"/>
  <c r="D103"/>
  <c r="C103"/>
  <c r="B103"/>
  <c r="A103"/>
  <c r="E102"/>
  <c r="D102"/>
  <c r="C102"/>
  <c r="B102"/>
  <c r="A102"/>
  <c r="E101"/>
  <c r="D101"/>
  <c r="C101"/>
  <c r="B101"/>
  <c r="A101"/>
  <c r="E100"/>
  <c r="D100"/>
  <c r="C100"/>
  <c r="B100"/>
  <c r="A100"/>
  <c r="E99"/>
  <c r="D99"/>
  <c r="C99"/>
  <c r="B99"/>
  <c r="A99"/>
  <c r="E98"/>
  <c r="D98"/>
  <c r="C98"/>
  <c r="B98"/>
  <c r="A98"/>
  <c r="E97"/>
  <c r="D97"/>
  <c r="C97"/>
  <c r="B97"/>
  <c r="A97"/>
  <c r="E96"/>
  <c r="D96"/>
  <c r="C96"/>
  <c r="B96"/>
  <c r="A96"/>
  <c r="E95"/>
  <c r="D95"/>
  <c r="C95"/>
  <c r="B95"/>
  <c r="A95"/>
  <c r="E94"/>
  <c r="D94"/>
  <c r="C94"/>
  <c r="B94"/>
  <c r="A94"/>
  <c r="E93"/>
  <c r="D93"/>
  <c r="C93"/>
  <c r="B93"/>
  <c r="A93"/>
  <c r="E92"/>
  <c r="D92"/>
  <c r="C92"/>
  <c r="B92"/>
  <c r="A92"/>
  <c r="E91"/>
  <c r="D91"/>
  <c r="C91"/>
  <c r="B91"/>
  <c r="A91"/>
  <c r="E90"/>
  <c r="D90"/>
  <c r="C90"/>
  <c r="B90"/>
  <c r="A90"/>
  <c r="E89"/>
  <c r="D89"/>
  <c r="C89"/>
  <c r="B89"/>
  <c r="A89"/>
  <c r="E88"/>
  <c r="D88"/>
  <c r="C88"/>
  <c r="B88"/>
  <c r="E87"/>
  <c r="D87"/>
  <c r="C87"/>
  <c r="B87"/>
  <c r="A87"/>
  <c r="E86"/>
  <c r="D86"/>
  <c r="C86"/>
  <c r="B86"/>
  <c r="A86"/>
  <c r="E85"/>
  <c r="D85"/>
  <c r="C85"/>
  <c r="B85"/>
  <c r="A85"/>
  <c r="E84"/>
  <c r="D84"/>
  <c r="C84"/>
  <c r="B84"/>
  <c r="A84"/>
  <c r="E83"/>
  <c r="D83"/>
  <c r="C83"/>
  <c r="B83"/>
  <c r="A83"/>
  <c r="E82"/>
  <c r="D82"/>
  <c r="C82"/>
  <c r="B82"/>
  <c r="A82"/>
  <c r="E81"/>
  <c r="D81"/>
  <c r="C81"/>
  <c r="B81"/>
  <c r="A81"/>
  <c r="E80"/>
  <c r="D80"/>
  <c r="C80"/>
  <c r="B80"/>
  <c r="A80"/>
  <c r="E79"/>
  <c r="D79"/>
  <c r="C79"/>
  <c r="B79"/>
  <c r="A79"/>
  <c r="E78"/>
  <c r="D78"/>
  <c r="C78"/>
  <c r="B78"/>
  <c r="A78"/>
  <c r="E77"/>
  <c r="D77"/>
  <c r="C77"/>
  <c r="B77"/>
  <c r="A77"/>
  <c r="E76"/>
  <c r="D76"/>
  <c r="B76"/>
  <c r="A76"/>
  <c r="E75"/>
  <c r="D75"/>
  <c r="C75"/>
  <c r="B75"/>
  <c r="A75"/>
  <c r="E74"/>
  <c r="D74"/>
  <c r="C74"/>
  <c r="B74"/>
  <c r="A74"/>
  <c r="E73"/>
  <c r="D73"/>
  <c r="C73"/>
  <c r="B73"/>
  <c r="A73"/>
  <c r="E72"/>
  <c r="D72"/>
  <c r="C72"/>
  <c r="B72"/>
  <c r="A72"/>
  <c r="E71"/>
  <c r="D71"/>
  <c r="B71"/>
  <c r="A71"/>
  <c r="E70"/>
  <c r="D70"/>
  <c r="C70"/>
  <c r="A70"/>
  <c r="E69"/>
  <c r="D69"/>
  <c r="C69"/>
  <c r="B69"/>
  <c r="A69"/>
  <c r="E68"/>
  <c r="D68"/>
  <c r="C68"/>
  <c r="B68"/>
  <c r="A68"/>
  <c r="D67"/>
  <c r="C67"/>
  <c r="B67"/>
  <c r="A67"/>
  <c r="E66"/>
  <c r="D66"/>
  <c r="C66"/>
  <c r="B66"/>
  <c r="A66"/>
  <c r="E65"/>
  <c r="D65"/>
  <c r="C65"/>
  <c r="B65"/>
  <c r="A65"/>
  <c r="E64"/>
  <c r="D64"/>
  <c r="C64"/>
  <c r="B64"/>
  <c r="A64"/>
  <c r="D63"/>
  <c r="C63"/>
  <c r="B63"/>
  <c r="A63"/>
  <c r="E62"/>
  <c r="D62"/>
  <c r="C62"/>
  <c r="B62"/>
  <c r="A62"/>
  <c r="E61"/>
  <c r="D61"/>
  <c r="C61"/>
  <c r="B61"/>
  <c r="A61"/>
  <c r="E60"/>
  <c r="D60"/>
  <c r="C60"/>
  <c r="B60"/>
  <c r="A60"/>
  <c r="E59"/>
  <c r="D59"/>
  <c r="C59"/>
  <c r="B59"/>
  <c r="A59"/>
  <c r="E58"/>
  <c r="D58"/>
  <c r="C58"/>
  <c r="B58"/>
  <c r="A58"/>
  <c r="E57"/>
  <c r="D57"/>
  <c r="C57"/>
  <c r="B57"/>
  <c r="A57"/>
  <c r="E56"/>
  <c r="D56"/>
  <c r="C56"/>
  <c r="B56"/>
  <c r="A56"/>
  <c r="E55"/>
  <c r="D55"/>
  <c r="C55"/>
  <c r="B55"/>
  <c r="A55"/>
  <c r="E54"/>
  <c r="D54"/>
  <c r="C54"/>
  <c r="B54"/>
  <c r="A54"/>
  <c r="E53"/>
  <c r="D53"/>
  <c r="C53"/>
  <c r="B53"/>
  <c r="A53"/>
  <c r="E52"/>
  <c r="D52"/>
  <c r="C52"/>
  <c r="B52"/>
  <c r="A52"/>
  <c r="E51"/>
  <c r="D51"/>
  <c r="C51"/>
  <c r="B51"/>
  <c r="A51"/>
  <c r="E50"/>
  <c r="D50"/>
  <c r="C50"/>
  <c r="B50"/>
  <c r="A50"/>
  <c r="E49"/>
  <c r="D49"/>
  <c r="C49"/>
  <c r="B49"/>
  <c r="A49"/>
  <c r="E48"/>
  <c r="D48"/>
  <c r="C48"/>
  <c r="B48"/>
  <c r="A48"/>
  <c r="E47"/>
  <c r="D47"/>
  <c r="C47"/>
  <c r="B47"/>
  <c r="A47"/>
  <c r="E46"/>
  <c r="D46"/>
  <c r="C46"/>
  <c r="B46"/>
  <c r="A46"/>
  <c r="E45"/>
  <c r="D45"/>
  <c r="C45"/>
  <c r="B45"/>
  <c r="A45"/>
  <c r="E44"/>
  <c r="D44"/>
  <c r="C44"/>
  <c r="B44"/>
  <c r="A44"/>
  <c r="E43"/>
  <c r="D43"/>
  <c r="C43"/>
  <c r="B43"/>
  <c r="A43"/>
  <c r="E42"/>
  <c r="D42"/>
  <c r="C42"/>
  <c r="B42"/>
  <c r="A42"/>
  <c r="E41"/>
  <c r="D41"/>
  <c r="C41"/>
  <c r="B41"/>
  <c r="A41"/>
  <c r="E40"/>
  <c r="D40"/>
  <c r="C40"/>
  <c r="B40"/>
  <c r="A40"/>
  <c r="E39"/>
  <c r="D39"/>
  <c r="C39"/>
  <c r="B39"/>
  <c r="A39"/>
  <c r="E38"/>
  <c r="D38"/>
  <c r="C38"/>
  <c r="B38"/>
  <c r="A38"/>
  <c r="E37"/>
  <c r="D37"/>
  <c r="C37"/>
  <c r="B37"/>
  <c r="A37"/>
  <c r="E36"/>
  <c r="D36"/>
  <c r="C36"/>
  <c r="B36"/>
  <c r="A36"/>
  <c r="E35"/>
  <c r="D35"/>
  <c r="C35"/>
  <c r="B35"/>
  <c r="A35"/>
  <c r="E34"/>
  <c r="D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2"/>
  <c r="D2"/>
  <c r="C2"/>
  <c r="B2"/>
  <c r="A2"/>
  <c r="C590" i="3"/>
  <c r="C586"/>
  <c r="C582"/>
  <c r="C578"/>
  <c r="A288"/>
  <c r="C588"/>
  <c r="C580"/>
  <c r="F532"/>
  <c r="F516"/>
  <c r="F500"/>
  <c r="F484"/>
  <c r="F442"/>
  <c r="F435"/>
  <c r="F431"/>
  <c r="F428"/>
  <c r="F416"/>
  <c r="F378"/>
  <c r="F371"/>
  <c r="F367"/>
  <c r="F364"/>
  <c r="F352"/>
  <c r="F312"/>
  <c r="F530"/>
  <c r="F514"/>
  <c r="F498"/>
  <c r="F482"/>
  <c r="F479"/>
  <c r="F476"/>
  <c r="F464"/>
  <c r="F426"/>
  <c r="F419"/>
  <c r="F415"/>
  <c r="F412"/>
  <c r="F400"/>
  <c r="F362"/>
  <c r="F355"/>
  <c r="F351"/>
  <c r="F348"/>
  <c r="F336"/>
  <c r="F321"/>
  <c r="F475"/>
  <c r="F471"/>
  <c r="F468"/>
  <c r="F456"/>
  <c r="F418"/>
  <c r="F411"/>
  <c r="F407"/>
  <c r="F404"/>
  <c r="F392"/>
  <c r="F354"/>
  <c r="F347"/>
  <c r="F343"/>
  <c r="F340"/>
  <c r="F328"/>
  <c r="F323"/>
  <c r="F296"/>
  <c r="F555"/>
  <c r="F515"/>
  <c r="F439"/>
  <c r="F408"/>
  <c r="F403"/>
  <c r="F387"/>
  <c r="F368"/>
  <c r="F359"/>
  <c r="F356"/>
  <c r="F338"/>
  <c r="F335"/>
  <c r="F327"/>
  <c r="F554"/>
  <c r="F546"/>
  <c r="F539"/>
  <c r="F531"/>
  <c r="F523"/>
  <c r="F507"/>
  <c r="F499"/>
  <c r="F452"/>
  <c r="F448"/>
  <c r="F436"/>
  <c r="F427"/>
  <c r="F424"/>
  <c r="F394"/>
  <c r="F386"/>
  <c r="F383"/>
  <c r="F370"/>
  <c r="F332"/>
  <c r="F564"/>
  <c r="F522"/>
  <c r="F491"/>
  <c r="F483"/>
  <c r="F459"/>
  <c r="F410"/>
  <c r="F380"/>
  <c r="F563"/>
  <c r="F474"/>
  <c r="F444"/>
  <c r="F375"/>
  <c r="F344"/>
  <c r="F339"/>
  <c r="F307"/>
  <c r="F313"/>
  <c r="F538"/>
  <c r="F423"/>
  <c r="F396"/>
  <c r="F384"/>
  <c r="F372"/>
  <c r="F305"/>
  <c r="F547"/>
  <c r="F466"/>
  <c r="F447"/>
  <c r="F432"/>
  <c r="F420"/>
  <c r="F319"/>
  <c r="F540"/>
  <c r="F434"/>
  <c r="F402"/>
  <c r="F395"/>
  <c r="F376"/>
  <c r="F508"/>
  <c r="F492"/>
  <c r="F458"/>
  <c r="F363"/>
  <c r="F331"/>
  <c r="F467"/>
  <c r="F490"/>
  <c r="F460"/>
  <c r="F303"/>
  <c r="F451"/>
  <c r="F440"/>
  <c r="F391"/>
  <c r="F360"/>
  <c r="F311"/>
  <c r="F455"/>
  <c r="F562"/>
  <c r="F556"/>
  <c r="F472"/>
  <c r="F506"/>
  <c r="F463"/>
  <c r="F450"/>
  <c r="F379"/>
  <c r="F399"/>
  <c r="F330"/>
  <c r="F346"/>
  <c r="F388"/>
  <c r="F548"/>
  <c r="F524"/>
  <c r="F443"/>
  <c r="B226" i="2" l="1"/>
  <c r="B234"/>
  <c r="E251"/>
  <c r="A255"/>
  <c r="E275"/>
  <c r="E198"/>
  <c r="C200"/>
  <c r="D203"/>
  <c r="B205"/>
  <c r="E206"/>
  <c r="C208"/>
  <c r="A210"/>
  <c r="D211"/>
  <c r="D219"/>
  <c r="B221"/>
  <c r="A226"/>
  <c r="D227"/>
  <c r="B229"/>
  <c r="E230"/>
  <c r="C232"/>
  <c r="A234"/>
  <c r="E238"/>
  <c r="C240"/>
  <c r="A242"/>
  <c r="C248"/>
  <c r="A250"/>
  <c r="D251"/>
  <c r="B253"/>
  <c r="E254"/>
  <c r="C256"/>
  <c r="B269"/>
  <c r="E270"/>
  <c r="C272"/>
  <c r="A274"/>
  <c r="D275"/>
  <c r="B277"/>
  <c r="E278"/>
  <c r="D515" i="3"/>
  <c r="B544"/>
  <c r="D563"/>
  <c r="E203" i="2"/>
  <c r="C205"/>
  <c r="A207"/>
  <c r="E211"/>
  <c r="D232"/>
  <c r="A247"/>
  <c r="C253"/>
  <c r="C269"/>
  <c r="A271"/>
  <c r="C277"/>
  <c r="D198"/>
  <c r="B200"/>
  <c r="E201"/>
  <c r="D214"/>
  <c r="B216"/>
  <c r="E217"/>
  <c r="C219"/>
  <c r="A221"/>
  <c r="D222"/>
  <c r="A237"/>
  <c r="D238"/>
  <c r="B240"/>
  <c r="E241"/>
  <c r="C243"/>
  <c r="A245"/>
  <c r="D532" i="3"/>
  <c r="D551"/>
  <c r="C560"/>
  <c r="C548"/>
  <c r="A203" i="2"/>
  <c r="E231"/>
  <c r="B278"/>
  <c r="B509" i="3"/>
  <c r="C209" i="2"/>
  <c r="A227"/>
  <c r="D228"/>
  <c r="C233"/>
  <c r="A251"/>
  <c r="B254"/>
  <c r="E255"/>
  <c r="E271"/>
  <c r="A275"/>
  <c r="C204"/>
  <c r="B225"/>
  <c r="C252"/>
  <c r="C276"/>
  <c r="C292" i="3"/>
  <c r="D204" i="2"/>
  <c r="E207"/>
  <c r="A211"/>
  <c r="C225"/>
  <c r="B230"/>
  <c r="E247"/>
  <c r="B270"/>
  <c r="A206"/>
  <c r="E210"/>
  <c r="C212"/>
  <c r="B233"/>
  <c r="E250"/>
  <c r="A254"/>
  <c r="A270"/>
  <c r="E274"/>
  <c r="A278"/>
  <c r="C199"/>
  <c r="A201"/>
  <c r="E205"/>
  <c r="C207"/>
  <c r="A209"/>
  <c r="C215"/>
  <c r="A217"/>
  <c r="D218"/>
  <c r="B220"/>
  <c r="E221"/>
  <c r="C223"/>
  <c r="D226"/>
  <c r="B228"/>
  <c r="D234"/>
  <c r="B236"/>
  <c r="E237"/>
  <c r="C239"/>
  <c r="A241"/>
  <c r="D242"/>
  <c r="E245"/>
  <c r="C247"/>
  <c r="A249"/>
  <c r="E253"/>
  <c r="C255"/>
  <c r="E269"/>
  <c r="C271"/>
  <c r="A273"/>
  <c r="E277"/>
  <c r="B580" i="3"/>
  <c r="B588"/>
  <c r="B578"/>
  <c r="B582"/>
  <c r="B586"/>
  <c r="B590"/>
  <c r="E379"/>
  <c r="E63" i="2"/>
  <c r="A402" i="3"/>
  <c r="A88" i="2"/>
  <c r="C386" i="3"/>
  <c r="C71" i="2"/>
  <c r="C353" i="3"/>
  <c r="C34" i="2"/>
  <c r="C391" i="3"/>
  <c r="C76" i="2"/>
  <c r="E444" i="3"/>
  <c r="E134" i="2"/>
  <c r="E67"/>
  <c r="F366" i="3"/>
  <c r="F430"/>
  <c r="F494"/>
  <c r="F558"/>
  <c r="F511"/>
  <c r="F543"/>
  <c r="F315"/>
  <c r="F318"/>
  <c r="F341"/>
  <c r="F373"/>
  <c r="F405"/>
  <c r="F437"/>
  <c r="F469"/>
  <c r="F501"/>
  <c r="F533"/>
  <c r="F565"/>
  <c r="F342"/>
  <c r="F406"/>
  <c r="F496"/>
  <c r="F322"/>
  <c r="F393"/>
  <c r="F489"/>
  <c r="F334"/>
  <c r="F495"/>
  <c r="F314"/>
  <c r="F389"/>
  <c r="F485"/>
  <c r="F326"/>
  <c r="F454"/>
  <c r="F488"/>
  <c r="F552"/>
  <c r="F353"/>
  <c r="F481"/>
  <c r="F316"/>
  <c r="F519"/>
  <c r="F309"/>
  <c r="F413"/>
  <c r="F509"/>
  <c r="F374"/>
  <c r="F502"/>
  <c r="F544"/>
  <c r="F345"/>
  <c r="F473"/>
  <c r="F300"/>
  <c r="F358"/>
  <c r="F422"/>
  <c r="F486"/>
  <c r="F550"/>
  <c r="F504"/>
  <c r="F536"/>
  <c r="F299"/>
  <c r="F310"/>
  <c r="F337"/>
  <c r="F369"/>
  <c r="F401"/>
  <c r="F433"/>
  <c r="F465"/>
  <c r="F497"/>
  <c r="F529"/>
  <c r="F561"/>
  <c r="F470"/>
  <c r="F528"/>
  <c r="F329"/>
  <c r="F457"/>
  <c r="F553"/>
  <c r="F462"/>
  <c r="F527"/>
  <c r="F325"/>
  <c r="F421"/>
  <c r="F517"/>
  <c r="F518"/>
  <c r="F306"/>
  <c r="F417"/>
  <c r="F513"/>
  <c r="F382"/>
  <c r="F510"/>
  <c r="F298"/>
  <c r="F381"/>
  <c r="F477"/>
  <c r="F308"/>
  <c r="F304"/>
  <c r="F438"/>
  <c r="F512"/>
  <c r="F301"/>
  <c r="F409"/>
  <c r="F505"/>
  <c r="F350"/>
  <c r="F414"/>
  <c r="F478"/>
  <c r="F542"/>
  <c r="F503"/>
  <c r="F535"/>
  <c r="F324"/>
  <c r="F302"/>
  <c r="F333"/>
  <c r="F365"/>
  <c r="F397"/>
  <c r="F429"/>
  <c r="F461"/>
  <c r="F493"/>
  <c r="F525"/>
  <c r="F557"/>
  <c r="F534"/>
  <c r="F560"/>
  <c r="F361"/>
  <c r="F425"/>
  <c r="F521"/>
  <c r="F398"/>
  <c r="F526"/>
  <c r="F559"/>
  <c r="F357"/>
  <c r="F453"/>
  <c r="F549"/>
  <c r="F390"/>
  <c r="F520"/>
  <c r="F317"/>
  <c r="F385"/>
  <c r="F449"/>
  <c r="F545"/>
  <c r="F320"/>
  <c r="F446"/>
  <c r="F487"/>
  <c r="F551"/>
  <c r="F349"/>
  <c r="F445"/>
  <c r="F541"/>
  <c r="F480"/>
  <c r="F297"/>
  <c r="F377"/>
  <c r="F441"/>
  <c r="F537"/>
  <c r="BJ592" l="1"/>
  <c r="BJ593" s="1"/>
  <c r="BB592"/>
  <c r="BB593" s="1"/>
  <c r="AT592"/>
  <c r="AT593" s="1"/>
  <c r="AL592"/>
  <c r="AL593" s="1"/>
  <c r="AD592"/>
  <c r="AD593" s="1"/>
  <c r="V592"/>
  <c r="V593" s="1"/>
  <c r="N592"/>
  <c r="N593" s="1"/>
  <c r="F592"/>
  <c r="F593" s="1"/>
  <c r="BC592"/>
  <c r="BC593" s="1"/>
  <c r="AU592"/>
  <c r="AU593" s="1"/>
  <c r="AM592"/>
  <c r="AM593" s="1"/>
  <c r="AE592"/>
  <c r="AE593" s="1"/>
  <c r="W592"/>
  <c r="W593" s="1"/>
  <c r="O592"/>
  <c r="O593" s="1"/>
  <c r="G592"/>
  <c r="G593" s="1"/>
  <c r="BD592"/>
  <c r="BD593" s="1"/>
  <c r="AV592"/>
  <c r="AV593" s="1"/>
  <c r="AN592"/>
  <c r="AN593" s="1"/>
  <c r="AF592"/>
  <c r="AF593" s="1"/>
  <c r="X592"/>
  <c r="X593" s="1"/>
  <c r="P592"/>
  <c r="P593" s="1"/>
  <c r="H592"/>
  <c r="H593" s="1"/>
  <c r="BG592"/>
  <c r="BG593" s="1"/>
  <c r="AY592"/>
  <c r="AY593" s="1"/>
  <c r="AQ592"/>
  <c r="AQ593" s="1"/>
  <c r="AI592"/>
  <c r="AI593" s="1"/>
  <c r="AA592"/>
  <c r="AA593" s="1"/>
  <c r="S592"/>
  <c r="S593" s="1"/>
  <c r="K592"/>
  <c r="K593" s="1"/>
  <c r="C592"/>
  <c r="C593" s="1"/>
  <c r="BH592"/>
  <c r="BH593" s="1"/>
  <c r="AZ592"/>
  <c r="AZ593" s="1"/>
  <c r="AR592"/>
  <c r="AR593" s="1"/>
  <c r="AJ592"/>
  <c r="AJ593" s="1"/>
  <c r="AB592"/>
  <c r="AB593" s="1"/>
  <c r="T592"/>
  <c r="T593" s="1"/>
  <c r="L592"/>
  <c r="L593" s="1"/>
  <c r="D592"/>
  <c r="D593" s="1"/>
  <c r="AP592"/>
  <c r="AP593" s="1"/>
  <c r="U592"/>
  <c r="U593" s="1"/>
  <c r="AS592"/>
  <c r="AS593" s="1"/>
  <c r="Y592"/>
  <c r="Y593" s="1"/>
  <c r="B592"/>
  <c r="B593" s="1"/>
  <c r="AW592"/>
  <c r="AW593" s="1"/>
  <c r="Z592"/>
  <c r="Z593" s="1"/>
  <c r="E592"/>
  <c r="E593" s="1"/>
  <c r="AX592"/>
  <c r="AX593" s="1"/>
  <c r="AC592"/>
  <c r="AC593" s="1"/>
  <c r="I592"/>
  <c r="I593" s="1"/>
  <c r="BE592"/>
  <c r="BE593" s="1"/>
  <c r="M592"/>
  <c r="M593" s="1"/>
  <c r="BI592"/>
  <c r="BI593" s="1"/>
  <c r="R592"/>
  <c r="R593" s="1"/>
  <c r="AG592"/>
  <c r="AG593" s="1"/>
  <c r="J592"/>
  <c r="J593" s="1"/>
  <c r="Q592"/>
  <c r="Q593" s="1"/>
  <c r="AO592"/>
  <c r="AO593" s="1"/>
  <c r="AH592"/>
  <c r="AH593" s="1"/>
  <c r="BA592"/>
  <c r="BA593" s="1"/>
  <c r="BF592"/>
  <c r="BF593" s="1"/>
  <c r="AK592"/>
  <c r="AK593" s="1"/>
  <c r="BJ584"/>
  <c r="BJ585" s="1"/>
  <c r="BB584"/>
  <c r="BB585" s="1"/>
  <c r="AT584"/>
  <c r="AT585" s="1"/>
  <c r="AL584"/>
  <c r="AL585" s="1"/>
  <c r="AD584"/>
  <c r="AD585" s="1"/>
  <c r="V584"/>
  <c r="V585" s="1"/>
  <c r="N584"/>
  <c r="N585" s="1"/>
  <c r="F584"/>
  <c r="F585" s="1"/>
  <c r="BC584"/>
  <c r="BC585" s="1"/>
  <c r="AU584"/>
  <c r="AU585" s="1"/>
  <c r="AM584"/>
  <c r="AM585" s="1"/>
  <c r="AE584"/>
  <c r="AE585" s="1"/>
  <c r="W584"/>
  <c r="W585" s="1"/>
  <c r="O584"/>
  <c r="O585" s="1"/>
  <c r="G584"/>
  <c r="G585" s="1"/>
  <c r="BD584"/>
  <c r="BD585" s="1"/>
  <c r="AV584"/>
  <c r="AV585" s="1"/>
  <c r="AN584"/>
  <c r="AN585" s="1"/>
  <c r="AF584"/>
  <c r="AF585" s="1"/>
  <c r="X584"/>
  <c r="X585" s="1"/>
  <c r="P584"/>
  <c r="P585" s="1"/>
  <c r="H584"/>
  <c r="H585" s="1"/>
  <c r="BG584"/>
  <c r="BG585" s="1"/>
  <c r="AY584"/>
  <c r="AY585" s="1"/>
  <c r="AQ584"/>
  <c r="AQ585" s="1"/>
  <c r="AI584"/>
  <c r="AI585" s="1"/>
  <c r="AA584"/>
  <c r="AA585" s="1"/>
  <c r="S584"/>
  <c r="S585" s="1"/>
  <c r="K584"/>
  <c r="K585" s="1"/>
  <c r="C584"/>
  <c r="C585" s="1"/>
  <c r="BH584"/>
  <c r="BH585" s="1"/>
  <c r="AZ584"/>
  <c r="AZ585" s="1"/>
  <c r="AR584"/>
  <c r="AR585" s="1"/>
  <c r="AJ584"/>
  <c r="AJ585" s="1"/>
  <c r="AB584"/>
  <c r="AB585" s="1"/>
  <c r="T584"/>
  <c r="T585" s="1"/>
  <c r="L584"/>
  <c r="L585" s="1"/>
  <c r="D584"/>
  <c r="D585" s="1"/>
  <c r="BF584"/>
  <c r="BF585" s="1"/>
  <c r="AK584"/>
  <c r="AK585" s="1"/>
  <c r="Q584"/>
  <c r="Q585" s="1"/>
  <c r="BI584"/>
  <c r="BI585" s="1"/>
  <c r="AO584"/>
  <c r="AO585" s="1"/>
  <c r="R584"/>
  <c r="R585" s="1"/>
  <c r="AP584"/>
  <c r="AP585" s="1"/>
  <c r="U584"/>
  <c r="U585" s="1"/>
  <c r="AS584"/>
  <c r="AS585" s="1"/>
  <c r="Y584"/>
  <c r="Y585" s="1"/>
  <c r="B584"/>
  <c r="B585" s="1"/>
  <c r="AW584"/>
  <c r="AW585" s="1"/>
  <c r="E584"/>
  <c r="E585" s="1"/>
  <c r="BA584"/>
  <c r="BA585" s="1"/>
  <c r="J584"/>
  <c r="J585" s="1"/>
  <c r="BE584"/>
  <c r="BE585" s="1"/>
  <c r="M584"/>
  <c r="M585" s="1"/>
  <c r="AG584"/>
  <c r="AG585" s="1"/>
  <c r="AH584"/>
  <c r="AH585" s="1"/>
  <c r="AX584"/>
  <c r="AX585" s="1"/>
  <c r="I584"/>
  <c r="I585" s="1"/>
  <c r="AC584"/>
  <c r="AC585" s="1"/>
  <c r="Z584"/>
  <c r="Z585" s="1"/>
  <c r="U2" l="1"/>
  <c r="CC2"/>
  <c r="CI2"/>
  <c r="AA2"/>
  <c r="M2"/>
  <c r="BU2"/>
  <c r="N2"/>
  <c r="BV2"/>
  <c r="AG2"/>
  <c r="CO2"/>
  <c r="X2"/>
  <c r="CF2"/>
  <c r="K2"/>
  <c r="BS2"/>
  <c r="CG2"/>
  <c r="Y2"/>
  <c r="BX2"/>
  <c r="P2"/>
  <c r="BI2"/>
  <c r="DQ2"/>
  <c r="BJ2"/>
  <c r="DR2"/>
  <c r="BY2"/>
  <c r="Q2"/>
  <c r="CR2"/>
  <c r="AJ2"/>
  <c r="AB2"/>
  <c r="CJ2"/>
  <c r="AN2"/>
  <c r="CV2"/>
  <c r="DK2"/>
  <c r="BC2"/>
  <c r="BB2"/>
  <c r="DJ2"/>
  <c r="BG2"/>
  <c r="DO2"/>
  <c r="BQ2"/>
  <c r="I2"/>
  <c r="BD2"/>
  <c r="DL2"/>
  <c r="V2"/>
  <c r="CD2"/>
  <c r="AO2"/>
  <c r="CW2"/>
  <c r="CK2"/>
  <c r="AC2"/>
  <c r="BW2"/>
  <c r="O2"/>
  <c r="CH2"/>
  <c r="Z2"/>
  <c r="DP2"/>
  <c r="BH2"/>
  <c r="F2"/>
  <c r="BN2"/>
  <c r="BZ2"/>
  <c r="R2"/>
  <c r="AV2"/>
  <c r="DD2"/>
  <c r="DS2"/>
  <c r="BK2"/>
  <c r="BR2"/>
  <c r="J2"/>
  <c r="CS2"/>
  <c r="AK2"/>
  <c r="T2"/>
  <c r="CB2"/>
  <c r="DC2"/>
  <c r="AU2"/>
  <c r="AT2"/>
  <c r="DB2"/>
  <c r="AY2"/>
  <c r="DG2"/>
  <c r="DN2"/>
  <c r="BF2"/>
  <c r="DU2"/>
  <c r="BM2"/>
  <c r="AF2"/>
  <c r="CN2"/>
  <c r="W2"/>
  <c r="CE2"/>
  <c r="CP2"/>
  <c r="AH2"/>
  <c r="DA2"/>
  <c r="AS2"/>
  <c r="CA2"/>
  <c r="S2"/>
  <c r="BO2"/>
  <c r="G2"/>
  <c r="DI2"/>
  <c r="BA2"/>
  <c r="DH2"/>
  <c r="AZ2"/>
  <c r="BL2"/>
  <c r="DT2"/>
  <c r="AM2"/>
  <c r="CU2"/>
  <c r="AL2"/>
  <c r="CT2"/>
  <c r="CY2"/>
  <c r="AQ2"/>
  <c r="DF2"/>
  <c r="AX2"/>
  <c r="DM2"/>
  <c r="BE2"/>
  <c r="L2"/>
  <c r="BT2"/>
  <c r="BP2"/>
  <c r="H2"/>
  <c r="CZ2"/>
  <c r="AR2"/>
  <c r="AE2"/>
  <c r="CM2"/>
  <c r="AD2"/>
  <c r="CL2"/>
  <c r="CQ2"/>
  <c r="AI2"/>
  <c r="CX2"/>
  <c r="AP2"/>
  <c r="AW2"/>
  <c r="DE2"/>
  <c r="Y21"/>
  <c r="Y32"/>
  <c r="Y40"/>
  <c r="Y65"/>
  <c r="Y42"/>
  <c r="Y14"/>
  <c r="Y39"/>
  <c r="Y58"/>
  <c r="Y109"/>
  <c r="Y16"/>
  <c r="Y88"/>
  <c r="Y22"/>
  <c r="Y29"/>
  <c r="Y5"/>
  <c r="Y50"/>
  <c r="Y52"/>
  <c r="Y85"/>
  <c r="Y167"/>
  <c r="Y159"/>
  <c r="Y9"/>
  <c r="Y47"/>
  <c r="Y76"/>
  <c r="Y12"/>
  <c r="Y31"/>
  <c r="Y38"/>
  <c r="Y66"/>
  <c r="Y8"/>
  <c r="Y36"/>
  <c r="Y41"/>
  <c r="Y51"/>
  <c r="Y60"/>
  <c r="Y93"/>
  <c r="Y6"/>
  <c r="Y18"/>
  <c r="Y46"/>
  <c r="Y56"/>
  <c r="Y75"/>
  <c r="Y95"/>
  <c r="Y19"/>
  <c r="Y30"/>
  <c r="Y49"/>
  <c r="Y7"/>
  <c r="Y10"/>
  <c r="Y13"/>
  <c r="Y57"/>
  <c r="Y73"/>
  <c r="Y11"/>
  <c r="Y20"/>
  <c r="Y28"/>
  <c r="Y77"/>
  <c r="Y160"/>
  <c r="Y68"/>
  <c r="Y129"/>
  <c r="Y140"/>
  <c r="Y17"/>
  <c r="Y25"/>
  <c r="Y27"/>
  <c r="Y35"/>
  <c r="Y45"/>
  <c r="Y55"/>
  <c r="Y119"/>
  <c r="Y127"/>
  <c r="Y161"/>
  <c r="Y23"/>
  <c r="Y33"/>
  <c r="Y43"/>
  <c r="Y53"/>
  <c r="Y67"/>
  <c r="Y96"/>
  <c r="Y126"/>
  <c r="Y24"/>
  <c r="Y34"/>
  <c r="Y44"/>
  <c r="Y54"/>
  <c r="Y63"/>
  <c r="Y83"/>
  <c r="Y87"/>
  <c r="Y187"/>
  <c r="Y78"/>
  <c r="Y86"/>
  <c r="Y91"/>
  <c r="Y99"/>
  <c r="Y106"/>
  <c r="Y175"/>
  <c r="Y193"/>
  <c r="Y219"/>
  <c r="Y104"/>
  <c r="Y105"/>
  <c r="Y162"/>
  <c r="Y61"/>
  <c r="Y69"/>
  <c r="Y71"/>
  <c r="Y79"/>
  <c r="Y89"/>
  <c r="Y122"/>
  <c r="Y174"/>
  <c r="Y184"/>
  <c r="Y221"/>
  <c r="Y64"/>
  <c r="Y74"/>
  <c r="Y84"/>
  <c r="Y94"/>
  <c r="Y97"/>
  <c r="Y100"/>
  <c r="Y102"/>
  <c r="Y107"/>
  <c r="Y116"/>
  <c r="Y124"/>
  <c r="Y139"/>
  <c r="Y141"/>
  <c r="Y142"/>
  <c r="Y62"/>
  <c r="Y72"/>
  <c r="Y80"/>
  <c r="Y82"/>
  <c r="Y90"/>
  <c r="Y112"/>
  <c r="Y117"/>
  <c r="Y173"/>
  <c r="Y110"/>
  <c r="Y120"/>
  <c r="Y130"/>
  <c r="Y131"/>
  <c r="Y188"/>
  <c r="Y197"/>
  <c r="Y113"/>
  <c r="Y115"/>
  <c r="Y123"/>
  <c r="Y132"/>
  <c r="Y149"/>
  <c r="Y157"/>
  <c r="Y168"/>
  <c r="Y192"/>
  <c r="Y198"/>
  <c r="Y98"/>
  <c r="Y108"/>
  <c r="Y118"/>
  <c r="Y128"/>
  <c r="Y150"/>
  <c r="Y151"/>
  <c r="Y217"/>
  <c r="Y101"/>
  <c r="Y111"/>
  <c r="Y121"/>
  <c r="Y152"/>
  <c r="Y228"/>
  <c r="Y135"/>
  <c r="Y137"/>
  <c r="Y145"/>
  <c r="Y155"/>
  <c r="Y165"/>
  <c r="Y170"/>
  <c r="Y178"/>
  <c r="Y185"/>
  <c r="Y200"/>
  <c r="Y205"/>
  <c r="Y133"/>
  <c r="Y143"/>
  <c r="Y153"/>
  <c r="Y163"/>
  <c r="Y182"/>
  <c r="Y190"/>
  <c r="Y201"/>
  <c r="Y204"/>
  <c r="Y215"/>
  <c r="Y258"/>
  <c r="Y138"/>
  <c r="Y146"/>
  <c r="Y148"/>
  <c r="Y156"/>
  <c r="Y166"/>
  <c r="Y172"/>
  <c r="Y242"/>
  <c r="Y271"/>
  <c r="Y134"/>
  <c r="Y144"/>
  <c r="Y154"/>
  <c r="Y164"/>
  <c r="Y177"/>
  <c r="Y183"/>
  <c r="Y209"/>
  <c r="Y218"/>
  <c r="Y244"/>
  <c r="Y266"/>
  <c r="Y195"/>
  <c r="Y212"/>
  <c r="Y247"/>
  <c r="Y274"/>
  <c r="Y176"/>
  <c r="Y186"/>
  <c r="Y196"/>
  <c r="Y225"/>
  <c r="Y255"/>
  <c r="Y270"/>
  <c r="Y171"/>
  <c r="Y179"/>
  <c r="Y181"/>
  <c r="Y189"/>
  <c r="Y199"/>
  <c r="Y203"/>
  <c r="Y216"/>
  <c r="Y236"/>
  <c r="Y238"/>
  <c r="Y194"/>
  <c r="Y208"/>
  <c r="Y237"/>
  <c r="Y278"/>
  <c r="Y206"/>
  <c r="Y229"/>
  <c r="Y234"/>
  <c r="Y239"/>
  <c r="Y250"/>
  <c r="Y262"/>
  <c r="Y211"/>
  <c r="Y223"/>
  <c r="Y226"/>
  <c r="Y254"/>
  <c r="Y207"/>
  <c r="Y214"/>
  <c r="Y227"/>
  <c r="Y231"/>
  <c r="Y241"/>
  <c r="Y222"/>
  <c r="Y232"/>
  <c r="Y210"/>
  <c r="Y220"/>
  <c r="Y230"/>
  <c r="Y240"/>
  <c r="Y245"/>
  <c r="Y252"/>
  <c r="Y260"/>
  <c r="Y265"/>
  <c r="Y276"/>
  <c r="Y233"/>
  <c r="Y249"/>
  <c r="Y263"/>
  <c r="Y273"/>
  <c r="Y243"/>
  <c r="Y253"/>
  <c r="Y259"/>
  <c r="Y267"/>
  <c r="Y269"/>
  <c r="Y277"/>
  <c r="Y248"/>
  <c r="Y256"/>
  <c r="Y264"/>
  <c r="Y272"/>
  <c r="Y251"/>
  <c r="Y261"/>
  <c r="Y275"/>
  <c r="Q14"/>
  <c r="Q65"/>
  <c r="Q47"/>
  <c r="Q18"/>
  <c r="Q105"/>
  <c r="Q36"/>
  <c r="Q5"/>
  <c r="Q9"/>
  <c r="Q66"/>
  <c r="Q73"/>
  <c r="Q8"/>
  <c r="Q57"/>
  <c r="Q12"/>
  <c r="Q29"/>
  <c r="Q30"/>
  <c r="Q149"/>
  <c r="Q19"/>
  <c r="Q51"/>
  <c r="Q52"/>
  <c r="Q56"/>
  <c r="Q78"/>
  <c r="Q86"/>
  <c r="Q6"/>
  <c r="Q20"/>
  <c r="Q127"/>
  <c r="Q39"/>
  <c r="Q49"/>
  <c r="Q58"/>
  <c r="Q93"/>
  <c r="Q122"/>
  <c r="Q150"/>
  <c r="Q7"/>
  <c r="Q10"/>
  <c r="Q13"/>
  <c r="Q21"/>
  <c r="Q32"/>
  <c r="Q42"/>
  <c r="Q67"/>
  <c r="Q116"/>
  <c r="Q16"/>
  <c r="Q28"/>
  <c r="Q38"/>
  <c r="Q41"/>
  <c r="Q46"/>
  <c r="Q60"/>
  <c r="Q11"/>
  <c r="Q22"/>
  <c r="Q31"/>
  <c r="Q40"/>
  <c r="Q50"/>
  <c r="Q76"/>
  <c r="Q85"/>
  <c r="Q124"/>
  <c r="Q17"/>
  <c r="Q25"/>
  <c r="Q27"/>
  <c r="Q35"/>
  <c r="Q45"/>
  <c r="Q55"/>
  <c r="Q68"/>
  <c r="Q75"/>
  <c r="Q83"/>
  <c r="Q91"/>
  <c r="Q102"/>
  <c r="Q23"/>
  <c r="Q33"/>
  <c r="Q43"/>
  <c r="Q53"/>
  <c r="Q63"/>
  <c r="Q107"/>
  <c r="Q24"/>
  <c r="Q34"/>
  <c r="Q44"/>
  <c r="Q54"/>
  <c r="Q77"/>
  <c r="Q132"/>
  <c r="Q157"/>
  <c r="Q106"/>
  <c r="Q131"/>
  <c r="Q99"/>
  <c r="Q104"/>
  <c r="Q225"/>
  <c r="Q87"/>
  <c r="Q112"/>
  <c r="Q88"/>
  <c r="Q96"/>
  <c r="Q117"/>
  <c r="Q151"/>
  <c r="Q223"/>
  <c r="Q226"/>
  <c r="Q61"/>
  <c r="Q69"/>
  <c r="Q71"/>
  <c r="Q79"/>
  <c r="Q89"/>
  <c r="Q97"/>
  <c r="Q100"/>
  <c r="Q119"/>
  <c r="Q126"/>
  <c r="Q152"/>
  <c r="Q64"/>
  <c r="Q74"/>
  <c r="Q84"/>
  <c r="Q94"/>
  <c r="Q109"/>
  <c r="Q62"/>
  <c r="Q72"/>
  <c r="Q80"/>
  <c r="Q82"/>
  <c r="Q90"/>
  <c r="Q95"/>
  <c r="Q129"/>
  <c r="Q184"/>
  <c r="Q228"/>
  <c r="Q239"/>
  <c r="Q110"/>
  <c r="Q120"/>
  <c r="Q130"/>
  <c r="Q139"/>
  <c r="Q159"/>
  <c r="Q167"/>
  <c r="Q170"/>
  <c r="Q172"/>
  <c r="Q185"/>
  <c r="Q113"/>
  <c r="Q115"/>
  <c r="Q123"/>
  <c r="Q140"/>
  <c r="Q141"/>
  <c r="Q160"/>
  <c r="Q161"/>
  <c r="Q173"/>
  <c r="Q193"/>
  <c r="Q200"/>
  <c r="Q201"/>
  <c r="Q219"/>
  <c r="Q98"/>
  <c r="Q108"/>
  <c r="Q118"/>
  <c r="Q128"/>
  <c r="Q142"/>
  <c r="Q162"/>
  <c r="Q175"/>
  <c r="Q101"/>
  <c r="Q111"/>
  <c r="Q121"/>
  <c r="Q178"/>
  <c r="Q135"/>
  <c r="Q137"/>
  <c r="Q145"/>
  <c r="Q155"/>
  <c r="Q165"/>
  <c r="Q168"/>
  <c r="Q182"/>
  <c r="Q190"/>
  <c r="Q195"/>
  <c r="Q262"/>
  <c r="Q133"/>
  <c r="Q143"/>
  <c r="Q153"/>
  <c r="Q163"/>
  <c r="Q187"/>
  <c r="Q197"/>
  <c r="Q229"/>
  <c r="Q138"/>
  <c r="Q146"/>
  <c r="Q148"/>
  <c r="Q156"/>
  <c r="Q166"/>
  <c r="Q177"/>
  <c r="Q183"/>
  <c r="Q192"/>
  <c r="Q198"/>
  <c r="Q265"/>
  <c r="Q134"/>
  <c r="Q144"/>
  <c r="Q154"/>
  <c r="Q164"/>
  <c r="Q174"/>
  <c r="Q188"/>
  <c r="Q215"/>
  <c r="Q205"/>
  <c r="Q216"/>
  <c r="Q234"/>
  <c r="Q271"/>
  <c r="Q176"/>
  <c r="Q186"/>
  <c r="Q196"/>
  <c r="Q203"/>
  <c r="Q208"/>
  <c r="Q245"/>
  <c r="Q247"/>
  <c r="Q250"/>
  <c r="Q171"/>
  <c r="Q179"/>
  <c r="Q181"/>
  <c r="Q189"/>
  <c r="Q199"/>
  <c r="Q214"/>
  <c r="Q222"/>
  <c r="Q194"/>
  <c r="Q204"/>
  <c r="Q209"/>
  <c r="Q260"/>
  <c r="Q206"/>
  <c r="Q211"/>
  <c r="Q231"/>
  <c r="Q241"/>
  <c r="Q244"/>
  <c r="Q274"/>
  <c r="Q217"/>
  <c r="Q227"/>
  <c r="Q236"/>
  <c r="Q255"/>
  <c r="Q276"/>
  <c r="Q207"/>
  <c r="Q212"/>
  <c r="Q218"/>
  <c r="Q221"/>
  <c r="Q237"/>
  <c r="Q238"/>
  <c r="Q252"/>
  <c r="Q232"/>
  <c r="Q254"/>
  <c r="Q258"/>
  <c r="Q266"/>
  <c r="Q270"/>
  <c r="Q278"/>
  <c r="Q210"/>
  <c r="Q220"/>
  <c r="Q230"/>
  <c r="Q240"/>
  <c r="Q233"/>
  <c r="Q242"/>
  <c r="Q249"/>
  <c r="Q263"/>
  <c r="Q273"/>
  <c r="Q243"/>
  <c r="Q253"/>
  <c r="Q259"/>
  <c r="Q267"/>
  <c r="Q269"/>
  <c r="Q277"/>
  <c r="Q248"/>
  <c r="Q256"/>
  <c r="Q264"/>
  <c r="Q272"/>
  <c r="Q251"/>
  <c r="Q261"/>
  <c r="Q275"/>
  <c r="BC51"/>
  <c r="BC58"/>
  <c r="BC33"/>
  <c r="BC134"/>
  <c r="BC42"/>
  <c r="BC217"/>
  <c r="BC9"/>
  <c r="BC10"/>
  <c r="BC21"/>
  <c r="BC80"/>
  <c r="BC24"/>
  <c r="BC41"/>
  <c r="BC67"/>
  <c r="BC68"/>
  <c r="BC161"/>
  <c r="BC54"/>
  <c r="BC99"/>
  <c r="BC7"/>
  <c r="BC12"/>
  <c r="BC128"/>
  <c r="BC6"/>
  <c r="BC109"/>
  <c r="BC61"/>
  <c r="BC154"/>
  <c r="BC32"/>
  <c r="BC97"/>
  <c r="BC20"/>
  <c r="BC43"/>
  <c r="BC89"/>
  <c r="BC23"/>
  <c r="BC30"/>
  <c r="BC53"/>
  <c r="BC8"/>
  <c r="BC11"/>
  <c r="BC14"/>
  <c r="BC34"/>
  <c r="BC44"/>
  <c r="BC52"/>
  <c r="BC119"/>
  <c r="BC5"/>
  <c r="BC13"/>
  <c r="BC16"/>
  <c r="BC22"/>
  <c r="BC31"/>
  <c r="BC40"/>
  <c r="BC50"/>
  <c r="BC78"/>
  <c r="BC96"/>
  <c r="BC75"/>
  <c r="BC126"/>
  <c r="BC19"/>
  <c r="BC29"/>
  <c r="BC39"/>
  <c r="BC47"/>
  <c r="BC49"/>
  <c r="BC57"/>
  <c r="BC62"/>
  <c r="BC71"/>
  <c r="BC77"/>
  <c r="BC90"/>
  <c r="BC162"/>
  <c r="BC17"/>
  <c r="BC25"/>
  <c r="BC27"/>
  <c r="BC35"/>
  <c r="BC45"/>
  <c r="BC55"/>
  <c r="BC69"/>
  <c r="BC72"/>
  <c r="BC141"/>
  <c r="BC153"/>
  <c r="BC233"/>
  <c r="BC18"/>
  <c r="BC28"/>
  <c r="BC36"/>
  <c r="BC38"/>
  <c r="BC46"/>
  <c r="BC56"/>
  <c r="BC60"/>
  <c r="BC65"/>
  <c r="BC79"/>
  <c r="BC85"/>
  <c r="BC258"/>
  <c r="BC88"/>
  <c r="BC101"/>
  <c r="BC106"/>
  <c r="BC107"/>
  <c r="BC108"/>
  <c r="BC142"/>
  <c r="BC177"/>
  <c r="BC87"/>
  <c r="BC118"/>
  <c r="BC152"/>
  <c r="BC82"/>
  <c r="BC94"/>
  <c r="BC63"/>
  <c r="BC73"/>
  <c r="BC83"/>
  <c r="BC91"/>
  <c r="BC93"/>
  <c r="BC121"/>
  <c r="BC187"/>
  <c r="BC66"/>
  <c r="BC76"/>
  <c r="BC86"/>
  <c r="BC95"/>
  <c r="BC98"/>
  <c r="BC129"/>
  <c r="BC167"/>
  <c r="BC168"/>
  <c r="BC174"/>
  <c r="BC64"/>
  <c r="BC74"/>
  <c r="BC84"/>
  <c r="BC111"/>
  <c r="BC116"/>
  <c r="BC124"/>
  <c r="BC102"/>
  <c r="BC104"/>
  <c r="BC112"/>
  <c r="BC122"/>
  <c r="BC143"/>
  <c r="BC163"/>
  <c r="BC182"/>
  <c r="BC192"/>
  <c r="BC200"/>
  <c r="BC227"/>
  <c r="BC117"/>
  <c r="BC127"/>
  <c r="BC131"/>
  <c r="BC221"/>
  <c r="BC100"/>
  <c r="BC110"/>
  <c r="BC120"/>
  <c r="BC132"/>
  <c r="BC144"/>
  <c r="BC164"/>
  <c r="BC194"/>
  <c r="BC105"/>
  <c r="BC113"/>
  <c r="BC115"/>
  <c r="BC123"/>
  <c r="BC133"/>
  <c r="BC151"/>
  <c r="BC176"/>
  <c r="BC203"/>
  <c r="BC139"/>
  <c r="BC149"/>
  <c r="BC157"/>
  <c r="BC159"/>
  <c r="BC184"/>
  <c r="BC190"/>
  <c r="BC199"/>
  <c r="BC206"/>
  <c r="BC248"/>
  <c r="BC135"/>
  <c r="BC137"/>
  <c r="BC145"/>
  <c r="BC155"/>
  <c r="BC165"/>
  <c r="BC181"/>
  <c r="BC185"/>
  <c r="BC189"/>
  <c r="BC278"/>
  <c r="BC130"/>
  <c r="BC140"/>
  <c r="BC150"/>
  <c r="BC160"/>
  <c r="BC171"/>
  <c r="BC175"/>
  <c r="BC179"/>
  <c r="BC186"/>
  <c r="BC205"/>
  <c r="BC138"/>
  <c r="BC146"/>
  <c r="BC148"/>
  <c r="BC156"/>
  <c r="BC166"/>
  <c r="BC172"/>
  <c r="BC195"/>
  <c r="BC211"/>
  <c r="BC218"/>
  <c r="BC264"/>
  <c r="BC197"/>
  <c r="BC238"/>
  <c r="BC239"/>
  <c r="BC240"/>
  <c r="BC276"/>
  <c r="BC170"/>
  <c r="BC178"/>
  <c r="BC188"/>
  <c r="BC198"/>
  <c r="BC210"/>
  <c r="BC216"/>
  <c r="BC220"/>
  <c r="BC229"/>
  <c r="BC230"/>
  <c r="BC242"/>
  <c r="BC173"/>
  <c r="BC183"/>
  <c r="BC193"/>
  <c r="BC201"/>
  <c r="BC204"/>
  <c r="BC207"/>
  <c r="BC252"/>
  <c r="BC266"/>
  <c r="BC272"/>
  <c r="BC196"/>
  <c r="BC219"/>
  <c r="BC228"/>
  <c r="BC260"/>
  <c r="BC270"/>
  <c r="BC208"/>
  <c r="BC254"/>
  <c r="BC225"/>
  <c r="BC231"/>
  <c r="BC256"/>
  <c r="BC209"/>
  <c r="BC215"/>
  <c r="BC223"/>
  <c r="BC263"/>
  <c r="BC226"/>
  <c r="BC234"/>
  <c r="BC236"/>
  <c r="BC249"/>
  <c r="BC273"/>
  <c r="BC212"/>
  <c r="BC214"/>
  <c r="BC222"/>
  <c r="BC232"/>
  <c r="BC241"/>
  <c r="BC244"/>
  <c r="BC237"/>
  <c r="BC251"/>
  <c r="BC261"/>
  <c r="BC275"/>
  <c r="BC245"/>
  <c r="BC247"/>
  <c r="BC255"/>
  <c r="BC265"/>
  <c r="BC271"/>
  <c r="BC250"/>
  <c r="BC262"/>
  <c r="BC274"/>
  <c r="BC243"/>
  <c r="BC253"/>
  <c r="BC259"/>
  <c r="BC267"/>
  <c r="BC269"/>
  <c r="BC277"/>
  <c r="O12"/>
  <c r="O50"/>
  <c r="O58"/>
  <c r="O41"/>
  <c r="O11"/>
  <c r="O131"/>
  <c r="O10"/>
  <c r="O95"/>
  <c r="O52"/>
  <c r="O77"/>
  <c r="O14"/>
  <c r="O69"/>
  <c r="O72"/>
  <c r="O24"/>
  <c r="O80"/>
  <c r="O22"/>
  <c r="O53"/>
  <c r="O7"/>
  <c r="O8"/>
  <c r="O9"/>
  <c r="O16"/>
  <c r="O23"/>
  <c r="O40"/>
  <c r="O89"/>
  <c r="O34"/>
  <c r="O61"/>
  <c r="O62"/>
  <c r="O20"/>
  <c r="O31"/>
  <c r="O60"/>
  <c r="O6"/>
  <c r="O33"/>
  <c r="O43"/>
  <c r="O51"/>
  <c r="O99"/>
  <c r="O21"/>
  <c r="O32"/>
  <c r="O42"/>
  <c r="O98"/>
  <c r="O5"/>
  <c r="O13"/>
  <c r="O30"/>
  <c r="O44"/>
  <c r="O54"/>
  <c r="O65"/>
  <c r="O71"/>
  <c r="O19"/>
  <c r="O29"/>
  <c r="O39"/>
  <c r="O47"/>
  <c r="O49"/>
  <c r="O57"/>
  <c r="O67"/>
  <c r="O85"/>
  <c r="O88"/>
  <c r="O90"/>
  <c r="O116"/>
  <c r="O133"/>
  <c r="O17"/>
  <c r="O25"/>
  <c r="O27"/>
  <c r="O35"/>
  <c r="O45"/>
  <c r="O55"/>
  <c r="O68"/>
  <c r="O75"/>
  <c r="O143"/>
  <c r="O18"/>
  <c r="O28"/>
  <c r="O36"/>
  <c r="O38"/>
  <c r="O46"/>
  <c r="O56"/>
  <c r="O78"/>
  <c r="O96"/>
  <c r="O121"/>
  <c r="O129"/>
  <c r="O163"/>
  <c r="O79"/>
  <c r="O82"/>
  <c r="O119"/>
  <c r="O101"/>
  <c r="O106"/>
  <c r="O107"/>
  <c r="O111"/>
  <c r="O132"/>
  <c r="O87"/>
  <c r="O97"/>
  <c r="O124"/>
  <c r="O126"/>
  <c r="O179"/>
  <c r="O204"/>
  <c r="O241"/>
  <c r="O63"/>
  <c r="O73"/>
  <c r="O83"/>
  <c r="O91"/>
  <c r="O93"/>
  <c r="O108"/>
  <c r="O118"/>
  <c r="O151"/>
  <c r="O164"/>
  <c r="O66"/>
  <c r="O76"/>
  <c r="O86"/>
  <c r="O221"/>
  <c r="O64"/>
  <c r="O74"/>
  <c r="O84"/>
  <c r="O94"/>
  <c r="O109"/>
  <c r="O128"/>
  <c r="O144"/>
  <c r="O211"/>
  <c r="O102"/>
  <c r="O104"/>
  <c r="O112"/>
  <c r="O122"/>
  <c r="O152"/>
  <c r="O184"/>
  <c r="O117"/>
  <c r="O127"/>
  <c r="O134"/>
  <c r="O153"/>
  <c r="O170"/>
  <c r="O171"/>
  <c r="O100"/>
  <c r="O110"/>
  <c r="O120"/>
  <c r="O130"/>
  <c r="O141"/>
  <c r="O161"/>
  <c r="O186"/>
  <c r="O199"/>
  <c r="O105"/>
  <c r="O113"/>
  <c r="O115"/>
  <c r="O123"/>
  <c r="O142"/>
  <c r="O154"/>
  <c r="O162"/>
  <c r="O174"/>
  <c r="O175"/>
  <c r="O187"/>
  <c r="O217"/>
  <c r="O233"/>
  <c r="O139"/>
  <c r="O149"/>
  <c r="O157"/>
  <c r="O159"/>
  <c r="O167"/>
  <c r="O181"/>
  <c r="O185"/>
  <c r="O189"/>
  <c r="O194"/>
  <c r="O207"/>
  <c r="O228"/>
  <c r="O135"/>
  <c r="O137"/>
  <c r="O145"/>
  <c r="O155"/>
  <c r="O165"/>
  <c r="O168"/>
  <c r="O176"/>
  <c r="O182"/>
  <c r="O190"/>
  <c r="O195"/>
  <c r="O210"/>
  <c r="O231"/>
  <c r="O254"/>
  <c r="O140"/>
  <c r="O150"/>
  <c r="O160"/>
  <c r="O172"/>
  <c r="O258"/>
  <c r="O138"/>
  <c r="O146"/>
  <c r="O148"/>
  <c r="O156"/>
  <c r="O166"/>
  <c r="O177"/>
  <c r="O192"/>
  <c r="O200"/>
  <c r="O205"/>
  <c r="O197"/>
  <c r="O220"/>
  <c r="O225"/>
  <c r="O238"/>
  <c r="O239"/>
  <c r="O240"/>
  <c r="O249"/>
  <c r="O178"/>
  <c r="O188"/>
  <c r="O198"/>
  <c r="O229"/>
  <c r="O230"/>
  <c r="O173"/>
  <c r="O183"/>
  <c r="O193"/>
  <c r="O201"/>
  <c r="O203"/>
  <c r="O206"/>
  <c r="O215"/>
  <c r="O227"/>
  <c r="O196"/>
  <c r="O218"/>
  <c r="O273"/>
  <c r="O208"/>
  <c r="O216"/>
  <c r="O219"/>
  <c r="O223"/>
  <c r="O242"/>
  <c r="O244"/>
  <c r="O270"/>
  <c r="O209"/>
  <c r="O266"/>
  <c r="O278"/>
  <c r="O226"/>
  <c r="O234"/>
  <c r="O236"/>
  <c r="O252"/>
  <c r="O260"/>
  <c r="O263"/>
  <c r="O276"/>
  <c r="O212"/>
  <c r="O214"/>
  <c r="O222"/>
  <c r="O232"/>
  <c r="O237"/>
  <c r="O248"/>
  <c r="O256"/>
  <c r="O264"/>
  <c r="O272"/>
  <c r="O251"/>
  <c r="O261"/>
  <c r="O275"/>
  <c r="O245"/>
  <c r="O247"/>
  <c r="O255"/>
  <c r="O265"/>
  <c r="O271"/>
  <c r="O250"/>
  <c r="O262"/>
  <c r="O274"/>
  <c r="O243"/>
  <c r="O253"/>
  <c r="O259"/>
  <c r="O267"/>
  <c r="O269"/>
  <c r="O277"/>
  <c r="R10"/>
  <c r="R24"/>
  <c r="R120"/>
  <c r="R9"/>
  <c r="R42"/>
  <c r="R72"/>
  <c r="R8"/>
  <c r="R61"/>
  <c r="R7"/>
  <c r="R12"/>
  <c r="R13"/>
  <c r="R23"/>
  <c r="R33"/>
  <c r="R68"/>
  <c r="R89"/>
  <c r="R21"/>
  <c r="R35"/>
  <c r="R52"/>
  <c r="R132"/>
  <c r="R211"/>
  <c r="R11"/>
  <c r="R5"/>
  <c r="R17"/>
  <c r="R22"/>
  <c r="R34"/>
  <c r="R73"/>
  <c r="R76"/>
  <c r="R90"/>
  <c r="R32"/>
  <c r="R44"/>
  <c r="R54"/>
  <c r="R230"/>
  <c r="R25"/>
  <c r="R27"/>
  <c r="R43"/>
  <c r="R53"/>
  <c r="R60"/>
  <c r="R98"/>
  <c r="R100"/>
  <c r="R31"/>
  <c r="R6"/>
  <c r="R14"/>
  <c r="R16"/>
  <c r="R41"/>
  <c r="R45"/>
  <c r="R51"/>
  <c r="R55"/>
  <c r="R62"/>
  <c r="R63"/>
  <c r="R133"/>
  <c r="R152"/>
  <c r="R82"/>
  <c r="R91"/>
  <c r="R99"/>
  <c r="R20"/>
  <c r="R30"/>
  <c r="R40"/>
  <c r="R50"/>
  <c r="R58"/>
  <c r="R71"/>
  <c r="R93"/>
  <c r="R112"/>
  <c r="R18"/>
  <c r="R28"/>
  <c r="R36"/>
  <c r="R38"/>
  <c r="R46"/>
  <c r="R56"/>
  <c r="R69"/>
  <c r="R78"/>
  <c r="R79"/>
  <c r="R86"/>
  <c r="R95"/>
  <c r="R19"/>
  <c r="R29"/>
  <c r="R39"/>
  <c r="R47"/>
  <c r="R49"/>
  <c r="R57"/>
  <c r="R66"/>
  <c r="R108"/>
  <c r="R80"/>
  <c r="R83"/>
  <c r="R102"/>
  <c r="R107"/>
  <c r="R130"/>
  <c r="R234"/>
  <c r="R129"/>
  <c r="R134"/>
  <c r="R164"/>
  <c r="R88"/>
  <c r="R96"/>
  <c r="R97"/>
  <c r="R117"/>
  <c r="R119"/>
  <c r="R64"/>
  <c r="R74"/>
  <c r="R84"/>
  <c r="R94"/>
  <c r="R109"/>
  <c r="R165"/>
  <c r="R170"/>
  <c r="R229"/>
  <c r="R240"/>
  <c r="R245"/>
  <c r="R67"/>
  <c r="R77"/>
  <c r="R87"/>
  <c r="R104"/>
  <c r="R127"/>
  <c r="R144"/>
  <c r="R168"/>
  <c r="R65"/>
  <c r="R75"/>
  <c r="R85"/>
  <c r="R110"/>
  <c r="R122"/>
  <c r="R137"/>
  <c r="R145"/>
  <c r="R182"/>
  <c r="R241"/>
  <c r="R105"/>
  <c r="R113"/>
  <c r="R115"/>
  <c r="R123"/>
  <c r="R153"/>
  <c r="R219"/>
  <c r="R231"/>
  <c r="R118"/>
  <c r="R128"/>
  <c r="R135"/>
  <c r="R142"/>
  <c r="R154"/>
  <c r="R162"/>
  <c r="R175"/>
  <c r="R195"/>
  <c r="R208"/>
  <c r="R101"/>
  <c r="R111"/>
  <c r="R121"/>
  <c r="R176"/>
  <c r="R187"/>
  <c r="R188"/>
  <c r="R190"/>
  <c r="R196"/>
  <c r="R106"/>
  <c r="R116"/>
  <c r="R124"/>
  <c r="R126"/>
  <c r="R143"/>
  <c r="R155"/>
  <c r="R163"/>
  <c r="R140"/>
  <c r="R150"/>
  <c r="R160"/>
  <c r="R172"/>
  <c r="R186"/>
  <c r="R206"/>
  <c r="R239"/>
  <c r="R274"/>
  <c r="R138"/>
  <c r="R146"/>
  <c r="R148"/>
  <c r="R156"/>
  <c r="R166"/>
  <c r="R177"/>
  <c r="R183"/>
  <c r="R192"/>
  <c r="R203"/>
  <c r="R265"/>
  <c r="R131"/>
  <c r="R141"/>
  <c r="R151"/>
  <c r="R161"/>
  <c r="R173"/>
  <c r="R200"/>
  <c r="R205"/>
  <c r="R216"/>
  <c r="R269"/>
  <c r="R139"/>
  <c r="R149"/>
  <c r="R157"/>
  <c r="R159"/>
  <c r="R167"/>
  <c r="R178"/>
  <c r="R185"/>
  <c r="R193"/>
  <c r="R201"/>
  <c r="R198"/>
  <c r="R207"/>
  <c r="R210"/>
  <c r="R226"/>
  <c r="R232"/>
  <c r="R171"/>
  <c r="R179"/>
  <c r="R181"/>
  <c r="R189"/>
  <c r="R199"/>
  <c r="R218"/>
  <c r="R222"/>
  <c r="R277"/>
  <c r="R174"/>
  <c r="R184"/>
  <c r="R194"/>
  <c r="R204"/>
  <c r="R212"/>
  <c r="R263"/>
  <c r="R197"/>
  <c r="R221"/>
  <c r="R209"/>
  <c r="R217"/>
  <c r="R220"/>
  <c r="R236"/>
  <c r="R253"/>
  <c r="R214"/>
  <c r="R228"/>
  <c r="R250"/>
  <c r="R262"/>
  <c r="R243"/>
  <c r="R227"/>
  <c r="R237"/>
  <c r="R247"/>
  <c r="R255"/>
  <c r="R271"/>
  <c r="R215"/>
  <c r="R223"/>
  <c r="R225"/>
  <c r="R233"/>
  <c r="R249"/>
  <c r="R273"/>
  <c r="R238"/>
  <c r="R259"/>
  <c r="R267"/>
  <c r="R242"/>
  <c r="R252"/>
  <c r="R260"/>
  <c r="R276"/>
  <c r="R248"/>
  <c r="R256"/>
  <c r="R264"/>
  <c r="R272"/>
  <c r="R251"/>
  <c r="R261"/>
  <c r="R275"/>
  <c r="R244"/>
  <c r="R254"/>
  <c r="R258"/>
  <c r="R266"/>
  <c r="R270"/>
  <c r="R278"/>
  <c r="AK73"/>
  <c r="AK38"/>
  <c r="AK33"/>
  <c r="AK10"/>
  <c r="AK23"/>
  <c r="AK34"/>
  <c r="AK118"/>
  <c r="AK9"/>
  <c r="AK111"/>
  <c r="AK52"/>
  <c r="AK64"/>
  <c r="AK166"/>
  <c r="AK22"/>
  <c r="AK56"/>
  <c r="AK18"/>
  <c r="AK42"/>
  <c r="AK44"/>
  <c r="AK80"/>
  <c r="AK46"/>
  <c r="AK62"/>
  <c r="AK67"/>
  <c r="AK79"/>
  <c r="AK25"/>
  <c r="AK61"/>
  <c r="AK74"/>
  <c r="AK97"/>
  <c r="AK12"/>
  <c r="AK13"/>
  <c r="AK17"/>
  <c r="AK55"/>
  <c r="AK71"/>
  <c r="AK28"/>
  <c r="AK32"/>
  <c r="AK5"/>
  <c r="AK6"/>
  <c r="AK96"/>
  <c r="AK16"/>
  <c r="AK27"/>
  <c r="AK36"/>
  <c r="AK45"/>
  <c r="AK54"/>
  <c r="AK72"/>
  <c r="AK84"/>
  <c r="AK8"/>
  <c r="AK11"/>
  <c r="AK14"/>
  <c r="AK24"/>
  <c r="AK35"/>
  <c r="AK7"/>
  <c r="AK43"/>
  <c r="AK53"/>
  <c r="AK83"/>
  <c r="AK87"/>
  <c r="AK89"/>
  <c r="AK130"/>
  <c r="AK21"/>
  <c r="AK31"/>
  <c r="AK41"/>
  <c r="AK51"/>
  <c r="AK165"/>
  <c r="AK197"/>
  <c r="AK19"/>
  <c r="AK29"/>
  <c r="AK39"/>
  <c r="AK47"/>
  <c r="AK49"/>
  <c r="AK57"/>
  <c r="AK93"/>
  <c r="AK113"/>
  <c r="AK121"/>
  <c r="AK137"/>
  <c r="AK20"/>
  <c r="AK30"/>
  <c r="AK40"/>
  <c r="AK50"/>
  <c r="AK58"/>
  <c r="AK63"/>
  <c r="AK69"/>
  <c r="AK82"/>
  <c r="AK138"/>
  <c r="AK167"/>
  <c r="AK77"/>
  <c r="AK91"/>
  <c r="AK109"/>
  <c r="AK110"/>
  <c r="AK105"/>
  <c r="AK170"/>
  <c r="AK196"/>
  <c r="AK100"/>
  <c r="AK120"/>
  <c r="AK134"/>
  <c r="AK145"/>
  <c r="AK146"/>
  <c r="AK90"/>
  <c r="AK99"/>
  <c r="AK65"/>
  <c r="AK75"/>
  <c r="AK85"/>
  <c r="AK133"/>
  <c r="AK203"/>
  <c r="AK206"/>
  <c r="AK60"/>
  <c r="AK68"/>
  <c r="AK78"/>
  <c r="AK88"/>
  <c r="AK95"/>
  <c r="AK98"/>
  <c r="AK101"/>
  <c r="AK128"/>
  <c r="AK179"/>
  <c r="AK66"/>
  <c r="AK76"/>
  <c r="AK86"/>
  <c r="AK108"/>
  <c r="AK115"/>
  <c r="AK123"/>
  <c r="AK135"/>
  <c r="AK153"/>
  <c r="AK106"/>
  <c r="AK116"/>
  <c r="AK124"/>
  <c r="AK126"/>
  <c r="AK154"/>
  <c r="AK184"/>
  <c r="AK119"/>
  <c r="AK129"/>
  <c r="AK143"/>
  <c r="AK155"/>
  <c r="AK163"/>
  <c r="AK171"/>
  <c r="AK173"/>
  <c r="AK94"/>
  <c r="AK102"/>
  <c r="AK104"/>
  <c r="AK112"/>
  <c r="AK122"/>
  <c r="AK186"/>
  <c r="AK107"/>
  <c r="AK117"/>
  <c r="AK127"/>
  <c r="AK144"/>
  <c r="AK148"/>
  <c r="AK156"/>
  <c r="AK164"/>
  <c r="AK168"/>
  <c r="AK174"/>
  <c r="AK178"/>
  <c r="AK187"/>
  <c r="AK131"/>
  <c r="AK141"/>
  <c r="AK151"/>
  <c r="AK161"/>
  <c r="AK181"/>
  <c r="AK189"/>
  <c r="AK193"/>
  <c r="AK207"/>
  <c r="AK209"/>
  <c r="AK219"/>
  <c r="AK225"/>
  <c r="AK240"/>
  <c r="AK254"/>
  <c r="AK139"/>
  <c r="AK149"/>
  <c r="AK157"/>
  <c r="AK159"/>
  <c r="AK176"/>
  <c r="AK205"/>
  <c r="AK218"/>
  <c r="AK230"/>
  <c r="AK132"/>
  <c r="AK142"/>
  <c r="AK152"/>
  <c r="AK162"/>
  <c r="AK183"/>
  <c r="AK194"/>
  <c r="AK201"/>
  <c r="AK227"/>
  <c r="AK261"/>
  <c r="AK140"/>
  <c r="AK150"/>
  <c r="AK160"/>
  <c r="AK177"/>
  <c r="AK188"/>
  <c r="AK222"/>
  <c r="AK231"/>
  <c r="AK199"/>
  <c r="AK232"/>
  <c r="AK237"/>
  <c r="AK266"/>
  <c r="AK275"/>
  <c r="AK172"/>
  <c r="AK182"/>
  <c r="AK190"/>
  <c r="AK192"/>
  <c r="AK200"/>
  <c r="AK217"/>
  <c r="AK221"/>
  <c r="AK278"/>
  <c r="AK175"/>
  <c r="AK185"/>
  <c r="AK195"/>
  <c r="AK204"/>
  <c r="AK208"/>
  <c r="AK211"/>
  <c r="AK244"/>
  <c r="AK198"/>
  <c r="AK210"/>
  <c r="AK220"/>
  <c r="AK258"/>
  <c r="AK214"/>
  <c r="AK233"/>
  <c r="AK251"/>
  <c r="AK212"/>
  <c r="AK223"/>
  <c r="AK215"/>
  <c r="AK270"/>
  <c r="AK228"/>
  <c r="AK238"/>
  <c r="AK248"/>
  <c r="AK256"/>
  <c r="AK264"/>
  <c r="AK272"/>
  <c r="AK216"/>
  <c r="AK226"/>
  <c r="AK234"/>
  <c r="AK236"/>
  <c r="AK241"/>
  <c r="AK250"/>
  <c r="AK262"/>
  <c r="AK274"/>
  <c r="AK229"/>
  <c r="AK239"/>
  <c r="AK243"/>
  <c r="AK253"/>
  <c r="AK259"/>
  <c r="AK267"/>
  <c r="AK269"/>
  <c r="AK277"/>
  <c r="AK249"/>
  <c r="AK263"/>
  <c r="AK273"/>
  <c r="AK242"/>
  <c r="AK252"/>
  <c r="AK260"/>
  <c r="AK276"/>
  <c r="AK245"/>
  <c r="AK247"/>
  <c r="AK255"/>
  <c r="AK265"/>
  <c r="AK271"/>
  <c r="G20"/>
  <c r="G21"/>
  <c r="G80"/>
  <c r="G6"/>
  <c r="G22"/>
  <c r="G50"/>
  <c r="G96"/>
  <c r="G53"/>
  <c r="G11"/>
  <c r="G12"/>
  <c r="G60"/>
  <c r="G43"/>
  <c r="G44"/>
  <c r="G61"/>
  <c r="G9"/>
  <c r="G71"/>
  <c r="G107"/>
  <c r="G8"/>
  <c r="G16"/>
  <c r="G33"/>
  <c r="G34"/>
  <c r="G31"/>
  <c r="G42"/>
  <c r="G52"/>
  <c r="G195"/>
  <c r="G30"/>
  <c r="G41"/>
  <c r="G51"/>
  <c r="G141"/>
  <c r="G14"/>
  <c r="G79"/>
  <c r="G108"/>
  <c r="G119"/>
  <c r="G58"/>
  <c r="G85"/>
  <c r="G7"/>
  <c r="G10"/>
  <c r="G24"/>
  <c r="G40"/>
  <c r="G54"/>
  <c r="G62"/>
  <c r="G65"/>
  <c r="G175"/>
  <c r="G5"/>
  <c r="G13"/>
  <c r="G23"/>
  <c r="G32"/>
  <c r="G78"/>
  <c r="G68"/>
  <c r="G19"/>
  <c r="G29"/>
  <c r="G39"/>
  <c r="G47"/>
  <c r="G49"/>
  <c r="G57"/>
  <c r="G69"/>
  <c r="G72"/>
  <c r="G17"/>
  <c r="G25"/>
  <c r="G27"/>
  <c r="G35"/>
  <c r="G45"/>
  <c r="G55"/>
  <c r="G77"/>
  <c r="G90"/>
  <c r="G18"/>
  <c r="G28"/>
  <c r="G36"/>
  <c r="G38"/>
  <c r="G46"/>
  <c r="G56"/>
  <c r="G67"/>
  <c r="G82"/>
  <c r="G87"/>
  <c r="G118"/>
  <c r="G153"/>
  <c r="G75"/>
  <c r="G99"/>
  <c r="G216"/>
  <c r="G126"/>
  <c r="G128"/>
  <c r="G142"/>
  <c r="G186"/>
  <c r="G88"/>
  <c r="G171"/>
  <c r="G258"/>
  <c r="G89"/>
  <c r="G63"/>
  <c r="G73"/>
  <c r="G83"/>
  <c r="G91"/>
  <c r="G93"/>
  <c r="G109"/>
  <c r="G121"/>
  <c r="G185"/>
  <c r="G66"/>
  <c r="G76"/>
  <c r="G86"/>
  <c r="G97"/>
  <c r="G129"/>
  <c r="G134"/>
  <c r="G152"/>
  <c r="G172"/>
  <c r="G189"/>
  <c r="G200"/>
  <c r="G240"/>
  <c r="G64"/>
  <c r="G74"/>
  <c r="G84"/>
  <c r="G94"/>
  <c r="G95"/>
  <c r="G98"/>
  <c r="G101"/>
  <c r="G106"/>
  <c r="G111"/>
  <c r="G116"/>
  <c r="G124"/>
  <c r="G154"/>
  <c r="G161"/>
  <c r="G162"/>
  <c r="G102"/>
  <c r="G104"/>
  <c r="G112"/>
  <c r="G122"/>
  <c r="G143"/>
  <c r="G163"/>
  <c r="G179"/>
  <c r="G276"/>
  <c r="G117"/>
  <c r="G127"/>
  <c r="G131"/>
  <c r="G168"/>
  <c r="G100"/>
  <c r="G110"/>
  <c r="G120"/>
  <c r="G130"/>
  <c r="G132"/>
  <c r="G144"/>
  <c r="G164"/>
  <c r="G181"/>
  <c r="G105"/>
  <c r="G113"/>
  <c r="G115"/>
  <c r="G123"/>
  <c r="G133"/>
  <c r="G151"/>
  <c r="G184"/>
  <c r="G139"/>
  <c r="G149"/>
  <c r="G157"/>
  <c r="G159"/>
  <c r="G167"/>
  <c r="G170"/>
  <c r="G176"/>
  <c r="G182"/>
  <c r="G190"/>
  <c r="G199"/>
  <c r="G205"/>
  <c r="G135"/>
  <c r="G137"/>
  <c r="G145"/>
  <c r="G155"/>
  <c r="G165"/>
  <c r="G187"/>
  <c r="G192"/>
  <c r="G204"/>
  <c r="G218"/>
  <c r="G140"/>
  <c r="G150"/>
  <c r="G160"/>
  <c r="G177"/>
  <c r="G210"/>
  <c r="G229"/>
  <c r="G231"/>
  <c r="G138"/>
  <c r="G146"/>
  <c r="G148"/>
  <c r="G156"/>
  <c r="G166"/>
  <c r="G174"/>
  <c r="G194"/>
  <c r="G197"/>
  <c r="G207"/>
  <c r="G215"/>
  <c r="G219"/>
  <c r="G248"/>
  <c r="G278"/>
  <c r="G178"/>
  <c r="G188"/>
  <c r="G198"/>
  <c r="G206"/>
  <c r="G221"/>
  <c r="G223"/>
  <c r="G225"/>
  <c r="G228"/>
  <c r="G238"/>
  <c r="G241"/>
  <c r="G254"/>
  <c r="G173"/>
  <c r="G183"/>
  <c r="G193"/>
  <c r="G201"/>
  <c r="G203"/>
  <c r="G233"/>
  <c r="G242"/>
  <c r="G196"/>
  <c r="G230"/>
  <c r="G252"/>
  <c r="G263"/>
  <c r="G266"/>
  <c r="G272"/>
  <c r="G208"/>
  <c r="G227"/>
  <c r="G256"/>
  <c r="G211"/>
  <c r="G217"/>
  <c r="G220"/>
  <c r="G260"/>
  <c r="G264"/>
  <c r="G209"/>
  <c r="G239"/>
  <c r="G270"/>
  <c r="G226"/>
  <c r="G234"/>
  <c r="G236"/>
  <c r="G249"/>
  <c r="G273"/>
  <c r="G212"/>
  <c r="G214"/>
  <c r="G222"/>
  <c r="G232"/>
  <c r="G244"/>
  <c r="G237"/>
  <c r="G251"/>
  <c r="G261"/>
  <c r="G275"/>
  <c r="G245"/>
  <c r="G247"/>
  <c r="G255"/>
  <c r="G265"/>
  <c r="G271"/>
  <c r="G250"/>
  <c r="G262"/>
  <c r="G274"/>
  <c r="G243"/>
  <c r="G253"/>
  <c r="G259"/>
  <c r="G267"/>
  <c r="G269"/>
  <c r="G277"/>
  <c r="BE10"/>
  <c r="BE28"/>
  <c r="BE77"/>
  <c r="BE86"/>
  <c r="BE30"/>
  <c r="BE76"/>
  <c r="BE96"/>
  <c r="BE7"/>
  <c r="BE32"/>
  <c r="BE57"/>
  <c r="BE63"/>
  <c r="BE85"/>
  <c r="BE100"/>
  <c r="BE6"/>
  <c r="BE19"/>
  <c r="BE50"/>
  <c r="BE46"/>
  <c r="BE21"/>
  <c r="BE40"/>
  <c r="BE60"/>
  <c r="BE94"/>
  <c r="BE161"/>
  <c r="BE12"/>
  <c r="BE20"/>
  <c r="BE209"/>
  <c r="BE9"/>
  <c r="BE13"/>
  <c r="BE14"/>
  <c r="BE31"/>
  <c r="BE38"/>
  <c r="BE42"/>
  <c r="BE49"/>
  <c r="BE58"/>
  <c r="BE67"/>
  <c r="BE188"/>
  <c r="BE8"/>
  <c r="BE18"/>
  <c r="BE52"/>
  <c r="BE73"/>
  <c r="BE5"/>
  <c r="BE22"/>
  <c r="BE29"/>
  <c r="BE39"/>
  <c r="BE47"/>
  <c r="BE56"/>
  <c r="BE65"/>
  <c r="BE68"/>
  <c r="BE11"/>
  <c r="BE36"/>
  <c r="BE41"/>
  <c r="BE51"/>
  <c r="BE254"/>
  <c r="BE93"/>
  <c r="BE238"/>
  <c r="BE17"/>
  <c r="BE25"/>
  <c r="BE27"/>
  <c r="BE35"/>
  <c r="BE45"/>
  <c r="BE55"/>
  <c r="BE91"/>
  <c r="BE102"/>
  <c r="BE278"/>
  <c r="BE23"/>
  <c r="BE33"/>
  <c r="BE43"/>
  <c r="BE53"/>
  <c r="BE87"/>
  <c r="BE107"/>
  <c r="BE16"/>
  <c r="BE24"/>
  <c r="BE34"/>
  <c r="BE44"/>
  <c r="BE54"/>
  <c r="BE66"/>
  <c r="BE78"/>
  <c r="BE99"/>
  <c r="BE126"/>
  <c r="BE75"/>
  <c r="BE83"/>
  <c r="BE97"/>
  <c r="BE159"/>
  <c r="BE119"/>
  <c r="BE162"/>
  <c r="BE88"/>
  <c r="BE127"/>
  <c r="BE129"/>
  <c r="BE140"/>
  <c r="BE160"/>
  <c r="BE61"/>
  <c r="BE69"/>
  <c r="BE71"/>
  <c r="BE79"/>
  <c r="BE89"/>
  <c r="BE95"/>
  <c r="BE109"/>
  <c r="BE122"/>
  <c r="BE64"/>
  <c r="BE74"/>
  <c r="BE84"/>
  <c r="BE104"/>
  <c r="BE116"/>
  <c r="BE124"/>
  <c r="BE139"/>
  <c r="BE141"/>
  <c r="BE142"/>
  <c r="BE274"/>
  <c r="BE62"/>
  <c r="BE72"/>
  <c r="BE80"/>
  <c r="BE82"/>
  <c r="BE90"/>
  <c r="BE105"/>
  <c r="BE106"/>
  <c r="BE112"/>
  <c r="BE117"/>
  <c r="BE190"/>
  <c r="BE110"/>
  <c r="BE120"/>
  <c r="BE130"/>
  <c r="BE131"/>
  <c r="BE184"/>
  <c r="BE197"/>
  <c r="BE239"/>
  <c r="BE113"/>
  <c r="BE115"/>
  <c r="BE123"/>
  <c r="BE132"/>
  <c r="BE149"/>
  <c r="BE157"/>
  <c r="BE198"/>
  <c r="BE98"/>
  <c r="BE108"/>
  <c r="BE118"/>
  <c r="BE128"/>
  <c r="BE150"/>
  <c r="BE151"/>
  <c r="BE173"/>
  <c r="BE101"/>
  <c r="BE111"/>
  <c r="BE121"/>
  <c r="BE152"/>
  <c r="BE174"/>
  <c r="BE175"/>
  <c r="BE187"/>
  <c r="BE247"/>
  <c r="BE135"/>
  <c r="BE137"/>
  <c r="BE145"/>
  <c r="BE155"/>
  <c r="BE165"/>
  <c r="BE170"/>
  <c r="BE178"/>
  <c r="BE185"/>
  <c r="BE200"/>
  <c r="BE242"/>
  <c r="BE133"/>
  <c r="BE143"/>
  <c r="BE153"/>
  <c r="BE163"/>
  <c r="BE167"/>
  <c r="BE182"/>
  <c r="BE192"/>
  <c r="BE201"/>
  <c r="BE229"/>
  <c r="BE231"/>
  <c r="BE138"/>
  <c r="BE146"/>
  <c r="BE148"/>
  <c r="BE156"/>
  <c r="BE166"/>
  <c r="BE172"/>
  <c r="BE214"/>
  <c r="BE134"/>
  <c r="BE144"/>
  <c r="BE154"/>
  <c r="BE164"/>
  <c r="BE168"/>
  <c r="BE177"/>
  <c r="BE183"/>
  <c r="BE193"/>
  <c r="BE204"/>
  <c r="BE262"/>
  <c r="BE195"/>
  <c r="BE203"/>
  <c r="BE211"/>
  <c r="BE217"/>
  <c r="BE234"/>
  <c r="BE237"/>
  <c r="BE244"/>
  <c r="BE258"/>
  <c r="BE176"/>
  <c r="BE186"/>
  <c r="BE196"/>
  <c r="BE228"/>
  <c r="BE266"/>
  <c r="BE171"/>
  <c r="BE179"/>
  <c r="BE181"/>
  <c r="BE189"/>
  <c r="BE199"/>
  <c r="BE225"/>
  <c r="BE250"/>
  <c r="BE255"/>
  <c r="BE194"/>
  <c r="BE205"/>
  <c r="BE208"/>
  <c r="BE206"/>
  <c r="BE212"/>
  <c r="BE218"/>
  <c r="BE221"/>
  <c r="BE236"/>
  <c r="BE271"/>
  <c r="BE215"/>
  <c r="BE223"/>
  <c r="BE226"/>
  <c r="BE207"/>
  <c r="BE216"/>
  <c r="BE219"/>
  <c r="BE227"/>
  <c r="BE270"/>
  <c r="BE222"/>
  <c r="BE232"/>
  <c r="BE210"/>
  <c r="BE220"/>
  <c r="BE230"/>
  <c r="BE240"/>
  <c r="BE245"/>
  <c r="BE252"/>
  <c r="BE260"/>
  <c r="BE265"/>
  <c r="BE276"/>
  <c r="BE233"/>
  <c r="BE249"/>
  <c r="BE263"/>
  <c r="BE273"/>
  <c r="BE243"/>
  <c r="BE253"/>
  <c r="BE259"/>
  <c r="BE267"/>
  <c r="BE269"/>
  <c r="BE277"/>
  <c r="BE248"/>
  <c r="BE256"/>
  <c r="BE264"/>
  <c r="BE272"/>
  <c r="BE241"/>
  <c r="BE251"/>
  <c r="BE261"/>
  <c r="BE275"/>
  <c r="N45"/>
  <c r="N31"/>
  <c r="N77"/>
  <c r="N41"/>
  <c r="N49"/>
  <c r="N19"/>
  <c r="N46"/>
  <c r="N8"/>
  <c r="N16"/>
  <c r="N25"/>
  <c r="N36"/>
  <c r="N40"/>
  <c r="N58"/>
  <c r="N94"/>
  <c r="N7"/>
  <c r="N13"/>
  <c r="N14"/>
  <c r="N20"/>
  <c r="N27"/>
  <c r="N57"/>
  <c r="N104"/>
  <c r="N192"/>
  <c r="N11"/>
  <c r="N30"/>
  <c r="N35"/>
  <c r="N50"/>
  <c r="N55"/>
  <c r="N82"/>
  <c r="N65"/>
  <c r="N66"/>
  <c r="N5"/>
  <c r="N28"/>
  <c r="N74"/>
  <c r="N106"/>
  <c r="N9"/>
  <c r="N12"/>
  <c r="N18"/>
  <c r="N39"/>
  <c r="N75"/>
  <c r="N183"/>
  <c r="N6"/>
  <c r="N17"/>
  <c r="N47"/>
  <c r="N51"/>
  <c r="N56"/>
  <c r="N67"/>
  <c r="N101"/>
  <c r="N10"/>
  <c r="N21"/>
  <c r="N29"/>
  <c r="N38"/>
  <c r="N72"/>
  <c r="N95"/>
  <c r="N90"/>
  <c r="N85"/>
  <c r="N24"/>
  <c r="N34"/>
  <c r="N44"/>
  <c r="N54"/>
  <c r="N76"/>
  <c r="N273"/>
  <c r="N22"/>
  <c r="N32"/>
  <c r="N42"/>
  <c r="N52"/>
  <c r="N62"/>
  <c r="N80"/>
  <c r="N23"/>
  <c r="N33"/>
  <c r="N43"/>
  <c r="N53"/>
  <c r="N64"/>
  <c r="N84"/>
  <c r="N189"/>
  <c r="N87"/>
  <c r="N194"/>
  <c r="N100"/>
  <c r="N105"/>
  <c r="N121"/>
  <c r="N123"/>
  <c r="N131"/>
  <c r="N86"/>
  <c r="N98"/>
  <c r="N115"/>
  <c r="N128"/>
  <c r="N148"/>
  <c r="N60"/>
  <c r="N68"/>
  <c r="N78"/>
  <c r="N88"/>
  <c r="N96"/>
  <c r="N99"/>
  <c r="N102"/>
  <c r="N111"/>
  <c r="N116"/>
  <c r="N124"/>
  <c r="N149"/>
  <c r="N150"/>
  <c r="N156"/>
  <c r="N209"/>
  <c r="N63"/>
  <c r="N73"/>
  <c r="N83"/>
  <c r="N91"/>
  <c r="N93"/>
  <c r="N108"/>
  <c r="N113"/>
  <c r="N118"/>
  <c r="N157"/>
  <c r="N249"/>
  <c r="N61"/>
  <c r="N69"/>
  <c r="N71"/>
  <c r="N79"/>
  <c r="N89"/>
  <c r="N126"/>
  <c r="N109"/>
  <c r="N119"/>
  <c r="N129"/>
  <c r="N151"/>
  <c r="N181"/>
  <c r="N244"/>
  <c r="N112"/>
  <c r="N122"/>
  <c r="N138"/>
  <c r="N146"/>
  <c r="N166"/>
  <c r="N172"/>
  <c r="N184"/>
  <c r="N97"/>
  <c r="N107"/>
  <c r="N117"/>
  <c r="N127"/>
  <c r="N139"/>
  <c r="N140"/>
  <c r="N159"/>
  <c r="N160"/>
  <c r="N167"/>
  <c r="N200"/>
  <c r="N110"/>
  <c r="N120"/>
  <c r="N130"/>
  <c r="N141"/>
  <c r="N161"/>
  <c r="N177"/>
  <c r="N197"/>
  <c r="N238"/>
  <c r="N134"/>
  <c r="N144"/>
  <c r="N154"/>
  <c r="N164"/>
  <c r="N174"/>
  <c r="N218"/>
  <c r="N233"/>
  <c r="N132"/>
  <c r="N142"/>
  <c r="N152"/>
  <c r="N162"/>
  <c r="N171"/>
  <c r="N179"/>
  <c r="N186"/>
  <c r="N196"/>
  <c r="N223"/>
  <c r="N135"/>
  <c r="N137"/>
  <c r="N145"/>
  <c r="N155"/>
  <c r="N165"/>
  <c r="N176"/>
  <c r="N182"/>
  <c r="N190"/>
  <c r="N234"/>
  <c r="N133"/>
  <c r="N143"/>
  <c r="N153"/>
  <c r="N163"/>
  <c r="N173"/>
  <c r="N187"/>
  <c r="N199"/>
  <c r="N212"/>
  <c r="N204"/>
  <c r="N221"/>
  <c r="N228"/>
  <c r="N237"/>
  <c r="N175"/>
  <c r="N185"/>
  <c r="N195"/>
  <c r="N207"/>
  <c r="N168"/>
  <c r="N170"/>
  <c r="N178"/>
  <c r="N188"/>
  <c r="N198"/>
  <c r="N243"/>
  <c r="N193"/>
  <c r="N201"/>
  <c r="N203"/>
  <c r="N206"/>
  <c r="N208"/>
  <c r="N214"/>
  <c r="N215"/>
  <c r="N275"/>
  <c r="N205"/>
  <c r="N210"/>
  <c r="N222"/>
  <c r="N225"/>
  <c r="N230"/>
  <c r="N240"/>
  <c r="N251"/>
  <c r="N259"/>
  <c r="N216"/>
  <c r="N226"/>
  <c r="N263"/>
  <c r="N267"/>
  <c r="N211"/>
  <c r="N217"/>
  <c r="N220"/>
  <c r="N227"/>
  <c r="N236"/>
  <c r="N231"/>
  <c r="N241"/>
  <c r="N253"/>
  <c r="N269"/>
  <c r="N277"/>
  <c r="N219"/>
  <c r="N229"/>
  <c r="N239"/>
  <c r="N254"/>
  <c r="N258"/>
  <c r="N261"/>
  <c r="N266"/>
  <c r="N270"/>
  <c r="N278"/>
  <c r="N232"/>
  <c r="N248"/>
  <c r="N256"/>
  <c r="N264"/>
  <c r="N272"/>
  <c r="N242"/>
  <c r="N252"/>
  <c r="N260"/>
  <c r="N276"/>
  <c r="N245"/>
  <c r="N247"/>
  <c r="N255"/>
  <c r="N265"/>
  <c r="N271"/>
  <c r="N250"/>
  <c r="N262"/>
  <c r="N274"/>
  <c r="BD24"/>
  <c r="BD56"/>
  <c r="BD9"/>
  <c r="BD27"/>
  <c r="BD159"/>
  <c r="BD25"/>
  <c r="BD60"/>
  <c r="BD23"/>
  <c r="BD10"/>
  <c r="BD78"/>
  <c r="BD38"/>
  <c r="BD5"/>
  <c r="BD36"/>
  <c r="BD46"/>
  <c r="BD53"/>
  <c r="BD7"/>
  <c r="BD13"/>
  <c r="BD82"/>
  <c r="BD90"/>
  <c r="BD6"/>
  <c r="BD16"/>
  <c r="BD17"/>
  <c r="BD19"/>
  <c r="BD47"/>
  <c r="BD72"/>
  <c r="BD64"/>
  <c r="BD166"/>
  <c r="BD29"/>
  <c r="BD35"/>
  <c r="BD106"/>
  <c r="BD112"/>
  <c r="BD28"/>
  <c r="BD39"/>
  <c r="BD12"/>
  <c r="BD54"/>
  <c r="BD11"/>
  <c r="BD14"/>
  <c r="BD34"/>
  <c r="BD44"/>
  <c r="BD49"/>
  <c r="BD57"/>
  <c r="BD62"/>
  <c r="BD85"/>
  <c r="BD119"/>
  <c r="BD190"/>
  <c r="BD18"/>
  <c r="BD33"/>
  <c r="BD43"/>
  <c r="BD8"/>
  <c r="BD45"/>
  <c r="BD55"/>
  <c r="BD65"/>
  <c r="BD73"/>
  <c r="BD75"/>
  <c r="BD84"/>
  <c r="BD91"/>
  <c r="BD100"/>
  <c r="BD104"/>
  <c r="BD111"/>
  <c r="BD83"/>
  <c r="BD178"/>
  <c r="BD189"/>
  <c r="BD22"/>
  <c r="BD32"/>
  <c r="BD42"/>
  <c r="BD52"/>
  <c r="BD68"/>
  <c r="BD121"/>
  <c r="BD124"/>
  <c r="BD20"/>
  <c r="BD30"/>
  <c r="BD40"/>
  <c r="BD50"/>
  <c r="BD58"/>
  <c r="BD63"/>
  <c r="BD93"/>
  <c r="BD97"/>
  <c r="BD116"/>
  <c r="BD135"/>
  <c r="BD21"/>
  <c r="BD31"/>
  <c r="BD41"/>
  <c r="BD51"/>
  <c r="BD101"/>
  <c r="BD195"/>
  <c r="BD74"/>
  <c r="BD80"/>
  <c r="BD102"/>
  <c r="BD126"/>
  <c r="BD134"/>
  <c r="BD139"/>
  <c r="BD154"/>
  <c r="BD94"/>
  <c r="BD88"/>
  <c r="BD66"/>
  <c r="BD76"/>
  <c r="BD86"/>
  <c r="BD98"/>
  <c r="BD129"/>
  <c r="BD61"/>
  <c r="BD69"/>
  <c r="BD71"/>
  <c r="BD79"/>
  <c r="BD89"/>
  <c r="BD109"/>
  <c r="BD122"/>
  <c r="BD138"/>
  <c r="BD146"/>
  <c r="BD232"/>
  <c r="BD67"/>
  <c r="BD77"/>
  <c r="BD87"/>
  <c r="BD96"/>
  <c r="BD99"/>
  <c r="BD110"/>
  <c r="BD107"/>
  <c r="BD117"/>
  <c r="BD127"/>
  <c r="BD155"/>
  <c r="BD181"/>
  <c r="BD216"/>
  <c r="BD226"/>
  <c r="BD120"/>
  <c r="BD144"/>
  <c r="BD148"/>
  <c r="BD156"/>
  <c r="BD164"/>
  <c r="BD170"/>
  <c r="BD172"/>
  <c r="BD184"/>
  <c r="BD194"/>
  <c r="BD197"/>
  <c r="BD206"/>
  <c r="BD211"/>
  <c r="BD95"/>
  <c r="BD105"/>
  <c r="BD113"/>
  <c r="BD115"/>
  <c r="BD123"/>
  <c r="BD149"/>
  <c r="BD157"/>
  <c r="BD185"/>
  <c r="BD108"/>
  <c r="BD118"/>
  <c r="BD128"/>
  <c r="BD137"/>
  <c r="BD145"/>
  <c r="BD165"/>
  <c r="BD168"/>
  <c r="BD177"/>
  <c r="BD132"/>
  <c r="BD142"/>
  <c r="BD152"/>
  <c r="BD162"/>
  <c r="BD174"/>
  <c r="BD188"/>
  <c r="BD198"/>
  <c r="BD208"/>
  <c r="BD130"/>
  <c r="BD140"/>
  <c r="BD150"/>
  <c r="BD160"/>
  <c r="BD171"/>
  <c r="BD175"/>
  <c r="BD179"/>
  <c r="BD205"/>
  <c r="BD234"/>
  <c r="BD261"/>
  <c r="BD133"/>
  <c r="BD143"/>
  <c r="BD153"/>
  <c r="BD163"/>
  <c r="BD167"/>
  <c r="BD182"/>
  <c r="BD192"/>
  <c r="BD220"/>
  <c r="BD131"/>
  <c r="BD141"/>
  <c r="BD151"/>
  <c r="BD161"/>
  <c r="BD187"/>
  <c r="BD200"/>
  <c r="BD209"/>
  <c r="BD241"/>
  <c r="BD249"/>
  <c r="BD173"/>
  <c r="BD183"/>
  <c r="BD193"/>
  <c r="BD201"/>
  <c r="BD204"/>
  <c r="BD207"/>
  <c r="BD223"/>
  <c r="BD176"/>
  <c r="BD186"/>
  <c r="BD196"/>
  <c r="BD219"/>
  <c r="BD228"/>
  <c r="BD199"/>
  <c r="BD215"/>
  <c r="BD255"/>
  <c r="BD203"/>
  <c r="BD214"/>
  <c r="BD222"/>
  <c r="BD225"/>
  <c r="BD231"/>
  <c r="BD273"/>
  <c r="BD212"/>
  <c r="BD218"/>
  <c r="BD221"/>
  <c r="BD236"/>
  <c r="BD271"/>
  <c r="BD210"/>
  <c r="BD233"/>
  <c r="BD238"/>
  <c r="BD247"/>
  <c r="BD229"/>
  <c r="BD239"/>
  <c r="BD242"/>
  <c r="BD217"/>
  <c r="BD227"/>
  <c r="BD237"/>
  <c r="BD251"/>
  <c r="BD275"/>
  <c r="BD230"/>
  <c r="BD240"/>
  <c r="BD245"/>
  <c r="BD252"/>
  <c r="BD260"/>
  <c r="BD263"/>
  <c r="BD265"/>
  <c r="BD276"/>
  <c r="BD244"/>
  <c r="BD254"/>
  <c r="BD258"/>
  <c r="BD266"/>
  <c r="BD270"/>
  <c r="BD278"/>
  <c r="BD250"/>
  <c r="BD262"/>
  <c r="BD274"/>
  <c r="BD243"/>
  <c r="BD253"/>
  <c r="BD259"/>
  <c r="BD267"/>
  <c r="BD269"/>
  <c r="BD277"/>
  <c r="BD248"/>
  <c r="BD256"/>
  <c r="BD264"/>
  <c r="BD272"/>
  <c r="AY46"/>
  <c r="AY47"/>
  <c r="AY10"/>
  <c r="AY18"/>
  <c r="AY76"/>
  <c r="AY12"/>
  <c r="AY139"/>
  <c r="AY71"/>
  <c r="AY39"/>
  <c r="AY63"/>
  <c r="AY85"/>
  <c r="AY150"/>
  <c r="AY38"/>
  <c r="AY57"/>
  <c r="AY65"/>
  <c r="AY75"/>
  <c r="AY8"/>
  <c r="AY56"/>
  <c r="AY13"/>
  <c r="AY14"/>
  <c r="AY19"/>
  <c r="AY49"/>
  <c r="AY7"/>
  <c r="AY11"/>
  <c r="AY30"/>
  <c r="AY17"/>
  <c r="AY29"/>
  <c r="AY50"/>
  <c r="AY55"/>
  <c r="AY79"/>
  <c r="AY5"/>
  <c r="AY16"/>
  <c r="AY44"/>
  <c r="AY97"/>
  <c r="AY27"/>
  <c r="AY36"/>
  <c r="AY45"/>
  <c r="AY54"/>
  <c r="AY61"/>
  <c r="AY165"/>
  <c r="AY6"/>
  <c r="AY24"/>
  <c r="AY35"/>
  <c r="AY40"/>
  <c r="AY58"/>
  <c r="AY64"/>
  <c r="AY93"/>
  <c r="AY156"/>
  <c r="AY9"/>
  <c r="AY20"/>
  <c r="AY25"/>
  <c r="AY28"/>
  <c r="AY34"/>
  <c r="AY110"/>
  <c r="AY73"/>
  <c r="AY74"/>
  <c r="AY105"/>
  <c r="AY23"/>
  <c r="AY33"/>
  <c r="AY43"/>
  <c r="AY53"/>
  <c r="AY66"/>
  <c r="AY83"/>
  <c r="AY117"/>
  <c r="AY146"/>
  <c r="AY186"/>
  <c r="AY21"/>
  <c r="AY31"/>
  <c r="AY41"/>
  <c r="AY51"/>
  <c r="AY89"/>
  <c r="AY104"/>
  <c r="AY149"/>
  <c r="AY157"/>
  <c r="AY171"/>
  <c r="AY22"/>
  <c r="AY32"/>
  <c r="AY42"/>
  <c r="AY52"/>
  <c r="AY69"/>
  <c r="AY84"/>
  <c r="AY115"/>
  <c r="AY145"/>
  <c r="AY94"/>
  <c r="AY99"/>
  <c r="AY148"/>
  <c r="AY98"/>
  <c r="AY112"/>
  <c r="AY122"/>
  <c r="AY100"/>
  <c r="AY138"/>
  <c r="AY86"/>
  <c r="AY91"/>
  <c r="AY95"/>
  <c r="AY123"/>
  <c r="AY137"/>
  <c r="AY67"/>
  <c r="AY77"/>
  <c r="AY87"/>
  <c r="AY101"/>
  <c r="AY102"/>
  <c r="AY107"/>
  <c r="AY113"/>
  <c r="AY127"/>
  <c r="AY62"/>
  <c r="AY72"/>
  <c r="AY80"/>
  <c r="AY82"/>
  <c r="AY90"/>
  <c r="AY120"/>
  <c r="AY159"/>
  <c r="AY166"/>
  <c r="AY189"/>
  <c r="AY60"/>
  <c r="AY68"/>
  <c r="AY78"/>
  <c r="AY88"/>
  <c r="AY178"/>
  <c r="AY108"/>
  <c r="AY118"/>
  <c r="AY128"/>
  <c r="AY135"/>
  <c r="AY140"/>
  <c r="AY160"/>
  <c r="AY179"/>
  <c r="AY195"/>
  <c r="AY223"/>
  <c r="AY225"/>
  <c r="AY111"/>
  <c r="AY121"/>
  <c r="AY182"/>
  <c r="AY212"/>
  <c r="AY214"/>
  <c r="AY215"/>
  <c r="AY96"/>
  <c r="AY106"/>
  <c r="AY116"/>
  <c r="AY124"/>
  <c r="AY126"/>
  <c r="AY155"/>
  <c r="AY170"/>
  <c r="AY181"/>
  <c r="AY183"/>
  <c r="AY109"/>
  <c r="AY119"/>
  <c r="AY129"/>
  <c r="AY130"/>
  <c r="AY172"/>
  <c r="AY185"/>
  <c r="AY241"/>
  <c r="AY253"/>
  <c r="AY133"/>
  <c r="AY143"/>
  <c r="AY153"/>
  <c r="AY163"/>
  <c r="AY176"/>
  <c r="AY193"/>
  <c r="AY196"/>
  <c r="AY276"/>
  <c r="AY131"/>
  <c r="AY141"/>
  <c r="AY151"/>
  <c r="AY161"/>
  <c r="AY168"/>
  <c r="AY173"/>
  <c r="AY198"/>
  <c r="AY207"/>
  <c r="AY208"/>
  <c r="AY134"/>
  <c r="AY144"/>
  <c r="AY154"/>
  <c r="AY164"/>
  <c r="AY188"/>
  <c r="AY199"/>
  <c r="AY239"/>
  <c r="AY132"/>
  <c r="AY142"/>
  <c r="AY152"/>
  <c r="AY162"/>
  <c r="AY175"/>
  <c r="AY205"/>
  <c r="AY201"/>
  <c r="AY226"/>
  <c r="AY174"/>
  <c r="AY184"/>
  <c r="AY194"/>
  <c r="AY211"/>
  <c r="AY221"/>
  <c r="AY222"/>
  <c r="AY232"/>
  <c r="AY234"/>
  <c r="AY237"/>
  <c r="AY167"/>
  <c r="AY177"/>
  <c r="AY187"/>
  <c r="AY197"/>
  <c r="AY209"/>
  <c r="AY233"/>
  <c r="AY190"/>
  <c r="AY192"/>
  <c r="AY200"/>
  <c r="AY203"/>
  <c r="AY206"/>
  <c r="AY229"/>
  <c r="AY204"/>
  <c r="AY210"/>
  <c r="AY216"/>
  <c r="AY219"/>
  <c r="AY227"/>
  <c r="AY252"/>
  <c r="AY269"/>
  <c r="AY217"/>
  <c r="AY220"/>
  <c r="AY236"/>
  <c r="AY260"/>
  <c r="AY277"/>
  <c r="AY230"/>
  <c r="AY240"/>
  <c r="AY218"/>
  <c r="AY228"/>
  <c r="AY238"/>
  <c r="AY242"/>
  <c r="AY248"/>
  <c r="AY256"/>
  <c r="AY259"/>
  <c r="AY264"/>
  <c r="AY267"/>
  <c r="AY272"/>
  <c r="AY231"/>
  <c r="AY243"/>
  <c r="AY250"/>
  <c r="AY262"/>
  <c r="AY274"/>
  <c r="AY245"/>
  <c r="AY247"/>
  <c r="AY255"/>
  <c r="AY265"/>
  <c r="AY271"/>
  <c r="AY251"/>
  <c r="AY261"/>
  <c r="AY275"/>
  <c r="AY244"/>
  <c r="AY254"/>
  <c r="AY258"/>
  <c r="AY266"/>
  <c r="AY270"/>
  <c r="AY278"/>
  <c r="AY249"/>
  <c r="AY263"/>
  <c r="AY273"/>
  <c r="W72"/>
  <c r="W88"/>
  <c r="W75"/>
  <c r="W21"/>
  <c r="W141"/>
  <c r="W71"/>
  <c r="W44"/>
  <c r="W14"/>
  <c r="W23"/>
  <c r="W31"/>
  <c r="W65"/>
  <c r="W69"/>
  <c r="W152"/>
  <c r="W34"/>
  <c r="W22"/>
  <c r="W82"/>
  <c r="W50"/>
  <c r="W126"/>
  <c r="W79"/>
  <c r="W20"/>
  <c r="W32"/>
  <c r="W43"/>
  <c r="W62"/>
  <c r="W10"/>
  <c r="W11"/>
  <c r="W42"/>
  <c r="W52"/>
  <c r="W67"/>
  <c r="W7"/>
  <c r="W8"/>
  <c r="W16"/>
  <c r="W41"/>
  <c r="W51"/>
  <c r="W153"/>
  <c r="W9"/>
  <c r="W12"/>
  <c r="W40"/>
  <c r="W54"/>
  <c r="W87"/>
  <c r="W6"/>
  <c r="W30"/>
  <c r="W53"/>
  <c r="W5"/>
  <c r="W13"/>
  <c r="W24"/>
  <c r="W33"/>
  <c r="W58"/>
  <c r="W60"/>
  <c r="W128"/>
  <c r="W19"/>
  <c r="W29"/>
  <c r="W39"/>
  <c r="W47"/>
  <c r="W49"/>
  <c r="W57"/>
  <c r="W78"/>
  <c r="W98"/>
  <c r="W17"/>
  <c r="W25"/>
  <c r="W27"/>
  <c r="W35"/>
  <c r="W45"/>
  <c r="W55"/>
  <c r="W61"/>
  <c r="W18"/>
  <c r="W28"/>
  <c r="W36"/>
  <c r="W38"/>
  <c r="W46"/>
  <c r="W56"/>
  <c r="W68"/>
  <c r="W80"/>
  <c r="W89"/>
  <c r="W77"/>
  <c r="W85"/>
  <c r="W118"/>
  <c r="W134"/>
  <c r="W154"/>
  <c r="W162"/>
  <c r="W161"/>
  <c r="W95"/>
  <c r="W107"/>
  <c r="W109"/>
  <c r="W119"/>
  <c r="W90"/>
  <c r="W142"/>
  <c r="W63"/>
  <c r="W73"/>
  <c r="W83"/>
  <c r="W91"/>
  <c r="W93"/>
  <c r="W96"/>
  <c r="W99"/>
  <c r="W121"/>
  <c r="W176"/>
  <c r="W242"/>
  <c r="W66"/>
  <c r="W76"/>
  <c r="W86"/>
  <c r="W101"/>
  <c r="W106"/>
  <c r="W129"/>
  <c r="W182"/>
  <c r="W64"/>
  <c r="W74"/>
  <c r="W84"/>
  <c r="W94"/>
  <c r="W97"/>
  <c r="W108"/>
  <c r="W111"/>
  <c r="W116"/>
  <c r="W124"/>
  <c r="W230"/>
  <c r="W102"/>
  <c r="W104"/>
  <c r="W112"/>
  <c r="W122"/>
  <c r="W143"/>
  <c r="W163"/>
  <c r="W174"/>
  <c r="W177"/>
  <c r="W187"/>
  <c r="W190"/>
  <c r="W200"/>
  <c r="W117"/>
  <c r="W127"/>
  <c r="W131"/>
  <c r="W218"/>
  <c r="W254"/>
  <c r="W100"/>
  <c r="W110"/>
  <c r="W120"/>
  <c r="W130"/>
  <c r="W132"/>
  <c r="W144"/>
  <c r="W164"/>
  <c r="W105"/>
  <c r="W113"/>
  <c r="W115"/>
  <c r="W123"/>
  <c r="W133"/>
  <c r="W151"/>
  <c r="W263"/>
  <c r="W139"/>
  <c r="W149"/>
  <c r="W157"/>
  <c r="W159"/>
  <c r="W167"/>
  <c r="W184"/>
  <c r="W192"/>
  <c r="W199"/>
  <c r="W231"/>
  <c r="W135"/>
  <c r="W137"/>
  <c r="W145"/>
  <c r="W155"/>
  <c r="W165"/>
  <c r="W170"/>
  <c r="W181"/>
  <c r="W185"/>
  <c r="W189"/>
  <c r="W140"/>
  <c r="W150"/>
  <c r="W160"/>
  <c r="W168"/>
  <c r="W171"/>
  <c r="W175"/>
  <c r="W179"/>
  <c r="W186"/>
  <c r="W194"/>
  <c r="W276"/>
  <c r="W138"/>
  <c r="W146"/>
  <c r="W148"/>
  <c r="W156"/>
  <c r="W166"/>
  <c r="W172"/>
  <c r="W195"/>
  <c r="W197"/>
  <c r="W204"/>
  <c r="W215"/>
  <c r="W227"/>
  <c r="W258"/>
  <c r="W264"/>
  <c r="W178"/>
  <c r="W188"/>
  <c r="W198"/>
  <c r="W205"/>
  <c r="W221"/>
  <c r="W260"/>
  <c r="W272"/>
  <c r="W173"/>
  <c r="W183"/>
  <c r="W193"/>
  <c r="W201"/>
  <c r="W207"/>
  <c r="W228"/>
  <c r="W240"/>
  <c r="W241"/>
  <c r="W270"/>
  <c r="W196"/>
  <c r="W203"/>
  <c r="W206"/>
  <c r="W208"/>
  <c r="W210"/>
  <c r="W233"/>
  <c r="W238"/>
  <c r="W266"/>
  <c r="W278"/>
  <c r="W216"/>
  <c r="W219"/>
  <c r="W225"/>
  <c r="W229"/>
  <c r="W239"/>
  <c r="W248"/>
  <c r="W252"/>
  <c r="W209"/>
  <c r="W211"/>
  <c r="W217"/>
  <c r="W220"/>
  <c r="W223"/>
  <c r="W256"/>
  <c r="W226"/>
  <c r="W234"/>
  <c r="W236"/>
  <c r="W249"/>
  <c r="W273"/>
  <c r="W212"/>
  <c r="W214"/>
  <c r="W222"/>
  <c r="W232"/>
  <c r="W244"/>
  <c r="W237"/>
  <c r="W251"/>
  <c r="W261"/>
  <c r="W275"/>
  <c r="W245"/>
  <c r="W247"/>
  <c r="W255"/>
  <c r="W265"/>
  <c r="W271"/>
  <c r="W250"/>
  <c r="W262"/>
  <c r="W274"/>
  <c r="W243"/>
  <c r="W253"/>
  <c r="W259"/>
  <c r="W267"/>
  <c r="W269"/>
  <c r="W277"/>
  <c r="AM41"/>
  <c r="AM14"/>
  <c r="AM69"/>
  <c r="AM8"/>
  <c r="AM22"/>
  <c r="AM9"/>
  <c r="AM16"/>
  <c r="AM50"/>
  <c r="AM7"/>
  <c r="AM118"/>
  <c r="AM51"/>
  <c r="AM60"/>
  <c r="AM6"/>
  <c r="AM12"/>
  <c r="AM32"/>
  <c r="AM40"/>
  <c r="AM65"/>
  <c r="AM90"/>
  <c r="AM242"/>
  <c r="AM10"/>
  <c r="AM11"/>
  <c r="AM33"/>
  <c r="AM68"/>
  <c r="AM80"/>
  <c r="AM20"/>
  <c r="AM31"/>
  <c r="AM43"/>
  <c r="AM54"/>
  <c r="AM72"/>
  <c r="AM42"/>
  <c r="AM52"/>
  <c r="AM58"/>
  <c r="AM24"/>
  <c r="AM30"/>
  <c r="AM77"/>
  <c r="AM23"/>
  <c r="AM44"/>
  <c r="AM53"/>
  <c r="AM67"/>
  <c r="AM5"/>
  <c r="AM13"/>
  <c r="AM21"/>
  <c r="AM34"/>
  <c r="AM119"/>
  <c r="AM82"/>
  <c r="AM88"/>
  <c r="AM89"/>
  <c r="AM101"/>
  <c r="AM142"/>
  <c r="AM98"/>
  <c r="AM19"/>
  <c r="AM29"/>
  <c r="AM39"/>
  <c r="AM47"/>
  <c r="AM49"/>
  <c r="AM57"/>
  <c r="AM61"/>
  <c r="AM97"/>
  <c r="AM17"/>
  <c r="AM25"/>
  <c r="AM27"/>
  <c r="AM35"/>
  <c r="AM45"/>
  <c r="AM55"/>
  <c r="AM62"/>
  <c r="AM71"/>
  <c r="AM106"/>
  <c r="AM18"/>
  <c r="AM28"/>
  <c r="AM36"/>
  <c r="AM38"/>
  <c r="AM46"/>
  <c r="AM56"/>
  <c r="AM75"/>
  <c r="AM79"/>
  <c r="AM85"/>
  <c r="AM96"/>
  <c r="AM78"/>
  <c r="AM87"/>
  <c r="AM126"/>
  <c r="AM128"/>
  <c r="AM200"/>
  <c r="AM206"/>
  <c r="AM95"/>
  <c r="AM99"/>
  <c r="AM153"/>
  <c r="AM94"/>
  <c r="AM109"/>
  <c r="AM141"/>
  <c r="AM184"/>
  <c r="AM272"/>
  <c r="AM63"/>
  <c r="AM73"/>
  <c r="AM83"/>
  <c r="AM91"/>
  <c r="AM93"/>
  <c r="AM107"/>
  <c r="AM121"/>
  <c r="AM179"/>
  <c r="AM194"/>
  <c r="AM211"/>
  <c r="AM66"/>
  <c r="AM76"/>
  <c r="AM86"/>
  <c r="AM108"/>
  <c r="AM129"/>
  <c r="AM134"/>
  <c r="AM152"/>
  <c r="AM64"/>
  <c r="AM74"/>
  <c r="AM84"/>
  <c r="AM111"/>
  <c r="AM116"/>
  <c r="AM124"/>
  <c r="AM154"/>
  <c r="AM161"/>
  <c r="AM162"/>
  <c r="AM181"/>
  <c r="AM192"/>
  <c r="AM102"/>
  <c r="AM104"/>
  <c r="AM112"/>
  <c r="AM122"/>
  <c r="AM143"/>
  <c r="AM163"/>
  <c r="AM171"/>
  <c r="AM172"/>
  <c r="AM185"/>
  <c r="AM248"/>
  <c r="AM252"/>
  <c r="AM264"/>
  <c r="AM117"/>
  <c r="AM127"/>
  <c r="AM131"/>
  <c r="AM186"/>
  <c r="AM100"/>
  <c r="AM110"/>
  <c r="AM120"/>
  <c r="AM130"/>
  <c r="AM132"/>
  <c r="AM144"/>
  <c r="AM164"/>
  <c r="AM175"/>
  <c r="AM189"/>
  <c r="AM105"/>
  <c r="AM113"/>
  <c r="AM115"/>
  <c r="AM123"/>
  <c r="AM133"/>
  <c r="AM151"/>
  <c r="AM229"/>
  <c r="AM139"/>
  <c r="AM149"/>
  <c r="AM157"/>
  <c r="AM159"/>
  <c r="AM176"/>
  <c r="AM182"/>
  <c r="AM199"/>
  <c r="AM203"/>
  <c r="AM260"/>
  <c r="AM135"/>
  <c r="AM137"/>
  <c r="AM145"/>
  <c r="AM155"/>
  <c r="AM165"/>
  <c r="AM167"/>
  <c r="AM187"/>
  <c r="AM190"/>
  <c r="AM238"/>
  <c r="AM140"/>
  <c r="AM150"/>
  <c r="AM160"/>
  <c r="AM177"/>
  <c r="AM217"/>
  <c r="AM138"/>
  <c r="AM146"/>
  <c r="AM148"/>
  <c r="AM156"/>
  <c r="AM166"/>
  <c r="AM168"/>
  <c r="AM174"/>
  <c r="AM195"/>
  <c r="AM204"/>
  <c r="AM239"/>
  <c r="AM197"/>
  <c r="AM207"/>
  <c r="AM233"/>
  <c r="AM170"/>
  <c r="AM178"/>
  <c r="AM188"/>
  <c r="AM198"/>
  <c r="AM220"/>
  <c r="AM256"/>
  <c r="AM276"/>
  <c r="AM173"/>
  <c r="AM183"/>
  <c r="AM193"/>
  <c r="AM201"/>
  <c r="AM210"/>
  <c r="AM223"/>
  <c r="AM225"/>
  <c r="AM228"/>
  <c r="AM254"/>
  <c r="AM258"/>
  <c r="AM196"/>
  <c r="AM205"/>
  <c r="AM208"/>
  <c r="AM218"/>
  <c r="AM221"/>
  <c r="AM227"/>
  <c r="AM230"/>
  <c r="AM240"/>
  <c r="AM263"/>
  <c r="AM215"/>
  <c r="AM270"/>
  <c r="AM209"/>
  <c r="AM216"/>
  <c r="AM219"/>
  <c r="AM231"/>
  <c r="AM266"/>
  <c r="AM278"/>
  <c r="AM226"/>
  <c r="AM234"/>
  <c r="AM236"/>
  <c r="AM241"/>
  <c r="AM249"/>
  <c r="AM273"/>
  <c r="AM212"/>
  <c r="AM214"/>
  <c r="AM222"/>
  <c r="AM232"/>
  <c r="AM244"/>
  <c r="AM237"/>
  <c r="AM251"/>
  <c r="AM261"/>
  <c r="AM275"/>
  <c r="AM245"/>
  <c r="AM247"/>
  <c r="AM255"/>
  <c r="AM265"/>
  <c r="AM271"/>
  <c r="AM250"/>
  <c r="AM262"/>
  <c r="AM274"/>
  <c r="AM243"/>
  <c r="AM253"/>
  <c r="AM259"/>
  <c r="AM267"/>
  <c r="AM269"/>
  <c r="AM277"/>
  <c r="AE90"/>
  <c r="AE20"/>
  <c r="AE53"/>
  <c r="AE30"/>
  <c r="AE50"/>
  <c r="AE71"/>
  <c r="AE69"/>
  <c r="AE10"/>
  <c r="AE54"/>
  <c r="AE6"/>
  <c r="AE23"/>
  <c r="AE11"/>
  <c r="AE31"/>
  <c r="AE33"/>
  <c r="AE52"/>
  <c r="AE58"/>
  <c r="AE98"/>
  <c r="AE8"/>
  <c r="AE14"/>
  <c r="AE16"/>
  <c r="AE7"/>
  <c r="AE43"/>
  <c r="AE44"/>
  <c r="AE177"/>
  <c r="AE24"/>
  <c r="AE60"/>
  <c r="AE87"/>
  <c r="AE40"/>
  <c r="AE258"/>
  <c r="AE22"/>
  <c r="AE34"/>
  <c r="AE21"/>
  <c r="AE32"/>
  <c r="AE42"/>
  <c r="AE95"/>
  <c r="AE121"/>
  <c r="AE151"/>
  <c r="AE9"/>
  <c r="AE12"/>
  <c r="AE62"/>
  <c r="AE65"/>
  <c r="AE5"/>
  <c r="AE13"/>
  <c r="AE41"/>
  <c r="AE51"/>
  <c r="AE67"/>
  <c r="AE78"/>
  <c r="AE72"/>
  <c r="AE75"/>
  <c r="AE119"/>
  <c r="AE176"/>
  <c r="AE220"/>
  <c r="AE94"/>
  <c r="AE106"/>
  <c r="AE107"/>
  <c r="AE132"/>
  <c r="AE199"/>
  <c r="AE19"/>
  <c r="AE29"/>
  <c r="AE39"/>
  <c r="AE47"/>
  <c r="AE49"/>
  <c r="AE57"/>
  <c r="AE68"/>
  <c r="AE82"/>
  <c r="AE85"/>
  <c r="AE111"/>
  <c r="AE143"/>
  <c r="AE168"/>
  <c r="AE17"/>
  <c r="AE25"/>
  <c r="AE27"/>
  <c r="AE35"/>
  <c r="AE45"/>
  <c r="AE55"/>
  <c r="AE79"/>
  <c r="AE101"/>
  <c r="AE108"/>
  <c r="AE18"/>
  <c r="AE28"/>
  <c r="AE36"/>
  <c r="AE38"/>
  <c r="AE46"/>
  <c r="AE56"/>
  <c r="AE61"/>
  <c r="AE77"/>
  <c r="AE80"/>
  <c r="AE89"/>
  <c r="AE164"/>
  <c r="AE195"/>
  <c r="AE124"/>
  <c r="AE126"/>
  <c r="AE144"/>
  <c r="AE240"/>
  <c r="AE97"/>
  <c r="AE116"/>
  <c r="AE131"/>
  <c r="AE189"/>
  <c r="AE88"/>
  <c r="AE129"/>
  <c r="AE63"/>
  <c r="AE73"/>
  <c r="AE83"/>
  <c r="AE91"/>
  <c r="AE93"/>
  <c r="AE118"/>
  <c r="AE190"/>
  <c r="AE66"/>
  <c r="AE76"/>
  <c r="AE86"/>
  <c r="AE96"/>
  <c r="AE99"/>
  <c r="AE109"/>
  <c r="AE206"/>
  <c r="AE64"/>
  <c r="AE74"/>
  <c r="AE84"/>
  <c r="AE128"/>
  <c r="AE133"/>
  <c r="AE163"/>
  <c r="AE102"/>
  <c r="AE104"/>
  <c r="AE112"/>
  <c r="AE122"/>
  <c r="AE152"/>
  <c r="AE117"/>
  <c r="AE127"/>
  <c r="AE134"/>
  <c r="AE153"/>
  <c r="AE181"/>
  <c r="AE182"/>
  <c r="AE194"/>
  <c r="AE100"/>
  <c r="AE110"/>
  <c r="AE120"/>
  <c r="AE130"/>
  <c r="AE141"/>
  <c r="AE161"/>
  <c r="AE167"/>
  <c r="AE207"/>
  <c r="AE223"/>
  <c r="AE239"/>
  <c r="AE105"/>
  <c r="AE113"/>
  <c r="AE115"/>
  <c r="AE123"/>
  <c r="AE142"/>
  <c r="AE154"/>
  <c r="AE162"/>
  <c r="AE172"/>
  <c r="AE185"/>
  <c r="AE266"/>
  <c r="AE139"/>
  <c r="AE149"/>
  <c r="AE157"/>
  <c r="AE159"/>
  <c r="AE187"/>
  <c r="AE204"/>
  <c r="AE221"/>
  <c r="AE135"/>
  <c r="AE137"/>
  <c r="AE145"/>
  <c r="AE155"/>
  <c r="AE165"/>
  <c r="AE184"/>
  <c r="AE211"/>
  <c r="AE242"/>
  <c r="AE140"/>
  <c r="AE150"/>
  <c r="AE160"/>
  <c r="AE174"/>
  <c r="AE192"/>
  <c r="AE203"/>
  <c r="AE219"/>
  <c r="AE270"/>
  <c r="AE138"/>
  <c r="AE146"/>
  <c r="AE148"/>
  <c r="AE156"/>
  <c r="AE166"/>
  <c r="AE171"/>
  <c r="AE175"/>
  <c r="AE179"/>
  <c r="AE186"/>
  <c r="AE200"/>
  <c r="AE197"/>
  <c r="AE216"/>
  <c r="AE170"/>
  <c r="AE178"/>
  <c r="AE188"/>
  <c r="AE198"/>
  <c r="AE273"/>
  <c r="AE173"/>
  <c r="AE183"/>
  <c r="AE193"/>
  <c r="AE201"/>
  <c r="AE205"/>
  <c r="AE229"/>
  <c r="AE230"/>
  <c r="AE278"/>
  <c r="AE196"/>
  <c r="AE217"/>
  <c r="AE218"/>
  <c r="AE227"/>
  <c r="AE244"/>
  <c r="AE208"/>
  <c r="AE215"/>
  <c r="AE228"/>
  <c r="AE231"/>
  <c r="AE241"/>
  <c r="AE254"/>
  <c r="AE210"/>
  <c r="AE249"/>
  <c r="AE209"/>
  <c r="AE225"/>
  <c r="AE233"/>
  <c r="AE238"/>
  <c r="AE226"/>
  <c r="AE234"/>
  <c r="AE236"/>
  <c r="AE252"/>
  <c r="AE260"/>
  <c r="AE263"/>
  <c r="AE276"/>
  <c r="AE212"/>
  <c r="AE214"/>
  <c r="AE222"/>
  <c r="AE232"/>
  <c r="AE237"/>
  <c r="AE248"/>
  <c r="AE256"/>
  <c r="AE264"/>
  <c r="AE272"/>
  <c r="AE251"/>
  <c r="AE261"/>
  <c r="AE275"/>
  <c r="AE245"/>
  <c r="AE247"/>
  <c r="AE255"/>
  <c r="AE265"/>
  <c r="AE271"/>
  <c r="AE250"/>
  <c r="AE262"/>
  <c r="AE274"/>
  <c r="AE243"/>
  <c r="AE253"/>
  <c r="AE259"/>
  <c r="AE267"/>
  <c r="AE269"/>
  <c r="AE277"/>
  <c r="AW49"/>
  <c r="AW39"/>
  <c r="AW10"/>
  <c r="AW127"/>
  <c r="AW21"/>
  <c r="AW28"/>
  <c r="AW30"/>
  <c r="AW32"/>
  <c r="AW178"/>
  <c r="AW38"/>
  <c r="AW75"/>
  <c r="AW112"/>
  <c r="AW51"/>
  <c r="AW87"/>
  <c r="AW13"/>
  <c r="AW14"/>
  <c r="AW42"/>
  <c r="AW47"/>
  <c r="AW52"/>
  <c r="AW57"/>
  <c r="AW6"/>
  <c r="AW7"/>
  <c r="AW18"/>
  <c r="AW40"/>
  <c r="AW56"/>
  <c r="AW63"/>
  <c r="AW76"/>
  <c r="AW150"/>
  <c r="AW8"/>
  <c r="AW22"/>
  <c r="AW29"/>
  <c r="AW5"/>
  <c r="AW20"/>
  <c r="AW31"/>
  <c r="AW41"/>
  <c r="AW46"/>
  <c r="AW50"/>
  <c r="AW175"/>
  <c r="AW9"/>
  <c r="AW12"/>
  <c r="AW36"/>
  <c r="AW88"/>
  <c r="AW124"/>
  <c r="AW11"/>
  <c r="AW19"/>
  <c r="AW58"/>
  <c r="AW68"/>
  <c r="AW107"/>
  <c r="AW67"/>
  <c r="AW78"/>
  <c r="AW173"/>
  <c r="AW122"/>
  <c r="AW157"/>
  <c r="AW17"/>
  <c r="AW25"/>
  <c r="AW27"/>
  <c r="AW35"/>
  <c r="AW45"/>
  <c r="AW55"/>
  <c r="AW60"/>
  <c r="AW65"/>
  <c r="AW73"/>
  <c r="AW95"/>
  <c r="AW131"/>
  <c r="AW23"/>
  <c r="AW33"/>
  <c r="AW43"/>
  <c r="AW53"/>
  <c r="AW66"/>
  <c r="AW83"/>
  <c r="AW91"/>
  <c r="AW102"/>
  <c r="AW109"/>
  <c r="AW117"/>
  <c r="AW16"/>
  <c r="AW24"/>
  <c r="AW34"/>
  <c r="AW44"/>
  <c r="AW54"/>
  <c r="AW86"/>
  <c r="AW94"/>
  <c r="AW97"/>
  <c r="AW203"/>
  <c r="AW77"/>
  <c r="AW132"/>
  <c r="AW151"/>
  <c r="AW93"/>
  <c r="AW104"/>
  <c r="AW149"/>
  <c r="AW276"/>
  <c r="AW85"/>
  <c r="AW100"/>
  <c r="AW116"/>
  <c r="AW130"/>
  <c r="AW61"/>
  <c r="AW69"/>
  <c r="AW71"/>
  <c r="AW79"/>
  <c r="AW89"/>
  <c r="AW105"/>
  <c r="AW106"/>
  <c r="AW119"/>
  <c r="AW126"/>
  <c r="AW152"/>
  <c r="AW185"/>
  <c r="AW64"/>
  <c r="AW74"/>
  <c r="AW84"/>
  <c r="AW96"/>
  <c r="AW99"/>
  <c r="AW172"/>
  <c r="AW255"/>
  <c r="AW62"/>
  <c r="AW72"/>
  <c r="AW80"/>
  <c r="AW82"/>
  <c r="AW90"/>
  <c r="AW129"/>
  <c r="AW168"/>
  <c r="AW110"/>
  <c r="AW120"/>
  <c r="AW139"/>
  <c r="AW159"/>
  <c r="AW260"/>
  <c r="AW113"/>
  <c r="AW115"/>
  <c r="AW123"/>
  <c r="AW140"/>
  <c r="AW141"/>
  <c r="AW160"/>
  <c r="AW161"/>
  <c r="AW200"/>
  <c r="AW201"/>
  <c r="AW98"/>
  <c r="AW108"/>
  <c r="AW118"/>
  <c r="AW128"/>
  <c r="AW142"/>
  <c r="AW162"/>
  <c r="AW167"/>
  <c r="AW192"/>
  <c r="AW226"/>
  <c r="AW101"/>
  <c r="AW111"/>
  <c r="AW121"/>
  <c r="AW170"/>
  <c r="AW184"/>
  <c r="AW135"/>
  <c r="AW137"/>
  <c r="AW145"/>
  <c r="AW155"/>
  <c r="AW165"/>
  <c r="AW182"/>
  <c r="AW204"/>
  <c r="AW228"/>
  <c r="AW133"/>
  <c r="AW143"/>
  <c r="AW153"/>
  <c r="AW163"/>
  <c r="AW187"/>
  <c r="AW193"/>
  <c r="AW197"/>
  <c r="AW216"/>
  <c r="AW223"/>
  <c r="AW138"/>
  <c r="AW146"/>
  <c r="AW148"/>
  <c r="AW156"/>
  <c r="AW166"/>
  <c r="AW177"/>
  <c r="AW183"/>
  <c r="AW190"/>
  <c r="AW198"/>
  <c r="AW244"/>
  <c r="AW134"/>
  <c r="AW144"/>
  <c r="AW154"/>
  <c r="AW164"/>
  <c r="AW174"/>
  <c r="AW188"/>
  <c r="AW225"/>
  <c r="AW195"/>
  <c r="AW219"/>
  <c r="AW176"/>
  <c r="AW186"/>
  <c r="AW196"/>
  <c r="AW208"/>
  <c r="AW214"/>
  <c r="AW218"/>
  <c r="AW236"/>
  <c r="AW238"/>
  <c r="AW274"/>
  <c r="AW171"/>
  <c r="AW179"/>
  <c r="AW181"/>
  <c r="AW189"/>
  <c r="AW199"/>
  <c r="AW205"/>
  <c r="AW211"/>
  <c r="AW212"/>
  <c r="AW217"/>
  <c r="AW231"/>
  <c r="AW237"/>
  <c r="AW247"/>
  <c r="AW194"/>
  <c r="AW209"/>
  <c r="AW221"/>
  <c r="AW206"/>
  <c r="AW215"/>
  <c r="AW250"/>
  <c r="AW262"/>
  <c r="AW227"/>
  <c r="AW229"/>
  <c r="AW234"/>
  <c r="AW239"/>
  <c r="AW252"/>
  <c r="AW207"/>
  <c r="AW245"/>
  <c r="AW265"/>
  <c r="AW271"/>
  <c r="AW222"/>
  <c r="AW232"/>
  <c r="AW254"/>
  <c r="AW258"/>
  <c r="AW266"/>
  <c r="AW270"/>
  <c r="AW278"/>
  <c r="AW210"/>
  <c r="AW220"/>
  <c r="AW230"/>
  <c r="AW240"/>
  <c r="AW233"/>
  <c r="AW242"/>
  <c r="AW249"/>
  <c r="AW263"/>
  <c r="AW273"/>
  <c r="AW243"/>
  <c r="AW253"/>
  <c r="AW259"/>
  <c r="AW267"/>
  <c r="AW269"/>
  <c r="AW277"/>
  <c r="AW248"/>
  <c r="AW256"/>
  <c r="AW264"/>
  <c r="AW272"/>
  <c r="AW241"/>
  <c r="AW251"/>
  <c r="AW261"/>
  <c r="AW275"/>
  <c r="P75"/>
  <c r="P78"/>
  <c r="P16"/>
  <c r="P36"/>
  <c r="P25"/>
  <c r="P11"/>
  <c r="P14"/>
  <c r="P19"/>
  <c r="P46"/>
  <c r="P9"/>
  <c r="P43"/>
  <c r="P111"/>
  <c r="P155"/>
  <c r="P24"/>
  <c r="P38"/>
  <c r="P64"/>
  <c r="P23"/>
  <c r="P27"/>
  <c r="P34"/>
  <c r="P53"/>
  <c r="P57"/>
  <c r="P68"/>
  <c r="P6"/>
  <c r="P12"/>
  <c r="P18"/>
  <c r="P45"/>
  <c r="P5"/>
  <c r="P28"/>
  <c r="P33"/>
  <c r="P84"/>
  <c r="P106"/>
  <c r="P44"/>
  <c r="P54"/>
  <c r="P156"/>
  <c r="P17"/>
  <c r="P29"/>
  <c r="P47"/>
  <c r="P56"/>
  <c r="P83"/>
  <c r="P7"/>
  <c r="P10"/>
  <c r="P13"/>
  <c r="P55"/>
  <c r="P63"/>
  <c r="P74"/>
  <c r="P8"/>
  <c r="P35"/>
  <c r="P39"/>
  <c r="P49"/>
  <c r="P90"/>
  <c r="P168"/>
  <c r="P182"/>
  <c r="P85"/>
  <c r="P164"/>
  <c r="P129"/>
  <c r="P144"/>
  <c r="P22"/>
  <c r="P32"/>
  <c r="P42"/>
  <c r="P52"/>
  <c r="P62"/>
  <c r="P80"/>
  <c r="P82"/>
  <c r="P99"/>
  <c r="P20"/>
  <c r="P30"/>
  <c r="P40"/>
  <c r="P50"/>
  <c r="P58"/>
  <c r="P72"/>
  <c r="P93"/>
  <c r="P94"/>
  <c r="P192"/>
  <c r="P21"/>
  <c r="P31"/>
  <c r="P41"/>
  <c r="P51"/>
  <c r="P60"/>
  <c r="P65"/>
  <c r="P73"/>
  <c r="P101"/>
  <c r="P137"/>
  <c r="P149"/>
  <c r="P88"/>
  <c r="P96"/>
  <c r="P109"/>
  <c r="P110"/>
  <c r="P102"/>
  <c r="P116"/>
  <c r="P145"/>
  <c r="P91"/>
  <c r="P122"/>
  <c r="P124"/>
  <c r="P148"/>
  <c r="P207"/>
  <c r="P66"/>
  <c r="P76"/>
  <c r="P86"/>
  <c r="P112"/>
  <c r="P157"/>
  <c r="P181"/>
  <c r="P61"/>
  <c r="P69"/>
  <c r="P71"/>
  <c r="P79"/>
  <c r="P89"/>
  <c r="P97"/>
  <c r="P100"/>
  <c r="P119"/>
  <c r="P126"/>
  <c r="P165"/>
  <c r="P178"/>
  <c r="P204"/>
  <c r="P67"/>
  <c r="P77"/>
  <c r="P87"/>
  <c r="P98"/>
  <c r="P104"/>
  <c r="P121"/>
  <c r="P194"/>
  <c r="P216"/>
  <c r="P107"/>
  <c r="P117"/>
  <c r="P127"/>
  <c r="P134"/>
  <c r="P138"/>
  <c r="P146"/>
  <c r="P166"/>
  <c r="P205"/>
  <c r="P120"/>
  <c r="P130"/>
  <c r="P139"/>
  <c r="P159"/>
  <c r="P167"/>
  <c r="P185"/>
  <c r="P210"/>
  <c r="P95"/>
  <c r="P105"/>
  <c r="P113"/>
  <c r="P115"/>
  <c r="P123"/>
  <c r="P135"/>
  <c r="P154"/>
  <c r="P174"/>
  <c r="P177"/>
  <c r="P195"/>
  <c r="P238"/>
  <c r="P108"/>
  <c r="P118"/>
  <c r="P128"/>
  <c r="P188"/>
  <c r="P189"/>
  <c r="P190"/>
  <c r="P198"/>
  <c r="P132"/>
  <c r="P142"/>
  <c r="P152"/>
  <c r="P162"/>
  <c r="P170"/>
  <c r="P171"/>
  <c r="P175"/>
  <c r="P179"/>
  <c r="P209"/>
  <c r="P140"/>
  <c r="P150"/>
  <c r="P160"/>
  <c r="P172"/>
  <c r="P234"/>
  <c r="P260"/>
  <c r="P133"/>
  <c r="P143"/>
  <c r="P153"/>
  <c r="P163"/>
  <c r="P187"/>
  <c r="P197"/>
  <c r="P221"/>
  <c r="P131"/>
  <c r="P141"/>
  <c r="P151"/>
  <c r="P161"/>
  <c r="P184"/>
  <c r="P225"/>
  <c r="P261"/>
  <c r="P200"/>
  <c r="P233"/>
  <c r="P236"/>
  <c r="P251"/>
  <c r="P265"/>
  <c r="P276"/>
  <c r="P173"/>
  <c r="P183"/>
  <c r="P193"/>
  <c r="P201"/>
  <c r="P206"/>
  <c r="P215"/>
  <c r="P219"/>
  <c r="P252"/>
  <c r="P176"/>
  <c r="P186"/>
  <c r="P196"/>
  <c r="P208"/>
  <c r="P218"/>
  <c r="P245"/>
  <c r="P275"/>
  <c r="P199"/>
  <c r="P212"/>
  <c r="P222"/>
  <c r="P203"/>
  <c r="P223"/>
  <c r="P226"/>
  <c r="P242"/>
  <c r="P263"/>
  <c r="P211"/>
  <c r="P220"/>
  <c r="P231"/>
  <c r="P241"/>
  <c r="P214"/>
  <c r="P228"/>
  <c r="P232"/>
  <c r="P229"/>
  <c r="P239"/>
  <c r="P217"/>
  <c r="P227"/>
  <c r="P237"/>
  <c r="P247"/>
  <c r="P255"/>
  <c r="P271"/>
  <c r="P230"/>
  <c r="P240"/>
  <c r="P249"/>
  <c r="P273"/>
  <c r="P244"/>
  <c r="P254"/>
  <c r="P258"/>
  <c r="P266"/>
  <c r="P270"/>
  <c r="P278"/>
  <c r="P250"/>
  <c r="P262"/>
  <c r="P274"/>
  <c r="P243"/>
  <c r="P253"/>
  <c r="P259"/>
  <c r="P267"/>
  <c r="P269"/>
  <c r="P277"/>
  <c r="P248"/>
  <c r="P256"/>
  <c r="P264"/>
  <c r="P272"/>
  <c r="AH5"/>
  <c r="AH117"/>
  <c r="AH60"/>
  <c r="AH22"/>
  <c r="AH8"/>
  <c r="AH53"/>
  <c r="AH61"/>
  <c r="AH63"/>
  <c r="AH34"/>
  <c r="AH24"/>
  <c r="AH32"/>
  <c r="AH51"/>
  <c r="AH43"/>
  <c r="AH45"/>
  <c r="AH66"/>
  <c r="AH23"/>
  <c r="AH35"/>
  <c r="AH12"/>
  <c r="AH17"/>
  <c r="AH21"/>
  <c r="AH33"/>
  <c r="AH99"/>
  <c r="AH9"/>
  <c r="AH11"/>
  <c r="AH44"/>
  <c r="AH54"/>
  <c r="AH82"/>
  <c r="AH31"/>
  <c r="AH41"/>
  <c r="AH55"/>
  <c r="AH78"/>
  <c r="AH80"/>
  <c r="AH137"/>
  <c r="AH7"/>
  <c r="AH10"/>
  <c r="AH13"/>
  <c r="AH25"/>
  <c r="AH27"/>
  <c r="AH104"/>
  <c r="AH231"/>
  <c r="AH6"/>
  <c r="AH14"/>
  <c r="AH16"/>
  <c r="AH42"/>
  <c r="AH52"/>
  <c r="AH72"/>
  <c r="AH73"/>
  <c r="AH71"/>
  <c r="AH79"/>
  <c r="AH83"/>
  <c r="AH262"/>
  <c r="AH86"/>
  <c r="AH88"/>
  <c r="AH196"/>
  <c r="AH20"/>
  <c r="AH30"/>
  <c r="AH40"/>
  <c r="AH50"/>
  <c r="AH58"/>
  <c r="AH69"/>
  <c r="AH91"/>
  <c r="AH130"/>
  <c r="AH18"/>
  <c r="AH28"/>
  <c r="AH36"/>
  <c r="AH38"/>
  <c r="AH46"/>
  <c r="AH56"/>
  <c r="AH129"/>
  <c r="AH19"/>
  <c r="AH29"/>
  <c r="AH39"/>
  <c r="AH47"/>
  <c r="AH49"/>
  <c r="AH57"/>
  <c r="AH62"/>
  <c r="AH68"/>
  <c r="AH98"/>
  <c r="AH109"/>
  <c r="AH76"/>
  <c r="AH90"/>
  <c r="AH95"/>
  <c r="AH112"/>
  <c r="AH133"/>
  <c r="AH144"/>
  <c r="AH145"/>
  <c r="AH205"/>
  <c r="AH108"/>
  <c r="AH119"/>
  <c r="AH168"/>
  <c r="AH96"/>
  <c r="AH165"/>
  <c r="AH178"/>
  <c r="AH190"/>
  <c r="AH89"/>
  <c r="AH93"/>
  <c r="AH120"/>
  <c r="AH164"/>
  <c r="AH195"/>
  <c r="AH64"/>
  <c r="AH74"/>
  <c r="AH84"/>
  <c r="AH132"/>
  <c r="AH67"/>
  <c r="AH77"/>
  <c r="AH87"/>
  <c r="AH94"/>
  <c r="AH97"/>
  <c r="AH100"/>
  <c r="AH110"/>
  <c r="AH127"/>
  <c r="AH65"/>
  <c r="AH75"/>
  <c r="AH85"/>
  <c r="AH102"/>
  <c r="AH107"/>
  <c r="AH122"/>
  <c r="AH134"/>
  <c r="AH152"/>
  <c r="AH105"/>
  <c r="AH113"/>
  <c r="AH115"/>
  <c r="AH123"/>
  <c r="AH153"/>
  <c r="AH167"/>
  <c r="AH183"/>
  <c r="AH118"/>
  <c r="AH128"/>
  <c r="AH135"/>
  <c r="AH142"/>
  <c r="AH154"/>
  <c r="AH162"/>
  <c r="AH170"/>
  <c r="AH172"/>
  <c r="AH204"/>
  <c r="AH101"/>
  <c r="AH111"/>
  <c r="AH121"/>
  <c r="AH185"/>
  <c r="AH234"/>
  <c r="AH106"/>
  <c r="AH116"/>
  <c r="AH124"/>
  <c r="AH126"/>
  <c r="AH143"/>
  <c r="AH155"/>
  <c r="AH163"/>
  <c r="AH173"/>
  <c r="AH177"/>
  <c r="AH186"/>
  <c r="AH216"/>
  <c r="AH140"/>
  <c r="AH150"/>
  <c r="AH160"/>
  <c r="AH188"/>
  <c r="AH192"/>
  <c r="AH208"/>
  <c r="AH220"/>
  <c r="AH138"/>
  <c r="AH146"/>
  <c r="AH148"/>
  <c r="AH156"/>
  <c r="AH166"/>
  <c r="AH175"/>
  <c r="AH219"/>
  <c r="AH243"/>
  <c r="AH269"/>
  <c r="AH131"/>
  <c r="AH141"/>
  <c r="AH151"/>
  <c r="AH161"/>
  <c r="AH182"/>
  <c r="AH193"/>
  <c r="AH200"/>
  <c r="AH218"/>
  <c r="AH228"/>
  <c r="AH250"/>
  <c r="AH139"/>
  <c r="AH149"/>
  <c r="AH157"/>
  <c r="AH159"/>
  <c r="AH176"/>
  <c r="AH187"/>
  <c r="AH201"/>
  <c r="AH236"/>
  <c r="AH198"/>
  <c r="AH210"/>
  <c r="AH226"/>
  <c r="AH239"/>
  <c r="AH240"/>
  <c r="AH241"/>
  <c r="AH245"/>
  <c r="AH263"/>
  <c r="AH171"/>
  <c r="AH179"/>
  <c r="AH181"/>
  <c r="AH189"/>
  <c r="AH199"/>
  <c r="AH212"/>
  <c r="AH229"/>
  <c r="AH230"/>
  <c r="AH174"/>
  <c r="AH184"/>
  <c r="AH194"/>
  <c r="AH203"/>
  <c r="AH206"/>
  <c r="AH207"/>
  <c r="AH217"/>
  <c r="AH221"/>
  <c r="AH265"/>
  <c r="AH197"/>
  <c r="AH274"/>
  <c r="AH209"/>
  <c r="AH232"/>
  <c r="AH211"/>
  <c r="AH222"/>
  <c r="AH277"/>
  <c r="AH214"/>
  <c r="AH253"/>
  <c r="AH227"/>
  <c r="AH237"/>
  <c r="AH247"/>
  <c r="AH255"/>
  <c r="AH271"/>
  <c r="AH215"/>
  <c r="AH223"/>
  <c r="AH225"/>
  <c r="AH233"/>
  <c r="AH249"/>
  <c r="AH273"/>
  <c r="AH238"/>
  <c r="AH259"/>
  <c r="AH267"/>
  <c r="AH242"/>
  <c r="AH252"/>
  <c r="AH260"/>
  <c r="AH276"/>
  <c r="AH248"/>
  <c r="AH256"/>
  <c r="AH264"/>
  <c r="AH272"/>
  <c r="AH251"/>
  <c r="AH261"/>
  <c r="AH275"/>
  <c r="AH244"/>
  <c r="AH254"/>
  <c r="AH258"/>
  <c r="AH266"/>
  <c r="AH270"/>
  <c r="AH278"/>
  <c r="V46"/>
  <c r="V75"/>
  <c r="V72"/>
  <c r="V16"/>
  <c r="V29"/>
  <c r="V6"/>
  <c r="V7"/>
  <c r="V8"/>
  <c r="V13"/>
  <c r="V41"/>
  <c r="V76"/>
  <c r="V30"/>
  <c r="V20"/>
  <c r="V21"/>
  <c r="V51"/>
  <c r="V55"/>
  <c r="V56"/>
  <c r="V86"/>
  <c r="V5"/>
  <c r="V17"/>
  <c r="V50"/>
  <c r="V28"/>
  <c r="V39"/>
  <c r="V49"/>
  <c r="V98"/>
  <c r="V115"/>
  <c r="V14"/>
  <c r="V25"/>
  <c r="V31"/>
  <c r="V38"/>
  <c r="V85"/>
  <c r="V11"/>
  <c r="V67"/>
  <c r="V36"/>
  <c r="V45"/>
  <c r="V58"/>
  <c r="V212"/>
  <c r="V9"/>
  <c r="V12"/>
  <c r="V19"/>
  <c r="V35"/>
  <c r="V40"/>
  <c r="V87"/>
  <c r="V10"/>
  <c r="V18"/>
  <c r="V27"/>
  <c r="V47"/>
  <c r="V57"/>
  <c r="V80"/>
  <c r="V124"/>
  <c r="V24"/>
  <c r="V34"/>
  <c r="V44"/>
  <c r="V54"/>
  <c r="V64"/>
  <c r="V104"/>
  <c r="V151"/>
  <c r="V227"/>
  <c r="V236"/>
  <c r="V22"/>
  <c r="V32"/>
  <c r="V42"/>
  <c r="V52"/>
  <c r="V65"/>
  <c r="V66"/>
  <c r="V74"/>
  <c r="V77"/>
  <c r="V118"/>
  <c r="V214"/>
  <c r="V23"/>
  <c r="V33"/>
  <c r="V43"/>
  <c r="V53"/>
  <c r="V62"/>
  <c r="V82"/>
  <c r="V90"/>
  <c r="V94"/>
  <c r="V113"/>
  <c r="V116"/>
  <c r="V184"/>
  <c r="V138"/>
  <c r="V108"/>
  <c r="V126"/>
  <c r="V172"/>
  <c r="V173"/>
  <c r="V183"/>
  <c r="V209"/>
  <c r="V84"/>
  <c r="V95"/>
  <c r="V101"/>
  <c r="V106"/>
  <c r="V111"/>
  <c r="V123"/>
  <c r="V146"/>
  <c r="V166"/>
  <c r="V60"/>
  <c r="V68"/>
  <c r="V78"/>
  <c r="V88"/>
  <c r="V105"/>
  <c r="V128"/>
  <c r="V159"/>
  <c r="V160"/>
  <c r="V161"/>
  <c r="V167"/>
  <c r="V204"/>
  <c r="V63"/>
  <c r="V73"/>
  <c r="V83"/>
  <c r="V91"/>
  <c r="V93"/>
  <c r="V96"/>
  <c r="V99"/>
  <c r="V121"/>
  <c r="V194"/>
  <c r="V61"/>
  <c r="V69"/>
  <c r="V71"/>
  <c r="V79"/>
  <c r="V89"/>
  <c r="V100"/>
  <c r="V102"/>
  <c r="V139"/>
  <c r="V140"/>
  <c r="V141"/>
  <c r="V171"/>
  <c r="V186"/>
  <c r="V109"/>
  <c r="V119"/>
  <c r="V129"/>
  <c r="V196"/>
  <c r="V112"/>
  <c r="V122"/>
  <c r="V187"/>
  <c r="V199"/>
  <c r="V97"/>
  <c r="V107"/>
  <c r="V117"/>
  <c r="V127"/>
  <c r="V131"/>
  <c r="V148"/>
  <c r="V156"/>
  <c r="V179"/>
  <c r="V203"/>
  <c r="V218"/>
  <c r="V110"/>
  <c r="V120"/>
  <c r="V130"/>
  <c r="V149"/>
  <c r="V150"/>
  <c r="V157"/>
  <c r="V192"/>
  <c r="V134"/>
  <c r="V144"/>
  <c r="V154"/>
  <c r="V164"/>
  <c r="V177"/>
  <c r="V197"/>
  <c r="V217"/>
  <c r="V234"/>
  <c r="V132"/>
  <c r="V142"/>
  <c r="V152"/>
  <c r="V162"/>
  <c r="V174"/>
  <c r="V200"/>
  <c r="V237"/>
  <c r="V135"/>
  <c r="V137"/>
  <c r="V145"/>
  <c r="V155"/>
  <c r="V165"/>
  <c r="V181"/>
  <c r="V189"/>
  <c r="V249"/>
  <c r="V133"/>
  <c r="V143"/>
  <c r="V153"/>
  <c r="V163"/>
  <c r="V176"/>
  <c r="V182"/>
  <c r="V190"/>
  <c r="V206"/>
  <c r="V208"/>
  <c r="V261"/>
  <c r="V175"/>
  <c r="V185"/>
  <c r="V195"/>
  <c r="V211"/>
  <c r="V223"/>
  <c r="V243"/>
  <c r="V263"/>
  <c r="V168"/>
  <c r="V170"/>
  <c r="V178"/>
  <c r="V188"/>
  <c r="V198"/>
  <c r="V220"/>
  <c r="V221"/>
  <c r="V225"/>
  <c r="V253"/>
  <c r="V193"/>
  <c r="V201"/>
  <c r="V207"/>
  <c r="V216"/>
  <c r="V228"/>
  <c r="V270"/>
  <c r="V205"/>
  <c r="V215"/>
  <c r="V258"/>
  <c r="V210"/>
  <c r="V222"/>
  <c r="V233"/>
  <c r="V238"/>
  <c r="V266"/>
  <c r="V269"/>
  <c r="V278"/>
  <c r="V226"/>
  <c r="V230"/>
  <c r="V240"/>
  <c r="V254"/>
  <c r="V273"/>
  <c r="V277"/>
  <c r="V231"/>
  <c r="V241"/>
  <c r="V259"/>
  <c r="V267"/>
  <c r="V219"/>
  <c r="V229"/>
  <c r="V239"/>
  <c r="V232"/>
  <c r="V244"/>
  <c r="V251"/>
  <c r="V275"/>
  <c r="V248"/>
  <c r="V256"/>
  <c r="V264"/>
  <c r="V272"/>
  <c r="V242"/>
  <c r="V252"/>
  <c r="V260"/>
  <c r="V276"/>
  <c r="V245"/>
  <c r="V247"/>
  <c r="V255"/>
  <c r="V265"/>
  <c r="V271"/>
  <c r="V250"/>
  <c r="V262"/>
  <c r="V274"/>
  <c r="T67"/>
  <c r="T40"/>
  <c r="T39"/>
  <c r="T7"/>
  <c r="T49"/>
  <c r="T87"/>
  <c r="T9"/>
  <c r="T16"/>
  <c r="T30"/>
  <c r="T6"/>
  <c r="T29"/>
  <c r="T71"/>
  <c r="T22"/>
  <c r="T51"/>
  <c r="T78"/>
  <c r="T10"/>
  <c r="T21"/>
  <c r="T33"/>
  <c r="T88"/>
  <c r="T43"/>
  <c r="T53"/>
  <c r="T13"/>
  <c r="T19"/>
  <c r="T42"/>
  <c r="T47"/>
  <c r="T52"/>
  <c r="T57"/>
  <c r="T68"/>
  <c r="T77"/>
  <c r="T8"/>
  <c r="T11"/>
  <c r="T14"/>
  <c r="T20"/>
  <c r="T31"/>
  <c r="T41"/>
  <c r="T50"/>
  <c r="T66"/>
  <c r="T74"/>
  <c r="T97"/>
  <c r="T5"/>
  <c r="T58"/>
  <c r="T12"/>
  <c r="T23"/>
  <c r="T32"/>
  <c r="T61"/>
  <c r="T118"/>
  <c r="T140"/>
  <c r="T18"/>
  <c r="T28"/>
  <c r="T36"/>
  <c r="T38"/>
  <c r="T46"/>
  <c r="T56"/>
  <c r="T69"/>
  <c r="T79"/>
  <c r="T86"/>
  <c r="T94"/>
  <c r="T215"/>
  <c r="T24"/>
  <c r="T34"/>
  <c r="T44"/>
  <c r="T54"/>
  <c r="T60"/>
  <c r="T64"/>
  <c r="T84"/>
  <c r="T115"/>
  <c r="T152"/>
  <c r="T170"/>
  <c r="T17"/>
  <c r="T25"/>
  <c r="T27"/>
  <c r="T35"/>
  <c r="T45"/>
  <c r="T55"/>
  <c r="T117"/>
  <c r="T171"/>
  <c r="T259"/>
  <c r="T76"/>
  <c r="T105"/>
  <c r="T108"/>
  <c r="T123"/>
  <c r="T251"/>
  <c r="T113"/>
  <c r="T127"/>
  <c r="T133"/>
  <c r="T220"/>
  <c r="T128"/>
  <c r="T151"/>
  <c r="T89"/>
  <c r="T100"/>
  <c r="T150"/>
  <c r="T194"/>
  <c r="T62"/>
  <c r="T72"/>
  <c r="T80"/>
  <c r="T82"/>
  <c r="T90"/>
  <c r="T95"/>
  <c r="T98"/>
  <c r="T120"/>
  <c r="T153"/>
  <c r="T65"/>
  <c r="T75"/>
  <c r="T85"/>
  <c r="T110"/>
  <c r="T160"/>
  <c r="T63"/>
  <c r="T73"/>
  <c r="T83"/>
  <c r="T91"/>
  <c r="T93"/>
  <c r="T96"/>
  <c r="T106"/>
  <c r="T107"/>
  <c r="T130"/>
  <c r="T226"/>
  <c r="T101"/>
  <c r="T111"/>
  <c r="T121"/>
  <c r="T141"/>
  <c r="T142"/>
  <c r="T161"/>
  <c r="T162"/>
  <c r="T173"/>
  <c r="T175"/>
  <c r="T186"/>
  <c r="T201"/>
  <c r="T116"/>
  <c r="T124"/>
  <c r="T126"/>
  <c r="T174"/>
  <c r="T176"/>
  <c r="T256"/>
  <c r="T99"/>
  <c r="T109"/>
  <c r="T119"/>
  <c r="T129"/>
  <c r="T143"/>
  <c r="T163"/>
  <c r="T198"/>
  <c r="T102"/>
  <c r="T104"/>
  <c r="T112"/>
  <c r="T122"/>
  <c r="T131"/>
  <c r="T132"/>
  <c r="T179"/>
  <c r="T271"/>
  <c r="T138"/>
  <c r="T146"/>
  <c r="T148"/>
  <c r="T156"/>
  <c r="T166"/>
  <c r="T183"/>
  <c r="T264"/>
  <c r="T134"/>
  <c r="T144"/>
  <c r="T154"/>
  <c r="T164"/>
  <c r="T188"/>
  <c r="T199"/>
  <c r="T247"/>
  <c r="T139"/>
  <c r="T149"/>
  <c r="T157"/>
  <c r="T159"/>
  <c r="T167"/>
  <c r="T178"/>
  <c r="T184"/>
  <c r="T185"/>
  <c r="T193"/>
  <c r="T240"/>
  <c r="T277"/>
  <c r="T135"/>
  <c r="T137"/>
  <c r="T145"/>
  <c r="T155"/>
  <c r="T165"/>
  <c r="T168"/>
  <c r="T181"/>
  <c r="T189"/>
  <c r="T230"/>
  <c r="T238"/>
  <c r="T196"/>
  <c r="T203"/>
  <c r="T206"/>
  <c r="T229"/>
  <c r="T269"/>
  <c r="T177"/>
  <c r="T187"/>
  <c r="T197"/>
  <c r="T204"/>
  <c r="T209"/>
  <c r="T214"/>
  <c r="T227"/>
  <c r="T275"/>
  <c r="T172"/>
  <c r="T182"/>
  <c r="T190"/>
  <c r="T192"/>
  <c r="T200"/>
  <c r="T217"/>
  <c r="T195"/>
  <c r="T205"/>
  <c r="T239"/>
  <c r="T248"/>
  <c r="T253"/>
  <c r="T207"/>
  <c r="T212"/>
  <c r="T228"/>
  <c r="T232"/>
  <c r="T255"/>
  <c r="T267"/>
  <c r="T272"/>
  <c r="T218"/>
  <c r="T237"/>
  <c r="T208"/>
  <c r="T210"/>
  <c r="T216"/>
  <c r="T219"/>
  <c r="T222"/>
  <c r="T245"/>
  <c r="T265"/>
  <c r="T223"/>
  <c r="T225"/>
  <c r="T233"/>
  <c r="T261"/>
  <c r="T211"/>
  <c r="T221"/>
  <c r="T231"/>
  <c r="T241"/>
  <c r="T243"/>
  <c r="T234"/>
  <c r="T236"/>
  <c r="T250"/>
  <c r="T262"/>
  <c r="T274"/>
  <c r="T244"/>
  <c r="T254"/>
  <c r="T258"/>
  <c r="T266"/>
  <c r="T270"/>
  <c r="T278"/>
  <c r="T249"/>
  <c r="T263"/>
  <c r="T273"/>
  <c r="T242"/>
  <c r="T252"/>
  <c r="T260"/>
  <c r="T276"/>
  <c r="L47"/>
  <c r="L51"/>
  <c r="L9"/>
  <c r="L42"/>
  <c r="L50"/>
  <c r="L88"/>
  <c r="L10"/>
  <c r="L41"/>
  <c r="L49"/>
  <c r="L84"/>
  <c r="L31"/>
  <c r="L32"/>
  <c r="L58"/>
  <c r="L60"/>
  <c r="L14"/>
  <c r="L30"/>
  <c r="L68"/>
  <c r="L13"/>
  <c r="L19"/>
  <c r="L7"/>
  <c r="L11"/>
  <c r="L21"/>
  <c r="L40"/>
  <c r="L6"/>
  <c r="L8"/>
  <c r="L16"/>
  <c r="L33"/>
  <c r="L61"/>
  <c r="L64"/>
  <c r="L5"/>
  <c r="L23"/>
  <c r="L57"/>
  <c r="L22"/>
  <c r="L29"/>
  <c r="L39"/>
  <c r="L52"/>
  <c r="L100"/>
  <c r="L12"/>
  <c r="L20"/>
  <c r="L43"/>
  <c r="L53"/>
  <c r="L67"/>
  <c r="L74"/>
  <c r="L79"/>
  <c r="L87"/>
  <c r="L89"/>
  <c r="L71"/>
  <c r="L76"/>
  <c r="L95"/>
  <c r="L96"/>
  <c r="L18"/>
  <c r="L28"/>
  <c r="L36"/>
  <c r="L38"/>
  <c r="L46"/>
  <c r="L56"/>
  <c r="L66"/>
  <c r="L120"/>
  <c r="L128"/>
  <c r="L24"/>
  <c r="L34"/>
  <c r="L44"/>
  <c r="L54"/>
  <c r="L17"/>
  <c r="L25"/>
  <c r="L27"/>
  <c r="L35"/>
  <c r="L45"/>
  <c r="L55"/>
  <c r="L69"/>
  <c r="L105"/>
  <c r="L77"/>
  <c r="L78"/>
  <c r="L97"/>
  <c r="L98"/>
  <c r="L178"/>
  <c r="L179"/>
  <c r="L226"/>
  <c r="L110"/>
  <c r="L130"/>
  <c r="L141"/>
  <c r="L228"/>
  <c r="L143"/>
  <c r="L86"/>
  <c r="L94"/>
  <c r="L132"/>
  <c r="L214"/>
  <c r="L62"/>
  <c r="L72"/>
  <c r="L80"/>
  <c r="L82"/>
  <c r="L90"/>
  <c r="L106"/>
  <c r="L107"/>
  <c r="L115"/>
  <c r="L117"/>
  <c r="L123"/>
  <c r="L131"/>
  <c r="L162"/>
  <c r="L65"/>
  <c r="L75"/>
  <c r="L85"/>
  <c r="L161"/>
  <c r="L163"/>
  <c r="L203"/>
  <c r="L63"/>
  <c r="L73"/>
  <c r="L83"/>
  <c r="L91"/>
  <c r="L93"/>
  <c r="L108"/>
  <c r="L113"/>
  <c r="L118"/>
  <c r="L127"/>
  <c r="L142"/>
  <c r="L168"/>
  <c r="L204"/>
  <c r="L101"/>
  <c r="L111"/>
  <c r="L121"/>
  <c r="L150"/>
  <c r="L183"/>
  <c r="L220"/>
  <c r="L261"/>
  <c r="L116"/>
  <c r="L124"/>
  <c r="L126"/>
  <c r="L133"/>
  <c r="L151"/>
  <c r="L152"/>
  <c r="L99"/>
  <c r="L109"/>
  <c r="L119"/>
  <c r="L129"/>
  <c r="L171"/>
  <c r="L184"/>
  <c r="L185"/>
  <c r="L102"/>
  <c r="L104"/>
  <c r="L112"/>
  <c r="L122"/>
  <c r="L140"/>
  <c r="L153"/>
  <c r="L160"/>
  <c r="L173"/>
  <c r="L186"/>
  <c r="L199"/>
  <c r="L269"/>
  <c r="L138"/>
  <c r="L146"/>
  <c r="L148"/>
  <c r="L156"/>
  <c r="L166"/>
  <c r="L188"/>
  <c r="L193"/>
  <c r="L201"/>
  <c r="L227"/>
  <c r="L238"/>
  <c r="L267"/>
  <c r="L134"/>
  <c r="L144"/>
  <c r="L154"/>
  <c r="L164"/>
  <c r="L174"/>
  <c r="L175"/>
  <c r="L206"/>
  <c r="L209"/>
  <c r="L222"/>
  <c r="L239"/>
  <c r="L275"/>
  <c r="L139"/>
  <c r="L149"/>
  <c r="L157"/>
  <c r="L159"/>
  <c r="L167"/>
  <c r="L170"/>
  <c r="L181"/>
  <c r="L189"/>
  <c r="L194"/>
  <c r="L248"/>
  <c r="L135"/>
  <c r="L137"/>
  <c r="L145"/>
  <c r="L155"/>
  <c r="L165"/>
  <c r="L176"/>
  <c r="L198"/>
  <c r="L216"/>
  <c r="L232"/>
  <c r="L237"/>
  <c r="L240"/>
  <c r="L196"/>
  <c r="L212"/>
  <c r="L217"/>
  <c r="L256"/>
  <c r="L177"/>
  <c r="L187"/>
  <c r="L197"/>
  <c r="L210"/>
  <c r="L264"/>
  <c r="L172"/>
  <c r="L182"/>
  <c r="L190"/>
  <c r="L192"/>
  <c r="L200"/>
  <c r="L205"/>
  <c r="L219"/>
  <c r="L230"/>
  <c r="L272"/>
  <c r="L277"/>
  <c r="L195"/>
  <c r="L243"/>
  <c r="L207"/>
  <c r="L218"/>
  <c r="L229"/>
  <c r="L215"/>
  <c r="L251"/>
  <c r="L253"/>
  <c r="L259"/>
  <c r="L208"/>
  <c r="L223"/>
  <c r="L225"/>
  <c r="L233"/>
  <c r="L245"/>
  <c r="L265"/>
  <c r="L211"/>
  <c r="L221"/>
  <c r="L231"/>
  <c r="L241"/>
  <c r="L234"/>
  <c r="L236"/>
  <c r="L247"/>
  <c r="L255"/>
  <c r="L271"/>
  <c r="L250"/>
  <c r="L262"/>
  <c r="L274"/>
  <c r="L244"/>
  <c r="L254"/>
  <c r="L258"/>
  <c r="L266"/>
  <c r="L270"/>
  <c r="L278"/>
  <c r="L249"/>
  <c r="L263"/>
  <c r="L273"/>
  <c r="L242"/>
  <c r="L252"/>
  <c r="L260"/>
  <c r="L276"/>
  <c r="I97"/>
  <c r="I5"/>
  <c r="I38"/>
  <c r="I10"/>
  <c r="I51"/>
  <c r="I63"/>
  <c r="I20"/>
  <c r="I6"/>
  <c r="I7"/>
  <c r="I41"/>
  <c r="I139"/>
  <c r="I8"/>
  <c r="I39"/>
  <c r="I21"/>
  <c r="I28"/>
  <c r="I31"/>
  <c r="I32"/>
  <c r="I36"/>
  <c r="I58"/>
  <c r="I60"/>
  <c r="I78"/>
  <c r="I12"/>
  <c r="I46"/>
  <c r="I56"/>
  <c r="I73"/>
  <c r="I161"/>
  <c r="I9"/>
  <c r="I13"/>
  <c r="I22"/>
  <c r="I29"/>
  <c r="I50"/>
  <c r="I16"/>
  <c r="I19"/>
  <c r="I40"/>
  <c r="I65"/>
  <c r="I77"/>
  <c r="I14"/>
  <c r="I30"/>
  <c r="I49"/>
  <c r="I11"/>
  <c r="I18"/>
  <c r="I42"/>
  <c r="I47"/>
  <c r="I52"/>
  <c r="I57"/>
  <c r="I88"/>
  <c r="I66"/>
  <c r="I67"/>
  <c r="I87"/>
  <c r="I162"/>
  <c r="I96"/>
  <c r="I203"/>
  <c r="I17"/>
  <c r="I25"/>
  <c r="I27"/>
  <c r="I35"/>
  <c r="I45"/>
  <c r="I55"/>
  <c r="I142"/>
  <c r="I23"/>
  <c r="I33"/>
  <c r="I43"/>
  <c r="I53"/>
  <c r="I91"/>
  <c r="I109"/>
  <c r="I119"/>
  <c r="I24"/>
  <c r="I34"/>
  <c r="I44"/>
  <c r="I54"/>
  <c r="I68"/>
  <c r="I75"/>
  <c r="I83"/>
  <c r="I86"/>
  <c r="I141"/>
  <c r="I212"/>
  <c r="I76"/>
  <c r="I85"/>
  <c r="I126"/>
  <c r="I177"/>
  <c r="I198"/>
  <c r="I270"/>
  <c r="I95"/>
  <c r="I99"/>
  <c r="I100"/>
  <c r="I104"/>
  <c r="I127"/>
  <c r="I129"/>
  <c r="I167"/>
  <c r="I221"/>
  <c r="I93"/>
  <c r="I140"/>
  <c r="I159"/>
  <c r="I61"/>
  <c r="I69"/>
  <c r="I71"/>
  <c r="I79"/>
  <c r="I89"/>
  <c r="I122"/>
  <c r="I278"/>
  <c r="I64"/>
  <c r="I74"/>
  <c r="I84"/>
  <c r="I94"/>
  <c r="I105"/>
  <c r="I106"/>
  <c r="I116"/>
  <c r="I124"/>
  <c r="I197"/>
  <c r="I271"/>
  <c r="I62"/>
  <c r="I72"/>
  <c r="I80"/>
  <c r="I82"/>
  <c r="I90"/>
  <c r="I102"/>
  <c r="I107"/>
  <c r="I112"/>
  <c r="I117"/>
  <c r="I160"/>
  <c r="I178"/>
  <c r="I190"/>
  <c r="I110"/>
  <c r="I120"/>
  <c r="I130"/>
  <c r="I131"/>
  <c r="I168"/>
  <c r="I113"/>
  <c r="I115"/>
  <c r="I123"/>
  <c r="I132"/>
  <c r="I149"/>
  <c r="I157"/>
  <c r="I182"/>
  <c r="I98"/>
  <c r="I108"/>
  <c r="I118"/>
  <c r="I128"/>
  <c r="I150"/>
  <c r="I151"/>
  <c r="I183"/>
  <c r="I205"/>
  <c r="I101"/>
  <c r="I111"/>
  <c r="I121"/>
  <c r="I152"/>
  <c r="I170"/>
  <c r="I172"/>
  <c r="I185"/>
  <c r="I135"/>
  <c r="I137"/>
  <c r="I145"/>
  <c r="I155"/>
  <c r="I165"/>
  <c r="I187"/>
  <c r="I192"/>
  <c r="I200"/>
  <c r="I219"/>
  <c r="I241"/>
  <c r="I133"/>
  <c r="I143"/>
  <c r="I153"/>
  <c r="I163"/>
  <c r="I173"/>
  <c r="I184"/>
  <c r="I201"/>
  <c r="I208"/>
  <c r="I138"/>
  <c r="I146"/>
  <c r="I148"/>
  <c r="I156"/>
  <c r="I166"/>
  <c r="I174"/>
  <c r="I188"/>
  <c r="I193"/>
  <c r="I223"/>
  <c r="I239"/>
  <c r="I254"/>
  <c r="I134"/>
  <c r="I144"/>
  <c r="I154"/>
  <c r="I164"/>
  <c r="I175"/>
  <c r="I195"/>
  <c r="I218"/>
  <c r="I222"/>
  <c r="I227"/>
  <c r="I262"/>
  <c r="I176"/>
  <c r="I186"/>
  <c r="I196"/>
  <c r="I209"/>
  <c r="I211"/>
  <c r="I234"/>
  <c r="I236"/>
  <c r="I171"/>
  <c r="I179"/>
  <c r="I181"/>
  <c r="I189"/>
  <c r="I199"/>
  <c r="I204"/>
  <c r="I216"/>
  <c r="I226"/>
  <c r="I231"/>
  <c r="I266"/>
  <c r="I194"/>
  <c r="I250"/>
  <c r="I206"/>
  <c r="I217"/>
  <c r="I228"/>
  <c r="I237"/>
  <c r="I238"/>
  <c r="I214"/>
  <c r="I247"/>
  <c r="I207"/>
  <c r="I215"/>
  <c r="I225"/>
  <c r="I229"/>
  <c r="I242"/>
  <c r="I244"/>
  <c r="I255"/>
  <c r="I258"/>
  <c r="I274"/>
  <c r="I232"/>
  <c r="I210"/>
  <c r="I220"/>
  <c r="I230"/>
  <c r="I240"/>
  <c r="I245"/>
  <c r="I252"/>
  <c r="I260"/>
  <c r="I265"/>
  <c r="I276"/>
  <c r="I233"/>
  <c r="I249"/>
  <c r="I263"/>
  <c r="I273"/>
  <c r="I243"/>
  <c r="I253"/>
  <c r="I259"/>
  <c r="I267"/>
  <c r="I269"/>
  <c r="I277"/>
  <c r="I248"/>
  <c r="I256"/>
  <c r="I264"/>
  <c r="I272"/>
  <c r="I251"/>
  <c r="I261"/>
  <c r="I275"/>
  <c r="AC27"/>
  <c r="AC54"/>
  <c r="AC13"/>
  <c r="AC34"/>
  <c r="AC91"/>
  <c r="AC10"/>
  <c r="AC12"/>
  <c r="AC28"/>
  <c r="AC24"/>
  <c r="AC44"/>
  <c r="AC53"/>
  <c r="AC73"/>
  <c r="AC105"/>
  <c r="AC38"/>
  <c r="AC61"/>
  <c r="AC25"/>
  <c r="AC9"/>
  <c r="AC46"/>
  <c r="AC62"/>
  <c r="AC6"/>
  <c r="AC16"/>
  <c r="AC36"/>
  <c r="AC52"/>
  <c r="AC23"/>
  <c r="AC55"/>
  <c r="AC77"/>
  <c r="AC45"/>
  <c r="AC8"/>
  <c r="AC11"/>
  <c r="AC14"/>
  <c r="AC18"/>
  <c r="AC33"/>
  <c r="AC43"/>
  <c r="AC64"/>
  <c r="AC79"/>
  <c r="AC89"/>
  <c r="AC90"/>
  <c r="AC101"/>
  <c r="AC130"/>
  <c r="AC154"/>
  <c r="AC5"/>
  <c r="AC17"/>
  <c r="AC32"/>
  <c r="AC42"/>
  <c r="AC56"/>
  <c r="AC72"/>
  <c r="AC143"/>
  <c r="AC148"/>
  <c r="AC7"/>
  <c r="AC22"/>
  <c r="AC35"/>
  <c r="AC84"/>
  <c r="AC164"/>
  <c r="AC74"/>
  <c r="AC93"/>
  <c r="AC109"/>
  <c r="AC21"/>
  <c r="AC31"/>
  <c r="AC41"/>
  <c r="AC51"/>
  <c r="AC67"/>
  <c r="AC71"/>
  <c r="AC19"/>
  <c r="AC29"/>
  <c r="AC39"/>
  <c r="AC47"/>
  <c r="AC49"/>
  <c r="AC57"/>
  <c r="AC63"/>
  <c r="AC69"/>
  <c r="AC80"/>
  <c r="AC83"/>
  <c r="AC156"/>
  <c r="AC20"/>
  <c r="AC30"/>
  <c r="AC40"/>
  <c r="AC50"/>
  <c r="AC58"/>
  <c r="AC128"/>
  <c r="AC82"/>
  <c r="AC100"/>
  <c r="AC115"/>
  <c r="AC155"/>
  <c r="AC163"/>
  <c r="AC274"/>
  <c r="AC113"/>
  <c r="AC121"/>
  <c r="AC123"/>
  <c r="AC201"/>
  <c r="AC87"/>
  <c r="AC97"/>
  <c r="AC118"/>
  <c r="AC178"/>
  <c r="AC189"/>
  <c r="AC65"/>
  <c r="AC75"/>
  <c r="AC85"/>
  <c r="AC95"/>
  <c r="AC98"/>
  <c r="AC108"/>
  <c r="AC144"/>
  <c r="AC60"/>
  <c r="AC68"/>
  <c r="AC78"/>
  <c r="AC88"/>
  <c r="AC111"/>
  <c r="AC171"/>
  <c r="AC186"/>
  <c r="AC66"/>
  <c r="AC76"/>
  <c r="AC86"/>
  <c r="AC96"/>
  <c r="AC99"/>
  <c r="AC110"/>
  <c r="AC120"/>
  <c r="AC106"/>
  <c r="AC116"/>
  <c r="AC124"/>
  <c r="AC126"/>
  <c r="AC133"/>
  <c r="AC137"/>
  <c r="AC145"/>
  <c r="AC165"/>
  <c r="AC179"/>
  <c r="AC119"/>
  <c r="AC129"/>
  <c r="AC217"/>
  <c r="AC250"/>
  <c r="AC94"/>
  <c r="AC102"/>
  <c r="AC104"/>
  <c r="AC112"/>
  <c r="AC122"/>
  <c r="AC134"/>
  <c r="AC138"/>
  <c r="AC146"/>
  <c r="AC153"/>
  <c r="AC166"/>
  <c r="AC170"/>
  <c r="AC181"/>
  <c r="AC183"/>
  <c r="AC107"/>
  <c r="AC117"/>
  <c r="AC127"/>
  <c r="AC135"/>
  <c r="AC184"/>
  <c r="AC223"/>
  <c r="AC131"/>
  <c r="AC141"/>
  <c r="AC151"/>
  <c r="AC161"/>
  <c r="AC176"/>
  <c r="AC194"/>
  <c r="AC139"/>
  <c r="AC149"/>
  <c r="AC157"/>
  <c r="AC159"/>
  <c r="AC173"/>
  <c r="AC187"/>
  <c r="AC214"/>
  <c r="AC220"/>
  <c r="AC225"/>
  <c r="AC132"/>
  <c r="AC142"/>
  <c r="AC152"/>
  <c r="AC162"/>
  <c r="AC167"/>
  <c r="AC177"/>
  <c r="AC188"/>
  <c r="AC196"/>
  <c r="AC208"/>
  <c r="AC230"/>
  <c r="AC140"/>
  <c r="AC150"/>
  <c r="AC160"/>
  <c r="AC168"/>
  <c r="AC174"/>
  <c r="AC193"/>
  <c r="AC197"/>
  <c r="AC199"/>
  <c r="AC203"/>
  <c r="AC206"/>
  <c r="AC207"/>
  <c r="AC211"/>
  <c r="AC272"/>
  <c r="AC172"/>
  <c r="AC182"/>
  <c r="AC190"/>
  <c r="AC192"/>
  <c r="AC200"/>
  <c r="AC204"/>
  <c r="AC232"/>
  <c r="AC240"/>
  <c r="AC248"/>
  <c r="AC175"/>
  <c r="AC185"/>
  <c r="AC195"/>
  <c r="AC209"/>
  <c r="AC215"/>
  <c r="AC233"/>
  <c r="AC262"/>
  <c r="AC198"/>
  <c r="AC205"/>
  <c r="AC222"/>
  <c r="AC212"/>
  <c r="AC227"/>
  <c r="AC256"/>
  <c r="AC218"/>
  <c r="AC221"/>
  <c r="AC231"/>
  <c r="AC241"/>
  <c r="AC264"/>
  <c r="AC210"/>
  <c r="AC219"/>
  <c r="AC237"/>
  <c r="AC228"/>
  <c r="AC238"/>
  <c r="AC244"/>
  <c r="AC251"/>
  <c r="AC275"/>
  <c r="AC216"/>
  <c r="AC226"/>
  <c r="AC234"/>
  <c r="AC236"/>
  <c r="AC229"/>
  <c r="AC239"/>
  <c r="AC254"/>
  <c r="AC258"/>
  <c r="AC261"/>
  <c r="AC266"/>
  <c r="AC270"/>
  <c r="AC278"/>
  <c r="AC243"/>
  <c r="AC253"/>
  <c r="AC259"/>
  <c r="AC267"/>
  <c r="AC269"/>
  <c r="AC277"/>
  <c r="AC249"/>
  <c r="AC263"/>
  <c r="AC273"/>
  <c r="AC242"/>
  <c r="AC252"/>
  <c r="AC260"/>
  <c r="AC276"/>
  <c r="AC245"/>
  <c r="AC247"/>
  <c r="AC255"/>
  <c r="AC265"/>
  <c r="AC271"/>
  <c r="J78"/>
  <c r="J45"/>
  <c r="J80"/>
  <c r="J52"/>
  <c r="J68"/>
  <c r="J76"/>
  <c r="J5"/>
  <c r="J43"/>
  <c r="J61"/>
  <c r="J54"/>
  <c r="J12"/>
  <c r="J104"/>
  <c r="J42"/>
  <c r="J31"/>
  <c r="J32"/>
  <c r="J7"/>
  <c r="J25"/>
  <c r="J41"/>
  <c r="J51"/>
  <c r="J9"/>
  <c r="J13"/>
  <c r="J22"/>
  <c r="J108"/>
  <c r="J129"/>
  <c r="J10"/>
  <c r="J17"/>
  <c r="J21"/>
  <c r="J55"/>
  <c r="J63"/>
  <c r="J102"/>
  <c r="J35"/>
  <c r="J53"/>
  <c r="J62"/>
  <c r="J82"/>
  <c r="J186"/>
  <c r="J8"/>
  <c r="J11"/>
  <c r="J23"/>
  <c r="J34"/>
  <c r="J44"/>
  <c r="J107"/>
  <c r="J6"/>
  <c r="J14"/>
  <c r="J16"/>
  <c r="J24"/>
  <c r="J27"/>
  <c r="J33"/>
  <c r="J69"/>
  <c r="J83"/>
  <c r="J86"/>
  <c r="J100"/>
  <c r="J127"/>
  <c r="J72"/>
  <c r="J79"/>
  <c r="J91"/>
  <c r="J20"/>
  <c r="J30"/>
  <c r="J40"/>
  <c r="J50"/>
  <c r="J58"/>
  <c r="J60"/>
  <c r="J73"/>
  <c r="J18"/>
  <c r="J28"/>
  <c r="J36"/>
  <c r="J38"/>
  <c r="J46"/>
  <c r="J56"/>
  <c r="J66"/>
  <c r="J88"/>
  <c r="J97"/>
  <c r="J168"/>
  <c r="J19"/>
  <c r="J29"/>
  <c r="J39"/>
  <c r="J47"/>
  <c r="J49"/>
  <c r="J57"/>
  <c r="J71"/>
  <c r="J217"/>
  <c r="J265"/>
  <c r="J117"/>
  <c r="J122"/>
  <c r="J142"/>
  <c r="J176"/>
  <c r="J207"/>
  <c r="J109"/>
  <c r="J89"/>
  <c r="J93"/>
  <c r="J155"/>
  <c r="J163"/>
  <c r="J90"/>
  <c r="J112"/>
  <c r="J120"/>
  <c r="J143"/>
  <c r="J173"/>
  <c r="J175"/>
  <c r="J64"/>
  <c r="J74"/>
  <c r="J84"/>
  <c r="J94"/>
  <c r="J110"/>
  <c r="J192"/>
  <c r="J67"/>
  <c r="J77"/>
  <c r="J87"/>
  <c r="J95"/>
  <c r="J98"/>
  <c r="J130"/>
  <c r="J135"/>
  <c r="J153"/>
  <c r="J154"/>
  <c r="J162"/>
  <c r="J187"/>
  <c r="J65"/>
  <c r="J75"/>
  <c r="J85"/>
  <c r="J96"/>
  <c r="J99"/>
  <c r="J119"/>
  <c r="J105"/>
  <c r="J113"/>
  <c r="J115"/>
  <c r="J123"/>
  <c r="J132"/>
  <c r="J144"/>
  <c r="J164"/>
  <c r="J211"/>
  <c r="J118"/>
  <c r="J128"/>
  <c r="J205"/>
  <c r="J101"/>
  <c r="J111"/>
  <c r="J121"/>
  <c r="J133"/>
  <c r="J137"/>
  <c r="J145"/>
  <c r="J152"/>
  <c r="J165"/>
  <c r="J172"/>
  <c r="J267"/>
  <c r="J106"/>
  <c r="J116"/>
  <c r="J124"/>
  <c r="J126"/>
  <c r="J134"/>
  <c r="J195"/>
  <c r="J200"/>
  <c r="J201"/>
  <c r="J140"/>
  <c r="J150"/>
  <c r="J160"/>
  <c r="J177"/>
  <c r="J183"/>
  <c r="J273"/>
  <c r="J138"/>
  <c r="J146"/>
  <c r="J148"/>
  <c r="J156"/>
  <c r="J166"/>
  <c r="J188"/>
  <c r="J193"/>
  <c r="J228"/>
  <c r="J236"/>
  <c r="J131"/>
  <c r="J141"/>
  <c r="J151"/>
  <c r="J161"/>
  <c r="J178"/>
  <c r="J185"/>
  <c r="J206"/>
  <c r="J222"/>
  <c r="J139"/>
  <c r="J149"/>
  <c r="J157"/>
  <c r="J159"/>
  <c r="J167"/>
  <c r="J170"/>
  <c r="J182"/>
  <c r="J190"/>
  <c r="J196"/>
  <c r="J203"/>
  <c r="J271"/>
  <c r="J198"/>
  <c r="J208"/>
  <c r="J241"/>
  <c r="J171"/>
  <c r="J179"/>
  <c r="J181"/>
  <c r="J189"/>
  <c r="J199"/>
  <c r="J204"/>
  <c r="J216"/>
  <c r="J226"/>
  <c r="J231"/>
  <c r="J174"/>
  <c r="J184"/>
  <c r="J194"/>
  <c r="J210"/>
  <c r="J220"/>
  <c r="J232"/>
  <c r="J197"/>
  <c r="J219"/>
  <c r="J229"/>
  <c r="J245"/>
  <c r="J255"/>
  <c r="J209"/>
  <c r="J214"/>
  <c r="J247"/>
  <c r="J249"/>
  <c r="J212"/>
  <c r="J218"/>
  <c r="J221"/>
  <c r="J234"/>
  <c r="J239"/>
  <c r="J230"/>
  <c r="J240"/>
  <c r="J259"/>
  <c r="J227"/>
  <c r="J237"/>
  <c r="J243"/>
  <c r="J250"/>
  <c r="J262"/>
  <c r="J274"/>
  <c r="J215"/>
  <c r="J223"/>
  <c r="J225"/>
  <c r="J233"/>
  <c r="J263"/>
  <c r="J238"/>
  <c r="J253"/>
  <c r="J269"/>
  <c r="J277"/>
  <c r="J242"/>
  <c r="J252"/>
  <c r="J260"/>
  <c r="J276"/>
  <c r="J248"/>
  <c r="J256"/>
  <c r="J264"/>
  <c r="J272"/>
  <c r="J251"/>
  <c r="J261"/>
  <c r="J275"/>
  <c r="J244"/>
  <c r="J254"/>
  <c r="J258"/>
  <c r="J266"/>
  <c r="J270"/>
  <c r="J278"/>
  <c r="S40"/>
  <c r="S13"/>
  <c r="S18"/>
  <c r="S79"/>
  <c r="S5"/>
  <c r="S24"/>
  <c r="S45"/>
  <c r="S47"/>
  <c r="S10"/>
  <c r="S44"/>
  <c r="S57"/>
  <c r="S7"/>
  <c r="S84"/>
  <c r="S115"/>
  <c r="S30"/>
  <c r="S34"/>
  <c r="S35"/>
  <c r="S6"/>
  <c r="S19"/>
  <c r="S54"/>
  <c r="S56"/>
  <c r="S29"/>
  <c r="S65"/>
  <c r="S86"/>
  <c r="S39"/>
  <c r="S49"/>
  <c r="S58"/>
  <c r="S112"/>
  <c r="S122"/>
  <c r="S145"/>
  <c r="S12"/>
  <c r="S94"/>
  <c r="S117"/>
  <c r="S16"/>
  <c r="S28"/>
  <c r="S38"/>
  <c r="S46"/>
  <c r="S55"/>
  <c r="S71"/>
  <c r="S8"/>
  <c r="S11"/>
  <c r="S14"/>
  <c r="S20"/>
  <c r="S25"/>
  <c r="S27"/>
  <c r="S50"/>
  <c r="S66"/>
  <c r="S69"/>
  <c r="S123"/>
  <c r="S137"/>
  <c r="S165"/>
  <c r="S9"/>
  <c r="S17"/>
  <c r="S36"/>
  <c r="S64"/>
  <c r="S91"/>
  <c r="S138"/>
  <c r="S23"/>
  <c r="S33"/>
  <c r="S43"/>
  <c r="S53"/>
  <c r="S63"/>
  <c r="S97"/>
  <c r="S181"/>
  <c r="S21"/>
  <c r="S31"/>
  <c r="S41"/>
  <c r="S51"/>
  <c r="S73"/>
  <c r="S148"/>
  <c r="S253"/>
  <c r="S22"/>
  <c r="S32"/>
  <c r="S42"/>
  <c r="S52"/>
  <c r="S61"/>
  <c r="S74"/>
  <c r="S76"/>
  <c r="S85"/>
  <c r="S185"/>
  <c r="S75"/>
  <c r="S89"/>
  <c r="S93"/>
  <c r="S100"/>
  <c r="S101"/>
  <c r="S139"/>
  <c r="S146"/>
  <c r="S150"/>
  <c r="S157"/>
  <c r="S182"/>
  <c r="S183"/>
  <c r="S149"/>
  <c r="S156"/>
  <c r="S222"/>
  <c r="S179"/>
  <c r="S83"/>
  <c r="S102"/>
  <c r="S107"/>
  <c r="S110"/>
  <c r="S130"/>
  <c r="S67"/>
  <c r="S77"/>
  <c r="S87"/>
  <c r="S104"/>
  <c r="S113"/>
  <c r="S127"/>
  <c r="S172"/>
  <c r="S62"/>
  <c r="S72"/>
  <c r="S80"/>
  <c r="S82"/>
  <c r="S90"/>
  <c r="S95"/>
  <c r="S98"/>
  <c r="S120"/>
  <c r="S159"/>
  <c r="S166"/>
  <c r="S167"/>
  <c r="S60"/>
  <c r="S68"/>
  <c r="S78"/>
  <c r="S88"/>
  <c r="S99"/>
  <c r="S105"/>
  <c r="S207"/>
  <c r="S108"/>
  <c r="S118"/>
  <c r="S128"/>
  <c r="S135"/>
  <c r="S140"/>
  <c r="S160"/>
  <c r="S171"/>
  <c r="S193"/>
  <c r="S195"/>
  <c r="S208"/>
  <c r="S111"/>
  <c r="S121"/>
  <c r="S186"/>
  <c r="S190"/>
  <c r="S206"/>
  <c r="S96"/>
  <c r="S106"/>
  <c r="S116"/>
  <c r="S124"/>
  <c r="S126"/>
  <c r="S155"/>
  <c r="S178"/>
  <c r="S189"/>
  <c r="S252"/>
  <c r="S109"/>
  <c r="S119"/>
  <c r="S129"/>
  <c r="S168"/>
  <c r="S203"/>
  <c r="S277"/>
  <c r="S133"/>
  <c r="S143"/>
  <c r="S153"/>
  <c r="S163"/>
  <c r="S176"/>
  <c r="S196"/>
  <c r="S210"/>
  <c r="S236"/>
  <c r="S131"/>
  <c r="S141"/>
  <c r="S151"/>
  <c r="S161"/>
  <c r="S173"/>
  <c r="S198"/>
  <c r="S205"/>
  <c r="S216"/>
  <c r="S134"/>
  <c r="S144"/>
  <c r="S154"/>
  <c r="S164"/>
  <c r="S188"/>
  <c r="S199"/>
  <c r="S237"/>
  <c r="S132"/>
  <c r="S142"/>
  <c r="S152"/>
  <c r="S162"/>
  <c r="S170"/>
  <c r="S175"/>
  <c r="S220"/>
  <c r="S226"/>
  <c r="S201"/>
  <c r="S219"/>
  <c r="S174"/>
  <c r="S184"/>
  <c r="S194"/>
  <c r="S177"/>
  <c r="S187"/>
  <c r="S197"/>
  <c r="S209"/>
  <c r="S260"/>
  <c r="S192"/>
  <c r="S200"/>
  <c r="S211"/>
  <c r="S217"/>
  <c r="S223"/>
  <c r="S225"/>
  <c r="S204"/>
  <c r="S214"/>
  <c r="S227"/>
  <c r="S276"/>
  <c r="S212"/>
  <c r="S221"/>
  <c r="S232"/>
  <c r="S215"/>
  <c r="S229"/>
  <c r="S233"/>
  <c r="S234"/>
  <c r="S239"/>
  <c r="S269"/>
  <c r="S230"/>
  <c r="S240"/>
  <c r="S218"/>
  <c r="S228"/>
  <c r="S238"/>
  <c r="S242"/>
  <c r="S248"/>
  <c r="S256"/>
  <c r="S259"/>
  <c r="S264"/>
  <c r="S267"/>
  <c r="S272"/>
  <c r="S231"/>
  <c r="S241"/>
  <c r="S243"/>
  <c r="S250"/>
  <c r="S262"/>
  <c r="S274"/>
  <c r="S245"/>
  <c r="S247"/>
  <c r="S255"/>
  <c r="S265"/>
  <c r="S271"/>
  <c r="S251"/>
  <c r="S261"/>
  <c r="S275"/>
  <c r="S244"/>
  <c r="S254"/>
  <c r="S258"/>
  <c r="S266"/>
  <c r="S270"/>
  <c r="S278"/>
  <c r="S249"/>
  <c r="S263"/>
  <c r="S273"/>
  <c r="AX134"/>
  <c r="AX11"/>
  <c r="AX31"/>
  <c r="AX89"/>
  <c r="AX13"/>
  <c r="AX33"/>
  <c r="AX5"/>
  <c r="AX32"/>
  <c r="AX42"/>
  <c r="AX44"/>
  <c r="AX80"/>
  <c r="AX68"/>
  <c r="AX71"/>
  <c r="AX23"/>
  <c r="AX35"/>
  <c r="AX7"/>
  <c r="AX16"/>
  <c r="AX52"/>
  <c r="AX10"/>
  <c r="AX24"/>
  <c r="AX41"/>
  <c r="AX51"/>
  <c r="AX62"/>
  <c r="AX8"/>
  <c r="AX22"/>
  <c r="AX34"/>
  <c r="AX82"/>
  <c r="AX17"/>
  <c r="AX21"/>
  <c r="AX55"/>
  <c r="AX60"/>
  <c r="AX9"/>
  <c r="AX12"/>
  <c r="AX25"/>
  <c r="AX83"/>
  <c r="AX27"/>
  <c r="AX45"/>
  <c r="AX54"/>
  <c r="AX73"/>
  <c r="AX117"/>
  <c r="AX6"/>
  <c r="AX14"/>
  <c r="AX43"/>
  <c r="AX53"/>
  <c r="AX69"/>
  <c r="AX98"/>
  <c r="AX187"/>
  <c r="AX66"/>
  <c r="AX110"/>
  <c r="AX104"/>
  <c r="AX20"/>
  <c r="AX30"/>
  <c r="AX40"/>
  <c r="AX50"/>
  <c r="AX58"/>
  <c r="AX79"/>
  <c r="AX175"/>
  <c r="AX18"/>
  <c r="AX28"/>
  <c r="AX36"/>
  <c r="AX38"/>
  <c r="AX46"/>
  <c r="AX56"/>
  <c r="AX61"/>
  <c r="AX88"/>
  <c r="AX112"/>
  <c r="AX19"/>
  <c r="AX29"/>
  <c r="AX39"/>
  <c r="AX47"/>
  <c r="AX49"/>
  <c r="AX57"/>
  <c r="AX63"/>
  <c r="AX72"/>
  <c r="AX76"/>
  <c r="AX93"/>
  <c r="AX119"/>
  <c r="AX164"/>
  <c r="AX78"/>
  <c r="AX86"/>
  <c r="AX91"/>
  <c r="AX95"/>
  <c r="AX129"/>
  <c r="AX152"/>
  <c r="AX109"/>
  <c r="AX120"/>
  <c r="AX90"/>
  <c r="AX133"/>
  <c r="AX188"/>
  <c r="AX132"/>
  <c r="AX64"/>
  <c r="AX74"/>
  <c r="AX84"/>
  <c r="AX96"/>
  <c r="AX99"/>
  <c r="AX165"/>
  <c r="AX218"/>
  <c r="AX67"/>
  <c r="AX77"/>
  <c r="AX87"/>
  <c r="AX102"/>
  <c r="AX107"/>
  <c r="AX127"/>
  <c r="AX144"/>
  <c r="AX193"/>
  <c r="AX65"/>
  <c r="AX75"/>
  <c r="AX85"/>
  <c r="AX94"/>
  <c r="AX97"/>
  <c r="AX100"/>
  <c r="AX108"/>
  <c r="AX122"/>
  <c r="AX137"/>
  <c r="AX145"/>
  <c r="AX176"/>
  <c r="AX105"/>
  <c r="AX113"/>
  <c r="AX115"/>
  <c r="AX123"/>
  <c r="AX153"/>
  <c r="AX118"/>
  <c r="AX128"/>
  <c r="AX135"/>
  <c r="AX142"/>
  <c r="AX154"/>
  <c r="AX162"/>
  <c r="AX192"/>
  <c r="AX195"/>
  <c r="AX226"/>
  <c r="AX101"/>
  <c r="AX111"/>
  <c r="AX121"/>
  <c r="AX182"/>
  <c r="AX196"/>
  <c r="AX206"/>
  <c r="AX240"/>
  <c r="AX106"/>
  <c r="AX116"/>
  <c r="AX124"/>
  <c r="AX126"/>
  <c r="AX143"/>
  <c r="AX155"/>
  <c r="AX163"/>
  <c r="AX130"/>
  <c r="AX140"/>
  <c r="AX150"/>
  <c r="AX160"/>
  <c r="AX167"/>
  <c r="AX172"/>
  <c r="AX186"/>
  <c r="AX138"/>
  <c r="AX146"/>
  <c r="AX148"/>
  <c r="AX156"/>
  <c r="AX166"/>
  <c r="AX177"/>
  <c r="AX183"/>
  <c r="AX190"/>
  <c r="AX236"/>
  <c r="AX131"/>
  <c r="AX141"/>
  <c r="AX151"/>
  <c r="AX161"/>
  <c r="AX168"/>
  <c r="AX173"/>
  <c r="AX200"/>
  <c r="AX203"/>
  <c r="AX208"/>
  <c r="AX139"/>
  <c r="AX149"/>
  <c r="AX157"/>
  <c r="AX159"/>
  <c r="AX170"/>
  <c r="AX178"/>
  <c r="AX185"/>
  <c r="AX201"/>
  <c r="AX214"/>
  <c r="AX274"/>
  <c r="AX198"/>
  <c r="AX204"/>
  <c r="AX207"/>
  <c r="AX253"/>
  <c r="AX262"/>
  <c r="AX265"/>
  <c r="AX171"/>
  <c r="AX179"/>
  <c r="AX181"/>
  <c r="AX189"/>
  <c r="AX199"/>
  <c r="AX205"/>
  <c r="AX212"/>
  <c r="AX217"/>
  <c r="AX241"/>
  <c r="AX269"/>
  <c r="AX174"/>
  <c r="AX184"/>
  <c r="AX194"/>
  <c r="AX221"/>
  <c r="AX222"/>
  <c r="AX232"/>
  <c r="AX245"/>
  <c r="AX277"/>
  <c r="AX197"/>
  <c r="AX220"/>
  <c r="AX230"/>
  <c r="AX250"/>
  <c r="AX263"/>
  <c r="AX209"/>
  <c r="AX229"/>
  <c r="AX234"/>
  <c r="AX239"/>
  <c r="AX210"/>
  <c r="AX216"/>
  <c r="AX219"/>
  <c r="AX228"/>
  <c r="AX243"/>
  <c r="AX211"/>
  <c r="AX231"/>
  <c r="AX227"/>
  <c r="AX237"/>
  <c r="AX247"/>
  <c r="AX255"/>
  <c r="AX271"/>
  <c r="AX215"/>
  <c r="AX223"/>
  <c r="AX225"/>
  <c r="AX233"/>
  <c r="AX249"/>
  <c r="AX273"/>
  <c r="AX238"/>
  <c r="AX259"/>
  <c r="AX267"/>
  <c r="AX242"/>
  <c r="AX252"/>
  <c r="AX260"/>
  <c r="AX276"/>
  <c r="AX248"/>
  <c r="AX256"/>
  <c r="AX264"/>
  <c r="AX272"/>
  <c r="AX251"/>
  <c r="AX261"/>
  <c r="AX275"/>
  <c r="AX244"/>
  <c r="AX254"/>
  <c r="AX258"/>
  <c r="AX266"/>
  <c r="AX270"/>
  <c r="AX278"/>
  <c r="AR68"/>
  <c r="AR6"/>
  <c r="AR185"/>
  <c r="AR53"/>
  <c r="AR84"/>
  <c r="AR79"/>
  <c r="AR8"/>
  <c r="AR11"/>
  <c r="AR50"/>
  <c r="AR40"/>
  <c r="AR5"/>
  <c r="AR23"/>
  <c r="AR30"/>
  <c r="AR77"/>
  <c r="AR9"/>
  <c r="AR20"/>
  <c r="AR31"/>
  <c r="AR49"/>
  <c r="AR58"/>
  <c r="AR78"/>
  <c r="AR141"/>
  <c r="AR19"/>
  <c r="AR52"/>
  <c r="AR57"/>
  <c r="AR64"/>
  <c r="AR14"/>
  <c r="AR76"/>
  <c r="AR171"/>
  <c r="AR7"/>
  <c r="AR10"/>
  <c r="AR13"/>
  <c r="AR22"/>
  <c r="AR29"/>
  <c r="AR33"/>
  <c r="AR39"/>
  <c r="AR43"/>
  <c r="AR47"/>
  <c r="AR60"/>
  <c r="AR67"/>
  <c r="AR71"/>
  <c r="AR143"/>
  <c r="AR21"/>
  <c r="AR32"/>
  <c r="AR42"/>
  <c r="AR66"/>
  <c r="AR69"/>
  <c r="AR12"/>
  <c r="AR41"/>
  <c r="AR51"/>
  <c r="AR86"/>
  <c r="AR96"/>
  <c r="AR167"/>
  <c r="AR170"/>
  <c r="AR253"/>
  <c r="AR18"/>
  <c r="AR28"/>
  <c r="AR36"/>
  <c r="AR38"/>
  <c r="AR46"/>
  <c r="AR56"/>
  <c r="AR110"/>
  <c r="AR16"/>
  <c r="AR24"/>
  <c r="AR34"/>
  <c r="AR44"/>
  <c r="AR54"/>
  <c r="AR120"/>
  <c r="AR17"/>
  <c r="AR25"/>
  <c r="AR27"/>
  <c r="AR35"/>
  <c r="AR45"/>
  <c r="AR55"/>
  <c r="AR61"/>
  <c r="AR74"/>
  <c r="AR107"/>
  <c r="AR89"/>
  <c r="AR132"/>
  <c r="AR87"/>
  <c r="AR88"/>
  <c r="AR106"/>
  <c r="AR184"/>
  <c r="AR194"/>
  <c r="AR108"/>
  <c r="AR128"/>
  <c r="AR186"/>
  <c r="AR62"/>
  <c r="AR72"/>
  <c r="AR80"/>
  <c r="AR82"/>
  <c r="AR90"/>
  <c r="AR94"/>
  <c r="AR97"/>
  <c r="AR100"/>
  <c r="AR115"/>
  <c r="AR117"/>
  <c r="AR123"/>
  <c r="AR130"/>
  <c r="AR131"/>
  <c r="AR162"/>
  <c r="AR173"/>
  <c r="AR183"/>
  <c r="AR65"/>
  <c r="AR75"/>
  <c r="AR85"/>
  <c r="AR161"/>
  <c r="AR163"/>
  <c r="AR63"/>
  <c r="AR73"/>
  <c r="AR83"/>
  <c r="AR91"/>
  <c r="AR93"/>
  <c r="AR95"/>
  <c r="AR98"/>
  <c r="AR105"/>
  <c r="AR113"/>
  <c r="AR118"/>
  <c r="AR127"/>
  <c r="AR142"/>
  <c r="AR101"/>
  <c r="AR111"/>
  <c r="AR121"/>
  <c r="AR150"/>
  <c r="AR193"/>
  <c r="AR209"/>
  <c r="AR116"/>
  <c r="AR124"/>
  <c r="AR126"/>
  <c r="AR133"/>
  <c r="AR151"/>
  <c r="AR152"/>
  <c r="AR178"/>
  <c r="AR216"/>
  <c r="AR99"/>
  <c r="AR109"/>
  <c r="AR119"/>
  <c r="AR129"/>
  <c r="AR179"/>
  <c r="AR227"/>
  <c r="AR102"/>
  <c r="AR104"/>
  <c r="AR112"/>
  <c r="AR122"/>
  <c r="AR140"/>
  <c r="AR153"/>
  <c r="AR160"/>
  <c r="AR199"/>
  <c r="AR275"/>
  <c r="AR138"/>
  <c r="AR146"/>
  <c r="AR148"/>
  <c r="AR156"/>
  <c r="AR166"/>
  <c r="AR168"/>
  <c r="AR188"/>
  <c r="AR201"/>
  <c r="AR134"/>
  <c r="AR144"/>
  <c r="AR154"/>
  <c r="AR164"/>
  <c r="AR174"/>
  <c r="AR175"/>
  <c r="AR204"/>
  <c r="AR210"/>
  <c r="AR228"/>
  <c r="AR256"/>
  <c r="AR139"/>
  <c r="AR149"/>
  <c r="AR157"/>
  <c r="AR159"/>
  <c r="AR181"/>
  <c r="AR189"/>
  <c r="AR135"/>
  <c r="AR137"/>
  <c r="AR145"/>
  <c r="AR155"/>
  <c r="AR165"/>
  <c r="AR176"/>
  <c r="AR198"/>
  <c r="AR259"/>
  <c r="AR196"/>
  <c r="AR205"/>
  <c r="AR230"/>
  <c r="AR248"/>
  <c r="AR177"/>
  <c r="AR187"/>
  <c r="AR197"/>
  <c r="AR203"/>
  <c r="AR206"/>
  <c r="AR219"/>
  <c r="AR226"/>
  <c r="AR251"/>
  <c r="AR172"/>
  <c r="AR182"/>
  <c r="AR190"/>
  <c r="AR192"/>
  <c r="AR200"/>
  <c r="AR215"/>
  <c r="AR264"/>
  <c r="AR195"/>
  <c r="AR214"/>
  <c r="AR218"/>
  <c r="AR237"/>
  <c r="AR240"/>
  <c r="AR277"/>
  <c r="AR207"/>
  <c r="AR241"/>
  <c r="AR267"/>
  <c r="AR272"/>
  <c r="AR217"/>
  <c r="AR220"/>
  <c r="AR222"/>
  <c r="AR232"/>
  <c r="AR208"/>
  <c r="AR212"/>
  <c r="AR229"/>
  <c r="AR238"/>
  <c r="AR239"/>
  <c r="AR243"/>
  <c r="AR261"/>
  <c r="AR269"/>
  <c r="AR223"/>
  <c r="AR225"/>
  <c r="AR233"/>
  <c r="AR245"/>
  <c r="AR265"/>
  <c r="AR211"/>
  <c r="AR221"/>
  <c r="AR231"/>
  <c r="AR234"/>
  <c r="AR236"/>
  <c r="AR247"/>
  <c r="AR255"/>
  <c r="AR271"/>
  <c r="AR250"/>
  <c r="AR262"/>
  <c r="AR274"/>
  <c r="AR244"/>
  <c r="AR254"/>
  <c r="AR258"/>
  <c r="AR266"/>
  <c r="AR270"/>
  <c r="AR278"/>
  <c r="AR249"/>
  <c r="AR263"/>
  <c r="AR273"/>
  <c r="AR242"/>
  <c r="AR252"/>
  <c r="AR260"/>
  <c r="AR276"/>
  <c r="AP8"/>
  <c r="AP91"/>
  <c r="AP13"/>
  <c r="AP17"/>
  <c r="AP45"/>
  <c r="AP7"/>
  <c r="AP9"/>
  <c r="AP12"/>
  <c r="AP42"/>
  <c r="AP54"/>
  <c r="AP10"/>
  <c r="AP11"/>
  <c r="AP24"/>
  <c r="AP32"/>
  <c r="AP5"/>
  <c r="AP21"/>
  <c r="AP23"/>
  <c r="AP55"/>
  <c r="AP83"/>
  <c r="AP69"/>
  <c r="AP93"/>
  <c r="AP25"/>
  <c r="AP27"/>
  <c r="AP41"/>
  <c r="AP53"/>
  <c r="AP96"/>
  <c r="AP66"/>
  <c r="AP73"/>
  <c r="AP34"/>
  <c r="AP44"/>
  <c r="AP52"/>
  <c r="AP76"/>
  <c r="AP112"/>
  <c r="AP33"/>
  <c r="AP43"/>
  <c r="AP51"/>
  <c r="AP71"/>
  <c r="AP6"/>
  <c r="AP14"/>
  <c r="AP16"/>
  <c r="AP22"/>
  <c r="AP31"/>
  <c r="AP35"/>
  <c r="AP60"/>
  <c r="AP61"/>
  <c r="AP94"/>
  <c r="AP86"/>
  <c r="AP155"/>
  <c r="AP95"/>
  <c r="AP100"/>
  <c r="AP120"/>
  <c r="AP20"/>
  <c r="AP30"/>
  <c r="AP40"/>
  <c r="AP50"/>
  <c r="AP58"/>
  <c r="AP62"/>
  <c r="AP68"/>
  <c r="AP129"/>
  <c r="AP230"/>
  <c r="AP18"/>
  <c r="AP28"/>
  <c r="AP36"/>
  <c r="AP38"/>
  <c r="AP46"/>
  <c r="AP56"/>
  <c r="AP63"/>
  <c r="AP72"/>
  <c r="AP80"/>
  <c r="AP99"/>
  <c r="AP163"/>
  <c r="AP19"/>
  <c r="AP29"/>
  <c r="AP39"/>
  <c r="AP47"/>
  <c r="AP49"/>
  <c r="AP57"/>
  <c r="AP78"/>
  <c r="AP89"/>
  <c r="AP90"/>
  <c r="AP127"/>
  <c r="AP142"/>
  <c r="AP79"/>
  <c r="AP97"/>
  <c r="AP104"/>
  <c r="AP143"/>
  <c r="AP110"/>
  <c r="AP117"/>
  <c r="AP122"/>
  <c r="AP82"/>
  <c r="AP88"/>
  <c r="AP98"/>
  <c r="AP102"/>
  <c r="AP107"/>
  <c r="AP64"/>
  <c r="AP74"/>
  <c r="AP84"/>
  <c r="AP108"/>
  <c r="AP67"/>
  <c r="AP77"/>
  <c r="AP87"/>
  <c r="AP109"/>
  <c r="AP135"/>
  <c r="AP153"/>
  <c r="AP154"/>
  <c r="AP162"/>
  <c r="AP65"/>
  <c r="AP75"/>
  <c r="AP85"/>
  <c r="AP119"/>
  <c r="AP167"/>
  <c r="AP172"/>
  <c r="AP265"/>
  <c r="AP105"/>
  <c r="AP113"/>
  <c r="AP115"/>
  <c r="AP123"/>
  <c r="AP130"/>
  <c r="AP132"/>
  <c r="AP144"/>
  <c r="AP164"/>
  <c r="AP173"/>
  <c r="AP175"/>
  <c r="AP186"/>
  <c r="AP118"/>
  <c r="AP128"/>
  <c r="AP176"/>
  <c r="AP187"/>
  <c r="AP193"/>
  <c r="AP234"/>
  <c r="AP101"/>
  <c r="AP111"/>
  <c r="AP121"/>
  <c r="AP133"/>
  <c r="AP137"/>
  <c r="AP145"/>
  <c r="AP152"/>
  <c r="AP165"/>
  <c r="AP190"/>
  <c r="AP212"/>
  <c r="AP214"/>
  <c r="AP245"/>
  <c r="AP106"/>
  <c r="AP116"/>
  <c r="AP124"/>
  <c r="AP126"/>
  <c r="AP134"/>
  <c r="AP200"/>
  <c r="AP201"/>
  <c r="AP205"/>
  <c r="AP240"/>
  <c r="AP140"/>
  <c r="AP150"/>
  <c r="AP160"/>
  <c r="AP177"/>
  <c r="AP183"/>
  <c r="AP218"/>
  <c r="AP138"/>
  <c r="AP146"/>
  <c r="AP148"/>
  <c r="AP156"/>
  <c r="AP166"/>
  <c r="AP168"/>
  <c r="AP188"/>
  <c r="AP271"/>
  <c r="AP131"/>
  <c r="AP141"/>
  <c r="AP151"/>
  <c r="AP161"/>
  <c r="AP170"/>
  <c r="AP178"/>
  <c r="AP185"/>
  <c r="AP192"/>
  <c r="AP195"/>
  <c r="AP204"/>
  <c r="AP139"/>
  <c r="AP149"/>
  <c r="AP157"/>
  <c r="AP159"/>
  <c r="AP182"/>
  <c r="AP196"/>
  <c r="AP207"/>
  <c r="AP198"/>
  <c r="AP208"/>
  <c r="AP211"/>
  <c r="AP221"/>
  <c r="AP229"/>
  <c r="AP273"/>
  <c r="AP171"/>
  <c r="AP179"/>
  <c r="AP181"/>
  <c r="AP189"/>
  <c r="AP199"/>
  <c r="AP228"/>
  <c r="AP249"/>
  <c r="AP174"/>
  <c r="AP184"/>
  <c r="AP194"/>
  <c r="AP226"/>
  <c r="AP267"/>
  <c r="AP197"/>
  <c r="AP203"/>
  <c r="AP206"/>
  <c r="AP239"/>
  <c r="AP241"/>
  <c r="AP247"/>
  <c r="AP209"/>
  <c r="AP210"/>
  <c r="AP216"/>
  <c r="AP219"/>
  <c r="AP231"/>
  <c r="AP255"/>
  <c r="AP236"/>
  <c r="AP259"/>
  <c r="AP217"/>
  <c r="AP220"/>
  <c r="AP222"/>
  <c r="AP232"/>
  <c r="AP227"/>
  <c r="AP237"/>
  <c r="AP243"/>
  <c r="AP250"/>
  <c r="AP262"/>
  <c r="AP274"/>
  <c r="AP215"/>
  <c r="AP223"/>
  <c r="AP225"/>
  <c r="AP233"/>
  <c r="AP263"/>
  <c r="AP238"/>
  <c r="AP253"/>
  <c r="AP269"/>
  <c r="AP277"/>
  <c r="AP242"/>
  <c r="AP252"/>
  <c r="AP260"/>
  <c r="AP276"/>
  <c r="AP248"/>
  <c r="AP256"/>
  <c r="AP264"/>
  <c r="AP272"/>
  <c r="AP251"/>
  <c r="AP261"/>
  <c r="AP275"/>
  <c r="AP244"/>
  <c r="AP254"/>
  <c r="AP258"/>
  <c r="AP266"/>
  <c r="AP270"/>
  <c r="AP278"/>
  <c r="BK21"/>
  <c r="BK33"/>
  <c r="BK22"/>
  <c r="BK12"/>
  <c r="BK14"/>
  <c r="BK61"/>
  <c r="BK23"/>
  <c r="BK54"/>
  <c r="BK62"/>
  <c r="BK34"/>
  <c r="BK11"/>
  <c r="BK40"/>
  <c r="BK44"/>
  <c r="BK8"/>
  <c r="BK9"/>
  <c r="BK32"/>
  <c r="BK58"/>
  <c r="BK129"/>
  <c r="BK164"/>
  <c r="BK185"/>
  <c r="BK6"/>
  <c r="BK42"/>
  <c r="BK52"/>
  <c r="BK71"/>
  <c r="BK77"/>
  <c r="BK88"/>
  <c r="BK24"/>
  <c r="BK30"/>
  <c r="BK51"/>
  <c r="BK68"/>
  <c r="BK131"/>
  <c r="BK7"/>
  <c r="BK10"/>
  <c r="BK16"/>
  <c r="BK31"/>
  <c r="BK41"/>
  <c r="BK50"/>
  <c r="BK80"/>
  <c r="BK87"/>
  <c r="BK5"/>
  <c r="BK13"/>
  <c r="BK20"/>
  <c r="BK43"/>
  <c r="BK53"/>
  <c r="BK116"/>
  <c r="BK227"/>
  <c r="BK99"/>
  <c r="BK19"/>
  <c r="BK29"/>
  <c r="BK39"/>
  <c r="BK47"/>
  <c r="BK49"/>
  <c r="BK57"/>
  <c r="BK60"/>
  <c r="BK65"/>
  <c r="BK75"/>
  <c r="BK79"/>
  <c r="BK82"/>
  <c r="BK182"/>
  <c r="BK17"/>
  <c r="BK25"/>
  <c r="BK27"/>
  <c r="BK35"/>
  <c r="BK45"/>
  <c r="BK55"/>
  <c r="BK67"/>
  <c r="BK78"/>
  <c r="BK111"/>
  <c r="BK119"/>
  <c r="BK144"/>
  <c r="BK18"/>
  <c r="BK28"/>
  <c r="BK36"/>
  <c r="BK38"/>
  <c r="BK46"/>
  <c r="BK56"/>
  <c r="BK69"/>
  <c r="BK72"/>
  <c r="BK89"/>
  <c r="BK98"/>
  <c r="BK181"/>
  <c r="BK242"/>
  <c r="BK95"/>
  <c r="BK124"/>
  <c r="BK126"/>
  <c r="BK244"/>
  <c r="BK121"/>
  <c r="BK233"/>
  <c r="BK90"/>
  <c r="BK96"/>
  <c r="BK108"/>
  <c r="BK109"/>
  <c r="BK132"/>
  <c r="BK143"/>
  <c r="BK85"/>
  <c r="BK151"/>
  <c r="BK63"/>
  <c r="BK73"/>
  <c r="BK83"/>
  <c r="BK91"/>
  <c r="BK93"/>
  <c r="BK94"/>
  <c r="BK97"/>
  <c r="BK101"/>
  <c r="BK106"/>
  <c r="BK118"/>
  <c r="BK172"/>
  <c r="BK192"/>
  <c r="BK66"/>
  <c r="BK76"/>
  <c r="BK86"/>
  <c r="BK107"/>
  <c r="BK216"/>
  <c r="BK64"/>
  <c r="BK74"/>
  <c r="BK84"/>
  <c r="BK128"/>
  <c r="BK133"/>
  <c r="BK163"/>
  <c r="BK195"/>
  <c r="BK199"/>
  <c r="BK102"/>
  <c r="BK104"/>
  <c r="BK112"/>
  <c r="BK122"/>
  <c r="BK152"/>
  <c r="BK176"/>
  <c r="BK117"/>
  <c r="BK127"/>
  <c r="BK134"/>
  <c r="BK153"/>
  <c r="BK177"/>
  <c r="BK189"/>
  <c r="BK203"/>
  <c r="BK241"/>
  <c r="BK100"/>
  <c r="BK110"/>
  <c r="BK120"/>
  <c r="BK141"/>
  <c r="BK161"/>
  <c r="BK210"/>
  <c r="BK266"/>
  <c r="BK105"/>
  <c r="BK113"/>
  <c r="BK115"/>
  <c r="BK123"/>
  <c r="BK142"/>
  <c r="BK154"/>
  <c r="BK162"/>
  <c r="BK249"/>
  <c r="BK139"/>
  <c r="BK149"/>
  <c r="BK157"/>
  <c r="BK159"/>
  <c r="BK168"/>
  <c r="BK187"/>
  <c r="BK215"/>
  <c r="BK231"/>
  <c r="BK135"/>
  <c r="BK137"/>
  <c r="BK145"/>
  <c r="BK155"/>
  <c r="BK165"/>
  <c r="BK184"/>
  <c r="BK194"/>
  <c r="BK219"/>
  <c r="BK130"/>
  <c r="BK140"/>
  <c r="BK150"/>
  <c r="BK160"/>
  <c r="BK174"/>
  <c r="BK190"/>
  <c r="BK138"/>
  <c r="BK146"/>
  <c r="BK148"/>
  <c r="BK156"/>
  <c r="BK166"/>
  <c r="BK167"/>
  <c r="BK171"/>
  <c r="BK175"/>
  <c r="BK179"/>
  <c r="BK186"/>
  <c r="BK200"/>
  <c r="BK207"/>
  <c r="BK238"/>
  <c r="BK197"/>
  <c r="BK205"/>
  <c r="BK223"/>
  <c r="BK254"/>
  <c r="BK170"/>
  <c r="BK178"/>
  <c r="BK188"/>
  <c r="BK198"/>
  <c r="BK173"/>
  <c r="BK183"/>
  <c r="BK193"/>
  <c r="BK201"/>
  <c r="BK206"/>
  <c r="BK270"/>
  <c r="BK273"/>
  <c r="BK196"/>
  <c r="BK204"/>
  <c r="BK278"/>
  <c r="BK208"/>
  <c r="BK211"/>
  <c r="BK217"/>
  <c r="BK220"/>
  <c r="BK228"/>
  <c r="BK229"/>
  <c r="BK239"/>
  <c r="BK230"/>
  <c r="BK240"/>
  <c r="BK209"/>
  <c r="BK218"/>
  <c r="BK221"/>
  <c r="BK225"/>
  <c r="BK258"/>
  <c r="BK226"/>
  <c r="BK234"/>
  <c r="BK236"/>
  <c r="BK252"/>
  <c r="BK260"/>
  <c r="BK263"/>
  <c r="BK276"/>
  <c r="BK212"/>
  <c r="BK214"/>
  <c r="BK222"/>
  <c r="BK232"/>
  <c r="BK237"/>
  <c r="BK248"/>
  <c r="BK256"/>
  <c r="BK264"/>
  <c r="BK272"/>
  <c r="BK251"/>
  <c r="BK261"/>
  <c r="BK275"/>
  <c r="BK245"/>
  <c r="BK247"/>
  <c r="BK255"/>
  <c r="BK265"/>
  <c r="BK271"/>
  <c r="BK250"/>
  <c r="BK262"/>
  <c r="BK274"/>
  <c r="BK243"/>
  <c r="BK253"/>
  <c r="BK259"/>
  <c r="BK267"/>
  <c r="BK269"/>
  <c r="BK277"/>
  <c r="AS52"/>
  <c r="AS44"/>
  <c r="AS45"/>
  <c r="AS71"/>
  <c r="AS18"/>
  <c r="AS84"/>
  <c r="AS54"/>
  <c r="AS6"/>
  <c r="AS16"/>
  <c r="AS5"/>
  <c r="AS10"/>
  <c r="AS67"/>
  <c r="AS9"/>
  <c r="AS28"/>
  <c r="AS33"/>
  <c r="AS34"/>
  <c r="AS35"/>
  <c r="AS55"/>
  <c r="AS219"/>
  <c r="AS8"/>
  <c r="AS22"/>
  <c r="AS25"/>
  <c r="AS27"/>
  <c r="AS38"/>
  <c r="AS43"/>
  <c r="AS53"/>
  <c r="AS72"/>
  <c r="AS14"/>
  <c r="AS24"/>
  <c r="AS46"/>
  <c r="AS61"/>
  <c r="AS11"/>
  <c r="AS12"/>
  <c r="AS13"/>
  <c r="AS62"/>
  <c r="AS42"/>
  <c r="AS56"/>
  <c r="AS74"/>
  <c r="AS7"/>
  <c r="AS17"/>
  <c r="AS23"/>
  <c r="AS32"/>
  <c r="AS36"/>
  <c r="AS77"/>
  <c r="AS87"/>
  <c r="AS90"/>
  <c r="AS95"/>
  <c r="AS98"/>
  <c r="AS91"/>
  <c r="AS115"/>
  <c r="AS121"/>
  <c r="AS21"/>
  <c r="AS31"/>
  <c r="AS41"/>
  <c r="AS51"/>
  <c r="AS63"/>
  <c r="AS69"/>
  <c r="AS99"/>
  <c r="AS113"/>
  <c r="AS19"/>
  <c r="AS29"/>
  <c r="AS39"/>
  <c r="AS47"/>
  <c r="AS49"/>
  <c r="AS57"/>
  <c r="AS64"/>
  <c r="AS73"/>
  <c r="AS79"/>
  <c r="AS82"/>
  <c r="AS173"/>
  <c r="AS194"/>
  <c r="AS20"/>
  <c r="AS30"/>
  <c r="AS40"/>
  <c r="AS50"/>
  <c r="AS58"/>
  <c r="AS123"/>
  <c r="AS176"/>
  <c r="AS80"/>
  <c r="AS93"/>
  <c r="AS96"/>
  <c r="AS210"/>
  <c r="AS231"/>
  <c r="AS100"/>
  <c r="AS118"/>
  <c r="AS203"/>
  <c r="AS101"/>
  <c r="AS105"/>
  <c r="AS108"/>
  <c r="AS128"/>
  <c r="AS83"/>
  <c r="AS89"/>
  <c r="AS97"/>
  <c r="AS144"/>
  <c r="AS65"/>
  <c r="AS75"/>
  <c r="AS85"/>
  <c r="AS109"/>
  <c r="AS148"/>
  <c r="AS154"/>
  <c r="AS155"/>
  <c r="AS163"/>
  <c r="AS60"/>
  <c r="AS68"/>
  <c r="AS78"/>
  <c r="AS88"/>
  <c r="AS110"/>
  <c r="AS111"/>
  <c r="AS156"/>
  <c r="AS164"/>
  <c r="AS66"/>
  <c r="AS76"/>
  <c r="AS86"/>
  <c r="AS120"/>
  <c r="AS143"/>
  <c r="AS106"/>
  <c r="AS116"/>
  <c r="AS124"/>
  <c r="AS126"/>
  <c r="AS133"/>
  <c r="AS137"/>
  <c r="AS145"/>
  <c r="AS165"/>
  <c r="AS168"/>
  <c r="AS174"/>
  <c r="AS177"/>
  <c r="AS187"/>
  <c r="AS188"/>
  <c r="AS119"/>
  <c r="AS129"/>
  <c r="AS94"/>
  <c r="AS102"/>
  <c r="AS104"/>
  <c r="AS112"/>
  <c r="AS122"/>
  <c r="AS134"/>
  <c r="AS138"/>
  <c r="AS146"/>
  <c r="AS153"/>
  <c r="AS166"/>
  <c r="AS201"/>
  <c r="AS205"/>
  <c r="AS107"/>
  <c r="AS117"/>
  <c r="AS127"/>
  <c r="AS135"/>
  <c r="AS206"/>
  <c r="AS208"/>
  <c r="AS131"/>
  <c r="AS141"/>
  <c r="AS151"/>
  <c r="AS161"/>
  <c r="AS170"/>
  <c r="AS178"/>
  <c r="AS184"/>
  <c r="AS227"/>
  <c r="AS230"/>
  <c r="AS139"/>
  <c r="AS149"/>
  <c r="AS157"/>
  <c r="AS159"/>
  <c r="AS181"/>
  <c r="AS189"/>
  <c r="AS132"/>
  <c r="AS142"/>
  <c r="AS152"/>
  <c r="AS162"/>
  <c r="AS171"/>
  <c r="AS179"/>
  <c r="AS186"/>
  <c r="AS193"/>
  <c r="AS196"/>
  <c r="AS272"/>
  <c r="AS130"/>
  <c r="AS140"/>
  <c r="AS150"/>
  <c r="AS160"/>
  <c r="AS167"/>
  <c r="AS183"/>
  <c r="AS197"/>
  <c r="AS199"/>
  <c r="AS209"/>
  <c r="AS172"/>
  <c r="AS182"/>
  <c r="AS190"/>
  <c r="AS192"/>
  <c r="AS200"/>
  <c r="AS215"/>
  <c r="AS264"/>
  <c r="AS175"/>
  <c r="AS185"/>
  <c r="AS195"/>
  <c r="AS207"/>
  <c r="AS240"/>
  <c r="AS274"/>
  <c r="AS198"/>
  <c r="AS204"/>
  <c r="AS212"/>
  <c r="AS211"/>
  <c r="AS217"/>
  <c r="AS220"/>
  <c r="AS222"/>
  <c r="AS232"/>
  <c r="AS214"/>
  <c r="AS225"/>
  <c r="AS237"/>
  <c r="AS248"/>
  <c r="AS250"/>
  <c r="AS262"/>
  <c r="AS218"/>
  <c r="AS221"/>
  <c r="AS223"/>
  <c r="AS233"/>
  <c r="AS256"/>
  <c r="AS228"/>
  <c r="AS238"/>
  <c r="AS244"/>
  <c r="AS251"/>
  <c r="AS275"/>
  <c r="AS216"/>
  <c r="AS226"/>
  <c r="AS234"/>
  <c r="AS236"/>
  <c r="AS229"/>
  <c r="AS239"/>
  <c r="AS241"/>
  <c r="AS254"/>
  <c r="AS258"/>
  <c r="AS261"/>
  <c r="AS266"/>
  <c r="AS270"/>
  <c r="AS278"/>
  <c r="AS243"/>
  <c r="AS253"/>
  <c r="AS259"/>
  <c r="AS267"/>
  <c r="AS269"/>
  <c r="AS277"/>
  <c r="AS249"/>
  <c r="AS263"/>
  <c r="AS273"/>
  <c r="AS242"/>
  <c r="AS252"/>
  <c r="AS260"/>
  <c r="AS276"/>
  <c r="AS245"/>
  <c r="AS247"/>
  <c r="AS255"/>
  <c r="AS265"/>
  <c r="AS271"/>
  <c r="AQ49"/>
  <c r="AQ16"/>
  <c r="AQ27"/>
  <c r="AQ93"/>
  <c r="AQ12"/>
  <c r="AQ14"/>
  <c r="AQ181"/>
  <c r="AQ8"/>
  <c r="AQ11"/>
  <c r="AQ79"/>
  <c r="AQ25"/>
  <c r="AQ58"/>
  <c r="AQ99"/>
  <c r="AQ28"/>
  <c r="AQ30"/>
  <c r="AQ34"/>
  <c r="AQ35"/>
  <c r="AQ38"/>
  <c r="AQ5"/>
  <c r="AQ20"/>
  <c r="AQ44"/>
  <c r="AQ54"/>
  <c r="AQ36"/>
  <c r="AQ65"/>
  <c r="AQ73"/>
  <c r="AQ19"/>
  <c r="AQ24"/>
  <c r="AQ46"/>
  <c r="AQ57"/>
  <c r="AQ61"/>
  <c r="AQ64"/>
  <c r="AQ198"/>
  <c r="AQ6"/>
  <c r="AQ18"/>
  <c r="AQ63"/>
  <c r="AQ7"/>
  <c r="AQ10"/>
  <c r="AQ13"/>
  <c r="AQ17"/>
  <c r="AQ29"/>
  <c r="AQ39"/>
  <c r="AQ47"/>
  <c r="AQ56"/>
  <c r="AQ74"/>
  <c r="AQ9"/>
  <c r="AQ40"/>
  <c r="AQ45"/>
  <c r="AQ50"/>
  <c r="AQ55"/>
  <c r="AQ89"/>
  <c r="AQ140"/>
  <c r="AQ120"/>
  <c r="AQ232"/>
  <c r="AQ23"/>
  <c r="AQ33"/>
  <c r="AQ43"/>
  <c r="AQ53"/>
  <c r="AQ71"/>
  <c r="AQ76"/>
  <c r="AQ84"/>
  <c r="AQ86"/>
  <c r="AQ122"/>
  <c r="AQ21"/>
  <c r="AQ31"/>
  <c r="AQ41"/>
  <c r="AQ51"/>
  <c r="AQ69"/>
  <c r="AQ75"/>
  <c r="AQ85"/>
  <c r="AQ95"/>
  <c r="AQ182"/>
  <c r="AQ22"/>
  <c r="AQ32"/>
  <c r="AQ42"/>
  <c r="AQ52"/>
  <c r="AQ66"/>
  <c r="AQ91"/>
  <c r="AQ83"/>
  <c r="AQ160"/>
  <c r="AQ113"/>
  <c r="AQ127"/>
  <c r="AQ98"/>
  <c r="AQ102"/>
  <c r="AQ107"/>
  <c r="AQ101"/>
  <c r="AQ105"/>
  <c r="AQ199"/>
  <c r="AQ67"/>
  <c r="AQ77"/>
  <c r="AQ87"/>
  <c r="AQ135"/>
  <c r="AQ62"/>
  <c r="AQ72"/>
  <c r="AQ80"/>
  <c r="AQ82"/>
  <c r="AQ90"/>
  <c r="AQ94"/>
  <c r="AQ97"/>
  <c r="AQ100"/>
  <c r="AQ104"/>
  <c r="AQ112"/>
  <c r="AQ115"/>
  <c r="AQ117"/>
  <c r="AQ123"/>
  <c r="AQ130"/>
  <c r="AQ155"/>
  <c r="AQ183"/>
  <c r="AQ60"/>
  <c r="AQ68"/>
  <c r="AQ78"/>
  <c r="AQ88"/>
  <c r="AQ110"/>
  <c r="AQ262"/>
  <c r="AQ108"/>
  <c r="AQ118"/>
  <c r="AQ128"/>
  <c r="AQ148"/>
  <c r="AQ149"/>
  <c r="AQ156"/>
  <c r="AQ157"/>
  <c r="AQ176"/>
  <c r="AQ233"/>
  <c r="AQ111"/>
  <c r="AQ121"/>
  <c r="AQ137"/>
  <c r="AQ145"/>
  <c r="AQ150"/>
  <c r="AQ165"/>
  <c r="AQ168"/>
  <c r="AQ188"/>
  <c r="AQ189"/>
  <c r="AQ209"/>
  <c r="AQ96"/>
  <c r="AQ106"/>
  <c r="AQ116"/>
  <c r="AQ124"/>
  <c r="AQ126"/>
  <c r="AQ221"/>
  <c r="AQ225"/>
  <c r="AQ229"/>
  <c r="AQ243"/>
  <c r="AQ109"/>
  <c r="AQ119"/>
  <c r="AQ129"/>
  <c r="AQ138"/>
  <c r="AQ139"/>
  <c r="AQ146"/>
  <c r="AQ159"/>
  <c r="AQ166"/>
  <c r="AQ196"/>
  <c r="AQ220"/>
  <c r="AQ133"/>
  <c r="AQ143"/>
  <c r="AQ153"/>
  <c r="AQ163"/>
  <c r="AQ173"/>
  <c r="AQ205"/>
  <c r="AQ131"/>
  <c r="AQ141"/>
  <c r="AQ151"/>
  <c r="AQ161"/>
  <c r="AQ170"/>
  <c r="AQ178"/>
  <c r="AQ185"/>
  <c r="AQ195"/>
  <c r="AQ217"/>
  <c r="AQ250"/>
  <c r="AQ134"/>
  <c r="AQ144"/>
  <c r="AQ154"/>
  <c r="AQ164"/>
  <c r="AQ175"/>
  <c r="AQ222"/>
  <c r="AQ223"/>
  <c r="AQ256"/>
  <c r="AQ132"/>
  <c r="AQ142"/>
  <c r="AQ152"/>
  <c r="AQ162"/>
  <c r="AQ171"/>
  <c r="AQ172"/>
  <c r="AQ179"/>
  <c r="AQ186"/>
  <c r="AQ193"/>
  <c r="AQ208"/>
  <c r="AQ212"/>
  <c r="AQ216"/>
  <c r="AQ201"/>
  <c r="AQ227"/>
  <c r="AQ260"/>
  <c r="AQ174"/>
  <c r="AQ184"/>
  <c r="AQ194"/>
  <c r="AQ210"/>
  <c r="AQ167"/>
  <c r="AQ177"/>
  <c r="AQ187"/>
  <c r="AQ197"/>
  <c r="AQ203"/>
  <c r="AQ206"/>
  <c r="AQ219"/>
  <c r="AQ239"/>
  <c r="AQ190"/>
  <c r="AQ192"/>
  <c r="AQ200"/>
  <c r="AQ207"/>
  <c r="AQ215"/>
  <c r="AQ234"/>
  <c r="AQ264"/>
  <c r="AQ204"/>
  <c r="AQ236"/>
  <c r="AQ242"/>
  <c r="AQ259"/>
  <c r="AQ274"/>
  <c r="AQ211"/>
  <c r="AQ241"/>
  <c r="AQ267"/>
  <c r="AQ272"/>
  <c r="AQ276"/>
  <c r="AQ214"/>
  <c r="AQ226"/>
  <c r="AQ237"/>
  <c r="AQ248"/>
  <c r="AQ252"/>
  <c r="AQ230"/>
  <c r="AQ240"/>
  <c r="AQ218"/>
  <c r="AQ228"/>
  <c r="AQ238"/>
  <c r="AQ253"/>
  <c r="AQ269"/>
  <c r="AQ277"/>
  <c r="AQ231"/>
  <c r="AQ245"/>
  <c r="AQ247"/>
  <c r="AQ255"/>
  <c r="AQ265"/>
  <c r="AQ271"/>
  <c r="AQ251"/>
  <c r="AQ261"/>
  <c r="AQ275"/>
  <c r="AQ244"/>
  <c r="AQ254"/>
  <c r="AQ258"/>
  <c r="AQ266"/>
  <c r="AQ270"/>
  <c r="AQ278"/>
  <c r="AQ249"/>
  <c r="AQ263"/>
  <c r="AQ273"/>
  <c r="AI63"/>
  <c r="AI91"/>
  <c r="AI35"/>
  <c r="AI64"/>
  <c r="AI5"/>
  <c r="AI19"/>
  <c r="AI17"/>
  <c r="AI30"/>
  <c r="AI38"/>
  <c r="AI61"/>
  <c r="AI157"/>
  <c r="AI29"/>
  <c r="AI55"/>
  <c r="AI74"/>
  <c r="AI14"/>
  <c r="AI159"/>
  <c r="AI6"/>
  <c r="AI12"/>
  <c r="AI34"/>
  <c r="AI40"/>
  <c r="AI56"/>
  <c r="AI11"/>
  <c r="AI44"/>
  <c r="AI8"/>
  <c r="AI16"/>
  <c r="AI28"/>
  <c r="AI39"/>
  <c r="AI49"/>
  <c r="AI69"/>
  <c r="AI7"/>
  <c r="AI10"/>
  <c r="AI13"/>
  <c r="AI20"/>
  <c r="AI25"/>
  <c r="AI46"/>
  <c r="AI50"/>
  <c r="AI123"/>
  <c r="AI36"/>
  <c r="AI45"/>
  <c r="AI54"/>
  <c r="AI58"/>
  <c r="AI9"/>
  <c r="AI18"/>
  <c r="AI24"/>
  <c r="AI27"/>
  <c r="AI47"/>
  <c r="AI57"/>
  <c r="AI65"/>
  <c r="AI75"/>
  <c r="AI166"/>
  <c r="AI102"/>
  <c r="AI107"/>
  <c r="AI210"/>
  <c r="AI23"/>
  <c r="AI33"/>
  <c r="AI43"/>
  <c r="AI53"/>
  <c r="AI73"/>
  <c r="AI79"/>
  <c r="AI83"/>
  <c r="AI21"/>
  <c r="AI31"/>
  <c r="AI41"/>
  <c r="AI51"/>
  <c r="AI66"/>
  <c r="AI86"/>
  <c r="AI22"/>
  <c r="AI32"/>
  <c r="AI42"/>
  <c r="AI52"/>
  <c r="AI71"/>
  <c r="AI76"/>
  <c r="AI104"/>
  <c r="AI150"/>
  <c r="AI84"/>
  <c r="AI85"/>
  <c r="AI99"/>
  <c r="AI115"/>
  <c r="AI117"/>
  <c r="AI101"/>
  <c r="AI130"/>
  <c r="AI137"/>
  <c r="AI89"/>
  <c r="AI93"/>
  <c r="AI195"/>
  <c r="AI112"/>
  <c r="AI122"/>
  <c r="AI145"/>
  <c r="AI156"/>
  <c r="AI67"/>
  <c r="AI77"/>
  <c r="AI87"/>
  <c r="AI94"/>
  <c r="AI97"/>
  <c r="AI100"/>
  <c r="AI110"/>
  <c r="AI113"/>
  <c r="AI127"/>
  <c r="AI138"/>
  <c r="AI139"/>
  <c r="AI146"/>
  <c r="AI188"/>
  <c r="AI62"/>
  <c r="AI72"/>
  <c r="AI80"/>
  <c r="AI82"/>
  <c r="AI90"/>
  <c r="AI105"/>
  <c r="AI120"/>
  <c r="AI148"/>
  <c r="AI149"/>
  <c r="AI60"/>
  <c r="AI68"/>
  <c r="AI78"/>
  <c r="AI88"/>
  <c r="AI95"/>
  <c r="AI98"/>
  <c r="AI165"/>
  <c r="AI214"/>
  <c r="AI108"/>
  <c r="AI118"/>
  <c r="AI128"/>
  <c r="AI135"/>
  <c r="AI140"/>
  <c r="AI160"/>
  <c r="AI232"/>
  <c r="AI111"/>
  <c r="AI121"/>
  <c r="AI252"/>
  <c r="AI96"/>
  <c r="AI106"/>
  <c r="AI116"/>
  <c r="AI124"/>
  <c r="AI126"/>
  <c r="AI155"/>
  <c r="AI173"/>
  <c r="AI216"/>
  <c r="AI269"/>
  <c r="AI109"/>
  <c r="AI119"/>
  <c r="AI129"/>
  <c r="AI175"/>
  <c r="AI176"/>
  <c r="AI133"/>
  <c r="AI143"/>
  <c r="AI153"/>
  <c r="AI163"/>
  <c r="AI168"/>
  <c r="AI170"/>
  <c r="AI178"/>
  <c r="AI185"/>
  <c r="AI196"/>
  <c r="AI215"/>
  <c r="AI253"/>
  <c r="AI131"/>
  <c r="AI141"/>
  <c r="AI151"/>
  <c r="AI161"/>
  <c r="AI181"/>
  <c r="AI182"/>
  <c r="AI189"/>
  <c r="AI193"/>
  <c r="AI198"/>
  <c r="AI134"/>
  <c r="AI144"/>
  <c r="AI154"/>
  <c r="AI164"/>
  <c r="AI171"/>
  <c r="AI172"/>
  <c r="AI179"/>
  <c r="AI186"/>
  <c r="AI199"/>
  <c r="AI241"/>
  <c r="AI132"/>
  <c r="AI142"/>
  <c r="AI152"/>
  <c r="AI162"/>
  <c r="AI183"/>
  <c r="AI201"/>
  <c r="AI205"/>
  <c r="AI209"/>
  <c r="AI219"/>
  <c r="AI236"/>
  <c r="AI174"/>
  <c r="AI184"/>
  <c r="AI194"/>
  <c r="AI203"/>
  <c r="AI206"/>
  <c r="AI207"/>
  <c r="AI227"/>
  <c r="AI167"/>
  <c r="AI177"/>
  <c r="AI187"/>
  <c r="AI197"/>
  <c r="AI190"/>
  <c r="AI192"/>
  <c r="AI200"/>
  <c r="AI208"/>
  <c r="AI223"/>
  <c r="AI204"/>
  <c r="AI211"/>
  <c r="AI222"/>
  <c r="AI225"/>
  <c r="AI237"/>
  <c r="AI260"/>
  <c r="AI277"/>
  <c r="AI217"/>
  <c r="AI220"/>
  <c r="AI226"/>
  <c r="AI229"/>
  <c r="AI233"/>
  <c r="AI234"/>
  <c r="AI239"/>
  <c r="AI212"/>
  <c r="AI221"/>
  <c r="AI276"/>
  <c r="AI230"/>
  <c r="AI240"/>
  <c r="AI218"/>
  <c r="AI228"/>
  <c r="AI238"/>
  <c r="AI242"/>
  <c r="AI248"/>
  <c r="AI256"/>
  <c r="AI259"/>
  <c r="AI264"/>
  <c r="AI267"/>
  <c r="AI272"/>
  <c r="AI231"/>
  <c r="AI243"/>
  <c r="AI250"/>
  <c r="AI262"/>
  <c r="AI274"/>
  <c r="AI245"/>
  <c r="AI247"/>
  <c r="AI255"/>
  <c r="AI265"/>
  <c r="AI271"/>
  <c r="AI251"/>
  <c r="AI261"/>
  <c r="AI275"/>
  <c r="AI244"/>
  <c r="AI254"/>
  <c r="AI258"/>
  <c r="AI266"/>
  <c r="AI270"/>
  <c r="AI278"/>
  <c r="AI249"/>
  <c r="AI263"/>
  <c r="AI273"/>
  <c r="X25"/>
  <c r="X55"/>
  <c r="X33"/>
  <c r="X64"/>
  <c r="X28"/>
  <c r="X29"/>
  <c r="X45"/>
  <c r="X12"/>
  <c r="X39"/>
  <c r="X46"/>
  <c r="X170"/>
  <c r="X56"/>
  <c r="X82"/>
  <c r="X38"/>
  <c r="X62"/>
  <c r="X74"/>
  <c r="X11"/>
  <c r="X126"/>
  <c r="X5"/>
  <c r="X10"/>
  <c r="X17"/>
  <c r="X18"/>
  <c r="X63"/>
  <c r="X13"/>
  <c r="X14"/>
  <c r="X54"/>
  <c r="X205"/>
  <c r="X7"/>
  <c r="X9"/>
  <c r="X16"/>
  <c r="X27"/>
  <c r="X47"/>
  <c r="X57"/>
  <c r="X68"/>
  <c r="X167"/>
  <c r="X36"/>
  <c r="X78"/>
  <c r="X80"/>
  <c r="X83"/>
  <c r="X6"/>
  <c r="X24"/>
  <c r="X35"/>
  <c r="X91"/>
  <c r="X23"/>
  <c r="X34"/>
  <c r="X44"/>
  <c r="X49"/>
  <c r="X96"/>
  <c r="X112"/>
  <c r="X8"/>
  <c r="X19"/>
  <c r="X43"/>
  <c r="X53"/>
  <c r="X84"/>
  <c r="X119"/>
  <c r="X22"/>
  <c r="X32"/>
  <c r="X42"/>
  <c r="X52"/>
  <c r="X60"/>
  <c r="X65"/>
  <c r="X73"/>
  <c r="X109"/>
  <c r="X172"/>
  <c r="X208"/>
  <c r="X20"/>
  <c r="X30"/>
  <c r="X40"/>
  <c r="X50"/>
  <c r="X58"/>
  <c r="X21"/>
  <c r="X31"/>
  <c r="X41"/>
  <c r="X51"/>
  <c r="X72"/>
  <c r="X75"/>
  <c r="X88"/>
  <c r="X97"/>
  <c r="X100"/>
  <c r="X124"/>
  <c r="X98"/>
  <c r="X104"/>
  <c r="X185"/>
  <c r="X90"/>
  <c r="X93"/>
  <c r="X102"/>
  <c r="X110"/>
  <c r="X111"/>
  <c r="X135"/>
  <c r="X159"/>
  <c r="X166"/>
  <c r="X177"/>
  <c r="X247"/>
  <c r="X85"/>
  <c r="X94"/>
  <c r="X99"/>
  <c r="X116"/>
  <c r="X121"/>
  <c r="X134"/>
  <c r="X139"/>
  <c r="X154"/>
  <c r="X181"/>
  <c r="X66"/>
  <c r="X76"/>
  <c r="X86"/>
  <c r="X101"/>
  <c r="X106"/>
  <c r="X129"/>
  <c r="X195"/>
  <c r="X231"/>
  <c r="X61"/>
  <c r="X69"/>
  <c r="X71"/>
  <c r="X79"/>
  <c r="X89"/>
  <c r="X122"/>
  <c r="X138"/>
  <c r="X146"/>
  <c r="X184"/>
  <c r="X67"/>
  <c r="X77"/>
  <c r="X87"/>
  <c r="X107"/>
  <c r="X117"/>
  <c r="X127"/>
  <c r="X155"/>
  <c r="X189"/>
  <c r="X120"/>
  <c r="X130"/>
  <c r="X144"/>
  <c r="X148"/>
  <c r="X156"/>
  <c r="X164"/>
  <c r="X178"/>
  <c r="X197"/>
  <c r="X95"/>
  <c r="X105"/>
  <c r="X113"/>
  <c r="X115"/>
  <c r="X123"/>
  <c r="X149"/>
  <c r="X157"/>
  <c r="X192"/>
  <c r="X108"/>
  <c r="X118"/>
  <c r="X128"/>
  <c r="X137"/>
  <c r="X145"/>
  <c r="X165"/>
  <c r="X132"/>
  <c r="X142"/>
  <c r="X152"/>
  <c r="X162"/>
  <c r="X174"/>
  <c r="X188"/>
  <c r="X198"/>
  <c r="X223"/>
  <c r="X140"/>
  <c r="X150"/>
  <c r="X160"/>
  <c r="X168"/>
  <c r="X171"/>
  <c r="X175"/>
  <c r="X179"/>
  <c r="X194"/>
  <c r="X221"/>
  <c r="X232"/>
  <c r="X249"/>
  <c r="X133"/>
  <c r="X143"/>
  <c r="X153"/>
  <c r="X163"/>
  <c r="X182"/>
  <c r="X190"/>
  <c r="X204"/>
  <c r="X212"/>
  <c r="X215"/>
  <c r="X131"/>
  <c r="X141"/>
  <c r="X151"/>
  <c r="X161"/>
  <c r="X187"/>
  <c r="X211"/>
  <c r="X233"/>
  <c r="X200"/>
  <c r="X209"/>
  <c r="X214"/>
  <c r="X218"/>
  <c r="X173"/>
  <c r="X183"/>
  <c r="X193"/>
  <c r="X201"/>
  <c r="X207"/>
  <c r="X220"/>
  <c r="X228"/>
  <c r="X241"/>
  <c r="X176"/>
  <c r="X186"/>
  <c r="X196"/>
  <c r="X206"/>
  <c r="X255"/>
  <c r="X273"/>
  <c r="X199"/>
  <c r="X210"/>
  <c r="X226"/>
  <c r="X236"/>
  <c r="X238"/>
  <c r="X203"/>
  <c r="X216"/>
  <c r="X219"/>
  <c r="X222"/>
  <c r="X225"/>
  <c r="X234"/>
  <c r="X261"/>
  <c r="X271"/>
  <c r="X229"/>
  <c r="X239"/>
  <c r="X242"/>
  <c r="X217"/>
  <c r="X227"/>
  <c r="X237"/>
  <c r="X251"/>
  <c r="X275"/>
  <c r="X230"/>
  <c r="X240"/>
  <c r="X245"/>
  <c r="X252"/>
  <c r="X260"/>
  <c r="X263"/>
  <c r="X265"/>
  <c r="X276"/>
  <c r="X244"/>
  <c r="X254"/>
  <c r="X258"/>
  <c r="X266"/>
  <c r="X270"/>
  <c r="X278"/>
  <c r="X250"/>
  <c r="X262"/>
  <c r="X274"/>
  <c r="X243"/>
  <c r="X253"/>
  <c r="X259"/>
  <c r="X267"/>
  <c r="X269"/>
  <c r="X277"/>
  <c r="X248"/>
  <c r="X256"/>
  <c r="X264"/>
  <c r="X272"/>
  <c r="BI164"/>
  <c r="BI25"/>
  <c r="BI98"/>
  <c r="BI22"/>
  <c r="BI34"/>
  <c r="BI63"/>
  <c r="BI74"/>
  <c r="BI99"/>
  <c r="BI183"/>
  <c r="BI23"/>
  <c r="BI35"/>
  <c r="BI53"/>
  <c r="BI123"/>
  <c r="BI12"/>
  <c r="BI5"/>
  <c r="BI11"/>
  <c r="BI46"/>
  <c r="BI69"/>
  <c r="BI95"/>
  <c r="BI43"/>
  <c r="BI45"/>
  <c r="BI14"/>
  <c r="BI44"/>
  <c r="BI54"/>
  <c r="BI8"/>
  <c r="BI9"/>
  <c r="BI67"/>
  <c r="BI89"/>
  <c r="BI222"/>
  <c r="BI36"/>
  <c r="BI52"/>
  <c r="BI71"/>
  <c r="BI163"/>
  <c r="BI6"/>
  <c r="BI17"/>
  <c r="BI32"/>
  <c r="BI42"/>
  <c r="BI56"/>
  <c r="BI113"/>
  <c r="BI10"/>
  <c r="BI13"/>
  <c r="BI16"/>
  <c r="BI28"/>
  <c r="BI38"/>
  <c r="BI55"/>
  <c r="BI72"/>
  <c r="BI79"/>
  <c r="BI80"/>
  <c r="BI7"/>
  <c r="BI18"/>
  <c r="BI24"/>
  <c r="BI27"/>
  <c r="BI33"/>
  <c r="BI83"/>
  <c r="BI121"/>
  <c r="BI181"/>
  <c r="BI21"/>
  <c r="BI31"/>
  <c r="BI41"/>
  <c r="BI51"/>
  <c r="BI64"/>
  <c r="BI73"/>
  <c r="BI87"/>
  <c r="BI128"/>
  <c r="BI156"/>
  <c r="BI19"/>
  <c r="BI29"/>
  <c r="BI39"/>
  <c r="BI47"/>
  <c r="BI49"/>
  <c r="BI57"/>
  <c r="BI61"/>
  <c r="BI82"/>
  <c r="BI20"/>
  <c r="BI30"/>
  <c r="BI40"/>
  <c r="BI50"/>
  <c r="BI58"/>
  <c r="BI62"/>
  <c r="BI77"/>
  <c r="BI91"/>
  <c r="BI118"/>
  <c r="BI155"/>
  <c r="BI179"/>
  <c r="BI264"/>
  <c r="BI90"/>
  <c r="BI96"/>
  <c r="BI101"/>
  <c r="BI115"/>
  <c r="BI154"/>
  <c r="BI167"/>
  <c r="BI170"/>
  <c r="BI93"/>
  <c r="BI84"/>
  <c r="BI108"/>
  <c r="BI109"/>
  <c r="BI110"/>
  <c r="BI143"/>
  <c r="BI148"/>
  <c r="BI65"/>
  <c r="BI75"/>
  <c r="BI85"/>
  <c r="BI105"/>
  <c r="BI144"/>
  <c r="BI60"/>
  <c r="BI68"/>
  <c r="BI78"/>
  <c r="BI88"/>
  <c r="BI97"/>
  <c r="BI100"/>
  <c r="BI111"/>
  <c r="BI66"/>
  <c r="BI76"/>
  <c r="BI86"/>
  <c r="BI120"/>
  <c r="BI184"/>
  <c r="BI201"/>
  <c r="BI106"/>
  <c r="BI116"/>
  <c r="BI124"/>
  <c r="BI126"/>
  <c r="BI133"/>
  <c r="BI137"/>
  <c r="BI145"/>
  <c r="BI165"/>
  <c r="BI171"/>
  <c r="BI194"/>
  <c r="BI221"/>
  <c r="BI250"/>
  <c r="BI119"/>
  <c r="BI129"/>
  <c r="BI168"/>
  <c r="BI186"/>
  <c r="BI208"/>
  <c r="BI220"/>
  <c r="BI94"/>
  <c r="BI102"/>
  <c r="BI104"/>
  <c r="BI112"/>
  <c r="BI122"/>
  <c r="BI134"/>
  <c r="BI138"/>
  <c r="BI146"/>
  <c r="BI153"/>
  <c r="BI166"/>
  <c r="BI178"/>
  <c r="BI189"/>
  <c r="BI107"/>
  <c r="BI117"/>
  <c r="BI127"/>
  <c r="BI135"/>
  <c r="BI193"/>
  <c r="BI131"/>
  <c r="BI141"/>
  <c r="BI151"/>
  <c r="BI161"/>
  <c r="BI176"/>
  <c r="BI205"/>
  <c r="BI223"/>
  <c r="BI256"/>
  <c r="BI139"/>
  <c r="BI149"/>
  <c r="BI157"/>
  <c r="BI159"/>
  <c r="BI173"/>
  <c r="BI187"/>
  <c r="BI211"/>
  <c r="BI272"/>
  <c r="BI132"/>
  <c r="BI142"/>
  <c r="BI152"/>
  <c r="BI162"/>
  <c r="BI177"/>
  <c r="BI188"/>
  <c r="BI196"/>
  <c r="BI204"/>
  <c r="BI219"/>
  <c r="BI225"/>
  <c r="BI232"/>
  <c r="BI237"/>
  <c r="BI130"/>
  <c r="BI140"/>
  <c r="BI150"/>
  <c r="BI160"/>
  <c r="BI174"/>
  <c r="BI197"/>
  <c r="BI210"/>
  <c r="BI199"/>
  <c r="BI207"/>
  <c r="BI231"/>
  <c r="BI274"/>
  <c r="BI172"/>
  <c r="BI182"/>
  <c r="BI190"/>
  <c r="BI192"/>
  <c r="BI200"/>
  <c r="BI215"/>
  <c r="BI175"/>
  <c r="BI185"/>
  <c r="BI195"/>
  <c r="BI203"/>
  <c r="BI209"/>
  <c r="BI212"/>
  <c r="BI218"/>
  <c r="BI248"/>
  <c r="BI198"/>
  <c r="BI206"/>
  <c r="BI217"/>
  <c r="BI262"/>
  <c r="BI227"/>
  <c r="BI241"/>
  <c r="BI233"/>
  <c r="BI214"/>
  <c r="BI230"/>
  <c r="BI240"/>
  <c r="BI228"/>
  <c r="BI238"/>
  <c r="BI244"/>
  <c r="BI251"/>
  <c r="BI275"/>
  <c r="BI216"/>
  <c r="BI226"/>
  <c r="BI234"/>
  <c r="BI236"/>
  <c r="BI229"/>
  <c r="BI239"/>
  <c r="BI254"/>
  <c r="BI258"/>
  <c r="BI261"/>
  <c r="BI266"/>
  <c r="BI270"/>
  <c r="BI278"/>
  <c r="BI243"/>
  <c r="BI253"/>
  <c r="BI259"/>
  <c r="BI267"/>
  <c r="BI269"/>
  <c r="BI277"/>
  <c r="BI249"/>
  <c r="BI263"/>
  <c r="BI273"/>
  <c r="BI242"/>
  <c r="BI252"/>
  <c r="BI260"/>
  <c r="BI276"/>
  <c r="BI245"/>
  <c r="BI247"/>
  <c r="BI255"/>
  <c r="BI265"/>
  <c r="BI271"/>
  <c r="BG8"/>
  <c r="BG36"/>
  <c r="BG30"/>
  <c r="BG55"/>
  <c r="BG24"/>
  <c r="BG5"/>
  <c r="BG57"/>
  <c r="BG34"/>
  <c r="BG45"/>
  <c r="BG20"/>
  <c r="BG40"/>
  <c r="BG44"/>
  <c r="BG6"/>
  <c r="BG13"/>
  <c r="BG19"/>
  <c r="BG54"/>
  <c r="BG127"/>
  <c r="BG35"/>
  <c r="BG16"/>
  <c r="BG50"/>
  <c r="BG61"/>
  <c r="BG18"/>
  <c r="BG71"/>
  <c r="BG91"/>
  <c r="BG28"/>
  <c r="BG66"/>
  <c r="BG73"/>
  <c r="BG10"/>
  <c r="BG14"/>
  <c r="BG25"/>
  <c r="BG27"/>
  <c r="BG38"/>
  <c r="BG49"/>
  <c r="BG58"/>
  <c r="BG7"/>
  <c r="BG11"/>
  <c r="BG86"/>
  <c r="BG12"/>
  <c r="BG29"/>
  <c r="BG39"/>
  <c r="BG47"/>
  <c r="BG276"/>
  <c r="BG17"/>
  <c r="BG113"/>
  <c r="BG9"/>
  <c r="BG46"/>
  <c r="BG56"/>
  <c r="BG63"/>
  <c r="BG79"/>
  <c r="BG105"/>
  <c r="BG23"/>
  <c r="BG33"/>
  <c r="BG43"/>
  <c r="BG53"/>
  <c r="BG69"/>
  <c r="BG84"/>
  <c r="BG21"/>
  <c r="BG31"/>
  <c r="BG41"/>
  <c r="BG51"/>
  <c r="BG64"/>
  <c r="BG65"/>
  <c r="BG75"/>
  <c r="BG85"/>
  <c r="BG22"/>
  <c r="BG32"/>
  <c r="BG42"/>
  <c r="BG52"/>
  <c r="BG74"/>
  <c r="BG83"/>
  <c r="BG95"/>
  <c r="BG76"/>
  <c r="BG122"/>
  <c r="BG196"/>
  <c r="BG104"/>
  <c r="BG179"/>
  <c r="BG98"/>
  <c r="BG130"/>
  <c r="BG155"/>
  <c r="BG160"/>
  <c r="BG89"/>
  <c r="BG93"/>
  <c r="BG120"/>
  <c r="BG135"/>
  <c r="BG67"/>
  <c r="BG77"/>
  <c r="BG87"/>
  <c r="BG99"/>
  <c r="BG170"/>
  <c r="BG207"/>
  <c r="BG62"/>
  <c r="BG72"/>
  <c r="BG80"/>
  <c r="BG82"/>
  <c r="BG90"/>
  <c r="BG110"/>
  <c r="BG112"/>
  <c r="BG115"/>
  <c r="BG117"/>
  <c r="BG123"/>
  <c r="BG140"/>
  <c r="BG60"/>
  <c r="BG68"/>
  <c r="BG78"/>
  <c r="BG88"/>
  <c r="BG94"/>
  <c r="BG97"/>
  <c r="BG100"/>
  <c r="BG101"/>
  <c r="BG102"/>
  <c r="BG107"/>
  <c r="BG248"/>
  <c r="BG108"/>
  <c r="BG118"/>
  <c r="BG128"/>
  <c r="BG148"/>
  <c r="BG149"/>
  <c r="BG156"/>
  <c r="BG157"/>
  <c r="BG172"/>
  <c r="BG185"/>
  <c r="BG198"/>
  <c r="BG199"/>
  <c r="BG206"/>
  <c r="BG212"/>
  <c r="BG234"/>
  <c r="BG111"/>
  <c r="BG121"/>
  <c r="BG137"/>
  <c r="BG145"/>
  <c r="BG150"/>
  <c r="BG165"/>
  <c r="BG171"/>
  <c r="BG173"/>
  <c r="BG229"/>
  <c r="BG96"/>
  <c r="BG106"/>
  <c r="BG116"/>
  <c r="BG124"/>
  <c r="BG126"/>
  <c r="BG175"/>
  <c r="BG186"/>
  <c r="BG203"/>
  <c r="BG109"/>
  <c r="BG119"/>
  <c r="BG129"/>
  <c r="BG138"/>
  <c r="BG139"/>
  <c r="BG146"/>
  <c r="BG159"/>
  <c r="BG166"/>
  <c r="BG178"/>
  <c r="BG262"/>
  <c r="BG133"/>
  <c r="BG143"/>
  <c r="BG153"/>
  <c r="BG163"/>
  <c r="BG181"/>
  <c r="BG182"/>
  <c r="BG189"/>
  <c r="BG209"/>
  <c r="BG221"/>
  <c r="BG236"/>
  <c r="BG239"/>
  <c r="BG131"/>
  <c r="BG141"/>
  <c r="BG151"/>
  <c r="BG161"/>
  <c r="BG176"/>
  <c r="BG195"/>
  <c r="BG134"/>
  <c r="BG144"/>
  <c r="BG154"/>
  <c r="BG164"/>
  <c r="BG168"/>
  <c r="BG183"/>
  <c r="BG193"/>
  <c r="BG132"/>
  <c r="BG142"/>
  <c r="BG152"/>
  <c r="BG162"/>
  <c r="BG188"/>
  <c r="BG217"/>
  <c r="BG201"/>
  <c r="BG220"/>
  <c r="BG222"/>
  <c r="BG227"/>
  <c r="BG233"/>
  <c r="BG267"/>
  <c r="BG174"/>
  <c r="BG184"/>
  <c r="BG194"/>
  <c r="BG205"/>
  <c r="BG208"/>
  <c r="BG225"/>
  <c r="BG250"/>
  <c r="BG252"/>
  <c r="BG272"/>
  <c r="BG167"/>
  <c r="BG177"/>
  <c r="BG187"/>
  <c r="BG197"/>
  <c r="BG190"/>
  <c r="BG192"/>
  <c r="BG200"/>
  <c r="BG214"/>
  <c r="BG226"/>
  <c r="BG243"/>
  <c r="BG204"/>
  <c r="BG215"/>
  <c r="BG223"/>
  <c r="BG232"/>
  <c r="BG256"/>
  <c r="BG210"/>
  <c r="BG216"/>
  <c r="BG219"/>
  <c r="BG237"/>
  <c r="BG260"/>
  <c r="BG264"/>
  <c r="BG211"/>
  <c r="BG242"/>
  <c r="BG259"/>
  <c r="BG274"/>
  <c r="BG230"/>
  <c r="BG240"/>
  <c r="BG241"/>
  <c r="BG218"/>
  <c r="BG228"/>
  <c r="BG238"/>
  <c r="BG253"/>
  <c r="BG269"/>
  <c r="BG277"/>
  <c r="BG231"/>
  <c r="BG245"/>
  <c r="BG247"/>
  <c r="BG255"/>
  <c r="BG265"/>
  <c r="BG271"/>
  <c r="BG251"/>
  <c r="BG261"/>
  <c r="BG275"/>
  <c r="BG244"/>
  <c r="BG254"/>
  <c r="BG258"/>
  <c r="BG266"/>
  <c r="BG270"/>
  <c r="BG278"/>
  <c r="BG249"/>
  <c r="BG263"/>
  <c r="BG273"/>
  <c r="BA69"/>
  <c r="BA11"/>
  <c r="BA5"/>
  <c r="BA12"/>
  <c r="BA43"/>
  <c r="BA34"/>
  <c r="BA6"/>
  <c r="BA25"/>
  <c r="BA42"/>
  <c r="BA133"/>
  <c r="BA9"/>
  <c r="BA28"/>
  <c r="BA36"/>
  <c r="BA8"/>
  <c r="BA14"/>
  <c r="BA52"/>
  <c r="BA55"/>
  <c r="BA27"/>
  <c r="BA61"/>
  <c r="BA83"/>
  <c r="BA17"/>
  <c r="BA18"/>
  <c r="BA22"/>
  <c r="BA46"/>
  <c r="BA56"/>
  <c r="BA63"/>
  <c r="BA177"/>
  <c r="BA16"/>
  <c r="BA33"/>
  <c r="BA45"/>
  <c r="BA153"/>
  <c r="BA32"/>
  <c r="BA10"/>
  <c r="BA13"/>
  <c r="BA24"/>
  <c r="BA35"/>
  <c r="BA93"/>
  <c r="BA23"/>
  <c r="BA53"/>
  <c r="BA7"/>
  <c r="BA38"/>
  <c r="BA44"/>
  <c r="BA54"/>
  <c r="BA67"/>
  <c r="BA74"/>
  <c r="BA101"/>
  <c r="BA120"/>
  <c r="BA193"/>
  <c r="BA71"/>
  <c r="BA72"/>
  <c r="BA84"/>
  <c r="BA96"/>
  <c r="BA105"/>
  <c r="BA165"/>
  <c r="BA21"/>
  <c r="BA31"/>
  <c r="BA41"/>
  <c r="BA51"/>
  <c r="BA89"/>
  <c r="BA134"/>
  <c r="BA188"/>
  <c r="BA19"/>
  <c r="BA29"/>
  <c r="BA39"/>
  <c r="BA47"/>
  <c r="BA49"/>
  <c r="BA57"/>
  <c r="BA62"/>
  <c r="BA77"/>
  <c r="BA90"/>
  <c r="BA204"/>
  <c r="BA20"/>
  <c r="BA30"/>
  <c r="BA40"/>
  <c r="BA50"/>
  <c r="BA58"/>
  <c r="BA64"/>
  <c r="BA73"/>
  <c r="BA80"/>
  <c r="BA82"/>
  <c r="BA110"/>
  <c r="BA79"/>
  <c r="BA87"/>
  <c r="BA118"/>
  <c r="BA135"/>
  <c r="BA91"/>
  <c r="BA111"/>
  <c r="BA121"/>
  <c r="BA99"/>
  <c r="BA113"/>
  <c r="BA65"/>
  <c r="BA75"/>
  <c r="BA85"/>
  <c r="BA97"/>
  <c r="BA100"/>
  <c r="BA166"/>
  <c r="BA189"/>
  <c r="BA237"/>
  <c r="BA60"/>
  <c r="BA68"/>
  <c r="BA78"/>
  <c r="BA88"/>
  <c r="BA108"/>
  <c r="BA128"/>
  <c r="BA137"/>
  <c r="BA145"/>
  <c r="BA176"/>
  <c r="BA207"/>
  <c r="BA66"/>
  <c r="BA76"/>
  <c r="BA86"/>
  <c r="BA95"/>
  <c r="BA98"/>
  <c r="BA109"/>
  <c r="BA115"/>
  <c r="BA123"/>
  <c r="BA138"/>
  <c r="BA146"/>
  <c r="BA270"/>
  <c r="BA106"/>
  <c r="BA116"/>
  <c r="BA124"/>
  <c r="BA126"/>
  <c r="BA154"/>
  <c r="BA167"/>
  <c r="BA254"/>
  <c r="BA119"/>
  <c r="BA129"/>
  <c r="BA143"/>
  <c r="BA155"/>
  <c r="BA163"/>
  <c r="BA181"/>
  <c r="BA183"/>
  <c r="BA196"/>
  <c r="BA222"/>
  <c r="BA94"/>
  <c r="BA102"/>
  <c r="BA104"/>
  <c r="BA112"/>
  <c r="BA122"/>
  <c r="BA197"/>
  <c r="BA107"/>
  <c r="BA117"/>
  <c r="BA127"/>
  <c r="BA144"/>
  <c r="BA148"/>
  <c r="BA156"/>
  <c r="BA164"/>
  <c r="BA194"/>
  <c r="BA219"/>
  <c r="BA131"/>
  <c r="BA141"/>
  <c r="BA151"/>
  <c r="BA161"/>
  <c r="BA168"/>
  <c r="BA173"/>
  <c r="BA187"/>
  <c r="BA139"/>
  <c r="BA149"/>
  <c r="BA157"/>
  <c r="BA159"/>
  <c r="BA170"/>
  <c r="BA178"/>
  <c r="BA184"/>
  <c r="BA221"/>
  <c r="BA244"/>
  <c r="BA132"/>
  <c r="BA142"/>
  <c r="BA152"/>
  <c r="BA162"/>
  <c r="BA174"/>
  <c r="BA201"/>
  <c r="BA209"/>
  <c r="BA215"/>
  <c r="BA130"/>
  <c r="BA140"/>
  <c r="BA150"/>
  <c r="BA160"/>
  <c r="BA171"/>
  <c r="BA179"/>
  <c r="BA186"/>
  <c r="BA199"/>
  <c r="BA205"/>
  <c r="BA208"/>
  <c r="BA214"/>
  <c r="BA218"/>
  <c r="BA172"/>
  <c r="BA182"/>
  <c r="BA190"/>
  <c r="BA192"/>
  <c r="BA200"/>
  <c r="BA203"/>
  <c r="BA206"/>
  <c r="BA227"/>
  <c r="BA231"/>
  <c r="BA233"/>
  <c r="BA258"/>
  <c r="BA175"/>
  <c r="BA185"/>
  <c r="BA195"/>
  <c r="BA198"/>
  <c r="BA210"/>
  <c r="BA223"/>
  <c r="BA230"/>
  <c r="BA240"/>
  <c r="BA266"/>
  <c r="BA278"/>
  <c r="BA211"/>
  <c r="BA217"/>
  <c r="BA220"/>
  <c r="BA261"/>
  <c r="BA275"/>
  <c r="BA212"/>
  <c r="BA225"/>
  <c r="BA232"/>
  <c r="BA241"/>
  <c r="BA251"/>
  <c r="BA228"/>
  <c r="BA238"/>
  <c r="BA248"/>
  <c r="BA256"/>
  <c r="BA264"/>
  <c r="BA272"/>
  <c r="BA216"/>
  <c r="BA226"/>
  <c r="BA234"/>
  <c r="BA236"/>
  <c r="BA250"/>
  <c r="BA262"/>
  <c r="BA274"/>
  <c r="BA229"/>
  <c r="BA239"/>
  <c r="BA243"/>
  <c r="BA253"/>
  <c r="BA259"/>
  <c r="BA267"/>
  <c r="BA269"/>
  <c r="BA277"/>
  <c r="BA249"/>
  <c r="BA263"/>
  <c r="BA273"/>
  <c r="BA242"/>
  <c r="BA252"/>
  <c r="BA260"/>
  <c r="BA276"/>
  <c r="BA245"/>
  <c r="BA247"/>
  <c r="BA255"/>
  <c r="BA265"/>
  <c r="BA271"/>
  <c r="U62"/>
  <c r="U17"/>
  <c r="U73"/>
  <c r="U32"/>
  <c r="U6"/>
  <c r="U8"/>
  <c r="U33"/>
  <c r="U83"/>
  <c r="U113"/>
  <c r="U23"/>
  <c r="U35"/>
  <c r="U16"/>
  <c r="U43"/>
  <c r="U34"/>
  <c r="U22"/>
  <c r="U28"/>
  <c r="U53"/>
  <c r="U11"/>
  <c r="U55"/>
  <c r="U18"/>
  <c r="U44"/>
  <c r="U61"/>
  <c r="U64"/>
  <c r="U79"/>
  <c r="U120"/>
  <c r="U12"/>
  <c r="U13"/>
  <c r="U74"/>
  <c r="U94"/>
  <c r="U9"/>
  <c r="U10"/>
  <c r="U14"/>
  <c r="U38"/>
  <c r="U5"/>
  <c r="U25"/>
  <c r="U27"/>
  <c r="U63"/>
  <c r="U69"/>
  <c r="U133"/>
  <c r="U24"/>
  <c r="U36"/>
  <c r="U45"/>
  <c r="U54"/>
  <c r="U7"/>
  <c r="U42"/>
  <c r="U46"/>
  <c r="U52"/>
  <c r="U56"/>
  <c r="U82"/>
  <c r="U96"/>
  <c r="U77"/>
  <c r="U80"/>
  <c r="U97"/>
  <c r="U21"/>
  <c r="U31"/>
  <c r="U41"/>
  <c r="U51"/>
  <c r="U72"/>
  <c r="U87"/>
  <c r="U19"/>
  <c r="U29"/>
  <c r="U39"/>
  <c r="U47"/>
  <c r="U49"/>
  <c r="U57"/>
  <c r="U98"/>
  <c r="U134"/>
  <c r="U20"/>
  <c r="U30"/>
  <c r="U40"/>
  <c r="U50"/>
  <c r="U58"/>
  <c r="U67"/>
  <c r="U71"/>
  <c r="U90"/>
  <c r="U91"/>
  <c r="U84"/>
  <c r="U95"/>
  <c r="U99"/>
  <c r="U111"/>
  <c r="U121"/>
  <c r="U165"/>
  <c r="U181"/>
  <c r="U118"/>
  <c r="U153"/>
  <c r="U89"/>
  <c r="U100"/>
  <c r="U130"/>
  <c r="U93"/>
  <c r="U108"/>
  <c r="U109"/>
  <c r="U135"/>
  <c r="U183"/>
  <c r="U209"/>
  <c r="U251"/>
  <c r="U65"/>
  <c r="U75"/>
  <c r="U85"/>
  <c r="U110"/>
  <c r="U166"/>
  <c r="U227"/>
  <c r="U60"/>
  <c r="U68"/>
  <c r="U78"/>
  <c r="U88"/>
  <c r="U105"/>
  <c r="U128"/>
  <c r="U137"/>
  <c r="U145"/>
  <c r="U66"/>
  <c r="U76"/>
  <c r="U86"/>
  <c r="U101"/>
  <c r="U115"/>
  <c r="U123"/>
  <c r="U138"/>
  <c r="U146"/>
  <c r="U106"/>
  <c r="U116"/>
  <c r="U124"/>
  <c r="U126"/>
  <c r="U154"/>
  <c r="U176"/>
  <c r="U206"/>
  <c r="U210"/>
  <c r="U119"/>
  <c r="U129"/>
  <c r="U143"/>
  <c r="U155"/>
  <c r="U163"/>
  <c r="U177"/>
  <c r="U188"/>
  <c r="U189"/>
  <c r="U196"/>
  <c r="U102"/>
  <c r="U104"/>
  <c r="U112"/>
  <c r="U122"/>
  <c r="U168"/>
  <c r="U197"/>
  <c r="U233"/>
  <c r="U107"/>
  <c r="U117"/>
  <c r="U127"/>
  <c r="U144"/>
  <c r="U148"/>
  <c r="U156"/>
  <c r="U164"/>
  <c r="U131"/>
  <c r="U141"/>
  <c r="U151"/>
  <c r="U161"/>
  <c r="U173"/>
  <c r="U187"/>
  <c r="U203"/>
  <c r="U222"/>
  <c r="U139"/>
  <c r="U149"/>
  <c r="U157"/>
  <c r="U159"/>
  <c r="U167"/>
  <c r="U178"/>
  <c r="U184"/>
  <c r="U193"/>
  <c r="U132"/>
  <c r="U142"/>
  <c r="U152"/>
  <c r="U162"/>
  <c r="U170"/>
  <c r="U174"/>
  <c r="U201"/>
  <c r="U232"/>
  <c r="U140"/>
  <c r="U150"/>
  <c r="U160"/>
  <c r="U171"/>
  <c r="U179"/>
  <c r="U186"/>
  <c r="U194"/>
  <c r="U204"/>
  <c r="U207"/>
  <c r="U214"/>
  <c r="U219"/>
  <c r="U278"/>
  <c r="U199"/>
  <c r="U208"/>
  <c r="U230"/>
  <c r="U231"/>
  <c r="U244"/>
  <c r="U254"/>
  <c r="U172"/>
  <c r="U182"/>
  <c r="U190"/>
  <c r="U192"/>
  <c r="U200"/>
  <c r="U212"/>
  <c r="U217"/>
  <c r="U266"/>
  <c r="U175"/>
  <c r="U185"/>
  <c r="U195"/>
  <c r="U205"/>
  <c r="U211"/>
  <c r="U223"/>
  <c r="U198"/>
  <c r="U220"/>
  <c r="U240"/>
  <c r="U241"/>
  <c r="U218"/>
  <c r="U221"/>
  <c r="U237"/>
  <c r="U270"/>
  <c r="U215"/>
  <c r="U258"/>
  <c r="U225"/>
  <c r="U261"/>
  <c r="U275"/>
  <c r="U228"/>
  <c r="U238"/>
  <c r="U248"/>
  <c r="U256"/>
  <c r="U264"/>
  <c r="U272"/>
  <c r="U216"/>
  <c r="U226"/>
  <c r="U234"/>
  <c r="U236"/>
  <c r="U250"/>
  <c r="U262"/>
  <c r="U274"/>
  <c r="U229"/>
  <c r="U239"/>
  <c r="U243"/>
  <c r="U253"/>
  <c r="U259"/>
  <c r="U267"/>
  <c r="U269"/>
  <c r="U277"/>
  <c r="U249"/>
  <c r="U263"/>
  <c r="U273"/>
  <c r="U242"/>
  <c r="U252"/>
  <c r="U260"/>
  <c r="U276"/>
  <c r="U245"/>
  <c r="U247"/>
  <c r="U255"/>
  <c r="U265"/>
  <c r="U271"/>
  <c r="AV43"/>
  <c r="AV60"/>
  <c r="AV129"/>
  <c r="AV49"/>
  <c r="AV13"/>
  <c r="AV17"/>
  <c r="AV14"/>
  <c r="AV189"/>
  <c r="AV145"/>
  <c r="AV62"/>
  <c r="AV44"/>
  <c r="AV80"/>
  <c r="AV9"/>
  <c r="AV29"/>
  <c r="AV39"/>
  <c r="AV97"/>
  <c r="AV53"/>
  <c r="AV54"/>
  <c r="AV73"/>
  <c r="AV72"/>
  <c r="AV88"/>
  <c r="AV12"/>
  <c r="AV19"/>
  <c r="AV36"/>
  <c r="AV65"/>
  <c r="AV99"/>
  <c r="AV122"/>
  <c r="AV10"/>
  <c r="AV11"/>
  <c r="AV23"/>
  <c r="AV35"/>
  <c r="AV6"/>
  <c r="AV7"/>
  <c r="AV34"/>
  <c r="AV45"/>
  <c r="AV56"/>
  <c r="AV63"/>
  <c r="AV16"/>
  <c r="AV28"/>
  <c r="AV38"/>
  <c r="AV55"/>
  <c r="AV82"/>
  <c r="AV94"/>
  <c r="AV148"/>
  <c r="AV5"/>
  <c r="AV25"/>
  <c r="AV46"/>
  <c r="AV83"/>
  <c r="AV8"/>
  <c r="AV18"/>
  <c r="AV24"/>
  <c r="AV27"/>
  <c r="AV33"/>
  <c r="AV47"/>
  <c r="AV57"/>
  <c r="AV109"/>
  <c r="AV91"/>
  <c r="AV22"/>
  <c r="AV32"/>
  <c r="AV42"/>
  <c r="AV52"/>
  <c r="AV64"/>
  <c r="AV75"/>
  <c r="AV177"/>
  <c r="AV20"/>
  <c r="AV30"/>
  <c r="AV40"/>
  <c r="AV50"/>
  <c r="AV58"/>
  <c r="AV74"/>
  <c r="AV78"/>
  <c r="AV98"/>
  <c r="AV124"/>
  <c r="AV21"/>
  <c r="AV31"/>
  <c r="AV41"/>
  <c r="AV51"/>
  <c r="AV68"/>
  <c r="AV209"/>
  <c r="AV85"/>
  <c r="AV100"/>
  <c r="AV116"/>
  <c r="AV137"/>
  <c r="AV155"/>
  <c r="AV96"/>
  <c r="AV144"/>
  <c r="AV156"/>
  <c r="AV164"/>
  <c r="AV204"/>
  <c r="AV84"/>
  <c r="AV90"/>
  <c r="AV93"/>
  <c r="AV104"/>
  <c r="AV111"/>
  <c r="AV149"/>
  <c r="AV188"/>
  <c r="AV66"/>
  <c r="AV76"/>
  <c r="AV86"/>
  <c r="AV110"/>
  <c r="AV112"/>
  <c r="AV157"/>
  <c r="AV61"/>
  <c r="AV69"/>
  <c r="AV71"/>
  <c r="AV79"/>
  <c r="AV89"/>
  <c r="AV101"/>
  <c r="AV106"/>
  <c r="AV119"/>
  <c r="AV126"/>
  <c r="AV165"/>
  <c r="AV170"/>
  <c r="AV185"/>
  <c r="AV67"/>
  <c r="AV77"/>
  <c r="AV87"/>
  <c r="AV102"/>
  <c r="AV121"/>
  <c r="AV174"/>
  <c r="AV251"/>
  <c r="AV107"/>
  <c r="AV117"/>
  <c r="AV127"/>
  <c r="AV134"/>
  <c r="AV138"/>
  <c r="AV146"/>
  <c r="AV166"/>
  <c r="AV178"/>
  <c r="AV190"/>
  <c r="AV120"/>
  <c r="AV139"/>
  <c r="AV159"/>
  <c r="AV260"/>
  <c r="AV95"/>
  <c r="AV105"/>
  <c r="AV113"/>
  <c r="AV115"/>
  <c r="AV123"/>
  <c r="AV135"/>
  <c r="AV154"/>
  <c r="AV220"/>
  <c r="AV263"/>
  <c r="AV108"/>
  <c r="AV118"/>
  <c r="AV128"/>
  <c r="AV181"/>
  <c r="AV182"/>
  <c r="AV198"/>
  <c r="AV132"/>
  <c r="AV142"/>
  <c r="AV152"/>
  <c r="AV162"/>
  <c r="AV171"/>
  <c r="AV175"/>
  <c r="AV179"/>
  <c r="AV192"/>
  <c r="AV195"/>
  <c r="AV210"/>
  <c r="AV265"/>
  <c r="AV130"/>
  <c r="AV140"/>
  <c r="AV150"/>
  <c r="AV160"/>
  <c r="AV167"/>
  <c r="AV172"/>
  <c r="AV206"/>
  <c r="AV133"/>
  <c r="AV143"/>
  <c r="AV153"/>
  <c r="AV163"/>
  <c r="AV187"/>
  <c r="AV194"/>
  <c r="AV197"/>
  <c r="AV207"/>
  <c r="AV131"/>
  <c r="AV141"/>
  <c r="AV151"/>
  <c r="AV161"/>
  <c r="AV168"/>
  <c r="AV184"/>
  <c r="AV200"/>
  <c r="AV225"/>
  <c r="AV173"/>
  <c r="AV183"/>
  <c r="AV193"/>
  <c r="AV201"/>
  <c r="AV261"/>
  <c r="AV176"/>
  <c r="AV186"/>
  <c r="AV196"/>
  <c r="AV208"/>
  <c r="AV214"/>
  <c r="AV234"/>
  <c r="AV236"/>
  <c r="AV242"/>
  <c r="AV199"/>
  <c r="AV205"/>
  <c r="AV211"/>
  <c r="AV222"/>
  <c r="AV231"/>
  <c r="AV232"/>
  <c r="AV245"/>
  <c r="AV252"/>
  <c r="AV203"/>
  <c r="AV212"/>
  <c r="AV218"/>
  <c r="AV221"/>
  <c r="AV223"/>
  <c r="AV226"/>
  <c r="AV233"/>
  <c r="AV238"/>
  <c r="AV276"/>
  <c r="AV215"/>
  <c r="AV216"/>
  <c r="AV219"/>
  <c r="AV228"/>
  <c r="AV275"/>
  <c r="AV229"/>
  <c r="AV239"/>
  <c r="AV241"/>
  <c r="AV217"/>
  <c r="AV227"/>
  <c r="AV237"/>
  <c r="AV247"/>
  <c r="AV255"/>
  <c r="AV271"/>
  <c r="AV230"/>
  <c r="AV240"/>
  <c r="AV249"/>
  <c r="AV273"/>
  <c r="AV244"/>
  <c r="AV254"/>
  <c r="AV258"/>
  <c r="AV266"/>
  <c r="AV270"/>
  <c r="AV278"/>
  <c r="AV250"/>
  <c r="AV262"/>
  <c r="AV274"/>
  <c r="AV243"/>
  <c r="AV253"/>
  <c r="AV259"/>
  <c r="AV267"/>
  <c r="AV269"/>
  <c r="AV277"/>
  <c r="AV248"/>
  <c r="AV256"/>
  <c r="AV264"/>
  <c r="AV272"/>
  <c r="AD7"/>
  <c r="AD11"/>
  <c r="AD28"/>
  <c r="AD20"/>
  <c r="AD38"/>
  <c r="AD106"/>
  <c r="AD6"/>
  <c r="AD36"/>
  <c r="AD9"/>
  <c r="AD12"/>
  <c r="AD64"/>
  <c r="AD27"/>
  <c r="AD25"/>
  <c r="AD58"/>
  <c r="AD76"/>
  <c r="AD49"/>
  <c r="AD8"/>
  <c r="AD13"/>
  <c r="AD14"/>
  <c r="AD16"/>
  <c r="AD41"/>
  <c r="AD77"/>
  <c r="AD82"/>
  <c r="AD19"/>
  <c r="AD46"/>
  <c r="AD57"/>
  <c r="AD85"/>
  <c r="AD18"/>
  <c r="AD30"/>
  <c r="AD35"/>
  <c r="AD104"/>
  <c r="AD5"/>
  <c r="AD17"/>
  <c r="AD29"/>
  <c r="AD39"/>
  <c r="AD47"/>
  <c r="AD51"/>
  <c r="AD56"/>
  <c r="AD21"/>
  <c r="AD80"/>
  <c r="AD95"/>
  <c r="AD121"/>
  <c r="AD10"/>
  <c r="AD31"/>
  <c r="AD40"/>
  <c r="AD45"/>
  <c r="AD50"/>
  <c r="AD55"/>
  <c r="AD99"/>
  <c r="AD200"/>
  <c r="AD67"/>
  <c r="AD101"/>
  <c r="AD102"/>
  <c r="AD108"/>
  <c r="AD149"/>
  <c r="AD24"/>
  <c r="AD34"/>
  <c r="AD44"/>
  <c r="AD54"/>
  <c r="AD62"/>
  <c r="AD115"/>
  <c r="AD123"/>
  <c r="AD22"/>
  <c r="AD32"/>
  <c r="AD42"/>
  <c r="AD52"/>
  <c r="AD72"/>
  <c r="AD75"/>
  <c r="AD90"/>
  <c r="AD100"/>
  <c r="AD23"/>
  <c r="AD33"/>
  <c r="AD43"/>
  <c r="AD53"/>
  <c r="AD65"/>
  <c r="AD66"/>
  <c r="AD74"/>
  <c r="AD84"/>
  <c r="AD86"/>
  <c r="AD94"/>
  <c r="AD96"/>
  <c r="AD156"/>
  <c r="AD187"/>
  <c r="AD128"/>
  <c r="AD87"/>
  <c r="AD98"/>
  <c r="AD150"/>
  <c r="AD174"/>
  <c r="AD176"/>
  <c r="AD157"/>
  <c r="AD60"/>
  <c r="AD68"/>
  <c r="AD78"/>
  <c r="AD88"/>
  <c r="AD111"/>
  <c r="AD116"/>
  <c r="AD124"/>
  <c r="AD186"/>
  <c r="AD197"/>
  <c r="AD63"/>
  <c r="AD73"/>
  <c r="AD83"/>
  <c r="AD91"/>
  <c r="AD93"/>
  <c r="AD113"/>
  <c r="AD118"/>
  <c r="AD173"/>
  <c r="AD61"/>
  <c r="AD69"/>
  <c r="AD71"/>
  <c r="AD79"/>
  <c r="AD89"/>
  <c r="AD105"/>
  <c r="AD126"/>
  <c r="AD131"/>
  <c r="AD148"/>
  <c r="AD179"/>
  <c r="AD212"/>
  <c r="AD244"/>
  <c r="AD109"/>
  <c r="AD119"/>
  <c r="AD129"/>
  <c r="AD151"/>
  <c r="AD192"/>
  <c r="AD203"/>
  <c r="AD237"/>
  <c r="AD112"/>
  <c r="AD122"/>
  <c r="AD138"/>
  <c r="AD146"/>
  <c r="AD166"/>
  <c r="AD238"/>
  <c r="AD97"/>
  <c r="AD107"/>
  <c r="AD117"/>
  <c r="AD127"/>
  <c r="AD139"/>
  <c r="AD140"/>
  <c r="AD159"/>
  <c r="AD160"/>
  <c r="AD182"/>
  <c r="AD194"/>
  <c r="AD110"/>
  <c r="AD120"/>
  <c r="AD130"/>
  <c r="AD141"/>
  <c r="AD161"/>
  <c r="AD171"/>
  <c r="AD204"/>
  <c r="AD227"/>
  <c r="AD134"/>
  <c r="AD144"/>
  <c r="AD154"/>
  <c r="AD164"/>
  <c r="AD172"/>
  <c r="AD183"/>
  <c r="AD190"/>
  <c r="AD132"/>
  <c r="AD142"/>
  <c r="AD152"/>
  <c r="AD162"/>
  <c r="AD167"/>
  <c r="AD177"/>
  <c r="AD196"/>
  <c r="AD206"/>
  <c r="AD207"/>
  <c r="AD208"/>
  <c r="AD240"/>
  <c r="AD135"/>
  <c r="AD137"/>
  <c r="AD145"/>
  <c r="AD155"/>
  <c r="AD165"/>
  <c r="AD184"/>
  <c r="AD211"/>
  <c r="AD226"/>
  <c r="AD243"/>
  <c r="AD263"/>
  <c r="AD133"/>
  <c r="AD143"/>
  <c r="AD153"/>
  <c r="AD163"/>
  <c r="AD181"/>
  <c r="AD189"/>
  <c r="AD199"/>
  <c r="AD210"/>
  <c r="AD217"/>
  <c r="AD220"/>
  <c r="AD223"/>
  <c r="AD225"/>
  <c r="AD175"/>
  <c r="AD185"/>
  <c r="AD195"/>
  <c r="AD209"/>
  <c r="AD233"/>
  <c r="AD234"/>
  <c r="AD168"/>
  <c r="AD170"/>
  <c r="AD178"/>
  <c r="AD188"/>
  <c r="AD198"/>
  <c r="AD193"/>
  <c r="AD201"/>
  <c r="AD214"/>
  <c r="AD230"/>
  <c r="AD249"/>
  <c r="AD267"/>
  <c r="AD205"/>
  <c r="AD218"/>
  <c r="AD221"/>
  <c r="AD273"/>
  <c r="AD215"/>
  <c r="AD228"/>
  <c r="AD236"/>
  <c r="AD275"/>
  <c r="AD216"/>
  <c r="AD222"/>
  <c r="AD251"/>
  <c r="AD259"/>
  <c r="AD231"/>
  <c r="AD241"/>
  <c r="AD253"/>
  <c r="AD269"/>
  <c r="AD277"/>
  <c r="AD219"/>
  <c r="AD229"/>
  <c r="AD239"/>
  <c r="AD254"/>
  <c r="AD258"/>
  <c r="AD261"/>
  <c r="AD266"/>
  <c r="AD270"/>
  <c r="AD278"/>
  <c r="AD232"/>
  <c r="AD248"/>
  <c r="AD256"/>
  <c r="AD264"/>
  <c r="AD272"/>
  <c r="AD242"/>
  <c r="AD252"/>
  <c r="AD260"/>
  <c r="AD276"/>
  <c r="AD245"/>
  <c r="AD247"/>
  <c r="AD255"/>
  <c r="AD265"/>
  <c r="AD271"/>
  <c r="AD250"/>
  <c r="AD262"/>
  <c r="AD274"/>
  <c r="M121"/>
  <c r="M53"/>
  <c r="M17"/>
  <c r="M44"/>
  <c r="M42"/>
  <c r="M109"/>
  <c r="M11"/>
  <c r="M27"/>
  <c r="M93"/>
  <c r="M5"/>
  <c r="M188"/>
  <c r="M36"/>
  <c r="M38"/>
  <c r="M69"/>
  <c r="M13"/>
  <c r="M23"/>
  <c r="M35"/>
  <c r="M54"/>
  <c r="M55"/>
  <c r="M80"/>
  <c r="M10"/>
  <c r="M14"/>
  <c r="M24"/>
  <c r="M46"/>
  <c r="M56"/>
  <c r="M105"/>
  <c r="M6"/>
  <c r="M8"/>
  <c r="M16"/>
  <c r="M45"/>
  <c r="M63"/>
  <c r="M64"/>
  <c r="M79"/>
  <c r="M32"/>
  <c r="M62"/>
  <c r="M84"/>
  <c r="M22"/>
  <c r="M52"/>
  <c r="M9"/>
  <c r="M12"/>
  <c r="M18"/>
  <c r="M33"/>
  <c r="M43"/>
  <c r="M130"/>
  <c r="M7"/>
  <c r="M25"/>
  <c r="M28"/>
  <c r="M34"/>
  <c r="M73"/>
  <c r="M118"/>
  <c r="M21"/>
  <c r="M31"/>
  <c r="M41"/>
  <c r="M51"/>
  <c r="M61"/>
  <c r="M74"/>
  <c r="M77"/>
  <c r="M89"/>
  <c r="M19"/>
  <c r="M29"/>
  <c r="M39"/>
  <c r="M47"/>
  <c r="M49"/>
  <c r="M57"/>
  <c r="M67"/>
  <c r="M71"/>
  <c r="M82"/>
  <c r="M83"/>
  <c r="M87"/>
  <c r="M123"/>
  <c r="M20"/>
  <c r="M30"/>
  <c r="M40"/>
  <c r="M50"/>
  <c r="M58"/>
  <c r="M72"/>
  <c r="M95"/>
  <c r="M110"/>
  <c r="M113"/>
  <c r="M144"/>
  <c r="M220"/>
  <c r="M128"/>
  <c r="M108"/>
  <c r="M212"/>
  <c r="M90"/>
  <c r="M94"/>
  <c r="M214"/>
  <c r="M91"/>
  <c r="M98"/>
  <c r="M115"/>
  <c r="M177"/>
  <c r="M65"/>
  <c r="M75"/>
  <c r="M85"/>
  <c r="M101"/>
  <c r="M148"/>
  <c r="M154"/>
  <c r="M155"/>
  <c r="M163"/>
  <c r="M187"/>
  <c r="M60"/>
  <c r="M68"/>
  <c r="M78"/>
  <c r="M88"/>
  <c r="M96"/>
  <c r="M99"/>
  <c r="M111"/>
  <c r="M156"/>
  <c r="M164"/>
  <c r="M174"/>
  <c r="M66"/>
  <c r="M76"/>
  <c r="M86"/>
  <c r="M97"/>
  <c r="M100"/>
  <c r="M120"/>
  <c r="M143"/>
  <c r="M106"/>
  <c r="M116"/>
  <c r="M124"/>
  <c r="M126"/>
  <c r="M133"/>
  <c r="M137"/>
  <c r="M145"/>
  <c r="M165"/>
  <c r="M119"/>
  <c r="M129"/>
  <c r="M232"/>
  <c r="M237"/>
  <c r="M102"/>
  <c r="M104"/>
  <c r="M112"/>
  <c r="M122"/>
  <c r="M134"/>
  <c r="M138"/>
  <c r="M146"/>
  <c r="M153"/>
  <c r="M166"/>
  <c r="M173"/>
  <c r="M193"/>
  <c r="M201"/>
  <c r="M206"/>
  <c r="M264"/>
  <c r="M107"/>
  <c r="M117"/>
  <c r="M127"/>
  <c r="M135"/>
  <c r="M176"/>
  <c r="M218"/>
  <c r="M131"/>
  <c r="M141"/>
  <c r="M151"/>
  <c r="M161"/>
  <c r="M178"/>
  <c r="M184"/>
  <c r="M204"/>
  <c r="M208"/>
  <c r="M139"/>
  <c r="M149"/>
  <c r="M157"/>
  <c r="M159"/>
  <c r="M167"/>
  <c r="M170"/>
  <c r="M181"/>
  <c r="M189"/>
  <c r="M194"/>
  <c r="M217"/>
  <c r="M132"/>
  <c r="M142"/>
  <c r="M152"/>
  <c r="M162"/>
  <c r="M168"/>
  <c r="M171"/>
  <c r="M179"/>
  <c r="M186"/>
  <c r="M196"/>
  <c r="M203"/>
  <c r="M140"/>
  <c r="M150"/>
  <c r="M160"/>
  <c r="M183"/>
  <c r="M197"/>
  <c r="M221"/>
  <c r="M256"/>
  <c r="M199"/>
  <c r="M209"/>
  <c r="M211"/>
  <c r="M172"/>
  <c r="M182"/>
  <c r="M190"/>
  <c r="M192"/>
  <c r="M200"/>
  <c r="M205"/>
  <c r="M233"/>
  <c r="M175"/>
  <c r="M185"/>
  <c r="M195"/>
  <c r="M207"/>
  <c r="M229"/>
  <c r="M198"/>
  <c r="M227"/>
  <c r="M215"/>
  <c r="M210"/>
  <c r="M219"/>
  <c r="M222"/>
  <c r="M225"/>
  <c r="M230"/>
  <c r="M240"/>
  <c r="M272"/>
  <c r="M274"/>
  <c r="M223"/>
  <c r="M231"/>
  <c r="M241"/>
  <c r="M248"/>
  <c r="M250"/>
  <c r="M262"/>
  <c r="M228"/>
  <c r="M238"/>
  <c r="M244"/>
  <c r="M251"/>
  <c r="M275"/>
  <c r="M216"/>
  <c r="M226"/>
  <c r="M234"/>
  <c r="M236"/>
  <c r="M239"/>
  <c r="M254"/>
  <c r="M258"/>
  <c r="M261"/>
  <c r="M266"/>
  <c r="M270"/>
  <c r="M278"/>
  <c r="M243"/>
  <c r="M253"/>
  <c r="M259"/>
  <c r="M267"/>
  <c r="M269"/>
  <c r="M277"/>
  <c r="M249"/>
  <c r="M263"/>
  <c r="M273"/>
  <c r="M242"/>
  <c r="M252"/>
  <c r="M260"/>
  <c r="M276"/>
  <c r="M245"/>
  <c r="M247"/>
  <c r="M255"/>
  <c r="M265"/>
  <c r="M271"/>
  <c r="K18"/>
  <c r="K54"/>
  <c r="K46"/>
  <c r="K47"/>
  <c r="K6"/>
  <c r="K13"/>
  <c r="K27"/>
  <c r="K56"/>
  <c r="K39"/>
  <c r="K16"/>
  <c r="K25"/>
  <c r="K28"/>
  <c r="K20"/>
  <c r="K24"/>
  <c r="K38"/>
  <c r="K12"/>
  <c r="K36"/>
  <c r="K69"/>
  <c r="K10"/>
  <c r="K17"/>
  <c r="K29"/>
  <c r="K35"/>
  <c r="K50"/>
  <c r="K55"/>
  <c r="K110"/>
  <c r="K7"/>
  <c r="K40"/>
  <c r="K45"/>
  <c r="K8"/>
  <c r="K11"/>
  <c r="K14"/>
  <c r="K30"/>
  <c r="K34"/>
  <c r="K44"/>
  <c r="K49"/>
  <c r="K93"/>
  <c r="K5"/>
  <c r="K57"/>
  <c r="K71"/>
  <c r="K83"/>
  <c r="K97"/>
  <c r="K9"/>
  <c r="K19"/>
  <c r="K58"/>
  <c r="K66"/>
  <c r="K75"/>
  <c r="K113"/>
  <c r="K73"/>
  <c r="K160"/>
  <c r="K23"/>
  <c r="K33"/>
  <c r="K43"/>
  <c r="K53"/>
  <c r="K64"/>
  <c r="K65"/>
  <c r="K100"/>
  <c r="K21"/>
  <c r="K31"/>
  <c r="K41"/>
  <c r="K51"/>
  <c r="K61"/>
  <c r="K74"/>
  <c r="K76"/>
  <c r="K89"/>
  <c r="K99"/>
  <c r="K104"/>
  <c r="K127"/>
  <c r="K22"/>
  <c r="K32"/>
  <c r="K42"/>
  <c r="K52"/>
  <c r="K63"/>
  <c r="K79"/>
  <c r="K262"/>
  <c r="K86"/>
  <c r="K91"/>
  <c r="K94"/>
  <c r="K190"/>
  <c r="K188"/>
  <c r="K120"/>
  <c r="K140"/>
  <c r="K84"/>
  <c r="K85"/>
  <c r="K122"/>
  <c r="K67"/>
  <c r="K77"/>
  <c r="K87"/>
  <c r="K95"/>
  <c r="K98"/>
  <c r="K105"/>
  <c r="K130"/>
  <c r="K135"/>
  <c r="K189"/>
  <c r="K215"/>
  <c r="K225"/>
  <c r="K62"/>
  <c r="K72"/>
  <c r="K80"/>
  <c r="K82"/>
  <c r="K90"/>
  <c r="K101"/>
  <c r="K102"/>
  <c r="K107"/>
  <c r="K112"/>
  <c r="K115"/>
  <c r="K117"/>
  <c r="K123"/>
  <c r="K155"/>
  <c r="K176"/>
  <c r="K198"/>
  <c r="K199"/>
  <c r="K227"/>
  <c r="K60"/>
  <c r="K68"/>
  <c r="K78"/>
  <c r="K88"/>
  <c r="K108"/>
  <c r="K118"/>
  <c r="K128"/>
  <c r="K148"/>
  <c r="K149"/>
  <c r="K156"/>
  <c r="K157"/>
  <c r="K182"/>
  <c r="K236"/>
  <c r="K111"/>
  <c r="K121"/>
  <c r="K137"/>
  <c r="K145"/>
  <c r="K150"/>
  <c r="K165"/>
  <c r="K181"/>
  <c r="K183"/>
  <c r="K248"/>
  <c r="K274"/>
  <c r="K96"/>
  <c r="K106"/>
  <c r="K116"/>
  <c r="K124"/>
  <c r="K126"/>
  <c r="K170"/>
  <c r="K208"/>
  <c r="K256"/>
  <c r="K109"/>
  <c r="K119"/>
  <c r="K129"/>
  <c r="K138"/>
  <c r="K139"/>
  <c r="K146"/>
  <c r="K159"/>
  <c r="K166"/>
  <c r="K167"/>
  <c r="K193"/>
  <c r="K196"/>
  <c r="K243"/>
  <c r="K133"/>
  <c r="K143"/>
  <c r="K153"/>
  <c r="K163"/>
  <c r="K173"/>
  <c r="K211"/>
  <c r="K131"/>
  <c r="K141"/>
  <c r="K151"/>
  <c r="K161"/>
  <c r="K178"/>
  <c r="K185"/>
  <c r="K134"/>
  <c r="K144"/>
  <c r="K154"/>
  <c r="K164"/>
  <c r="K175"/>
  <c r="K195"/>
  <c r="K209"/>
  <c r="K217"/>
  <c r="K132"/>
  <c r="K142"/>
  <c r="K152"/>
  <c r="K162"/>
  <c r="K168"/>
  <c r="K171"/>
  <c r="K172"/>
  <c r="K179"/>
  <c r="K186"/>
  <c r="K201"/>
  <c r="K203"/>
  <c r="K206"/>
  <c r="K214"/>
  <c r="K223"/>
  <c r="K259"/>
  <c r="K174"/>
  <c r="K184"/>
  <c r="K194"/>
  <c r="K220"/>
  <c r="K232"/>
  <c r="K237"/>
  <c r="K242"/>
  <c r="K177"/>
  <c r="K187"/>
  <c r="K197"/>
  <c r="K250"/>
  <c r="K252"/>
  <c r="K192"/>
  <c r="K200"/>
  <c r="K205"/>
  <c r="K207"/>
  <c r="K204"/>
  <c r="K212"/>
  <c r="K221"/>
  <c r="K233"/>
  <c r="K234"/>
  <c r="K239"/>
  <c r="K260"/>
  <c r="K264"/>
  <c r="K229"/>
  <c r="K210"/>
  <c r="K216"/>
  <c r="K219"/>
  <c r="K222"/>
  <c r="K226"/>
  <c r="K267"/>
  <c r="K272"/>
  <c r="K276"/>
  <c r="K230"/>
  <c r="K240"/>
  <c r="K218"/>
  <c r="K228"/>
  <c r="K238"/>
  <c r="K253"/>
  <c r="K269"/>
  <c r="K277"/>
  <c r="K231"/>
  <c r="K241"/>
  <c r="K245"/>
  <c r="K247"/>
  <c r="K255"/>
  <c r="K265"/>
  <c r="K271"/>
  <c r="K251"/>
  <c r="K261"/>
  <c r="K275"/>
  <c r="K244"/>
  <c r="K254"/>
  <c r="K258"/>
  <c r="K266"/>
  <c r="K270"/>
  <c r="K278"/>
  <c r="K249"/>
  <c r="K263"/>
  <c r="K273"/>
  <c r="BJ82"/>
  <c r="BJ75"/>
  <c r="BJ29"/>
  <c r="BJ56"/>
  <c r="BJ51"/>
  <c r="BJ62"/>
  <c r="BJ67"/>
  <c r="BJ84"/>
  <c r="BJ14"/>
  <c r="BJ21"/>
  <c r="BJ190"/>
  <c r="BJ8"/>
  <c r="BJ35"/>
  <c r="BJ66"/>
  <c r="BJ9"/>
  <c r="BJ40"/>
  <c r="BJ27"/>
  <c r="BJ30"/>
  <c r="BJ17"/>
  <c r="BJ18"/>
  <c r="BJ45"/>
  <c r="BJ64"/>
  <c r="BJ11"/>
  <c r="BJ12"/>
  <c r="BJ39"/>
  <c r="BJ49"/>
  <c r="BJ36"/>
  <c r="BJ5"/>
  <c r="BJ6"/>
  <c r="BJ47"/>
  <c r="BJ57"/>
  <c r="BJ87"/>
  <c r="BJ13"/>
  <c r="BJ28"/>
  <c r="BJ38"/>
  <c r="BJ55"/>
  <c r="BJ65"/>
  <c r="BJ72"/>
  <c r="BJ156"/>
  <c r="BJ7"/>
  <c r="BJ20"/>
  <c r="BJ25"/>
  <c r="BJ31"/>
  <c r="BJ41"/>
  <c r="BJ46"/>
  <c r="BJ50"/>
  <c r="BJ10"/>
  <c r="BJ19"/>
  <c r="BJ58"/>
  <c r="BJ76"/>
  <c r="BJ121"/>
  <c r="BJ149"/>
  <c r="BJ16"/>
  <c r="BJ24"/>
  <c r="BJ34"/>
  <c r="BJ44"/>
  <c r="BJ54"/>
  <c r="BJ80"/>
  <c r="BJ104"/>
  <c r="BJ22"/>
  <c r="BJ32"/>
  <c r="BJ42"/>
  <c r="BJ52"/>
  <c r="BJ74"/>
  <c r="BJ123"/>
  <c r="BJ150"/>
  <c r="BJ207"/>
  <c r="BJ23"/>
  <c r="BJ33"/>
  <c r="BJ43"/>
  <c r="BJ53"/>
  <c r="BJ77"/>
  <c r="BJ85"/>
  <c r="BJ86"/>
  <c r="BJ105"/>
  <c r="BJ128"/>
  <c r="BJ171"/>
  <c r="BJ99"/>
  <c r="BJ157"/>
  <c r="BJ197"/>
  <c r="BJ223"/>
  <c r="BJ90"/>
  <c r="BJ96"/>
  <c r="BJ102"/>
  <c r="BJ115"/>
  <c r="BJ167"/>
  <c r="BJ60"/>
  <c r="BJ68"/>
  <c r="BJ78"/>
  <c r="BJ88"/>
  <c r="BJ100"/>
  <c r="BJ111"/>
  <c r="BJ116"/>
  <c r="BJ124"/>
  <c r="BJ63"/>
  <c r="BJ73"/>
  <c r="BJ83"/>
  <c r="BJ91"/>
  <c r="BJ93"/>
  <c r="BJ94"/>
  <c r="BJ101"/>
  <c r="BJ106"/>
  <c r="BJ113"/>
  <c r="BJ118"/>
  <c r="BJ61"/>
  <c r="BJ69"/>
  <c r="BJ71"/>
  <c r="BJ79"/>
  <c r="BJ89"/>
  <c r="BJ95"/>
  <c r="BJ98"/>
  <c r="BJ108"/>
  <c r="BJ126"/>
  <c r="BJ130"/>
  <c r="BJ131"/>
  <c r="BJ148"/>
  <c r="BJ182"/>
  <c r="BJ200"/>
  <c r="BJ109"/>
  <c r="BJ119"/>
  <c r="BJ129"/>
  <c r="BJ151"/>
  <c r="BJ173"/>
  <c r="BJ186"/>
  <c r="BJ208"/>
  <c r="BJ215"/>
  <c r="BJ112"/>
  <c r="BJ122"/>
  <c r="BJ138"/>
  <c r="BJ146"/>
  <c r="BJ166"/>
  <c r="BJ174"/>
  <c r="BJ176"/>
  <c r="BJ97"/>
  <c r="BJ107"/>
  <c r="BJ117"/>
  <c r="BJ127"/>
  <c r="BJ139"/>
  <c r="BJ140"/>
  <c r="BJ159"/>
  <c r="BJ160"/>
  <c r="BJ187"/>
  <c r="BJ241"/>
  <c r="BJ110"/>
  <c r="BJ120"/>
  <c r="BJ141"/>
  <c r="BJ161"/>
  <c r="BJ179"/>
  <c r="BJ236"/>
  <c r="BJ134"/>
  <c r="BJ144"/>
  <c r="BJ154"/>
  <c r="BJ164"/>
  <c r="BJ172"/>
  <c r="BJ183"/>
  <c r="BJ192"/>
  <c r="BJ132"/>
  <c r="BJ142"/>
  <c r="BJ152"/>
  <c r="BJ162"/>
  <c r="BJ177"/>
  <c r="BJ196"/>
  <c r="BJ204"/>
  <c r="BJ225"/>
  <c r="BJ237"/>
  <c r="BJ135"/>
  <c r="BJ137"/>
  <c r="BJ145"/>
  <c r="BJ155"/>
  <c r="BJ165"/>
  <c r="BJ184"/>
  <c r="BJ194"/>
  <c r="BJ267"/>
  <c r="BJ133"/>
  <c r="BJ143"/>
  <c r="BJ153"/>
  <c r="BJ163"/>
  <c r="BJ181"/>
  <c r="BJ189"/>
  <c r="BJ199"/>
  <c r="BJ227"/>
  <c r="BJ210"/>
  <c r="BJ216"/>
  <c r="BJ230"/>
  <c r="BJ175"/>
  <c r="BJ185"/>
  <c r="BJ195"/>
  <c r="BJ203"/>
  <c r="BJ209"/>
  <c r="BJ214"/>
  <c r="BJ218"/>
  <c r="BJ226"/>
  <c r="BJ243"/>
  <c r="BJ263"/>
  <c r="BJ168"/>
  <c r="BJ170"/>
  <c r="BJ178"/>
  <c r="BJ188"/>
  <c r="BJ198"/>
  <c r="BJ275"/>
  <c r="BJ193"/>
  <c r="BJ201"/>
  <c r="BJ221"/>
  <c r="BJ240"/>
  <c r="BJ273"/>
  <c r="BJ205"/>
  <c r="BJ233"/>
  <c r="BJ238"/>
  <c r="BJ249"/>
  <c r="BJ211"/>
  <c r="BJ217"/>
  <c r="BJ220"/>
  <c r="BJ228"/>
  <c r="BJ234"/>
  <c r="BJ251"/>
  <c r="BJ259"/>
  <c r="BJ206"/>
  <c r="BJ212"/>
  <c r="BJ222"/>
  <c r="BJ244"/>
  <c r="BJ231"/>
  <c r="BJ253"/>
  <c r="BJ269"/>
  <c r="BJ277"/>
  <c r="BJ219"/>
  <c r="BJ229"/>
  <c r="BJ239"/>
  <c r="BJ254"/>
  <c r="BJ258"/>
  <c r="BJ261"/>
  <c r="BJ266"/>
  <c r="BJ270"/>
  <c r="BJ278"/>
  <c r="BJ232"/>
  <c r="BJ248"/>
  <c r="BJ256"/>
  <c r="BJ264"/>
  <c r="BJ272"/>
  <c r="BJ242"/>
  <c r="BJ252"/>
  <c r="BJ260"/>
  <c r="BJ276"/>
  <c r="BJ245"/>
  <c r="BJ247"/>
  <c r="BJ255"/>
  <c r="BJ265"/>
  <c r="BJ271"/>
  <c r="BJ250"/>
  <c r="BJ262"/>
  <c r="BJ274"/>
  <c r="AN13"/>
  <c r="AN18"/>
  <c r="AN35"/>
  <c r="AN56"/>
  <c r="AN93"/>
  <c r="AN14"/>
  <c r="AN46"/>
  <c r="AN72"/>
  <c r="AN43"/>
  <c r="AN55"/>
  <c r="AN10"/>
  <c r="AN17"/>
  <c r="AN28"/>
  <c r="AN45"/>
  <c r="AN62"/>
  <c r="AN36"/>
  <c r="AN74"/>
  <c r="AN97"/>
  <c r="AN11"/>
  <c r="AN24"/>
  <c r="AN33"/>
  <c r="AN73"/>
  <c r="AN6"/>
  <c r="AN7"/>
  <c r="AN16"/>
  <c r="AN39"/>
  <c r="AN83"/>
  <c r="AN84"/>
  <c r="AN78"/>
  <c r="AN25"/>
  <c r="AN27"/>
  <c r="AN47"/>
  <c r="AN65"/>
  <c r="AN5"/>
  <c r="AN19"/>
  <c r="AN23"/>
  <c r="AN49"/>
  <c r="AN53"/>
  <c r="AN104"/>
  <c r="AN9"/>
  <c r="AN12"/>
  <c r="AN34"/>
  <c r="AN57"/>
  <c r="AN60"/>
  <c r="AN75"/>
  <c r="AN8"/>
  <c r="AN29"/>
  <c r="AN38"/>
  <c r="AN44"/>
  <c r="AN54"/>
  <c r="AN63"/>
  <c r="AN88"/>
  <c r="AN135"/>
  <c r="AN197"/>
  <c r="AN80"/>
  <c r="AN85"/>
  <c r="AN90"/>
  <c r="AN146"/>
  <c r="AN22"/>
  <c r="AN32"/>
  <c r="AN42"/>
  <c r="AN52"/>
  <c r="AN100"/>
  <c r="AN139"/>
  <c r="AN20"/>
  <c r="AN30"/>
  <c r="AN40"/>
  <c r="AN50"/>
  <c r="AN58"/>
  <c r="AN68"/>
  <c r="AN166"/>
  <c r="AN21"/>
  <c r="AN31"/>
  <c r="AN41"/>
  <c r="AN51"/>
  <c r="AN64"/>
  <c r="AN111"/>
  <c r="AN154"/>
  <c r="AN82"/>
  <c r="AN98"/>
  <c r="AN101"/>
  <c r="AN106"/>
  <c r="AN119"/>
  <c r="AN220"/>
  <c r="AN116"/>
  <c r="AN121"/>
  <c r="AN167"/>
  <c r="AN94"/>
  <c r="AN112"/>
  <c r="AN124"/>
  <c r="AN91"/>
  <c r="AN110"/>
  <c r="AN126"/>
  <c r="AN138"/>
  <c r="AN182"/>
  <c r="AN66"/>
  <c r="AN76"/>
  <c r="AN86"/>
  <c r="AN102"/>
  <c r="AN129"/>
  <c r="AN134"/>
  <c r="AN171"/>
  <c r="AN61"/>
  <c r="AN69"/>
  <c r="AN71"/>
  <c r="AN79"/>
  <c r="AN89"/>
  <c r="AN96"/>
  <c r="AN99"/>
  <c r="AN122"/>
  <c r="AN67"/>
  <c r="AN77"/>
  <c r="AN87"/>
  <c r="AN109"/>
  <c r="AN159"/>
  <c r="AN208"/>
  <c r="AN232"/>
  <c r="AN107"/>
  <c r="AN117"/>
  <c r="AN127"/>
  <c r="AN155"/>
  <c r="AN204"/>
  <c r="AN207"/>
  <c r="AN238"/>
  <c r="AN120"/>
  <c r="AN144"/>
  <c r="AN148"/>
  <c r="AN156"/>
  <c r="AN164"/>
  <c r="AN174"/>
  <c r="AN175"/>
  <c r="AN95"/>
  <c r="AN105"/>
  <c r="AN113"/>
  <c r="AN115"/>
  <c r="AN123"/>
  <c r="AN149"/>
  <c r="AN157"/>
  <c r="AN168"/>
  <c r="AN187"/>
  <c r="AN188"/>
  <c r="AN108"/>
  <c r="AN118"/>
  <c r="AN128"/>
  <c r="AN137"/>
  <c r="AN145"/>
  <c r="AN165"/>
  <c r="AN179"/>
  <c r="AN190"/>
  <c r="AN195"/>
  <c r="AN212"/>
  <c r="AN221"/>
  <c r="AN132"/>
  <c r="AN142"/>
  <c r="AN152"/>
  <c r="AN162"/>
  <c r="AN172"/>
  <c r="AN194"/>
  <c r="AN198"/>
  <c r="AN211"/>
  <c r="AN226"/>
  <c r="AN130"/>
  <c r="AN140"/>
  <c r="AN150"/>
  <c r="AN160"/>
  <c r="AN177"/>
  <c r="AN233"/>
  <c r="AN133"/>
  <c r="AN143"/>
  <c r="AN153"/>
  <c r="AN163"/>
  <c r="AN184"/>
  <c r="AN131"/>
  <c r="AN141"/>
  <c r="AN151"/>
  <c r="AN161"/>
  <c r="AN170"/>
  <c r="AN178"/>
  <c r="AN181"/>
  <c r="AN185"/>
  <c r="AN189"/>
  <c r="AN192"/>
  <c r="AN206"/>
  <c r="AN273"/>
  <c r="AN200"/>
  <c r="AN214"/>
  <c r="AN218"/>
  <c r="AN222"/>
  <c r="AN231"/>
  <c r="AN234"/>
  <c r="AN255"/>
  <c r="AN173"/>
  <c r="AN183"/>
  <c r="AN193"/>
  <c r="AN201"/>
  <c r="AN216"/>
  <c r="AN223"/>
  <c r="AN225"/>
  <c r="AN176"/>
  <c r="AN186"/>
  <c r="AN196"/>
  <c r="AN205"/>
  <c r="AN209"/>
  <c r="AN249"/>
  <c r="AN261"/>
  <c r="AN271"/>
  <c r="AN199"/>
  <c r="AN219"/>
  <c r="AN203"/>
  <c r="AN215"/>
  <c r="AN247"/>
  <c r="AN210"/>
  <c r="AN228"/>
  <c r="AN236"/>
  <c r="AN241"/>
  <c r="AN229"/>
  <c r="AN239"/>
  <c r="AN242"/>
  <c r="AN217"/>
  <c r="AN227"/>
  <c r="AN237"/>
  <c r="AN251"/>
  <c r="AN275"/>
  <c r="AN230"/>
  <c r="AN240"/>
  <c r="AN245"/>
  <c r="AN252"/>
  <c r="AN260"/>
  <c r="AN263"/>
  <c r="AN265"/>
  <c r="AN276"/>
  <c r="AN244"/>
  <c r="AN254"/>
  <c r="AN258"/>
  <c r="AN266"/>
  <c r="AN270"/>
  <c r="AN278"/>
  <c r="AN250"/>
  <c r="AN262"/>
  <c r="AN274"/>
  <c r="AN243"/>
  <c r="AN253"/>
  <c r="AN259"/>
  <c r="AN267"/>
  <c r="AN269"/>
  <c r="AN277"/>
  <c r="AN248"/>
  <c r="AN256"/>
  <c r="AN264"/>
  <c r="AN272"/>
  <c r="F93"/>
  <c r="F110"/>
  <c r="F8"/>
  <c r="F199"/>
  <c r="F252"/>
  <c r="F21"/>
  <c r="F217"/>
  <c r="F262"/>
  <c r="F113"/>
  <c r="F182"/>
  <c r="F243"/>
  <c r="F264"/>
  <c r="F166"/>
  <c r="F163"/>
  <c r="F171"/>
  <c r="F83"/>
  <c r="F137"/>
  <c r="F232"/>
  <c r="F34"/>
  <c r="F25"/>
  <c r="F274"/>
  <c r="F65"/>
  <c r="F47"/>
  <c r="F144"/>
  <c r="F258"/>
  <c r="F271"/>
  <c r="F197"/>
  <c r="F13"/>
  <c r="F253"/>
  <c r="F244"/>
  <c r="F236"/>
  <c r="F228"/>
  <c r="F226"/>
  <c r="F207"/>
  <c r="F31"/>
  <c r="F12"/>
  <c r="F233"/>
  <c r="F39"/>
  <c r="F245"/>
  <c r="F174"/>
  <c r="F179"/>
  <c r="F261"/>
  <c r="F153"/>
  <c r="F218"/>
  <c r="F74"/>
  <c r="F52"/>
  <c r="F216"/>
  <c r="F242"/>
  <c r="F75"/>
  <c r="F278"/>
  <c r="F175"/>
  <c r="F17"/>
  <c r="F215"/>
  <c r="F172"/>
  <c r="F43"/>
  <c r="F250"/>
  <c r="F61"/>
  <c r="F208"/>
  <c r="F190"/>
  <c r="F259"/>
  <c r="F109"/>
  <c r="F101"/>
  <c r="F273"/>
  <c r="F266"/>
  <c r="F189"/>
  <c r="F162"/>
  <c r="F184"/>
  <c r="F183"/>
  <c r="F198"/>
  <c r="F200"/>
  <c r="F193"/>
  <c r="F154"/>
  <c r="F66"/>
  <c r="F201"/>
  <c r="F260"/>
  <c r="F270"/>
  <c r="F272"/>
  <c r="F140"/>
  <c r="F241"/>
  <c r="F56"/>
  <c r="F100"/>
  <c r="F87"/>
  <c r="F128"/>
  <c r="F219"/>
  <c r="F237"/>
  <c r="F22"/>
  <c r="F40"/>
  <c r="F227"/>
  <c r="F118"/>
  <c r="F131"/>
  <c r="F119"/>
  <c r="F127"/>
  <c r="F78"/>
  <c r="F145"/>
  <c r="F57"/>
  <c r="F251"/>
  <c r="F157"/>
  <c r="F254"/>
  <c r="F210"/>
  <c r="F96"/>
  <c r="F267"/>
  <c r="F223"/>
  <c r="F225"/>
  <c r="F69"/>
  <c r="F135"/>
  <c r="F49"/>
  <c r="F91"/>
  <c r="F192"/>
  <c r="F5"/>
  <c r="F206"/>
  <c r="F181"/>
  <c r="F122"/>
  <c r="F149"/>
  <c r="F105"/>
  <c r="F209"/>
  <c r="F234"/>
  <c r="F188"/>
  <c r="F84"/>
  <c r="F265"/>
  <c r="F30"/>
  <c r="F156"/>
  <c r="F7"/>
  <c r="F126"/>
  <c r="F167"/>
  <c r="F240"/>
  <c r="F141"/>
  <c r="F178"/>
  <c r="F36"/>
  <c r="F89"/>
  <c r="F11"/>
  <c r="F108"/>
  <c r="F155"/>
  <c r="F54"/>
  <c r="F148"/>
  <c r="F6"/>
  <c r="F64"/>
  <c r="F121"/>
  <c r="F203"/>
  <c r="F176"/>
  <c r="F129"/>
  <c r="F67"/>
  <c r="F138"/>
  <c r="F165"/>
  <c r="F194"/>
  <c r="F35"/>
  <c r="F18"/>
  <c r="F71"/>
  <c r="F159"/>
  <c r="F27"/>
  <c r="F117"/>
  <c r="F211"/>
  <c r="F102"/>
  <c r="F168"/>
  <c r="F77"/>
  <c r="F256"/>
  <c r="F38"/>
  <c r="F221"/>
  <c r="F79"/>
  <c r="F177"/>
  <c r="F24"/>
  <c r="F248"/>
  <c r="F80"/>
  <c r="F185"/>
  <c r="F275"/>
  <c r="F9"/>
  <c r="F132"/>
  <c r="F32"/>
  <c r="F72"/>
  <c r="F277"/>
  <c r="F42"/>
  <c r="F50"/>
  <c r="F106"/>
  <c r="F255"/>
  <c r="F276"/>
  <c r="F150"/>
  <c r="F222"/>
  <c r="F173"/>
  <c r="F23"/>
  <c r="F143"/>
  <c r="F111"/>
  <c r="F130"/>
  <c r="F214"/>
  <c r="F86"/>
  <c r="F28"/>
  <c r="F195"/>
  <c r="F238"/>
  <c r="F142"/>
  <c r="F104"/>
  <c r="F99"/>
  <c r="F212"/>
  <c r="F151"/>
  <c r="F60"/>
  <c r="F269"/>
  <c r="F120"/>
  <c r="F229"/>
  <c r="F107"/>
  <c r="F16"/>
  <c r="F90"/>
  <c r="F41"/>
  <c r="F230"/>
  <c r="F112"/>
  <c r="F186"/>
  <c r="F58"/>
  <c r="F88"/>
  <c r="F160"/>
  <c r="F146"/>
  <c r="F85"/>
  <c r="F46"/>
  <c r="F98"/>
  <c r="F247"/>
  <c r="F68"/>
  <c r="F45"/>
  <c r="F133"/>
  <c r="F170"/>
  <c r="F20"/>
  <c r="F139"/>
  <c r="F82"/>
  <c r="F76"/>
  <c r="F196"/>
  <c r="F44"/>
  <c r="F95"/>
  <c r="F53"/>
  <c r="F187"/>
  <c r="F249"/>
  <c r="F62"/>
  <c r="F161"/>
  <c r="F14"/>
  <c r="F97"/>
  <c r="F205"/>
  <c r="F73"/>
  <c r="F231"/>
  <c r="F164"/>
  <c r="F204"/>
  <c r="F19"/>
  <c r="F152"/>
  <c r="F124"/>
  <c r="F33"/>
  <c r="F115"/>
  <c r="F29"/>
  <c r="F94"/>
  <c r="F51"/>
  <c r="F239"/>
  <c r="F116"/>
  <c r="F220"/>
  <c r="F134"/>
  <c r="F55"/>
  <c r="F123"/>
  <c r="F10"/>
  <c r="F263"/>
  <c r="F63"/>
  <c r="AT41"/>
  <c r="AT49"/>
  <c r="AT19"/>
  <c r="AT40"/>
  <c r="AT45"/>
  <c r="AT6"/>
  <c r="AT7"/>
  <c r="AT47"/>
  <c r="AT5"/>
  <c r="AT64"/>
  <c r="AT25"/>
  <c r="AT31"/>
  <c r="AT36"/>
  <c r="AT58"/>
  <c r="AT74"/>
  <c r="AT86"/>
  <c r="AT20"/>
  <c r="AT29"/>
  <c r="AT39"/>
  <c r="AT57"/>
  <c r="AT65"/>
  <c r="AT27"/>
  <c r="AT12"/>
  <c r="AT13"/>
  <c r="AT62"/>
  <c r="AT9"/>
  <c r="AT18"/>
  <c r="AT30"/>
  <c r="AT35"/>
  <c r="AT50"/>
  <c r="AT17"/>
  <c r="AT21"/>
  <c r="AT51"/>
  <c r="AT66"/>
  <c r="AT128"/>
  <c r="AT8"/>
  <c r="AT11"/>
  <c r="AT14"/>
  <c r="AT28"/>
  <c r="AT38"/>
  <c r="AT55"/>
  <c r="AT10"/>
  <c r="AT46"/>
  <c r="AT56"/>
  <c r="AT80"/>
  <c r="AT82"/>
  <c r="AT85"/>
  <c r="AT87"/>
  <c r="AT90"/>
  <c r="AT102"/>
  <c r="AT217"/>
  <c r="AT100"/>
  <c r="AT115"/>
  <c r="AT184"/>
  <c r="AT16"/>
  <c r="AT24"/>
  <c r="AT34"/>
  <c r="AT44"/>
  <c r="AT54"/>
  <c r="AT72"/>
  <c r="AT94"/>
  <c r="AT108"/>
  <c r="AT22"/>
  <c r="AT32"/>
  <c r="AT42"/>
  <c r="AT52"/>
  <c r="AT131"/>
  <c r="AT23"/>
  <c r="AT33"/>
  <c r="AT43"/>
  <c r="AT53"/>
  <c r="AT67"/>
  <c r="AT77"/>
  <c r="AT75"/>
  <c r="AT76"/>
  <c r="AT84"/>
  <c r="AT121"/>
  <c r="AT123"/>
  <c r="AT130"/>
  <c r="AT99"/>
  <c r="AT148"/>
  <c r="AT172"/>
  <c r="AT96"/>
  <c r="AT60"/>
  <c r="AT68"/>
  <c r="AT78"/>
  <c r="AT88"/>
  <c r="AT104"/>
  <c r="AT111"/>
  <c r="AT116"/>
  <c r="AT124"/>
  <c r="AT149"/>
  <c r="AT150"/>
  <c r="AT156"/>
  <c r="AT177"/>
  <c r="AT249"/>
  <c r="AT63"/>
  <c r="AT73"/>
  <c r="AT83"/>
  <c r="AT91"/>
  <c r="AT93"/>
  <c r="AT95"/>
  <c r="AT98"/>
  <c r="AT105"/>
  <c r="AT113"/>
  <c r="AT118"/>
  <c r="AT157"/>
  <c r="AT181"/>
  <c r="AT61"/>
  <c r="AT69"/>
  <c r="AT71"/>
  <c r="AT79"/>
  <c r="AT89"/>
  <c r="AT101"/>
  <c r="AT106"/>
  <c r="AT126"/>
  <c r="AT109"/>
  <c r="AT119"/>
  <c r="AT129"/>
  <c r="AT151"/>
  <c r="AT189"/>
  <c r="AT112"/>
  <c r="AT122"/>
  <c r="AT138"/>
  <c r="AT146"/>
  <c r="AT166"/>
  <c r="AT190"/>
  <c r="AT228"/>
  <c r="AT97"/>
  <c r="AT107"/>
  <c r="AT117"/>
  <c r="AT127"/>
  <c r="AT139"/>
  <c r="AT140"/>
  <c r="AT159"/>
  <c r="AT160"/>
  <c r="AT200"/>
  <c r="AT259"/>
  <c r="AT275"/>
  <c r="AT110"/>
  <c r="AT120"/>
  <c r="AT141"/>
  <c r="AT161"/>
  <c r="AT167"/>
  <c r="AT183"/>
  <c r="AT197"/>
  <c r="AT211"/>
  <c r="AT230"/>
  <c r="AT134"/>
  <c r="AT144"/>
  <c r="AT154"/>
  <c r="AT164"/>
  <c r="AT174"/>
  <c r="AT243"/>
  <c r="AT132"/>
  <c r="AT142"/>
  <c r="AT152"/>
  <c r="AT162"/>
  <c r="AT171"/>
  <c r="AT179"/>
  <c r="AT186"/>
  <c r="AT192"/>
  <c r="AT196"/>
  <c r="AT222"/>
  <c r="AT263"/>
  <c r="AT135"/>
  <c r="AT137"/>
  <c r="AT145"/>
  <c r="AT155"/>
  <c r="AT165"/>
  <c r="AT176"/>
  <c r="AT182"/>
  <c r="AT206"/>
  <c r="AT221"/>
  <c r="AT133"/>
  <c r="AT143"/>
  <c r="AT153"/>
  <c r="AT163"/>
  <c r="AT173"/>
  <c r="AT187"/>
  <c r="AT194"/>
  <c r="AT199"/>
  <c r="AT203"/>
  <c r="AT209"/>
  <c r="AT251"/>
  <c r="AT210"/>
  <c r="AT216"/>
  <c r="AT220"/>
  <c r="AT223"/>
  <c r="AT175"/>
  <c r="AT185"/>
  <c r="AT195"/>
  <c r="AT207"/>
  <c r="AT240"/>
  <c r="AT267"/>
  <c r="AT168"/>
  <c r="AT170"/>
  <c r="AT178"/>
  <c r="AT188"/>
  <c r="AT198"/>
  <c r="AT204"/>
  <c r="AT218"/>
  <c r="AT238"/>
  <c r="AT193"/>
  <c r="AT201"/>
  <c r="AT208"/>
  <c r="AT233"/>
  <c r="AT236"/>
  <c r="AT205"/>
  <c r="AT214"/>
  <c r="AT225"/>
  <c r="AT237"/>
  <c r="AT244"/>
  <c r="AT212"/>
  <c r="AT226"/>
  <c r="AT215"/>
  <c r="AT227"/>
  <c r="AT234"/>
  <c r="AT273"/>
  <c r="AT231"/>
  <c r="AT253"/>
  <c r="AT269"/>
  <c r="AT277"/>
  <c r="AT219"/>
  <c r="AT229"/>
  <c r="AT239"/>
  <c r="AT241"/>
  <c r="AT254"/>
  <c r="AT258"/>
  <c r="AT261"/>
  <c r="AT266"/>
  <c r="AT270"/>
  <c r="AT278"/>
  <c r="AT232"/>
  <c r="AT248"/>
  <c r="AT256"/>
  <c r="AT264"/>
  <c r="AT272"/>
  <c r="AT242"/>
  <c r="AT252"/>
  <c r="AT260"/>
  <c r="AT276"/>
  <c r="AT245"/>
  <c r="AT247"/>
  <c r="AT255"/>
  <c r="AT265"/>
  <c r="AT271"/>
  <c r="AT250"/>
  <c r="AT262"/>
  <c r="AT274"/>
  <c r="AF19"/>
  <c r="AF39"/>
  <c r="AF98"/>
  <c r="AF10"/>
  <c r="AF24"/>
  <c r="AF54"/>
  <c r="AF56"/>
  <c r="AF85"/>
  <c r="AF27"/>
  <c r="AF57"/>
  <c r="AF11"/>
  <c r="AF35"/>
  <c r="AF25"/>
  <c r="AF53"/>
  <c r="AF60"/>
  <c r="AF111"/>
  <c r="AF16"/>
  <c r="AF18"/>
  <c r="AF49"/>
  <c r="AF63"/>
  <c r="AF7"/>
  <c r="AF43"/>
  <c r="AF44"/>
  <c r="AF47"/>
  <c r="AF82"/>
  <c r="AF116"/>
  <c r="AF122"/>
  <c r="AF5"/>
  <c r="AF34"/>
  <c r="AF45"/>
  <c r="AF124"/>
  <c r="AF13"/>
  <c r="AF14"/>
  <c r="AF29"/>
  <c r="AF33"/>
  <c r="AF9"/>
  <c r="AF12"/>
  <c r="AF62"/>
  <c r="AF65"/>
  <c r="AF6"/>
  <c r="AF28"/>
  <c r="AF38"/>
  <c r="AF46"/>
  <c r="AF55"/>
  <c r="AF68"/>
  <c r="AF78"/>
  <c r="AF84"/>
  <c r="AF8"/>
  <c r="AF17"/>
  <c r="AF23"/>
  <c r="AF36"/>
  <c r="AF74"/>
  <c r="AF93"/>
  <c r="AF73"/>
  <c r="AF144"/>
  <c r="AF261"/>
  <c r="AF22"/>
  <c r="AF32"/>
  <c r="AF42"/>
  <c r="AF52"/>
  <c r="AF72"/>
  <c r="AF80"/>
  <c r="AF90"/>
  <c r="AF148"/>
  <c r="AF179"/>
  <c r="AF20"/>
  <c r="AF30"/>
  <c r="AF40"/>
  <c r="AF50"/>
  <c r="AF58"/>
  <c r="AF64"/>
  <c r="AF91"/>
  <c r="AF221"/>
  <c r="AF21"/>
  <c r="AF31"/>
  <c r="AF41"/>
  <c r="AF51"/>
  <c r="AF102"/>
  <c r="AF75"/>
  <c r="AF83"/>
  <c r="AF110"/>
  <c r="AF88"/>
  <c r="AF129"/>
  <c r="AF157"/>
  <c r="AF241"/>
  <c r="AF165"/>
  <c r="AF187"/>
  <c r="AF190"/>
  <c r="AF66"/>
  <c r="AF76"/>
  <c r="AF86"/>
  <c r="AF96"/>
  <c r="AF99"/>
  <c r="AF109"/>
  <c r="AF112"/>
  <c r="AF137"/>
  <c r="AF145"/>
  <c r="AF198"/>
  <c r="AF61"/>
  <c r="AF69"/>
  <c r="AF71"/>
  <c r="AF79"/>
  <c r="AF89"/>
  <c r="AF104"/>
  <c r="AF119"/>
  <c r="AF126"/>
  <c r="AF175"/>
  <c r="AF67"/>
  <c r="AF77"/>
  <c r="AF87"/>
  <c r="AF94"/>
  <c r="AF97"/>
  <c r="AF100"/>
  <c r="AF101"/>
  <c r="AF106"/>
  <c r="AF121"/>
  <c r="AF149"/>
  <c r="AF155"/>
  <c r="AF156"/>
  <c r="AF164"/>
  <c r="AF107"/>
  <c r="AF117"/>
  <c r="AF127"/>
  <c r="AF134"/>
  <c r="AF138"/>
  <c r="AF146"/>
  <c r="AF166"/>
  <c r="AF120"/>
  <c r="AF130"/>
  <c r="AF139"/>
  <c r="AF159"/>
  <c r="AF233"/>
  <c r="AF95"/>
  <c r="AF105"/>
  <c r="AF113"/>
  <c r="AF115"/>
  <c r="AF123"/>
  <c r="AF135"/>
  <c r="AF154"/>
  <c r="AF171"/>
  <c r="AF172"/>
  <c r="AF184"/>
  <c r="AF260"/>
  <c r="AF108"/>
  <c r="AF118"/>
  <c r="AF128"/>
  <c r="AF225"/>
  <c r="AF234"/>
  <c r="AF132"/>
  <c r="AF142"/>
  <c r="AF152"/>
  <c r="AF162"/>
  <c r="AF167"/>
  <c r="AF177"/>
  <c r="AF195"/>
  <c r="AF252"/>
  <c r="AF140"/>
  <c r="AF150"/>
  <c r="AF160"/>
  <c r="AF174"/>
  <c r="AF188"/>
  <c r="AF192"/>
  <c r="AF226"/>
  <c r="AF133"/>
  <c r="AF143"/>
  <c r="AF153"/>
  <c r="AF163"/>
  <c r="AF168"/>
  <c r="AF170"/>
  <c r="AF178"/>
  <c r="AF181"/>
  <c r="AF185"/>
  <c r="AF189"/>
  <c r="AF197"/>
  <c r="AF209"/>
  <c r="AF238"/>
  <c r="AF131"/>
  <c r="AF141"/>
  <c r="AF151"/>
  <c r="AF161"/>
  <c r="AF182"/>
  <c r="AF194"/>
  <c r="AF223"/>
  <c r="AF200"/>
  <c r="AF204"/>
  <c r="AF208"/>
  <c r="AF228"/>
  <c r="AF173"/>
  <c r="AF183"/>
  <c r="AF193"/>
  <c r="AF201"/>
  <c r="AF205"/>
  <c r="AF215"/>
  <c r="AF176"/>
  <c r="AF186"/>
  <c r="AF196"/>
  <c r="AF214"/>
  <c r="AF218"/>
  <c r="AF222"/>
  <c r="AF231"/>
  <c r="AF251"/>
  <c r="AF199"/>
  <c r="AF206"/>
  <c r="AF207"/>
  <c r="AF212"/>
  <c r="AF276"/>
  <c r="AF203"/>
  <c r="AF210"/>
  <c r="AF236"/>
  <c r="AF275"/>
  <c r="AF216"/>
  <c r="AF219"/>
  <c r="AF232"/>
  <c r="AF245"/>
  <c r="AF265"/>
  <c r="AF211"/>
  <c r="AF220"/>
  <c r="AF242"/>
  <c r="AF263"/>
  <c r="AF229"/>
  <c r="AF239"/>
  <c r="AF217"/>
  <c r="AF227"/>
  <c r="AF237"/>
  <c r="AF247"/>
  <c r="AF255"/>
  <c r="AF271"/>
  <c r="AF230"/>
  <c r="AF240"/>
  <c r="AF249"/>
  <c r="AF273"/>
  <c r="AF244"/>
  <c r="AF254"/>
  <c r="AF258"/>
  <c r="AF266"/>
  <c r="AF270"/>
  <c r="AF278"/>
  <c r="AF250"/>
  <c r="AF262"/>
  <c r="AF274"/>
  <c r="AF243"/>
  <c r="AF253"/>
  <c r="AF259"/>
  <c r="AF267"/>
  <c r="AF269"/>
  <c r="AF277"/>
  <c r="AF248"/>
  <c r="AF256"/>
  <c r="AF264"/>
  <c r="AF272"/>
  <c r="BL7"/>
  <c r="BL12"/>
  <c r="BL6"/>
  <c r="BL65"/>
  <c r="BL94"/>
  <c r="BL29"/>
  <c r="BL13"/>
  <c r="BL18"/>
  <c r="BL38"/>
  <c r="BL33"/>
  <c r="BL39"/>
  <c r="BL55"/>
  <c r="BL17"/>
  <c r="BL82"/>
  <c r="BL16"/>
  <c r="BL56"/>
  <c r="BL75"/>
  <c r="BL49"/>
  <c r="BL64"/>
  <c r="BL72"/>
  <c r="BL73"/>
  <c r="BL44"/>
  <c r="BL9"/>
  <c r="BL84"/>
  <c r="BL10"/>
  <c r="BL43"/>
  <c r="BL53"/>
  <c r="BL74"/>
  <c r="BL5"/>
  <c r="BL19"/>
  <c r="BL24"/>
  <c r="BL47"/>
  <c r="BL57"/>
  <c r="BL68"/>
  <c r="BL23"/>
  <c r="BL35"/>
  <c r="BL85"/>
  <c r="BL46"/>
  <c r="BL265"/>
  <c r="BL11"/>
  <c r="BL14"/>
  <c r="BL27"/>
  <c r="BL36"/>
  <c r="BL45"/>
  <c r="BL54"/>
  <c r="BL198"/>
  <c r="BL8"/>
  <c r="BL25"/>
  <c r="BL28"/>
  <c r="BL34"/>
  <c r="BL60"/>
  <c r="BL83"/>
  <c r="BL144"/>
  <c r="BL184"/>
  <c r="BL80"/>
  <c r="BL157"/>
  <c r="BL97"/>
  <c r="BL22"/>
  <c r="BL32"/>
  <c r="BL42"/>
  <c r="BL52"/>
  <c r="BL93"/>
  <c r="BL109"/>
  <c r="BL116"/>
  <c r="BL194"/>
  <c r="BL20"/>
  <c r="BL30"/>
  <c r="BL40"/>
  <c r="BL50"/>
  <c r="BL58"/>
  <c r="BL62"/>
  <c r="BL21"/>
  <c r="BL31"/>
  <c r="BL41"/>
  <c r="BL51"/>
  <c r="BL63"/>
  <c r="BL88"/>
  <c r="BL90"/>
  <c r="BL96"/>
  <c r="BL129"/>
  <c r="BL172"/>
  <c r="BL223"/>
  <c r="BL78"/>
  <c r="BL91"/>
  <c r="BL99"/>
  <c r="BL100"/>
  <c r="BL104"/>
  <c r="BL192"/>
  <c r="BL111"/>
  <c r="BL165"/>
  <c r="BL110"/>
  <c r="BL148"/>
  <c r="BL205"/>
  <c r="BL101"/>
  <c r="BL106"/>
  <c r="BL122"/>
  <c r="BL124"/>
  <c r="BL66"/>
  <c r="BL76"/>
  <c r="BL86"/>
  <c r="BL112"/>
  <c r="BL137"/>
  <c r="BL145"/>
  <c r="BL216"/>
  <c r="BL61"/>
  <c r="BL69"/>
  <c r="BL71"/>
  <c r="BL79"/>
  <c r="BL89"/>
  <c r="BL98"/>
  <c r="BL102"/>
  <c r="BL119"/>
  <c r="BL126"/>
  <c r="BL67"/>
  <c r="BL77"/>
  <c r="BL87"/>
  <c r="BL121"/>
  <c r="BL149"/>
  <c r="BL155"/>
  <c r="BL156"/>
  <c r="BL164"/>
  <c r="BL171"/>
  <c r="BL209"/>
  <c r="BL107"/>
  <c r="BL117"/>
  <c r="BL127"/>
  <c r="BL134"/>
  <c r="BL138"/>
  <c r="BL146"/>
  <c r="BL166"/>
  <c r="BL168"/>
  <c r="BL175"/>
  <c r="BL120"/>
  <c r="BL139"/>
  <c r="BL159"/>
  <c r="BL187"/>
  <c r="BL95"/>
  <c r="BL105"/>
  <c r="BL113"/>
  <c r="BL115"/>
  <c r="BL123"/>
  <c r="BL135"/>
  <c r="BL154"/>
  <c r="BL179"/>
  <c r="BL108"/>
  <c r="BL118"/>
  <c r="BL128"/>
  <c r="BL167"/>
  <c r="BL132"/>
  <c r="BL142"/>
  <c r="BL152"/>
  <c r="BL162"/>
  <c r="BL177"/>
  <c r="BL195"/>
  <c r="BL220"/>
  <c r="BL130"/>
  <c r="BL140"/>
  <c r="BL150"/>
  <c r="BL160"/>
  <c r="BL174"/>
  <c r="BL188"/>
  <c r="BL190"/>
  <c r="BL232"/>
  <c r="BL133"/>
  <c r="BL143"/>
  <c r="BL153"/>
  <c r="BL163"/>
  <c r="BL170"/>
  <c r="BL178"/>
  <c r="BL181"/>
  <c r="BL185"/>
  <c r="BL189"/>
  <c r="BL197"/>
  <c r="BL210"/>
  <c r="BL218"/>
  <c r="BL226"/>
  <c r="BL131"/>
  <c r="BL141"/>
  <c r="BL151"/>
  <c r="BL161"/>
  <c r="BL182"/>
  <c r="BL228"/>
  <c r="BL233"/>
  <c r="BL252"/>
  <c r="BL200"/>
  <c r="BL208"/>
  <c r="BL219"/>
  <c r="BL225"/>
  <c r="BL261"/>
  <c r="BL173"/>
  <c r="BL183"/>
  <c r="BL193"/>
  <c r="BL201"/>
  <c r="BL206"/>
  <c r="BL212"/>
  <c r="BL245"/>
  <c r="BL275"/>
  <c r="BL176"/>
  <c r="BL186"/>
  <c r="BL196"/>
  <c r="BL204"/>
  <c r="BL221"/>
  <c r="BL199"/>
  <c r="BL207"/>
  <c r="BL211"/>
  <c r="BL222"/>
  <c r="BL236"/>
  <c r="BL238"/>
  <c r="BL203"/>
  <c r="BL234"/>
  <c r="BL251"/>
  <c r="BL260"/>
  <c r="BL214"/>
  <c r="BL242"/>
  <c r="BL263"/>
  <c r="BL215"/>
  <c r="BL231"/>
  <c r="BL276"/>
  <c r="BL229"/>
  <c r="BL239"/>
  <c r="BL217"/>
  <c r="BL227"/>
  <c r="BL237"/>
  <c r="BL247"/>
  <c r="BL255"/>
  <c r="BL271"/>
  <c r="BL230"/>
  <c r="BL240"/>
  <c r="BL241"/>
  <c r="BL249"/>
  <c r="BL273"/>
  <c r="BL244"/>
  <c r="BL254"/>
  <c r="BL258"/>
  <c r="BL266"/>
  <c r="BL270"/>
  <c r="BL278"/>
  <c r="BL250"/>
  <c r="BL262"/>
  <c r="BL274"/>
  <c r="BL243"/>
  <c r="BL253"/>
  <c r="BL259"/>
  <c r="BL267"/>
  <c r="BL269"/>
  <c r="BL277"/>
  <c r="BL248"/>
  <c r="BL256"/>
  <c r="BL264"/>
  <c r="BL272"/>
  <c r="AA7"/>
  <c r="AA14"/>
  <c r="AA28"/>
  <c r="AA20"/>
  <c r="AA65"/>
  <c r="AA83"/>
  <c r="AA11"/>
  <c r="AA13"/>
  <c r="AA12"/>
  <c r="AA36"/>
  <c r="AA66"/>
  <c r="AA40"/>
  <c r="AA100"/>
  <c r="AA63"/>
  <c r="AA76"/>
  <c r="AA45"/>
  <c r="AA49"/>
  <c r="AA8"/>
  <c r="AA10"/>
  <c r="AA25"/>
  <c r="AA27"/>
  <c r="AA47"/>
  <c r="AA58"/>
  <c r="AA5"/>
  <c r="AA6"/>
  <c r="AA19"/>
  <c r="AA24"/>
  <c r="AA46"/>
  <c r="AA56"/>
  <c r="AA75"/>
  <c r="AA102"/>
  <c r="AA17"/>
  <c r="AA30"/>
  <c r="AA35"/>
  <c r="AA50"/>
  <c r="AA55"/>
  <c r="AA34"/>
  <c r="AA57"/>
  <c r="AA107"/>
  <c r="AA172"/>
  <c r="AA16"/>
  <c r="AA18"/>
  <c r="AA39"/>
  <c r="AA64"/>
  <c r="AA79"/>
  <c r="AA89"/>
  <c r="AA110"/>
  <c r="AA9"/>
  <c r="AA29"/>
  <c r="AA38"/>
  <c r="AA44"/>
  <c r="AA54"/>
  <c r="AA171"/>
  <c r="AA69"/>
  <c r="AA97"/>
  <c r="AA135"/>
  <c r="AA193"/>
  <c r="AA206"/>
  <c r="AA155"/>
  <c r="AA173"/>
  <c r="AA23"/>
  <c r="AA33"/>
  <c r="AA43"/>
  <c r="AA53"/>
  <c r="AA61"/>
  <c r="AA74"/>
  <c r="AA84"/>
  <c r="AA95"/>
  <c r="AA21"/>
  <c r="AA31"/>
  <c r="AA41"/>
  <c r="AA51"/>
  <c r="AA71"/>
  <c r="AA85"/>
  <c r="AA22"/>
  <c r="AA32"/>
  <c r="AA42"/>
  <c r="AA52"/>
  <c r="AA73"/>
  <c r="AA93"/>
  <c r="AA99"/>
  <c r="AA120"/>
  <c r="AA160"/>
  <c r="AA186"/>
  <c r="AA122"/>
  <c r="AA86"/>
  <c r="AA91"/>
  <c r="AA94"/>
  <c r="AA101"/>
  <c r="AA105"/>
  <c r="AA185"/>
  <c r="AA98"/>
  <c r="AA113"/>
  <c r="AA127"/>
  <c r="AA216"/>
  <c r="AA229"/>
  <c r="AA67"/>
  <c r="AA77"/>
  <c r="AA87"/>
  <c r="AA130"/>
  <c r="AA178"/>
  <c r="AA196"/>
  <c r="AA62"/>
  <c r="AA72"/>
  <c r="AA80"/>
  <c r="AA82"/>
  <c r="AA90"/>
  <c r="AA112"/>
  <c r="AA115"/>
  <c r="AA117"/>
  <c r="AA123"/>
  <c r="AA140"/>
  <c r="AA205"/>
  <c r="AA211"/>
  <c r="AA60"/>
  <c r="AA68"/>
  <c r="AA78"/>
  <c r="AA88"/>
  <c r="AA104"/>
  <c r="AA175"/>
  <c r="AA222"/>
  <c r="AA108"/>
  <c r="AA118"/>
  <c r="AA128"/>
  <c r="AA148"/>
  <c r="AA149"/>
  <c r="AA156"/>
  <c r="AA157"/>
  <c r="AA168"/>
  <c r="AA198"/>
  <c r="AA199"/>
  <c r="AA272"/>
  <c r="AA274"/>
  <c r="AA111"/>
  <c r="AA121"/>
  <c r="AA137"/>
  <c r="AA145"/>
  <c r="AA150"/>
  <c r="AA165"/>
  <c r="AA179"/>
  <c r="AA203"/>
  <c r="AA267"/>
  <c r="AA96"/>
  <c r="AA106"/>
  <c r="AA116"/>
  <c r="AA124"/>
  <c r="AA126"/>
  <c r="AA109"/>
  <c r="AA119"/>
  <c r="AA129"/>
  <c r="AA138"/>
  <c r="AA139"/>
  <c r="AA146"/>
  <c r="AA159"/>
  <c r="AA166"/>
  <c r="AA170"/>
  <c r="AA209"/>
  <c r="AA133"/>
  <c r="AA143"/>
  <c r="AA153"/>
  <c r="AA163"/>
  <c r="AA181"/>
  <c r="AA182"/>
  <c r="AA189"/>
  <c r="AA131"/>
  <c r="AA141"/>
  <c r="AA151"/>
  <c r="AA161"/>
  <c r="AA176"/>
  <c r="AA195"/>
  <c r="AA212"/>
  <c r="AA276"/>
  <c r="AA134"/>
  <c r="AA144"/>
  <c r="AA154"/>
  <c r="AA164"/>
  <c r="AA183"/>
  <c r="AA207"/>
  <c r="AA225"/>
  <c r="AA132"/>
  <c r="AA142"/>
  <c r="AA152"/>
  <c r="AA162"/>
  <c r="AA188"/>
  <c r="AA227"/>
  <c r="AA250"/>
  <c r="AA201"/>
  <c r="AA221"/>
  <c r="AA242"/>
  <c r="AA174"/>
  <c r="AA184"/>
  <c r="AA194"/>
  <c r="AA208"/>
  <c r="AA210"/>
  <c r="AA236"/>
  <c r="AA239"/>
  <c r="AA167"/>
  <c r="AA177"/>
  <c r="AA187"/>
  <c r="AA197"/>
  <c r="AA219"/>
  <c r="AA226"/>
  <c r="AA232"/>
  <c r="AA234"/>
  <c r="AA237"/>
  <c r="AA190"/>
  <c r="AA192"/>
  <c r="AA200"/>
  <c r="AA215"/>
  <c r="AA233"/>
  <c r="AA256"/>
  <c r="AA259"/>
  <c r="AA262"/>
  <c r="AA204"/>
  <c r="AA217"/>
  <c r="AA220"/>
  <c r="AA223"/>
  <c r="AA248"/>
  <c r="AA252"/>
  <c r="AA214"/>
  <c r="AA243"/>
  <c r="AA260"/>
  <c r="AA264"/>
  <c r="AA230"/>
  <c r="AA240"/>
  <c r="AA218"/>
  <c r="AA228"/>
  <c r="AA238"/>
  <c r="AA253"/>
  <c r="AA269"/>
  <c r="AA277"/>
  <c r="AA231"/>
  <c r="AA241"/>
  <c r="AA245"/>
  <c r="AA247"/>
  <c r="AA255"/>
  <c r="AA265"/>
  <c r="AA271"/>
  <c r="AA251"/>
  <c r="AA261"/>
  <c r="AA275"/>
  <c r="AA244"/>
  <c r="AA254"/>
  <c r="AA258"/>
  <c r="AA266"/>
  <c r="AA270"/>
  <c r="AA278"/>
  <c r="AA249"/>
  <c r="AA263"/>
  <c r="AA273"/>
  <c r="BH31"/>
  <c r="BH40"/>
  <c r="BH50"/>
  <c r="BH29"/>
  <c r="BH22"/>
  <c r="BH14"/>
  <c r="BH30"/>
  <c r="BH58"/>
  <c r="BH98"/>
  <c r="BH39"/>
  <c r="BH23"/>
  <c r="BH87"/>
  <c r="BH49"/>
  <c r="BH142"/>
  <c r="BH5"/>
  <c r="BH10"/>
  <c r="BH60"/>
  <c r="BH69"/>
  <c r="BH13"/>
  <c r="BH20"/>
  <c r="BH33"/>
  <c r="BH95"/>
  <c r="BH7"/>
  <c r="BH11"/>
  <c r="BH43"/>
  <c r="BH53"/>
  <c r="BH74"/>
  <c r="BH8"/>
  <c r="BH19"/>
  <c r="BH41"/>
  <c r="BH77"/>
  <c r="BH88"/>
  <c r="BH9"/>
  <c r="BH21"/>
  <c r="BH51"/>
  <c r="BH6"/>
  <c r="BH32"/>
  <c r="BH78"/>
  <c r="BH12"/>
  <c r="BH42"/>
  <c r="BH47"/>
  <c r="BH52"/>
  <c r="BH57"/>
  <c r="BH61"/>
  <c r="BH64"/>
  <c r="BH76"/>
  <c r="BH130"/>
  <c r="BH18"/>
  <c r="BH28"/>
  <c r="BH36"/>
  <c r="BH38"/>
  <c r="BH46"/>
  <c r="BH56"/>
  <c r="BH86"/>
  <c r="BH16"/>
  <c r="BH24"/>
  <c r="BH34"/>
  <c r="BH44"/>
  <c r="BH54"/>
  <c r="BH66"/>
  <c r="BH79"/>
  <c r="BH94"/>
  <c r="BH100"/>
  <c r="BH17"/>
  <c r="BH25"/>
  <c r="BH27"/>
  <c r="BH35"/>
  <c r="BH45"/>
  <c r="BH55"/>
  <c r="BH67"/>
  <c r="BH68"/>
  <c r="BH71"/>
  <c r="BH161"/>
  <c r="BH228"/>
  <c r="BH261"/>
  <c r="BH84"/>
  <c r="BH106"/>
  <c r="BH108"/>
  <c r="BH162"/>
  <c r="BH128"/>
  <c r="BH131"/>
  <c r="BH89"/>
  <c r="BH97"/>
  <c r="BH120"/>
  <c r="BH163"/>
  <c r="BH199"/>
  <c r="BH107"/>
  <c r="BH205"/>
  <c r="BH62"/>
  <c r="BH72"/>
  <c r="BH80"/>
  <c r="BH82"/>
  <c r="BH90"/>
  <c r="BH96"/>
  <c r="BH110"/>
  <c r="BH115"/>
  <c r="BH117"/>
  <c r="BH123"/>
  <c r="BH141"/>
  <c r="BH143"/>
  <c r="BH181"/>
  <c r="BH65"/>
  <c r="BH75"/>
  <c r="BH85"/>
  <c r="BH105"/>
  <c r="BH63"/>
  <c r="BH73"/>
  <c r="BH83"/>
  <c r="BH91"/>
  <c r="BH93"/>
  <c r="BH113"/>
  <c r="BH118"/>
  <c r="BH127"/>
  <c r="BH132"/>
  <c r="BH101"/>
  <c r="BH111"/>
  <c r="BH121"/>
  <c r="BH150"/>
  <c r="BH222"/>
  <c r="BH256"/>
  <c r="BH116"/>
  <c r="BH124"/>
  <c r="BH126"/>
  <c r="BH133"/>
  <c r="BH151"/>
  <c r="BH152"/>
  <c r="BH175"/>
  <c r="BH269"/>
  <c r="BH99"/>
  <c r="BH109"/>
  <c r="BH119"/>
  <c r="BH129"/>
  <c r="BH174"/>
  <c r="BH176"/>
  <c r="BH188"/>
  <c r="BH102"/>
  <c r="BH104"/>
  <c r="BH112"/>
  <c r="BH122"/>
  <c r="BH140"/>
  <c r="BH153"/>
  <c r="BH160"/>
  <c r="BH189"/>
  <c r="BH138"/>
  <c r="BH146"/>
  <c r="BH148"/>
  <c r="BH156"/>
  <c r="BH166"/>
  <c r="BH167"/>
  <c r="BH171"/>
  <c r="BH179"/>
  <c r="BH186"/>
  <c r="BH201"/>
  <c r="BH134"/>
  <c r="BH144"/>
  <c r="BH154"/>
  <c r="BH164"/>
  <c r="BH168"/>
  <c r="BH183"/>
  <c r="BH193"/>
  <c r="BH259"/>
  <c r="BH139"/>
  <c r="BH149"/>
  <c r="BH157"/>
  <c r="BH159"/>
  <c r="BH173"/>
  <c r="BH240"/>
  <c r="BH251"/>
  <c r="BH135"/>
  <c r="BH137"/>
  <c r="BH145"/>
  <c r="BH155"/>
  <c r="BH165"/>
  <c r="BH170"/>
  <c r="BH178"/>
  <c r="BH184"/>
  <c r="BH185"/>
  <c r="BH194"/>
  <c r="BH198"/>
  <c r="BH206"/>
  <c r="BH230"/>
  <c r="BH196"/>
  <c r="BH204"/>
  <c r="BH232"/>
  <c r="BH177"/>
  <c r="BH187"/>
  <c r="BH197"/>
  <c r="BH172"/>
  <c r="BH182"/>
  <c r="BH190"/>
  <c r="BH192"/>
  <c r="BH200"/>
  <c r="BH214"/>
  <c r="BH215"/>
  <c r="BH226"/>
  <c r="BH243"/>
  <c r="BH195"/>
  <c r="BH203"/>
  <c r="BH209"/>
  <c r="BH212"/>
  <c r="BH218"/>
  <c r="BH248"/>
  <c r="BH253"/>
  <c r="BH207"/>
  <c r="BH210"/>
  <c r="BH216"/>
  <c r="BH219"/>
  <c r="BH237"/>
  <c r="BH264"/>
  <c r="BH275"/>
  <c r="BH277"/>
  <c r="BH227"/>
  <c r="BH229"/>
  <c r="BH238"/>
  <c r="BH239"/>
  <c r="BH241"/>
  <c r="BH208"/>
  <c r="BH217"/>
  <c r="BH220"/>
  <c r="BH267"/>
  <c r="BH272"/>
  <c r="BH223"/>
  <c r="BH225"/>
  <c r="BH233"/>
  <c r="BH245"/>
  <c r="BH265"/>
  <c r="BH211"/>
  <c r="BH221"/>
  <c r="BH231"/>
  <c r="BH234"/>
  <c r="BH236"/>
  <c r="BH247"/>
  <c r="BH255"/>
  <c r="BH271"/>
  <c r="BH250"/>
  <c r="BH262"/>
  <c r="BH274"/>
  <c r="BH244"/>
  <c r="BH254"/>
  <c r="BH258"/>
  <c r="BH266"/>
  <c r="BH270"/>
  <c r="BH278"/>
  <c r="BH249"/>
  <c r="BH263"/>
  <c r="BH273"/>
  <c r="BH242"/>
  <c r="BH252"/>
  <c r="BH260"/>
  <c r="BH276"/>
  <c r="AU12"/>
  <c r="AU58"/>
  <c r="AU7"/>
  <c r="AU44"/>
  <c r="AU43"/>
  <c r="AU72"/>
  <c r="AU6"/>
  <c r="AU78"/>
  <c r="AU124"/>
  <c r="AU174"/>
  <c r="AU67"/>
  <c r="AU131"/>
  <c r="AU24"/>
  <c r="AU33"/>
  <c r="AU34"/>
  <c r="AU21"/>
  <c r="AU22"/>
  <c r="AU53"/>
  <c r="AU54"/>
  <c r="AU75"/>
  <c r="AU9"/>
  <c r="AU30"/>
  <c r="AU51"/>
  <c r="AU10"/>
  <c r="AU23"/>
  <c r="AU40"/>
  <c r="AU79"/>
  <c r="AU8"/>
  <c r="AU11"/>
  <c r="AU14"/>
  <c r="AU32"/>
  <c r="AU16"/>
  <c r="AU20"/>
  <c r="AU31"/>
  <c r="AU41"/>
  <c r="AU50"/>
  <c r="AU61"/>
  <c r="AU94"/>
  <c r="AU194"/>
  <c r="AU5"/>
  <c r="AU13"/>
  <c r="AU42"/>
  <c r="AU52"/>
  <c r="AU77"/>
  <c r="AU108"/>
  <c r="AU68"/>
  <c r="AU69"/>
  <c r="AU106"/>
  <c r="AU109"/>
  <c r="AU116"/>
  <c r="AU19"/>
  <c r="AU29"/>
  <c r="AU39"/>
  <c r="AU47"/>
  <c r="AU49"/>
  <c r="AU57"/>
  <c r="AU80"/>
  <c r="AU82"/>
  <c r="AU85"/>
  <c r="AU101"/>
  <c r="AU126"/>
  <c r="AU184"/>
  <c r="AU17"/>
  <c r="AU25"/>
  <c r="AU27"/>
  <c r="AU35"/>
  <c r="AU45"/>
  <c r="AU55"/>
  <c r="AU60"/>
  <c r="AU65"/>
  <c r="AU132"/>
  <c r="AU18"/>
  <c r="AU28"/>
  <c r="AU36"/>
  <c r="AU38"/>
  <c r="AU46"/>
  <c r="AU56"/>
  <c r="AU62"/>
  <c r="AU71"/>
  <c r="AU87"/>
  <c r="AU88"/>
  <c r="AU90"/>
  <c r="AU111"/>
  <c r="AU143"/>
  <c r="AU163"/>
  <c r="AU168"/>
  <c r="AU129"/>
  <c r="AU171"/>
  <c r="AU89"/>
  <c r="AU97"/>
  <c r="AU119"/>
  <c r="AU186"/>
  <c r="AU207"/>
  <c r="AU121"/>
  <c r="AU133"/>
  <c r="AU63"/>
  <c r="AU73"/>
  <c r="AU83"/>
  <c r="AU91"/>
  <c r="AU93"/>
  <c r="AU95"/>
  <c r="AU98"/>
  <c r="AU118"/>
  <c r="AU151"/>
  <c r="AU164"/>
  <c r="AU175"/>
  <c r="AU66"/>
  <c r="AU76"/>
  <c r="AU86"/>
  <c r="AU219"/>
  <c r="AU64"/>
  <c r="AU74"/>
  <c r="AU84"/>
  <c r="AU96"/>
  <c r="AU99"/>
  <c r="AU107"/>
  <c r="AU128"/>
  <c r="AU144"/>
  <c r="AU187"/>
  <c r="AU102"/>
  <c r="AU104"/>
  <c r="AU112"/>
  <c r="AU122"/>
  <c r="AU152"/>
  <c r="AU117"/>
  <c r="AU127"/>
  <c r="AU134"/>
  <c r="AU153"/>
  <c r="AU179"/>
  <c r="AU205"/>
  <c r="AU225"/>
  <c r="AU100"/>
  <c r="AU110"/>
  <c r="AU120"/>
  <c r="AU141"/>
  <c r="AU161"/>
  <c r="AU195"/>
  <c r="AU199"/>
  <c r="AU211"/>
  <c r="AU105"/>
  <c r="AU113"/>
  <c r="AU115"/>
  <c r="AU123"/>
  <c r="AU142"/>
  <c r="AU154"/>
  <c r="AU162"/>
  <c r="AU192"/>
  <c r="AU273"/>
  <c r="AU139"/>
  <c r="AU149"/>
  <c r="AU157"/>
  <c r="AU159"/>
  <c r="AU181"/>
  <c r="AU185"/>
  <c r="AU189"/>
  <c r="AU249"/>
  <c r="AU135"/>
  <c r="AU137"/>
  <c r="AU145"/>
  <c r="AU155"/>
  <c r="AU165"/>
  <c r="AU176"/>
  <c r="AU182"/>
  <c r="AU130"/>
  <c r="AU140"/>
  <c r="AU150"/>
  <c r="AU160"/>
  <c r="AU167"/>
  <c r="AU172"/>
  <c r="AU216"/>
  <c r="AU229"/>
  <c r="AU231"/>
  <c r="AU138"/>
  <c r="AU146"/>
  <c r="AU148"/>
  <c r="AU156"/>
  <c r="AU166"/>
  <c r="AU177"/>
  <c r="AU190"/>
  <c r="AU200"/>
  <c r="AU215"/>
  <c r="AU220"/>
  <c r="AU197"/>
  <c r="AU203"/>
  <c r="AU206"/>
  <c r="AU228"/>
  <c r="AU270"/>
  <c r="AU170"/>
  <c r="AU178"/>
  <c r="AU188"/>
  <c r="AU198"/>
  <c r="AU204"/>
  <c r="AU239"/>
  <c r="AU244"/>
  <c r="AU173"/>
  <c r="AU183"/>
  <c r="AU193"/>
  <c r="AU201"/>
  <c r="AU241"/>
  <c r="AU196"/>
  <c r="AU217"/>
  <c r="AU227"/>
  <c r="AU242"/>
  <c r="AU208"/>
  <c r="AU258"/>
  <c r="AU218"/>
  <c r="AU221"/>
  <c r="AU223"/>
  <c r="AU233"/>
  <c r="AU238"/>
  <c r="AU266"/>
  <c r="AU278"/>
  <c r="AU209"/>
  <c r="AU210"/>
  <c r="AU230"/>
  <c r="AU240"/>
  <c r="AU254"/>
  <c r="AU226"/>
  <c r="AU234"/>
  <c r="AU236"/>
  <c r="AU252"/>
  <c r="AU260"/>
  <c r="AU263"/>
  <c r="AU276"/>
  <c r="AU212"/>
  <c r="AU214"/>
  <c r="AU222"/>
  <c r="AU232"/>
  <c r="AU237"/>
  <c r="AU248"/>
  <c r="AU256"/>
  <c r="AU264"/>
  <c r="AU272"/>
  <c r="AU251"/>
  <c r="AU261"/>
  <c r="AU275"/>
  <c r="AU245"/>
  <c r="AU247"/>
  <c r="AU255"/>
  <c r="AU265"/>
  <c r="AU271"/>
  <c r="AU250"/>
  <c r="AU262"/>
  <c r="AU274"/>
  <c r="AU243"/>
  <c r="AU253"/>
  <c r="AU259"/>
  <c r="AU267"/>
  <c r="AU269"/>
  <c r="AU277"/>
  <c r="BM65"/>
  <c r="BM13"/>
  <c r="BM52"/>
  <c r="BM73"/>
  <c r="BM32"/>
  <c r="BM152"/>
  <c r="BM12"/>
  <c r="BM28"/>
  <c r="BM39"/>
  <c r="BM50"/>
  <c r="BM57"/>
  <c r="BM209"/>
  <c r="BM19"/>
  <c r="BM22"/>
  <c r="BM49"/>
  <c r="BM5"/>
  <c r="BM47"/>
  <c r="BM9"/>
  <c r="BM10"/>
  <c r="BM205"/>
  <c r="BM42"/>
  <c r="BM6"/>
  <c r="BM7"/>
  <c r="BM31"/>
  <c r="BM30"/>
  <c r="BM41"/>
  <c r="BM51"/>
  <c r="BM18"/>
  <c r="BM46"/>
  <c r="BM56"/>
  <c r="BM75"/>
  <c r="BM14"/>
  <c r="BM20"/>
  <c r="BM36"/>
  <c r="BM78"/>
  <c r="BM8"/>
  <c r="BM40"/>
  <c r="BM58"/>
  <c r="BM60"/>
  <c r="BM63"/>
  <c r="BM67"/>
  <c r="BM77"/>
  <c r="BM11"/>
  <c r="BM21"/>
  <c r="BM29"/>
  <c r="BM38"/>
  <c r="BM93"/>
  <c r="BM88"/>
  <c r="BM17"/>
  <c r="BM25"/>
  <c r="BM27"/>
  <c r="BM35"/>
  <c r="BM45"/>
  <c r="BM55"/>
  <c r="BM66"/>
  <c r="BM85"/>
  <c r="BM94"/>
  <c r="BM97"/>
  <c r="BM149"/>
  <c r="BM23"/>
  <c r="BM33"/>
  <c r="BM43"/>
  <c r="BM53"/>
  <c r="BM68"/>
  <c r="BM83"/>
  <c r="BM127"/>
  <c r="BM16"/>
  <c r="BM24"/>
  <c r="BM34"/>
  <c r="BM44"/>
  <c r="BM54"/>
  <c r="BM76"/>
  <c r="BM130"/>
  <c r="BM87"/>
  <c r="BM117"/>
  <c r="BM200"/>
  <c r="BM116"/>
  <c r="BM183"/>
  <c r="BM201"/>
  <c r="BM106"/>
  <c r="BM122"/>
  <c r="BM124"/>
  <c r="BM86"/>
  <c r="BM91"/>
  <c r="BM100"/>
  <c r="BM104"/>
  <c r="BM105"/>
  <c r="BM112"/>
  <c r="BM61"/>
  <c r="BM69"/>
  <c r="BM71"/>
  <c r="BM79"/>
  <c r="BM89"/>
  <c r="BM102"/>
  <c r="BM107"/>
  <c r="BM119"/>
  <c r="BM126"/>
  <c r="BM168"/>
  <c r="BM64"/>
  <c r="BM74"/>
  <c r="BM84"/>
  <c r="BM95"/>
  <c r="BM131"/>
  <c r="BM132"/>
  <c r="BM182"/>
  <c r="BM252"/>
  <c r="BM265"/>
  <c r="BM62"/>
  <c r="BM72"/>
  <c r="BM80"/>
  <c r="BM82"/>
  <c r="BM90"/>
  <c r="BM96"/>
  <c r="BM99"/>
  <c r="BM109"/>
  <c r="BM129"/>
  <c r="BM150"/>
  <c r="BM151"/>
  <c r="BM157"/>
  <c r="BM276"/>
  <c r="BM110"/>
  <c r="BM120"/>
  <c r="BM139"/>
  <c r="BM159"/>
  <c r="BM174"/>
  <c r="BM177"/>
  <c r="BM187"/>
  <c r="BM113"/>
  <c r="BM115"/>
  <c r="BM123"/>
  <c r="BM140"/>
  <c r="BM141"/>
  <c r="BM160"/>
  <c r="BM161"/>
  <c r="BM188"/>
  <c r="BM98"/>
  <c r="BM108"/>
  <c r="BM118"/>
  <c r="BM128"/>
  <c r="BM142"/>
  <c r="BM162"/>
  <c r="BM219"/>
  <c r="BM101"/>
  <c r="BM111"/>
  <c r="BM121"/>
  <c r="BM190"/>
  <c r="BM231"/>
  <c r="BM135"/>
  <c r="BM137"/>
  <c r="BM145"/>
  <c r="BM155"/>
  <c r="BM165"/>
  <c r="BM173"/>
  <c r="BM184"/>
  <c r="BM193"/>
  <c r="BM234"/>
  <c r="BM271"/>
  <c r="BM133"/>
  <c r="BM143"/>
  <c r="BM153"/>
  <c r="BM163"/>
  <c r="BM170"/>
  <c r="BM178"/>
  <c r="BM185"/>
  <c r="BM197"/>
  <c r="BM138"/>
  <c r="BM146"/>
  <c r="BM148"/>
  <c r="BM156"/>
  <c r="BM166"/>
  <c r="BM167"/>
  <c r="BM175"/>
  <c r="BM198"/>
  <c r="BM245"/>
  <c r="BM134"/>
  <c r="BM144"/>
  <c r="BM154"/>
  <c r="BM164"/>
  <c r="BM172"/>
  <c r="BM192"/>
  <c r="BM203"/>
  <c r="BM208"/>
  <c r="BM195"/>
  <c r="BM215"/>
  <c r="BM228"/>
  <c r="BM229"/>
  <c r="BM176"/>
  <c r="BM186"/>
  <c r="BM196"/>
  <c r="BM204"/>
  <c r="BM255"/>
  <c r="BM171"/>
  <c r="BM179"/>
  <c r="BM181"/>
  <c r="BM189"/>
  <c r="BM199"/>
  <c r="BM211"/>
  <c r="BM217"/>
  <c r="BM238"/>
  <c r="BM260"/>
  <c r="BM194"/>
  <c r="BM216"/>
  <c r="BM227"/>
  <c r="BM237"/>
  <c r="BM239"/>
  <c r="BM206"/>
  <c r="BM214"/>
  <c r="BM247"/>
  <c r="BM212"/>
  <c r="BM218"/>
  <c r="BM221"/>
  <c r="BM225"/>
  <c r="BM244"/>
  <c r="BM274"/>
  <c r="BM207"/>
  <c r="BM223"/>
  <c r="BM226"/>
  <c r="BM236"/>
  <c r="BM250"/>
  <c r="BM262"/>
  <c r="BM222"/>
  <c r="BM232"/>
  <c r="BM254"/>
  <c r="BM258"/>
  <c r="BM266"/>
  <c r="BM270"/>
  <c r="BM278"/>
  <c r="BM210"/>
  <c r="BM220"/>
  <c r="BM230"/>
  <c r="BM240"/>
  <c r="BM233"/>
  <c r="BM242"/>
  <c r="BM249"/>
  <c r="BM263"/>
  <c r="BM273"/>
  <c r="BM243"/>
  <c r="BM253"/>
  <c r="BM259"/>
  <c r="BM267"/>
  <c r="BM269"/>
  <c r="BM277"/>
  <c r="BM248"/>
  <c r="BM256"/>
  <c r="BM264"/>
  <c r="BM272"/>
  <c r="BM241"/>
  <c r="BM251"/>
  <c r="BM261"/>
  <c r="BM275"/>
  <c r="AZ43"/>
  <c r="AZ42"/>
  <c r="AZ79"/>
  <c r="AZ41"/>
  <c r="AZ32"/>
  <c r="AZ11"/>
  <c r="AZ47"/>
  <c r="AZ31"/>
  <c r="AZ57"/>
  <c r="AZ89"/>
  <c r="AZ20"/>
  <c r="AZ22"/>
  <c r="AZ53"/>
  <c r="AZ77"/>
  <c r="AZ107"/>
  <c r="AZ14"/>
  <c r="AZ51"/>
  <c r="AZ52"/>
  <c r="AZ87"/>
  <c r="AZ50"/>
  <c r="AZ118"/>
  <c r="AZ8"/>
  <c r="AZ9"/>
  <c r="AZ23"/>
  <c r="AZ76"/>
  <c r="AZ108"/>
  <c r="AZ5"/>
  <c r="AZ60"/>
  <c r="AZ33"/>
  <c r="AZ39"/>
  <c r="AZ6"/>
  <c r="AZ40"/>
  <c r="AZ58"/>
  <c r="AZ64"/>
  <c r="AZ69"/>
  <c r="AZ88"/>
  <c r="AZ179"/>
  <c r="AZ204"/>
  <c r="AZ7"/>
  <c r="AZ10"/>
  <c r="AZ13"/>
  <c r="AZ19"/>
  <c r="AZ30"/>
  <c r="AZ49"/>
  <c r="AZ218"/>
  <c r="AZ12"/>
  <c r="AZ21"/>
  <c r="AZ29"/>
  <c r="AZ66"/>
  <c r="AZ176"/>
  <c r="AZ84"/>
  <c r="AZ186"/>
  <c r="AZ18"/>
  <c r="AZ28"/>
  <c r="AZ36"/>
  <c r="AZ38"/>
  <c r="AZ46"/>
  <c r="AZ56"/>
  <c r="AZ61"/>
  <c r="AZ74"/>
  <c r="AZ78"/>
  <c r="AZ98"/>
  <c r="AZ106"/>
  <c r="AZ16"/>
  <c r="AZ24"/>
  <c r="AZ34"/>
  <c r="AZ44"/>
  <c r="AZ54"/>
  <c r="AZ67"/>
  <c r="AZ68"/>
  <c r="AZ71"/>
  <c r="AZ96"/>
  <c r="AZ128"/>
  <c r="AZ17"/>
  <c r="AZ25"/>
  <c r="AZ27"/>
  <c r="AZ35"/>
  <c r="AZ45"/>
  <c r="AZ55"/>
  <c r="AZ105"/>
  <c r="AZ133"/>
  <c r="AZ151"/>
  <c r="AZ174"/>
  <c r="AZ113"/>
  <c r="AZ127"/>
  <c r="AZ140"/>
  <c r="AZ110"/>
  <c r="AZ115"/>
  <c r="AZ117"/>
  <c r="AZ150"/>
  <c r="AZ173"/>
  <c r="AZ175"/>
  <c r="AZ86"/>
  <c r="AZ95"/>
  <c r="AZ123"/>
  <c r="AZ152"/>
  <c r="AZ168"/>
  <c r="AZ210"/>
  <c r="AZ62"/>
  <c r="AZ72"/>
  <c r="AZ80"/>
  <c r="AZ82"/>
  <c r="AZ90"/>
  <c r="AZ120"/>
  <c r="AZ153"/>
  <c r="AZ193"/>
  <c r="AZ65"/>
  <c r="AZ75"/>
  <c r="AZ85"/>
  <c r="AZ94"/>
  <c r="AZ97"/>
  <c r="AZ100"/>
  <c r="AZ160"/>
  <c r="AZ63"/>
  <c r="AZ73"/>
  <c r="AZ83"/>
  <c r="AZ91"/>
  <c r="AZ93"/>
  <c r="AZ101"/>
  <c r="AZ111"/>
  <c r="AZ121"/>
  <c r="AZ141"/>
  <c r="AZ142"/>
  <c r="AZ161"/>
  <c r="AZ162"/>
  <c r="AZ201"/>
  <c r="AZ205"/>
  <c r="AZ116"/>
  <c r="AZ124"/>
  <c r="AZ126"/>
  <c r="AZ167"/>
  <c r="AZ99"/>
  <c r="AZ109"/>
  <c r="AZ119"/>
  <c r="AZ129"/>
  <c r="AZ130"/>
  <c r="AZ143"/>
  <c r="AZ163"/>
  <c r="AZ198"/>
  <c r="AZ271"/>
  <c r="AZ102"/>
  <c r="AZ104"/>
  <c r="AZ112"/>
  <c r="AZ122"/>
  <c r="AZ131"/>
  <c r="AZ132"/>
  <c r="AZ171"/>
  <c r="AZ138"/>
  <c r="AZ146"/>
  <c r="AZ148"/>
  <c r="AZ156"/>
  <c r="AZ166"/>
  <c r="AZ183"/>
  <c r="AZ217"/>
  <c r="AZ238"/>
  <c r="AZ241"/>
  <c r="AZ255"/>
  <c r="AZ134"/>
  <c r="AZ144"/>
  <c r="AZ154"/>
  <c r="AZ164"/>
  <c r="AZ188"/>
  <c r="AZ194"/>
  <c r="AZ199"/>
  <c r="AZ239"/>
  <c r="AZ139"/>
  <c r="AZ149"/>
  <c r="AZ157"/>
  <c r="AZ159"/>
  <c r="AZ170"/>
  <c r="AZ178"/>
  <c r="AZ184"/>
  <c r="AZ185"/>
  <c r="AZ212"/>
  <c r="AZ135"/>
  <c r="AZ137"/>
  <c r="AZ145"/>
  <c r="AZ155"/>
  <c r="AZ165"/>
  <c r="AZ181"/>
  <c r="AZ189"/>
  <c r="AZ219"/>
  <c r="AZ226"/>
  <c r="AZ232"/>
  <c r="AZ237"/>
  <c r="AZ253"/>
  <c r="AZ267"/>
  <c r="AZ196"/>
  <c r="AZ215"/>
  <c r="AZ251"/>
  <c r="AZ256"/>
  <c r="AZ259"/>
  <c r="AZ177"/>
  <c r="AZ187"/>
  <c r="AZ197"/>
  <c r="AZ209"/>
  <c r="AZ247"/>
  <c r="AZ277"/>
  <c r="AZ172"/>
  <c r="AZ182"/>
  <c r="AZ190"/>
  <c r="AZ192"/>
  <c r="AZ200"/>
  <c r="AZ203"/>
  <c r="AZ206"/>
  <c r="AZ220"/>
  <c r="AZ227"/>
  <c r="AZ229"/>
  <c r="AZ195"/>
  <c r="AZ216"/>
  <c r="AZ272"/>
  <c r="AZ275"/>
  <c r="AZ207"/>
  <c r="AZ228"/>
  <c r="AZ248"/>
  <c r="AZ269"/>
  <c r="AZ230"/>
  <c r="AZ240"/>
  <c r="AZ245"/>
  <c r="AZ265"/>
  <c r="AZ208"/>
  <c r="AZ214"/>
  <c r="AZ222"/>
  <c r="AZ264"/>
  <c r="AZ223"/>
  <c r="AZ225"/>
  <c r="AZ233"/>
  <c r="AZ261"/>
  <c r="AZ211"/>
  <c r="AZ221"/>
  <c r="AZ231"/>
  <c r="AZ243"/>
  <c r="AZ234"/>
  <c r="AZ236"/>
  <c r="AZ250"/>
  <c r="AZ262"/>
  <c r="AZ274"/>
  <c r="AZ244"/>
  <c r="AZ254"/>
  <c r="AZ258"/>
  <c r="AZ266"/>
  <c r="AZ270"/>
  <c r="AZ278"/>
  <c r="AZ249"/>
  <c r="AZ263"/>
  <c r="AZ273"/>
  <c r="AZ242"/>
  <c r="AZ252"/>
  <c r="AZ260"/>
  <c r="AZ276"/>
  <c r="H43"/>
  <c r="H146"/>
  <c r="H6"/>
  <c r="H121"/>
  <c r="H49"/>
  <c r="H55"/>
  <c r="H17"/>
  <c r="H28"/>
  <c r="H44"/>
  <c r="H5"/>
  <c r="H9"/>
  <c r="H33"/>
  <c r="H64"/>
  <c r="H94"/>
  <c r="H29"/>
  <c r="H39"/>
  <c r="H101"/>
  <c r="H25"/>
  <c r="H27"/>
  <c r="H38"/>
  <c r="H47"/>
  <c r="H57"/>
  <c r="H72"/>
  <c r="H14"/>
  <c r="H18"/>
  <c r="H23"/>
  <c r="H11"/>
  <c r="H12"/>
  <c r="H34"/>
  <c r="H7"/>
  <c r="H10"/>
  <c r="H13"/>
  <c r="H24"/>
  <c r="H36"/>
  <c r="H45"/>
  <c r="H54"/>
  <c r="H109"/>
  <c r="H16"/>
  <c r="H19"/>
  <c r="H35"/>
  <c r="H53"/>
  <c r="H82"/>
  <c r="H91"/>
  <c r="H116"/>
  <c r="H8"/>
  <c r="H46"/>
  <c r="H56"/>
  <c r="H68"/>
  <c r="H154"/>
  <c r="H179"/>
  <c r="H190"/>
  <c r="H74"/>
  <c r="H75"/>
  <c r="H88"/>
  <c r="H138"/>
  <c r="H22"/>
  <c r="H32"/>
  <c r="H42"/>
  <c r="H52"/>
  <c r="H63"/>
  <c r="H78"/>
  <c r="H96"/>
  <c r="H106"/>
  <c r="H222"/>
  <c r="H20"/>
  <c r="H30"/>
  <c r="H40"/>
  <c r="H50"/>
  <c r="H58"/>
  <c r="H60"/>
  <c r="H65"/>
  <c r="H73"/>
  <c r="H85"/>
  <c r="H102"/>
  <c r="H111"/>
  <c r="H188"/>
  <c r="H21"/>
  <c r="H31"/>
  <c r="H41"/>
  <c r="H51"/>
  <c r="H62"/>
  <c r="H80"/>
  <c r="H98"/>
  <c r="H126"/>
  <c r="H84"/>
  <c r="H90"/>
  <c r="H93"/>
  <c r="H112"/>
  <c r="H124"/>
  <c r="H135"/>
  <c r="H166"/>
  <c r="H174"/>
  <c r="H175"/>
  <c r="H241"/>
  <c r="H119"/>
  <c r="H139"/>
  <c r="H187"/>
  <c r="H197"/>
  <c r="H83"/>
  <c r="H99"/>
  <c r="H255"/>
  <c r="H66"/>
  <c r="H76"/>
  <c r="H86"/>
  <c r="H97"/>
  <c r="H100"/>
  <c r="H104"/>
  <c r="H129"/>
  <c r="H134"/>
  <c r="H223"/>
  <c r="H61"/>
  <c r="H69"/>
  <c r="H71"/>
  <c r="H79"/>
  <c r="H89"/>
  <c r="H110"/>
  <c r="H122"/>
  <c r="H170"/>
  <c r="H192"/>
  <c r="H195"/>
  <c r="H215"/>
  <c r="H225"/>
  <c r="H67"/>
  <c r="H77"/>
  <c r="H87"/>
  <c r="H159"/>
  <c r="H167"/>
  <c r="H107"/>
  <c r="H117"/>
  <c r="H127"/>
  <c r="H155"/>
  <c r="H194"/>
  <c r="H120"/>
  <c r="H130"/>
  <c r="H144"/>
  <c r="H148"/>
  <c r="H156"/>
  <c r="H164"/>
  <c r="H95"/>
  <c r="H105"/>
  <c r="H113"/>
  <c r="H115"/>
  <c r="H123"/>
  <c r="H149"/>
  <c r="H157"/>
  <c r="H182"/>
  <c r="H219"/>
  <c r="H108"/>
  <c r="H118"/>
  <c r="H128"/>
  <c r="H137"/>
  <c r="H145"/>
  <c r="H165"/>
  <c r="H171"/>
  <c r="H206"/>
  <c r="H132"/>
  <c r="H142"/>
  <c r="H152"/>
  <c r="H162"/>
  <c r="H168"/>
  <c r="H172"/>
  <c r="H198"/>
  <c r="H214"/>
  <c r="H140"/>
  <c r="H150"/>
  <c r="H160"/>
  <c r="H177"/>
  <c r="H207"/>
  <c r="H133"/>
  <c r="H143"/>
  <c r="H153"/>
  <c r="H163"/>
  <c r="H184"/>
  <c r="H208"/>
  <c r="H131"/>
  <c r="H141"/>
  <c r="H151"/>
  <c r="H161"/>
  <c r="H178"/>
  <c r="H181"/>
  <c r="H185"/>
  <c r="H189"/>
  <c r="H200"/>
  <c r="H205"/>
  <c r="H273"/>
  <c r="H173"/>
  <c r="H183"/>
  <c r="H193"/>
  <c r="H201"/>
  <c r="H203"/>
  <c r="H261"/>
  <c r="H176"/>
  <c r="H186"/>
  <c r="H196"/>
  <c r="H209"/>
  <c r="H236"/>
  <c r="H247"/>
  <c r="H199"/>
  <c r="H204"/>
  <c r="H210"/>
  <c r="H216"/>
  <c r="H226"/>
  <c r="H231"/>
  <c r="H211"/>
  <c r="H220"/>
  <c r="H232"/>
  <c r="H271"/>
  <c r="H228"/>
  <c r="H233"/>
  <c r="H238"/>
  <c r="H249"/>
  <c r="H212"/>
  <c r="H218"/>
  <c r="H221"/>
  <c r="H234"/>
  <c r="H229"/>
  <c r="H239"/>
  <c r="H242"/>
  <c r="H217"/>
  <c r="H227"/>
  <c r="H237"/>
  <c r="H251"/>
  <c r="H275"/>
  <c r="H230"/>
  <c r="H240"/>
  <c r="H245"/>
  <c r="H252"/>
  <c r="H260"/>
  <c r="H263"/>
  <c r="H265"/>
  <c r="H276"/>
  <c r="H244"/>
  <c r="H254"/>
  <c r="H258"/>
  <c r="H266"/>
  <c r="H270"/>
  <c r="H278"/>
  <c r="H250"/>
  <c r="H262"/>
  <c r="H274"/>
  <c r="H243"/>
  <c r="H253"/>
  <c r="H259"/>
  <c r="H267"/>
  <c r="H269"/>
  <c r="H277"/>
  <c r="H248"/>
  <c r="H256"/>
  <c r="H264"/>
  <c r="H272"/>
  <c r="AB94"/>
  <c r="AB6"/>
  <c r="AB13"/>
  <c r="AB20"/>
  <c r="AB32"/>
  <c r="AB42"/>
  <c r="AB31"/>
  <c r="AB57"/>
  <c r="AB58"/>
  <c r="AB5"/>
  <c r="AB21"/>
  <c r="AB10"/>
  <c r="AB19"/>
  <c r="AB163"/>
  <c r="AB9"/>
  <c r="AB67"/>
  <c r="AB7"/>
  <c r="AB41"/>
  <c r="AB53"/>
  <c r="AB74"/>
  <c r="AB50"/>
  <c r="AB71"/>
  <c r="AB23"/>
  <c r="AB40"/>
  <c r="AB100"/>
  <c r="AB16"/>
  <c r="AB22"/>
  <c r="AB52"/>
  <c r="AB61"/>
  <c r="AB8"/>
  <c r="AB11"/>
  <c r="AB14"/>
  <c r="AB29"/>
  <c r="AB33"/>
  <c r="AB43"/>
  <c r="AB47"/>
  <c r="AB51"/>
  <c r="AB86"/>
  <c r="AB12"/>
  <c r="AB30"/>
  <c r="AB39"/>
  <c r="AB49"/>
  <c r="AB68"/>
  <c r="AB69"/>
  <c r="AB128"/>
  <c r="AB66"/>
  <c r="AB84"/>
  <c r="AB18"/>
  <c r="AB28"/>
  <c r="AB36"/>
  <c r="AB38"/>
  <c r="AB46"/>
  <c r="AB56"/>
  <c r="AB76"/>
  <c r="AB77"/>
  <c r="AB96"/>
  <c r="AB107"/>
  <c r="AB24"/>
  <c r="AB34"/>
  <c r="AB44"/>
  <c r="AB54"/>
  <c r="AB89"/>
  <c r="AB105"/>
  <c r="AB110"/>
  <c r="AB130"/>
  <c r="AB162"/>
  <c r="AB175"/>
  <c r="AB17"/>
  <c r="AB25"/>
  <c r="AB27"/>
  <c r="AB35"/>
  <c r="AB45"/>
  <c r="AB55"/>
  <c r="AB60"/>
  <c r="AB64"/>
  <c r="AB78"/>
  <c r="AB106"/>
  <c r="AB79"/>
  <c r="AB87"/>
  <c r="AB88"/>
  <c r="AB97"/>
  <c r="AB120"/>
  <c r="AB161"/>
  <c r="AB188"/>
  <c r="AB189"/>
  <c r="AB275"/>
  <c r="AB142"/>
  <c r="AB131"/>
  <c r="AB174"/>
  <c r="AB176"/>
  <c r="AB62"/>
  <c r="AB72"/>
  <c r="AB80"/>
  <c r="AB82"/>
  <c r="AB90"/>
  <c r="AB115"/>
  <c r="AB117"/>
  <c r="AB123"/>
  <c r="AB141"/>
  <c r="AB143"/>
  <c r="AB168"/>
  <c r="AB199"/>
  <c r="AB205"/>
  <c r="AB210"/>
  <c r="AB65"/>
  <c r="AB75"/>
  <c r="AB85"/>
  <c r="AB95"/>
  <c r="AB98"/>
  <c r="AB108"/>
  <c r="AB63"/>
  <c r="AB73"/>
  <c r="AB83"/>
  <c r="AB91"/>
  <c r="AB93"/>
  <c r="AB113"/>
  <c r="AB118"/>
  <c r="AB127"/>
  <c r="AB132"/>
  <c r="AB193"/>
  <c r="AB101"/>
  <c r="AB111"/>
  <c r="AB121"/>
  <c r="AB150"/>
  <c r="AB218"/>
  <c r="AB267"/>
  <c r="AB116"/>
  <c r="AB124"/>
  <c r="AB126"/>
  <c r="AB133"/>
  <c r="AB151"/>
  <c r="AB152"/>
  <c r="AB264"/>
  <c r="AB99"/>
  <c r="AB109"/>
  <c r="AB119"/>
  <c r="AB129"/>
  <c r="AB102"/>
  <c r="AB104"/>
  <c r="AB112"/>
  <c r="AB122"/>
  <c r="AB140"/>
  <c r="AB153"/>
  <c r="AB160"/>
  <c r="AB167"/>
  <c r="AB181"/>
  <c r="AB194"/>
  <c r="AB222"/>
  <c r="AB239"/>
  <c r="AB138"/>
  <c r="AB146"/>
  <c r="AB148"/>
  <c r="AB156"/>
  <c r="AB166"/>
  <c r="AB171"/>
  <c r="AB179"/>
  <c r="AB186"/>
  <c r="AB201"/>
  <c r="AB216"/>
  <c r="AB134"/>
  <c r="AB144"/>
  <c r="AB154"/>
  <c r="AB164"/>
  <c r="AB183"/>
  <c r="AB139"/>
  <c r="AB149"/>
  <c r="AB157"/>
  <c r="AB159"/>
  <c r="AB173"/>
  <c r="AB206"/>
  <c r="AB220"/>
  <c r="AB135"/>
  <c r="AB137"/>
  <c r="AB145"/>
  <c r="AB155"/>
  <c r="AB165"/>
  <c r="AB170"/>
  <c r="AB178"/>
  <c r="AB184"/>
  <c r="AB185"/>
  <c r="AB198"/>
  <c r="AB203"/>
  <c r="AB228"/>
  <c r="AB272"/>
  <c r="AB196"/>
  <c r="AB217"/>
  <c r="AB277"/>
  <c r="AB177"/>
  <c r="AB187"/>
  <c r="AB197"/>
  <c r="AB219"/>
  <c r="AB226"/>
  <c r="AB237"/>
  <c r="AB238"/>
  <c r="AB253"/>
  <c r="AB172"/>
  <c r="AB182"/>
  <c r="AB190"/>
  <c r="AB192"/>
  <c r="AB200"/>
  <c r="AB204"/>
  <c r="AB248"/>
  <c r="AB259"/>
  <c r="AB195"/>
  <c r="AB209"/>
  <c r="AB229"/>
  <c r="AB251"/>
  <c r="AB207"/>
  <c r="AB214"/>
  <c r="AB230"/>
  <c r="AB240"/>
  <c r="AB243"/>
  <c r="AB261"/>
  <c r="AB269"/>
  <c r="AB212"/>
  <c r="AB227"/>
  <c r="AB256"/>
  <c r="AB208"/>
  <c r="AB215"/>
  <c r="AB232"/>
  <c r="AB223"/>
  <c r="AB225"/>
  <c r="AB233"/>
  <c r="AB245"/>
  <c r="AB265"/>
  <c r="AB211"/>
  <c r="AB221"/>
  <c r="AB231"/>
  <c r="AB241"/>
  <c r="AB234"/>
  <c r="AB236"/>
  <c r="AB247"/>
  <c r="AB255"/>
  <c r="AB271"/>
  <c r="AB250"/>
  <c r="AB262"/>
  <c r="AB274"/>
  <c r="AB244"/>
  <c r="AB254"/>
  <c r="AB258"/>
  <c r="AB266"/>
  <c r="AB270"/>
  <c r="AB278"/>
  <c r="AB249"/>
  <c r="AB263"/>
  <c r="AB273"/>
  <c r="AB242"/>
  <c r="AB252"/>
  <c r="AB260"/>
  <c r="AB276"/>
  <c r="AO21"/>
  <c r="AO19"/>
  <c r="AO16"/>
  <c r="AO139"/>
  <c r="AO7"/>
  <c r="AO46"/>
  <c r="AO68"/>
  <c r="AO197"/>
  <c r="AO13"/>
  <c r="AO14"/>
  <c r="AO20"/>
  <c r="AO50"/>
  <c r="AO66"/>
  <c r="AO78"/>
  <c r="AO31"/>
  <c r="AO40"/>
  <c r="AO10"/>
  <c r="AO29"/>
  <c r="AO56"/>
  <c r="AO172"/>
  <c r="AO8"/>
  <c r="AO28"/>
  <c r="AO32"/>
  <c r="AO127"/>
  <c r="AO5"/>
  <c r="AO38"/>
  <c r="AO42"/>
  <c r="AO47"/>
  <c r="AO58"/>
  <c r="AO95"/>
  <c r="AO36"/>
  <c r="AO41"/>
  <c r="AO51"/>
  <c r="AO9"/>
  <c r="AO12"/>
  <c r="AO57"/>
  <c r="AO75"/>
  <c r="AO208"/>
  <c r="AO6"/>
  <c r="AO18"/>
  <c r="AO22"/>
  <c r="AO52"/>
  <c r="AO63"/>
  <c r="AO11"/>
  <c r="AO30"/>
  <c r="AO39"/>
  <c r="AO49"/>
  <c r="AO129"/>
  <c r="AO142"/>
  <c r="AO162"/>
  <c r="AO85"/>
  <c r="AO203"/>
  <c r="AO247"/>
  <c r="AO17"/>
  <c r="AO25"/>
  <c r="AO27"/>
  <c r="AO35"/>
  <c r="AO45"/>
  <c r="AO55"/>
  <c r="AO67"/>
  <c r="AO77"/>
  <c r="AO93"/>
  <c r="AO192"/>
  <c r="AO23"/>
  <c r="AO33"/>
  <c r="AO43"/>
  <c r="AO53"/>
  <c r="AO76"/>
  <c r="AO24"/>
  <c r="AO34"/>
  <c r="AO44"/>
  <c r="AO54"/>
  <c r="AO60"/>
  <c r="AO65"/>
  <c r="AO73"/>
  <c r="AO83"/>
  <c r="AO183"/>
  <c r="AO88"/>
  <c r="AO102"/>
  <c r="AO105"/>
  <c r="AO107"/>
  <c r="AO140"/>
  <c r="AO159"/>
  <c r="AO86"/>
  <c r="AO91"/>
  <c r="AO109"/>
  <c r="AO126"/>
  <c r="AO141"/>
  <c r="AO161"/>
  <c r="AO182"/>
  <c r="AO198"/>
  <c r="AO87"/>
  <c r="AO106"/>
  <c r="AO119"/>
  <c r="AO61"/>
  <c r="AO69"/>
  <c r="AO71"/>
  <c r="AO79"/>
  <c r="AO89"/>
  <c r="AO96"/>
  <c r="AO99"/>
  <c r="AO122"/>
  <c r="AO64"/>
  <c r="AO74"/>
  <c r="AO84"/>
  <c r="AO116"/>
  <c r="AO124"/>
  <c r="AO218"/>
  <c r="AO237"/>
  <c r="AO62"/>
  <c r="AO72"/>
  <c r="AO80"/>
  <c r="AO82"/>
  <c r="AO90"/>
  <c r="AO94"/>
  <c r="AO97"/>
  <c r="AO100"/>
  <c r="AO104"/>
  <c r="AO112"/>
  <c r="AO117"/>
  <c r="AO160"/>
  <c r="AO170"/>
  <c r="AO185"/>
  <c r="AO110"/>
  <c r="AO120"/>
  <c r="AO131"/>
  <c r="AO113"/>
  <c r="AO115"/>
  <c r="AO123"/>
  <c r="AO130"/>
  <c r="AO132"/>
  <c r="AO149"/>
  <c r="AO157"/>
  <c r="AO177"/>
  <c r="AO223"/>
  <c r="AO239"/>
  <c r="AO98"/>
  <c r="AO108"/>
  <c r="AO118"/>
  <c r="AO128"/>
  <c r="AO150"/>
  <c r="AO151"/>
  <c r="AO178"/>
  <c r="AO193"/>
  <c r="AO215"/>
  <c r="AO101"/>
  <c r="AO111"/>
  <c r="AO121"/>
  <c r="AO152"/>
  <c r="AO214"/>
  <c r="AO135"/>
  <c r="AO137"/>
  <c r="AO145"/>
  <c r="AO155"/>
  <c r="AO165"/>
  <c r="AO167"/>
  <c r="AO187"/>
  <c r="AO190"/>
  <c r="AO200"/>
  <c r="AO133"/>
  <c r="AO143"/>
  <c r="AO153"/>
  <c r="AO163"/>
  <c r="AO173"/>
  <c r="AO184"/>
  <c r="AO201"/>
  <c r="AO227"/>
  <c r="AO266"/>
  <c r="AO138"/>
  <c r="AO146"/>
  <c r="AO148"/>
  <c r="AO156"/>
  <c r="AO166"/>
  <c r="AO168"/>
  <c r="AO174"/>
  <c r="AO188"/>
  <c r="AO236"/>
  <c r="AO278"/>
  <c r="AO134"/>
  <c r="AO144"/>
  <c r="AO154"/>
  <c r="AO164"/>
  <c r="AO175"/>
  <c r="AO221"/>
  <c r="AO229"/>
  <c r="AO234"/>
  <c r="AO195"/>
  <c r="AO204"/>
  <c r="AO212"/>
  <c r="AO217"/>
  <c r="AO176"/>
  <c r="AO186"/>
  <c r="AO196"/>
  <c r="AO205"/>
  <c r="AO209"/>
  <c r="AO254"/>
  <c r="AO271"/>
  <c r="AO171"/>
  <c r="AO179"/>
  <c r="AO181"/>
  <c r="AO189"/>
  <c r="AO199"/>
  <c r="AO194"/>
  <c r="AO226"/>
  <c r="AO238"/>
  <c r="AO206"/>
  <c r="AO228"/>
  <c r="AO270"/>
  <c r="AO216"/>
  <c r="AO219"/>
  <c r="AO231"/>
  <c r="AO242"/>
  <c r="AO244"/>
  <c r="AO255"/>
  <c r="AO258"/>
  <c r="AO274"/>
  <c r="AO207"/>
  <c r="AO211"/>
  <c r="AO225"/>
  <c r="AO250"/>
  <c r="AO262"/>
  <c r="AO222"/>
  <c r="AO232"/>
  <c r="AO210"/>
  <c r="AO220"/>
  <c r="AO230"/>
  <c r="AO240"/>
  <c r="AO245"/>
  <c r="AO252"/>
  <c r="AO260"/>
  <c r="AO265"/>
  <c r="AO276"/>
  <c r="AO233"/>
  <c r="AO249"/>
  <c r="AO263"/>
  <c r="AO273"/>
  <c r="AO243"/>
  <c r="AO253"/>
  <c r="AO259"/>
  <c r="AO267"/>
  <c r="AO269"/>
  <c r="AO277"/>
  <c r="AO248"/>
  <c r="AO256"/>
  <c r="AO264"/>
  <c r="AO272"/>
  <c r="AO241"/>
  <c r="AO251"/>
  <c r="AO261"/>
  <c r="AO275"/>
  <c r="AJ23"/>
  <c r="AJ5"/>
  <c r="AJ57"/>
  <c r="AJ127"/>
  <c r="AJ47"/>
  <c r="AJ30"/>
  <c r="AJ68"/>
  <c r="AJ96"/>
  <c r="AJ113"/>
  <c r="AJ52"/>
  <c r="AJ21"/>
  <c r="AJ51"/>
  <c r="AJ11"/>
  <c r="AJ123"/>
  <c r="AJ6"/>
  <c r="AJ13"/>
  <c r="AJ41"/>
  <c r="AJ42"/>
  <c r="AJ66"/>
  <c r="AJ31"/>
  <c r="AJ14"/>
  <c r="AJ22"/>
  <c r="AJ29"/>
  <c r="AJ50"/>
  <c r="AJ67"/>
  <c r="AJ8"/>
  <c r="AJ9"/>
  <c r="AJ10"/>
  <c r="AJ39"/>
  <c r="AJ49"/>
  <c r="AJ69"/>
  <c r="AJ7"/>
  <c r="AJ20"/>
  <c r="AJ32"/>
  <c r="AJ43"/>
  <c r="AJ53"/>
  <c r="AJ168"/>
  <c r="AJ16"/>
  <c r="AJ40"/>
  <c r="AJ77"/>
  <c r="AJ128"/>
  <c r="AJ12"/>
  <c r="AJ19"/>
  <c r="AJ33"/>
  <c r="AJ58"/>
  <c r="AJ71"/>
  <c r="AJ79"/>
  <c r="AJ76"/>
  <c r="AJ108"/>
  <c r="AJ110"/>
  <c r="AJ151"/>
  <c r="AJ18"/>
  <c r="AJ28"/>
  <c r="AJ36"/>
  <c r="AJ38"/>
  <c r="AJ46"/>
  <c r="AJ56"/>
  <c r="AJ60"/>
  <c r="AJ64"/>
  <c r="AJ78"/>
  <c r="AJ88"/>
  <c r="AJ89"/>
  <c r="AJ152"/>
  <c r="AJ24"/>
  <c r="AJ34"/>
  <c r="AJ44"/>
  <c r="AJ54"/>
  <c r="AJ61"/>
  <c r="AJ74"/>
  <c r="AJ87"/>
  <c r="AJ94"/>
  <c r="AJ97"/>
  <c r="AJ201"/>
  <c r="AJ17"/>
  <c r="AJ25"/>
  <c r="AJ27"/>
  <c r="AJ35"/>
  <c r="AJ45"/>
  <c r="AJ55"/>
  <c r="AJ178"/>
  <c r="AJ86"/>
  <c r="AJ98"/>
  <c r="AJ160"/>
  <c r="AJ118"/>
  <c r="AJ84"/>
  <c r="AJ95"/>
  <c r="AJ100"/>
  <c r="AJ115"/>
  <c r="AJ117"/>
  <c r="AJ153"/>
  <c r="AJ198"/>
  <c r="AJ62"/>
  <c r="AJ72"/>
  <c r="AJ80"/>
  <c r="AJ82"/>
  <c r="AJ90"/>
  <c r="AJ105"/>
  <c r="AJ120"/>
  <c r="AJ140"/>
  <c r="AJ65"/>
  <c r="AJ75"/>
  <c r="AJ85"/>
  <c r="AJ106"/>
  <c r="AJ107"/>
  <c r="AJ133"/>
  <c r="AJ150"/>
  <c r="AJ63"/>
  <c r="AJ73"/>
  <c r="AJ83"/>
  <c r="AJ91"/>
  <c r="AJ93"/>
  <c r="AJ130"/>
  <c r="AJ183"/>
  <c r="AJ189"/>
  <c r="AJ219"/>
  <c r="AJ101"/>
  <c r="AJ111"/>
  <c r="AJ121"/>
  <c r="AJ141"/>
  <c r="AJ142"/>
  <c r="AJ161"/>
  <c r="AJ162"/>
  <c r="AJ170"/>
  <c r="AJ181"/>
  <c r="AJ194"/>
  <c r="AJ116"/>
  <c r="AJ124"/>
  <c r="AJ126"/>
  <c r="AJ184"/>
  <c r="AJ185"/>
  <c r="AJ99"/>
  <c r="AJ109"/>
  <c r="AJ119"/>
  <c r="AJ129"/>
  <c r="AJ143"/>
  <c r="AJ163"/>
  <c r="AJ209"/>
  <c r="AJ102"/>
  <c r="AJ104"/>
  <c r="AJ112"/>
  <c r="AJ122"/>
  <c r="AJ131"/>
  <c r="AJ132"/>
  <c r="AJ188"/>
  <c r="AJ193"/>
  <c r="AJ138"/>
  <c r="AJ146"/>
  <c r="AJ148"/>
  <c r="AJ156"/>
  <c r="AJ166"/>
  <c r="AJ174"/>
  <c r="AJ175"/>
  <c r="AJ206"/>
  <c r="AJ212"/>
  <c r="AJ232"/>
  <c r="AJ237"/>
  <c r="AJ275"/>
  <c r="AJ134"/>
  <c r="AJ144"/>
  <c r="AJ154"/>
  <c r="AJ164"/>
  <c r="AJ171"/>
  <c r="AJ179"/>
  <c r="AJ186"/>
  <c r="AJ199"/>
  <c r="AJ203"/>
  <c r="AJ248"/>
  <c r="AJ277"/>
  <c r="AJ139"/>
  <c r="AJ149"/>
  <c r="AJ157"/>
  <c r="AJ159"/>
  <c r="AJ176"/>
  <c r="AJ205"/>
  <c r="AJ210"/>
  <c r="AJ135"/>
  <c r="AJ137"/>
  <c r="AJ145"/>
  <c r="AJ155"/>
  <c r="AJ165"/>
  <c r="AJ167"/>
  <c r="AJ173"/>
  <c r="AJ245"/>
  <c r="AJ196"/>
  <c r="AJ215"/>
  <c r="AJ177"/>
  <c r="AJ187"/>
  <c r="AJ197"/>
  <c r="AJ222"/>
  <c r="AJ259"/>
  <c r="AJ265"/>
  <c r="AJ172"/>
  <c r="AJ182"/>
  <c r="AJ190"/>
  <c r="AJ192"/>
  <c r="AJ200"/>
  <c r="AJ256"/>
  <c r="AJ195"/>
  <c r="AJ204"/>
  <c r="AJ216"/>
  <c r="AJ228"/>
  <c r="AJ269"/>
  <c r="AJ271"/>
  <c r="AJ207"/>
  <c r="AJ217"/>
  <c r="AJ220"/>
  <c r="AJ226"/>
  <c r="AJ229"/>
  <c r="AJ238"/>
  <c r="AJ239"/>
  <c r="AJ264"/>
  <c r="AJ214"/>
  <c r="AJ247"/>
  <c r="AJ251"/>
  <c r="AJ253"/>
  <c r="AJ208"/>
  <c r="AJ218"/>
  <c r="AJ227"/>
  <c r="AJ230"/>
  <c r="AJ240"/>
  <c r="AJ255"/>
  <c r="AJ267"/>
  <c r="AJ272"/>
  <c r="AJ223"/>
  <c r="AJ225"/>
  <c r="AJ233"/>
  <c r="AJ261"/>
  <c r="AJ211"/>
  <c r="AJ221"/>
  <c r="AJ231"/>
  <c r="AJ243"/>
  <c r="AJ234"/>
  <c r="AJ236"/>
  <c r="AJ241"/>
  <c r="AJ250"/>
  <c r="AJ262"/>
  <c r="AJ274"/>
  <c r="AJ244"/>
  <c r="AJ254"/>
  <c r="AJ258"/>
  <c r="AJ266"/>
  <c r="AJ270"/>
  <c r="AJ278"/>
  <c r="AJ249"/>
  <c r="AJ263"/>
  <c r="AJ273"/>
  <c r="AJ242"/>
  <c r="AJ252"/>
  <c r="AJ260"/>
  <c r="AJ276"/>
  <c r="Z41"/>
  <c r="Z89"/>
  <c r="Z31"/>
  <c r="Z51"/>
  <c r="Z88"/>
  <c r="Z32"/>
  <c r="Z43"/>
  <c r="Z8"/>
  <c r="Z12"/>
  <c r="Z35"/>
  <c r="Z108"/>
  <c r="Z33"/>
  <c r="Z45"/>
  <c r="Z55"/>
  <c r="Z17"/>
  <c r="Z27"/>
  <c r="Z54"/>
  <c r="Z60"/>
  <c r="Z110"/>
  <c r="Z9"/>
  <c r="Z11"/>
  <c r="Z42"/>
  <c r="Z63"/>
  <c r="Z80"/>
  <c r="Z83"/>
  <c r="Z117"/>
  <c r="Z5"/>
  <c r="Z24"/>
  <c r="Z71"/>
  <c r="Z72"/>
  <c r="Z7"/>
  <c r="Z10"/>
  <c r="Z13"/>
  <c r="Z23"/>
  <c r="Z44"/>
  <c r="Z53"/>
  <c r="Z73"/>
  <c r="Z96"/>
  <c r="Z163"/>
  <c r="Z22"/>
  <c r="Z52"/>
  <c r="Z61"/>
  <c r="Z90"/>
  <c r="Z6"/>
  <c r="Z14"/>
  <c r="Z16"/>
  <c r="Z21"/>
  <c r="Z25"/>
  <c r="Z34"/>
  <c r="Z78"/>
  <c r="Z99"/>
  <c r="Z93"/>
  <c r="Z20"/>
  <c r="Z30"/>
  <c r="Z40"/>
  <c r="Z50"/>
  <c r="Z58"/>
  <c r="Z66"/>
  <c r="Z155"/>
  <c r="Z170"/>
  <c r="Z18"/>
  <c r="Z28"/>
  <c r="Z36"/>
  <c r="Z38"/>
  <c r="Z46"/>
  <c r="Z56"/>
  <c r="Z62"/>
  <c r="Z68"/>
  <c r="Z76"/>
  <c r="Z82"/>
  <c r="Z122"/>
  <c r="Z19"/>
  <c r="Z29"/>
  <c r="Z39"/>
  <c r="Z47"/>
  <c r="Z49"/>
  <c r="Z57"/>
  <c r="Z69"/>
  <c r="Z79"/>
  <c r="Z135"/>
  <c r="Z127"/>
  <c r="Z129"/>
  <c r="Z153"/>
  <c r="Z112"/>
  <c r="Z120"/>
  <c r="Z104"/>
  <c r="Z154"/>
  <c r="Z162"/>
  <c r="Z86"/>
  <c r="Z91"/>
  <c r="Z185"/>
  <c r="Z64"/>
  <c r="Z74"/>
  <c r="Z84"/>
  <c r="Z94"/>
  <c r="Z97"/>
  <c r="Z100"/>
  <c r="Z102"/>
  <c r="Z107"/>
  <c r="Z142"/>
  <c r="Z200"/>
  <c r="Z201"/>
  <c r="Z67"/>
  <c r="Z77"/>
  <c r="Z87"/>
  <c r="Z130"/>
  <c r="Z143"/>
  <c r="Z190"/>
  <c r="Z65"/>
  <c r="Z75"/>
  <c r="Z85"/>
  <c r="Z95"/>
  <c r="Z98"/>
  <c r="Z109"/>
  <c r="Z119"/>
  <c r="Z177"/>
  <c r="Z188"/>
  <c r="Z105"/>
  <c r="Z113"/>
  <c r="Z115"/>
  <c r="Z123"/>
  <c r="Z132"/>
  <c r="Z144"/>
  <c r="Z164"/>
  <c r="Z178"/>
  <c r="Z118"/>
  <c r="Z128"/>
  <c r="Z101"/>
  <c r="Z111"/>
  <c r="Z121"/>
  <c r="Z133"/>
  <c r="Z137"/>
  <c r="Z145"/>
  <c r="Z152"/>
  <c r="Z165"/>
  <c r="Z106"/>
  <c r="Z116"/>
  <c r="Z124"/>
  <c r="Z126"/>
  <c r="Z134"/>
  <c r="Z182"/>
  <c r="Z183"/>
  <c r="Z207"/>
  <c r="Z245"/>
  <c r="Z259"/>
  <c r="Z140"/>
  <c r="Z150"/>
  <c r="Z160"/>
  <c r="Z168"/>
  <c r="Z175"/>
  <c r="Z193"/>
  <c r="Z229"/>
  <c r="Z138"/>
  <c r="Z146"/>
  <c r="Z148"/>
  <c r="Z156"/>
  <c r="Z166"/>
  <c r="Z172"/>
  <c r="Z186"/>
  <c r="Z131"/>
  <c r="Z141"/>
  <c r="Z151"/>
  <c r="Z161"/>
  <c r="Z176"/>
  <c r="Z187"/>
  <c r="Z195"/>
  <c r="Z214"/>
  <c r="Z255"/>
  <c r="Z139"/>
  <c r="Z149"/>
  <c r="Z157"/>
  <c r="Z159"/>
  <c r="Z167"/>
  <c r="Z173"/>
  <c r="Z192"/>
  <c r="Z196"/>
  <c r="Z241"/>
  <c r="Z198"/>
  <c r="Z205"/>
  <c r="Z222"/>
  <c r="Z267"/>
  <c r="Z171"/>
  <c r="Z179"/>
  <c r="Z181"/>
  <c r="Z189"/>
  <c r="Z199"/>
  <c r="Z203"/>
  <c r="Z206"/>
  <c r="Z216"/>
  <c r="Z174"/>
  <c r="Z184"/>
  <c r="Z194"/>
  <c r="Z208"/>
  <c r="Z210"/>
  <c r="Z239"/>
  <c r="Z197"/>
  <c r="Z204"/>
  <c r="Z219"/>
  <c r="Z231"/>
  <c r="Z232"/>
  <c r="Z234"/>
  <c r="Z265"/>
  <c r="Z209"/>
  <c r="Z211"/>
  <c r="Z226"/>
  <c r="Z217"/>
  <c r="Z220"/>
  <c r="Z230"/>
  <c r="Z240"/>
  <c r="Z271"/>
  <c r="Z273"/>
  <c r="Z212"/>
  <c r="Z218"/>
  <c r="Z221"/>
  <c r="Z228"/>
  <c r="Z236"/>
  <c r="Z247"/>
  <c r="Z249"/>
  <c r="Z227"/>
  <c r="Z237"/>
  <c r="Z243"/>
  <c r="Z250"/>
  <c r="Z262"/>
  <c r="Z274"/>
  <c r="Z215"/>
  <c r="Z223"/>
  <c r="Z225"/>
  <c r="Z233"/>
  <c r="Z263"/>
  <c r="Z238"/>
  <c r="Z253"/>
  <c r="Z269"/>
  <c r="Z277"/>
  <c r="Z242"/>
  <c r="Z252"/>
  <c r="Z260"/>
  <c r="Z276"/>
  <c r="Z248"/>
  <c r="Z256"/>
  <c r="Z264"/>
  <c r="Z272"/>
  <c r="Z251"/>
  <c r="Z261"/>
  <c r="Z275"/>
  <c r="Z244"/>
  <c r="Z254"/>
  <c r="Z258"/>
  <c r="Z266"/>
  <c r="Z270"/>
  <c r="Z278"/>
  <c r="BF35"/>
  <c r="BF94"/>
  <c r="BF69"/>
  <c r="BF91"/>
  <c r="BF52"/>
  <c r="BF7"/>
  <c r="BF55"/>
  <c r="BF8"/>
  <c r="BF24"/>
  <c r="BF66"/>
  <c r="BF201"/>
  <c r="BF78"/>
  <c r="BF154"/>
  <c r="BF183"/>
  <c r="BF11"/>
  <c r="BF41"/>
  <c r="BF95"/>
  <c r="BF162"/>
  <c r="BF182"/>
  <c r="BF16"/>
  <c r="BF34"/>
  <c r="BF45"/>
  <c r="BF82"/>
  <c r="BF13"/>
  <c r="BF31"/>
  <c r="BF44"/>
  <c r="BF54"/>
  <c r="BF204"/>
  <c r="BF10"/>
  <c r="BF25"/>
  <c r="BF27"/>
  <c r="BF53"/>
  <c r="BF90"/>
  <c r="BF5"/>
  <c r="BF22"/>
  <c r="BF33"/>
  <c r="BF43"/>
  <c r="BF68"/>
  <c r="BF117"/>
  <c r="BF9"/>
  <c r="BF12"/>
  <c r="BF21"/>
  <c r="BF42"/>
  <c r="BF51"/>
  <c r="BF6"/>
  <c r="BF14"/>
  <c r="BF17"/>
  <c r="BF23"/>
  <c r="BF32"/>
  <c r="BF62"/>
  <c r="BF71"/>
  <c r="BF79"/>
  <c r="BF153"/>
  <c r="BF20"/>
  <c r="BF30"/>
  <c r="BF40"/>
  <c r="BF50"/>
  <c r="BF58"/>
  <c r="BF63"/>
  <c r="BF72"/>
  <c r="BF76"/>
  <c r="BF88"/>
  <c r="BF18"/>
  <c r="BF28"/>
  <c r="BF36"/>
  <c r="BF38"/>
  <c r="BF46"/>
  <c r="BF56"/>
  <c r="BF60"/>
  <c r="BF73"/>
  <c r="BF80"/>
  <c r="BF86"/>
  <c r="BF19"/>
  <c r="BF29"/>
  <c r="BF39"/>
  <c r="BF47"/>
  <c r="BF49"/>
  <c r="BF57"/>
  <c r="BF61"/>
  <c r="BF108"/>
  <c r="BF122"/>
  <c r="BF200"/>
  <c r="BF89"/>
  <c r="BF93"/>
  <c r="BF102"/>
  <c r="BF107"/>
  <c r="BF109"/>
  <c r="BF110"/>
  <c r="BF112"/>
  <c r="BF120"/>
  <c r="BF135"/>
  <c r="BF218"/>
  <c r="BF100"/>
  <c r="BF193"/>
  <c r="BF127"/>
  <c r="BF129"/>
  <c r="BF83"/>
  <c r="BF97"/>
  <c r="BF98"/>
  <c r="BF155"/>
  <c r="BF163"/>
  <c r="BF231"/>
  <c r="BF64"/>
  <c r="BF74"/>
  <c r="BF84"/>
  <c r="BF104"/>
  <c r="BF142"/>
  <c r="BF167"/>
  <c r="BF67"/>
  <c r="BF77"/>
  <c r="BF87"/>
  <c r="BF96"/>
  <c r="BF99"/>
  <c r="BF143"/>
  <c r="BF178"/>
  <c r="BF192"/>
  <c r="BF267"/>
  <c r="BF65"/>
  <c r="BF75"/>
  <c r="BF85"/>
  <c r="BF119"/>
  <c r="BF217"/>
  <c r="BF105"/>
  <c r="BF113"/>
  <c r="BF115"/>
  <c r="BF123"/>
  <c r="BF132"/>
  <c r="BF144"/>
  <c r="BF164"/>
  <c r="BF170"/>
  <c r="BF118"/>
  <c r="BF128"/>
  <c r="BF185"/>
  <c r="BF240"/>
  <c r="BF101"/>
  <c r="BF111"/>
  <c r="BF121"/>
  <c r="BF133"/>
  <c r="BF137"/>
  <c r="BF145"/>
  <c r="BF152"/>
  <c r="BF165"/>
  <c r="BF168"/>
  <c r="BF177"/>
  <c r="BF230"/>
  <c r="BF106"/>
  <c r="BF116"/>
  <c r="BF124"/>
  <c r="BF126"/>
  <c r="BF134"/>
  <c r="BF188"/>
  <c r="BF210"/>
  <c r="BF130"/>
  <c r="BF140"/>
  <c r="BF150"/>
  <c r="BF160"/>
  <c r="BF175"/>
  <c r="BF203"/>
  <c r="BF207"/>
  <c r="BF216"/>
  <c r="BF222"/>
  <c r="BF138"/>
  <c r="BF146"/>
  <c r="BF148"/>
  <c r="BF156"/>
  <c r="BF166"/>
  <c r="BF172"/>
  <c r="BF186"/>
  <c r="BF212"/>
  <c r="BF214"/>
  <c r="BF220"/>
  <c r="BF131"/>
  <c r="BF141"/>
  <c r="BF151"/>
  <c r="BF161"/>
  <c r="BF176"/>
  <c r="BF187"/>
  <c r="BF195"/>
  <c r="BF211"/>
  <c r="BF259"/>
  <c r="BF273"/>
  <c r="BF139"/>
  <c r="BF149"/>
  <c r="BF157"/>
  <c r="BF159"/>
  <c r="BF173"/>
  <c r="BF190"/>
  <c r="BF196"/>
  <c r="BF198"/>
  <c r="BF206"/>
  <c r="BF221"/>
  <c r="BF236"/>
  <c r="BF271"/>
  <c r="BF171"/>
  <c r="BF179"/>
  <c r="BF181"/>
  <c r="BF189"/>
  <c r="BF199"/>
  <c r="BF219"/>
  <c r="BF174"/>
  <c r="BF184"/>
  <c r="BF194"/>
  <c r="BF205"/>
  <c r="BF208"/>
  <c r="BF197"/>
  <c r="BF209"/>
  <c r="BF226"/>
  <c r="BF245"/>
  <c r="BF265"/>
  <c r="BF232"/>
  <c r="BF247"/>
  <c r="BF249"/>
  <c r="BF228"/>
  <c r="BF229"/>
  <c r="BF234"/>
  <c r="BF239"/>
  <c r="BF255"/>
  <c r="BF227"/>
  <c r="BF237"/>
  <c r="BF243"/>
  <c r="BF250"/>
  <c r="BF262"/>
  <c r="BF274"/>
  <c r="BF215"/>
  <c r="BF223"/>
  <c r="BF225"/>
  <c r="BF233"/>
  <c r="BF263"/>
  <c r="BF238"/>
  <c r="BF253"/>
  <c r="BF269"/>
  <c r="BF277"/>
  <c r="BF242"/>
  <c r="BF252"/>
  <c r="BF260"/>
  <c r="BF276"/>
  <c r="BF248"/>
  <c r="BF256"/>
  <c r="BF264"/>
  <c r="BF272"/>
  <c r="BF241"/>
  <c r="BF251"/>
  <c r="BF261"/>
  <c r="BF275"/>
  <c r="BF244"/>
  <c r="BF254"/>
  <c r="BF258"/>
  <c r="BF266"/>
  <c r="BF270"/>
  <c r="BF278"/>
  <c r="AG85"/>
  <c r="AG201"/>
  <c r="AG57"/>
  <c r="AG87"/>
  <c r="AG39"/>
  <c r="AG5"/>
  <c r="AG9"/>
  <c r="AG16"/>
  <c r="AG52"/>
  <c r="AG19"/>
  <c r="AG49"/>
  <c r="AG40"/>
  <c r="AG36"/>
  <c r="AG174"/>
  <c r="AG7"/>
  <c r="AG8"/>
  <c r="AG47"/>
  <c r="AG192"/>
  <c r="AG42"/>
  <c r="AG58"/>
  <c r="AG236"/>
  <c r="AG18"/>
  <c r="AG30"/>
  <c r="AG51"/>
  <c r="AG77"/>
  <c r="AG91"/>
  <c r="AG200"/>
  <c r="AG13"/>
  <c r="AG14"/>
  <c r="AG22"/>
  <c r="AG29"/>
  <c r="AG10"/>
  <c r="AG12"/>
  <c r="AG21"/>
  <c r="AG6"/>
  <c r="AG28"/>
  <c r="AG38"/>
  <c r="AG68"/>
  <c r="AG86"/>
  <c r="AG20"/>
  <c r="AG31"/>
  <c r="AG41"/>
  <c r="AG50"/>
  <c r="AG76"/>
  <c r="AG11"/>
  <c r="AG32"/>
  <c r="AG46"/>
  <c r="AG56"/>
  <c r="AG66"/>
  <c r="AG97"/>
  <c r="AG94"/>
  <c r="AG17"/>
  <c r="AG25"/>
  <c r="AG27"/>
  <c r="AG35"/>
  <c r="AG45"/>
  <c r="AG55"/>
  <c r="AG63"/>
  <c r="AG75"/>
  <c r="AG105"/>
  <c r="AG23"/>
  <c r="AG33"/>
  <c r="AG43"/>
  <c r="AG53"/>
  <c r="AG60"/>
  <c r="AG65"/>
  <c r="AG73"/>
  <c r="AG78"/>
  <c r="AG88"/>
  <c r="AG24"/>
  <c r="AG34"/>
  <c r="AG44"/>
  <c r="AG54"/>
  <c r="AG67"/>
  <c r="AG95"/>
  <c r="AG112"/>
  <c r="AG116"/>
  <c r="AG193"/>
  <c r="AG93"/>
  <c r="AG100"/>
  <c r="AG122"/>
  <c r="AG124"/>
  <c r="AG149"/>
  <c r="AG99"/>
  <c r="AG102"/>
  <c r="AG106"/>
  <c r="AG107"/>
  <c r="AG109"/>
  <c r="AG117"/>
  <c r="AG152"/>
  <c r="AG208"/>
  <c r="AG215"/>
  <c r="AG127"/>
  <c r="AG187"/>
  <c r="AG83"/>
  <c r="AG96"/>
  <c r="AG61"/>
  <c r="AG69"/>
  <c r="AG71"/>
  <c r="AG79"/>
  <c r="AG89"/>
  <c r="AG104"/>
  <c r="AG119"/>
  <c r="AG126"/>
  <c r="AG64"/>
  <c r="AG74"/>
  <c r="AG84"/>
  <c r="AG131"/>
  <c r="AG132"/>
  <c r="AG177"/>
  <c r="AG188"/>
  <c r="AG62"/>
  <c r="AG72"/>
  <c r="AG80"/>
  <c r="AG82"/>
  <c r="AG90"/>
  <c r="AG129"/>
  <c r="AG150"/>
  <c r="AG151"/>
  <c r="AG157"/>
  <c r="AG110"/>
  <c r="AG120"/>
  <c r="AG130"/>
  <c r="AG139"/>
  <c r="AG159"/>
  <c r="AG182"/>
  <c r="AG113"/>
  <c r="AG115"/>
  <c r="AG123"/>
  <c r="AG140"/>
  <c r="AG141"/>
  <c r="AG160"/>
  <c r="AG161"/>
  <c r="AG167"/>
  <c r="AG183"/>
  <c r="AG98"/>
  <c r="AG108"/>
  <c r="AG118"/>
  <c r="AG128"/>
  <c r="AG142"/>
  <c r="AG162"/>
  <c r="AG204"/>
  <c r="AG228"/>
  <c r="AG101"/>
  <c r="AG111"/>
  <c r="AG121"/>
  <c r="AG135"/>
  <c r="AG137"/>
  <c r="AG145"/>
  <c r="AG155"/>
  <c r="AG165"/>
  <c r="AG173"/>
  <c r="AG184"/>
  <c r="AG247"/>
  <c r="AG133"/>
  <c r="AG143"/>
  <c r="AG153"/>
  <c r="AG163"/>
  <c r="AG168"/>
  <c r="AG170"/>
  <c r="AG178"/>
  <c r="AG185"/>
  <c r="AG197"/>
  <c r="AG209"/>
  <c r="AG255"/>
  <c r="AG138"/>
  <c r="AG146"/>
  <c r="AG148"/>
  <c r="AG156"/>
  <c r="AG166"/>
  <c r="AG175"/>
  <c r="AG198"/>
  <c r="AG134"/>
  <c r="AG144"/>
  <c r="AG154"/>
  <c r="AG164"/>
  <c r="AG172"/>
  <c r="AG190"/>
  <c r="AG205"/>
  <c r="AG195"/>
  <c r="AG250"/>
  <c r="AG252"/>
  <c r="AG176"/>
  <c r="AG186"/>
  <c r="AG196"/>
  <c r="AG214"/>
  <c r="AG218"/>
  <c r="AG231"/>
  <c r="AG262"/>
  <c r="AG171"/>
  <c r="AG179"/>
  <c r="AG181"/>
  <c r="AG189"/>
  <c r="AG199"/>
  <c r="AG212"/>
  <c r="AG227"/>
  <c r="AG276"/>
  <c r="AG194"/>
  <c r="AG203"/>
  <c r="AG211"/>
  <c r="AG221"/>
  <c r="AG206"/>
  <c r="AG216"/>
  <c r="AG219"/>
  <c r="AG245"/>
  <c r="AG265"/>
  <c r="AG271"/>
  <c r="AG225"/>
  <c r="AG237"/>
  <c r="AG238"/>
  <c r="AG260"/>
  <c r="AG207"/>
  <c r="AG217"/>
  <c r="AG223"/>
  <c r="AG226"/>
  <c r="AG229"/>
  <c r="AG234"/>
  <c r="AG239"/>
  <c r="AG244"/>
  <c r="AG274"/>
  <c r="AG222"/>
  <c r="AG232"/>
  <c r="AG254"/>
  <c r="AG258"/>
  <c r="AG266"/>
  <c r="AG270"/>
  <c r="AG278"/>
  <c r="AG210"/>
  <c r="AG220"/>
  <c r="AG230"/>
  <c r="AG240"/>
  <c r="AG233"/>
  <c r="AG242"/>
  <c r="AG249"/>
  <c r="AG263"/>
  <c r="AG273"/>
  <c r="AG243"/>
  <c r="AG253"/>
  <c r="AG259"/>
  <c r="AG267"/>
  <c r="AG269"/>
  <c r="AG277"/>
  <c r="AG248"/>
  <c r="AG256"/>
  <c r="AG264"/>
  <c r="AG272"/>
  <c r="AG241"/>
  <c r="AG251"/>
  <c r="AG261"/>
  <c r="AG275"/>
  <c r="BB9"/>
  <c r="BB45"/>
  <c r="BB38"/>
  <c r="BB8"/>
  <c r="BB36"/>
  <c r="BB11"/>
  <c r="BB179"/>
  <c r="BB46"/>
  <c r="BB102"/>
  <c r="BB25"/>
  <c r="BB80"/>
  <c r="BB14"/>
  <c r="BB29"/>
  <c r="BB40"/>
  <c r="BB58"/>
  <c r="BB86"/>
  <c r="BB20"/>
  <c r="BB31"/>
  <c r="BB77"/>
  <c r="BB41"/>
  <c r="BB123"/>
  <c r="BB27"/>
  <c r="BB51"/>
  <c r="BB56"/>
  <c r="BB13"/>
  <c r="BB90"/>
  <c r="BB101"/>
  <c r="BB12"/>
  <c r="BB18"/>
  <c r="BB47"/>
  <c r="BB5"/>
  <c r="BB6"/>
  <c r="BB17"/>
  <c r="BB50"/>
  <c r="BB55"/>
  <c r="BB64"/>
  <c r="BB21"/>
  <c r="BB66"/>
  <c r="BB28"/>
  <c r="BB74"/>
  <c r="BB7"/>
  <c r="BB19"/>
  <c r="BB57"/>
  <c r="BB62"/>
  <c r="BB85"/>
  <c r="BB126"/>
  <c r="BB10"/>
  <c r="BB30"/>
  <c r="BB35"/>
  <c r="BB39"/>
  <c r="BB49"/>
  <c r="BB72"/>
  <c r="BB95"/>
  <c r="BB106"/>
  <c r="BB115"/>
  <c r="BB138"/>
  <c r="BB65"/>
  <c r="BB111"/>
  <c r="BB16"/>
  <c r="BB24"/>
  <c r="BB34"/>
  <c r="BB44"/>
  <c r="BB54"/>
  <c r="BB67"/>
  <c r="BB96"/>
  <c r="BB190"/>
  <c r="BB22"/>
  <c r="BB32"/>
  <c r="BB42"/>
  <c r="BB52"/>
  <c r="BB76"/>
  <c r="BB84"/>
  <c r="BB23"/>
  <c r="BB33"/>
  <c r="BB43"/>
  <c r="BB53"/>
  <c r="BB75"/>
  <c r="BB100"/>
  <c r="BB82"/>
  <c r="BB98"/>
  <c r="BB151"/>
  <c r="BB105"/>
  <c r="BB124"/>
  <c r="BB146"/>
  <c r="BB166"/>
  <c r="BB236"/>
  <c r="BB99"/>
  <c r="BB113"/>
  <c r="BB116"/>
  <c r="BB238"/>
  <c r="BB87"/>
  <c r="BB118"/>
  <c r="BB60"/>
  <c r="BB68"/>
  <c r="BB78"/>
  <c r="BB88"/>
  <c r="BB94"/>
  <c r="BB108"/>
  <c r="BB128"/>
  <c r="BB159"/>
  <c r="BB160"/>
  <c r="BB161"/>
  <c r="BB63"/>
  <c r="BB73"/>
  <c r="BB83"/>
  <c r="BB91"/>
  <c r="BB93"/>
  <c r="BB121"/>
  <c r="BB187"/>
  <c r="BB61"/>
  <c r="BB69"/>
  <c r="BB71"/>
  <c r="BB79"/>
  <c r="BB89"/>
  <c r="BB104"/>
  <c r="BB139"/>
  <c r="BB140"/>
  <c r="BB141"/>
  <c r="BB109"/>
  <c r="BB119"/>
  <c r="BB129"/>
  <c r="BB183"/>
  <c r="BB196"/>
  <c r="BB228"/>
  <c r="BB112"/>
  <c r="BB122"/>
  <c r="BB130"/>
  <c r="BB199"/>
  <c r="BB227"/>
  <c r="BB97"/>
  <c r="BB107"/>
  <c r="BB117"/>
  <c r="BB127"/>
  <c r="BB131"/>
  <c r="BB148"/>
  <c r="BB156"/>
  <c r="BB171"/>
  <c r="BB172"/>
  <c r="BB184"/>
  <c r="BB208"/>
  <c r="BB110"/>
  <c r="BB120"/>
  <c r="BB149"/>
  <c r="BB150"/>
  <c r="BB157"/>
  <c r="BB173"/>
  <c r="BB186"/>
  <c r="BB134"/>
  <c r="BB144"/>
  <c r="BB154"/>
  <c r="BB164"/>
  <c r="BB177"/>
  <c r="BB194"/>
  <c r="BB197"/>
  <c r="BB233"/>
  <c r="BB258"/>
  <c r="BB269"/>
  <c r="BB270"/>
  <c r="BB132"/>
  <c r="BB142"/>
  <c r="BB152"/>
  <c r="BB162"/>
  <c r="BB174"/>
  <c r="BB200"/>
  <c r="BB203"/>
  <c r="BB209"/>
  <c r="BB215"/>
  <c r="BB135"/>
  <c r="BB137"/>
  <c r="BB145"/>
  <c r="BB155"/>
  <c r="BB165"/>
  <c r="BB181"/>
  <c r="BB189"/>
  <c r="BB234"/>
  <c r="BB133"/>
  <c r="BB143"/>
  <c r="BB153"/>
  <c r="BB163"/>
  <c r="BB167"/>
  <c r="BB176"/>
  <c r="BB182"/>
  <c r="BB192"/>
  <c r="BB240"/>
  <c r="BB212"/>
  <c r="BB278"/>
  <c r="BB175"/>
  <c r="BB185"/>
  <c r="BB195"/>
  <c r="BB168"/>
  <c r="BB170"/>
  <c r="BB178"/>
  <c r="BB188"/>
  <c r="BB198"/>
  <c r="BB210"/>
  <c r="BB216"/>
  <c r="BB223"/>
  <c r="BB230"/>
  <c r="BB263"/>
  <c r="BB193"/>
  <c r="BB201"/>
  <c r="BB204"/>
  <c r="BB207"/>
  <c r="BB225"/>
  <c r="BB266"/>
  <c r="BB205"/>
  <c r="BB211"/>
  <c r="BB217"/>
  <c r="BB220"/>
  <c r="BB243"/>
  <c r="BB261"/>
  <c r="BB214"/>
  <c r="BB222"/>
  <c r="BB254"/>
  <c r="BB273"/>
  <c r="BB277"/>
  <c r="BB206"/>
  <c r="BB218"/>
  <c r="BB221"/>
  <c r="BB226"/>
  <c r="BB237"/>
  <c r="BB249"/>
  <c r="BB253"/>
  <c r="BB231"/>
  <c r="BB259"/>
  <c r="BB267"/>
  <c r="BB219"/>
  <c r="BB229"/>
  <c r="BB239"/>
  <c r="BB232"/>
  <c r="BB241"/>
  <c r="BB244"/>
  <c r="BB251"/>
  <c r="BB275"/>
  <c r="BB248"/>
  <c r="BB256"/>
  <c r="BB264"/>
  <c r="BB272"/>
  <c r="BB242"/>
  <c r="BB252"/>
  <c r="BB260"/>
  <c r="BB276"/>
  <c r="BB245"/>
  <c r="BB247"/>
  <c r="BB255"/>
  <c r="BB265"/>
  <c r="BB271"/>
  <c r="BB250"/>
  <c r="BB262"/>
  <c r="BB274"/>
  <c r="AL273"/>
  <c r="AL56"/>
  <c r="AL51"/>
  <c r="AL105"/>
  <c r="AL27"/>
  <c r="AL55"/>
  <c r="AL29"/>
  <c r="AL126"/>
  <c r="AL50"/>
  <c r="AL17"/>
  <c r="AL113"/>
  <c r="AL18"/>
  <c r="AL47"/>
  <c r="AL13"/>
  <c r="AL41"/>
  <c r="AL46"/>
  <c r="AL116"/>
  <c r="AL12"/>
  <c r="AL236"/>
  <c r="AL36"/>
  <c r="AL39"/>
  <c r="AL57"/>
  <c r="AL75"/>
  <c r="AL9"/>
  <c r="AL21"/>
  <c r="AL45"/>
  <c r="AL6"/>
  <c r="AL7"/>
  <c r="AL16"/>
  <c r="AL100"/>
  <c r="AL31"/>
  <c r="AL38"/>
  <c r="AL8"/>
  <c r="AL11"/>
  <c r="AL14"/>
  <c r="AL35"/>
  <c r="AL40"/>
  <c r="AL58"/>
  <c r="AL160"/>
  <c r="AL5"/>
  <c r="AL19"/>
  <c r="AL30"/>
  <c r="AL49"/>
  <c r="AL82"/>
  <c r="AL10"/>
  <c r="AL20"/>
  <c r="AL25"/>
  <c r="AL28"/>
  <c r="AL62"/>
  <c r="AL64"/>
  <c r="AL76"/>
  <c r="AL24"/>
  <c r="AL34"/>
  <c r="AL44"/>
  <c r="AL54"/>
  <c r="AL65"/>
  <c r="AL66"/>
  <c r="AL74"/>
  <c r="AL87"/>
  <c r="AL118"/>
  <c r="AL22"/>
  <c r="AL32"/>
  <c r="AL42"/>
  <c r="AL52"/>
  <c r="AL67"/>
  <c r="AL77"/>
  <c r="AL84"/>
  <c r="AL140"/>
  <c r="AL146"/>
  <c r="AL159"/>
  <c r="AL196"/>
  <c r="AL23"/>
  <c r="AL33"/>
  <c r="AL43"/>
  <c r="AL53"/>
  <c r="AL72"/>
  <c r="AL80"/>
  <c r="AL94"/>
  <c r="AL108"/>
  <c r="AL138"/>
  <c r="AL141"/>
  <c r="AL199"/>
  <c r="AL237"/>
  <c r="AL104"/>
  <c r="AL111"/>
  <c r="AL123"/>
  <c r="AL192"/>
  <c r="AL278"/>
  <c r="AL90"/>
  <c r="AL115"/>
  <c r="AL139"/>
  <c r="AL181"/>
  <c r="AL85"/>
  <c r="AL86"/>
  <c r="AL124"/>
  <c r="AL161"/>
  <c r="AL60"/>
  <c r="AL68"/>
  <c r="AL78"/>
  <c r="AL88"/>
  <c r="AL95"/>
  <c r="AL98"/>
  <c r="AL101"/>
  <c r="AL106"/>
  <c r="AL128"/>
  <c r="AL182"/>
  <c r="AL63"/>
  <c r="AL73"/>
  <c r="AL83"/>
  <c r="AL91"/>
  <c r="AL93"/>
  <c r="AL102"/>
  <c r="AL121"/>
  <c r="AL151"/>
  <c r="AL61"/>
  <c r="AL69"/>
  <c r="AL71"/>
  <c r="AL79"/>
  <c r="AL89"/>
  <c r="AL96"/>
  <c r="AL99"/>
  <c r="AL166"/>
  <c r="AL109"/>
  <c r="AL119"/>
  <c r="AL129"/>
  <c r="AL217"/>
  <c r="AL112"/>
  <c r="AL122"/>
  <c r="AL207"/>
  <c r="AL97"/>
  <c r="AL107"/>
  <c r="AL117"/>
  <c r="AL127"/>
  <c r="AL131"/>
  <c r="AL148"/>
  <c r="AL156"/>
  <c r="AL174"/>
  <c r="AL176"/>
  <c r="AL177"/>
  <c r="AL222"/>
  <c r="AL277"/>
  <c r="AL110"/>
  <c r="AL120"/>
  <c r="AL130"/>
  <c r="AL149"/>
  <c r="AL150"/>
  <c r="AL157"/>
  <c r="AL189"/>
  <c r="AL215"/>
  <c r="AL226"/>
  <c r="AL134"/>
  <c r="AL144"/>
  <c r="AL154"/>
  <c r="AL164"/>
  <c r="AL171"/>
  <c r="AL179"/>
  <c r="AL186"/>
  <c r="AL197"/>
  <c r="AL214"/>
  <c r="AL132"/>
  <c r="AL142"/>
  <c r="AL152"/>
  <c r="AL162"/>
  <c r="AL172"/>
  <c r="AL183"/>
  <c r="AL194"/>
  <c r="AL200"/>
  <c r="AL241"/>
  <c r="AL270"/>
  <c r="AL135"/>
  <c r="AL137"/>
  <c r="AL145"/>
  <c r="AL155"/>
  <c r="AL165"/>
  <c r="AL167"/>
  <c r="AL173"/>
  <c r="AL187"/>
  <c r="AL190"/>
  <c r="AL233"/>
  <c r="AL266"/>
  <c r="AL133"/>
  <c r="AL143"/>
  <c r="AL153"/>
  <c r="AL163"/>
  <c r="AL184"/>
  <c r="AL203"/>
  <c r="AL206"/>
  <c r="AL238"/>
  <c r="AL243"/>
  <c r="AL175"/>
  <c r="AL185"/>
  <c r="AL195"/>
  <c r="AL204"/>
  <c r="AL208"/>
  <c r="AL211"/>
  <c r="AL168"/>
  <c r="AL170"/>
  <c r="AL178"/>
  <c r="AL188"/>
  <c r="AL198"/>
  <c r="AL216"/>
  <c r="AL220"/>
  <c r="AL269"/>
  <c r="AL193"/>
  <c r="AL201"/>
  <c r="AL209"/>
  <c r="AL225"/>
  <c r="AL254"/>
  <c r="AL261"/>
  <c r="AL205"/>
  <c r="AL212"/>
  <c r="AL223"/>
  <c r="AL234"/>
  <c r="AL249"/>
  <c r="AL253"/>
  <c r="AL218"/>
  <c r="AL221"/>
  <c r="AL227"/>
  <c r="AL230"/>
  <c r="AL240"/>
  <c r="AL263"/>
  <c r="AL210"/>
  <c r="AL228"/>
  <c r="AL258"/>
  <c r="AL231"/>
  <c r="AL259"/>
  <c r="AL267"/>
  <c r="AL219"/>
  <c r="AL229"/>
  <c r="AL239"/>
  <c r="AL232"/>
  <c r="AL244"/>
  <c r="AL251"/>
  <c r="AL275"/>
  <c r="AL248"/>
  <c r="AL256"/>
  <c r="AL264"/>
  <c r="AL272"/>
  <c r="AL242"/>
  <c r="AL252"/>
  <c r="AL260"/>
  <c r="AL276"/>
  <c r="AL245"/>
  <c r="AL247"/>
  <c r="AL255"/>
  <c r="AL265"/>
  <c r="AL271"/>
  <c r="AL250"/>
  <c r="AL262"/>
  <c r="AL274"/>
  <c r="AL274" i="2" l="1"/>
  <c r="AL262"/>
  <c r="AL250"/>
  <c r="AL271"/>
  <c r="AL265"/>
  <c r="AL255"/>
  <c r="AL246" i="3"/>
  <c r="AL246" i="2" s="1"/>
  <c r="AL247"/>
  <c r="AL245"/>
  <c r="AL276"/>
  <c r="AL260"/>
  <c r="AL252"/>
  <c r="AL242"/>
  <c r="AL272"/>
  <c r="AL264"/>
  <c r="AL256"/>
  <c r="AL248"/>
  <c r="AL275"/>
  <c r="AL251"/>
  <c r="AL244"/>
  <c r="AL232"/>
  <c r="AL239"/>
  <c r="AL229"/>
  <c r="AL219"/>
  <c r="AL267"/>
  <c r="AL259"/>
  <c r="AL231"/>
  <c r="AL257" i="3"/>
  <c r="AL257" i="2" s="1"/>
  <c r="AL258"/>
  <c r="AL228"/>
  <c r="AL210"/>
  <c r="AL263"/>
  <c r="AL240"/>
  <c r="AL230"/>
  <c r="AL227"/>
  <c r="AL221"/>
  <c r="AL218"/>
  <c r="AL253"/>
  <c r="AL249"/>
  <c r="AL234"/>
  <c r="AL223"/>
  <c r="AL212"/>
  <c r="AL205"/>
  <c r="AL261"/>
  <c r="AL254"/>
  <c r="AL224" i="3"/>
  <c r="AL224" i="2" s="1"/>
  <c r="AL225"/>
  <c r="AL209"/>
  <c r="AL201"/>
  <c r="AL193"/>
  <c r="AL268" i="3"/>
  <c r="AL268" i="2" s="1"/>
  <c r="AL269"/>
  <c r="AL220"/>
  <c r="AL216"/>
  <c r="AL198"/>
  <c r="AL188"/>
  <c r="AL178"/>
  <c r="AL169" i="3"/>
  <c r="AL169" i="2" s="1"/>
  <c r="AL170"/>
  <c r="AL168"/>
  <c r="AL211"/>
  <c r="AL208"/>
  <c r="AL204"/>
  <c r="AL195"/>
  <c r="AL185"/>
  <c r="AL175"/>
  <c r="AL243"/>
  <c r="AL238"/>
  <c r="AL206"/>
  <c r="AL202" i="3"/>
  <c r="AL202" i="2" s="1"/>
  <c r="AL203"/>
  <c r="AL184"/>
  <c r="AL163"/>
  <c r="AL153"/>
  <c r="AL143"/>
  <c r="AL133"/>
  <c r="AL266"/>
  <c r="AL233"/>
  <c r="AL190"/>
  <c r="AL187"/>
  <c r="AL173"/>
  <c r="AL167"/>
  <c r="AL165"/>
  <c r="AL155"/>
  <c r="AL145"/>
  <c r="AL136" i="3"/>
  <c r="AL136" i="2" s="1"/>
  <c r="AL137"/>
  <c r="AL135"/>
  <c r="AL270"/>
  <c r="AL241"/>
  <c r="AL200"/>
  <c r="AL194"/>
  <c r="AL183"/>
  <c r="AL172"/>
  <c r="AL162"/>
  <c r="AL152"/>
  <c r="AL142"/>
  <c r="AL132"/>
  <c r="AL213" i="3"/>
  <c r="AL213" i="2" s="1"/>
  <c r="AL214"/>
  <c r="AL197"/>
  <c r="AL186"/>
  <c r="AL179"/>
  <c r="AL171"/>
  <c r="AL164"/>
  <c r="AL154"/>
  <c r="AL144"/>
  <c r="AL134"/>
  <c r="AL226"/>
  <c r="AL215"/>
  <c r="AL189"/>
  <c r="AL157"/>
  <c r="AL150"/>
  <c r="AL149"/>
  <c r="AL130"/>
  <c r="AL120"/>
  <c r="AL110"/>
  <c r="AL277"/>
  <c r="AL222"/>
  <c r="AL177"/>
  <c r="AL176"/>
  <c r="AL174"/>
  <c r="AL156"/>
  <c r="AL147" i="3"/>
  <c r="AL147" i="2" s="1"/>
  <c r="AL148"/>
  <c r="AL131"/>
  <c r="AL127"/>
  <c r="AL117"/>
  <c r="AL107"/>
  <c r="AL97"/>
  <c r="AL207"/>
  <c r="AL122"/>
  <c r="AL112"/>
  <c r="AL217"/>
  <c r="AL129"/>
  <c r="AL119"/>
  <c r="AL109"/>
  <c r="AL166"/>
  <c r="AL99"/>
  <c r="AL96"/>
  <c r="AL89"/>
  <c r="AL79"/>
  <c r="AL70" i="3"/>
  <c r="AL70" i="2" s="1"/>
  <c r="AL71"/>
  <c r="AL69"/>
  <c r="AL61"/>
  <c r="AL151"/>
  <c r="AL121"/>
  <c r="AL102"/>
  <c r="AL92" i="3"/>
  <c r="AL92" i="2" s="1"/>
  <c r="AL93"/>
  <c r="AL91"/>
  <c r="AL83"/>
  <c r="AL73"/>
  <c r="AL63"/>
  <c r="AL182"/>
  <c r="AL128"/>
  <c r="AL106"/>
  <c r="AL101"/>
  <c r="AL98"/>
  <c r="AL95"/>
  <c r="AL88"/>
  <c r="AL78"/>
  <c r="AL68"/>
  <c r="AL59" i="3"/>
  <c r="AL59" i="2" s="1"/>
  <c r="AL60"/>
  <c r="AL161"/>
  <c r="AL124"/>
  <c r="AL86"/>
  <c r="AL85"/>
  <c r="AL180" i="3"/>
  <c r="AL180" i="2" s="1"/>
  <c r="AL181"/>
  <c r="AL139"/>
  <c r="AL114" i="3"/>
  <c r="AL114" i="2" s="1"/>
  <c r="AL115"/>
  <c r="AL90"/>
  <c r="AL278"/>
  <c r="AL191" i="3"/>
  <c r="AL191" i="2" s="1"/>
  <c r="AL192"/>
  <c r="AL123"/>
  <c r="AL111"/>
  <c r="AL103" i="3"/>
  <c r="AL103" i="2" s="1"/>
  <c r="AL104"/>
  <c r="AL237"/>
  <c r="AL199"/>
  <c r="AL141"/>
  <c r="AL138"/>
  <c r="AL108"/>
  <c r="AL94"/>
  <c r="AL80"/>
  <c r="AL72"/>
  <c r="AL53"/>
  <c r="AL43"/>
  <c r="AL33"/>
  <c r="AL23"/>
  <c r="AL196"/>
  <c r="AL158" i="3"/>
  <c r="AL158" i="2" s="1"/>
  <c r="AL159"/>
  <c r="AL146"/>
  <c r="AL140"/>
  <c r="AL84"/>
  <c r="AL77"/>
  <c r="AL67"/>
  <c r="AL52"/>
  <c r="AL42"/>
  <c r="AL32"/>
  <c r="AL22"/>
  <c r="AL118"/>
  <c r="AL87"/>
  <c r="AL74"/>
  <c r="AL66"/>
  <c r="AL65"/>
  <c r="AL54"/>
  <c r="AL44"/>
  <c r="AL34"/>
  <c r="AL24"/>
  <c r="AL76"/>
  <c r="AL64"/>
  <c r="AL62"/>
  <c r="AL28"/>
  <c r="AL25"/>
  <c r="AL20"/>
  <c r="AL10"/>
  <c r="AL81" i="3"/>
  <c r="AL81" i="2" s="1"/>
  <c r="AL82"/>
  <c r="AL48" i="3"/>
  <c r="AL48" i="2" s="1"/>
  <c r="AL49"/>
  <c r="AL30"/>
  <c r="AL19"/>
  <c r="AL4" i="3"/>
  <c r="AL4" i="2" s="1"/>
  <c r="AL5"/>
  <c r="AL160"/>
  <c r="AL58"/>
  <c r="AL40"/>
  <c r="AL35"/>
  <c r="AL14"/>
  <c r="AL11"/>
  <c r="AL8"/>
  <c r="AL37" i="3"/>
  <c r="AL37" i="2" s="1"/>
  <c r="AL38"/>
  <c r="AL31"/>
  <c r="AL100"/>
  <c r="AL15" i="3"/>
  <c r="AL15" i="2" s="1"/>
  <c r="AL16"/>
  <c r="AL7"/>
  <c r="AL6"/>
  <c r="AL45"/>
  <c r="AL21"/>
  <c r="AL9"/>
  <c r="AL75"/>
  <c r="AL57"/>
  <c r="AL39"/>
  <c r="AL36"/>
  <c r="AL235" i="3"/>
  <c r="AL235" i="2" s="1"/>
  <c r="AL236"/>
  <c r="AL12"/>
  <c r="AL116"/>
  <c r="AL46"/>
  <c r="AL41"/>
  <c r="AL13"/>
  <c r="AL47"/>
  <c r="AL18"/>
  <c r="AL113"/>
  <c r="AL17"/>
  <c r="AL50"/>
  <c r="AL125" i="3"/>
  <c r="AL125" i="2" s="1"/>
  <c r="AL126"/>
  <c r="AL29"/>
  <c r="AL55"/>
  <c r="AL26" i="3"/>
  <c r="AL26" i="2" s="1"/>
  <c r="AL27"/>
  <c r="AL105"/>
  <c r="AL51"/>
  <c r="AL56"/>
  <c r="AL273"/>
  <c r="BB274"/>
  <c r="BB262"/>
  <c r="BB250"/>
  <c r="BB271"/>
  <c r="BB265"/>
  <c r="BB255"/>
  <c r="BB246" i="3"/>
  <c r="BB246" i="2" s="1"/>
  <c r="BB247"/>
  <c r="BB245"/>
  <c r="BB276"/>
  <c r="BB260"/>
  <c r="BB252"/>
  <c r="BB242"/>
  <c r="BB272"/>
  <c r="BB264"/>
  <c r="BB256"/>
  <c r="BB248"/>
  <c r="BB275"/>
  <c r="BB251"/>
  <c r="BB244"/>
  <c r="BB241"/>
  <c r="BB232"/>
  <c r="BB239"/>
  <c r="BB229"/>
  <c r="BB219"/>
  <c r="BB267"/>
  <c r="BB259"/>
  <c r="BB231"/>
  <c r="BB253"/>
  <c r="BB249"/>
  <c r="BB237"/>
  <c r="BB226"/>
  <c r="BB221"/>
  <c r="BB218"/>
  <c r="BB206"/>
  <c r="BB277"/>
  <c r="BB273"/>
  <c r="BB254"/>
  <c r="BB222"/>
  <c r="BB213" i="3"/>
  <c r="BB213" i="2" s="1"/>
  <c r="BB214"/>
  <c r="BB261"/>
  <c r="BB243"/>
  <c r="BB220"/>
  <c r="BB217"/>
  <c r="BB211"/>
  <c r="BB205"/>
  <c r="BB266"/>
  <c r="BB224" i="3"/>
  <c r="BB224" i="2" s="1"/>
  <c r="BB225"/>
  <c r="BB207"/>
  <c r="BB204"/>
  <c r="BB201"/>
  <c r="BB193"/>
  <c r="BB263"/>
  <c r="BB230"/>
  <c r="BB223"/>
  <c r="BB216"/>
  <c r="BB210"/>
  <c r="BB198"/>
  <c r="BB188"/>
  <c r="BB178"/>
  <c r="BB169" i="3"/>
  <c r="BB169" i="2" s="1"/>
  <c r="BB170"/>
  <c r="BB168"/>
  <c r="BB195"/>
  <c r="BB185"/>
  <c r="BB175"/>
  <c r="BB278"/>
  <c r="BB212"/>
  <c r="BB240"/>
  <c r="BB191" i="3"/>
  <c r="BB191" i="2" s="1"/>
  <c r="BB192"/>
  <c r="BB182"/>
  <c r="BB176"/>
  <c r="BB167"/>
  <c r="BB163"/>
  <c r="BB153"/>
  <c r="BB143"/>
  <c r="BB133"/>
  <c r="BB234"/>
  <c r="BB189"/>
  <c r="BB180" i="3"/>
  <c r="BB180" i="2" s="1"/>
  <c r="BB181"/>
  <c r="BB165"/>
  <c r="BB155"/>
  <c r="BB145"/>
  <c r="BB136" i="3"/>
  <c r="BB136" i="2" s="1"/>
  <c r="BB137"/>
  <c r="BB135"/>
  <c r="BB215"/>
  <c r="BB209"/>
  <c r="BB202" i="3"/>
  <c r="BB202" i="2" s="1"/>
  <c r="BB203"/>
  <c r="BB200"/>
  <c r="BB174"/>
  <c r="BB162"/>
  <c r="BB152"/>
  <c r="BB142"/>
  <c r="BB132"/>
  <c r="BB270"/>
  <c r="BB268" i="3"/>
  <c r="BB268" i="2" s="1"/>
  <c r="BB269"/>
  <c r="BB257" i="3"/>
  <c r="BB257" i="2" s="1"/>
  <c r="BB258"/>
  <c r="BB233"/>
  <c r="BB197"/>
  <c r="BB194"/>
  <c r="BB177"/>
  <c r="BB164"/>
  <c r="BB154"/>
  <c r="BB144"/>
  <c r="BB134"/>
  <c r="BB186"/>
  <c r="BB173"/>
  <c r="BB157"/>
  <c r="BB150"/>
  <c r="BB149"/>
  <c r="BB120"/>
  <c r="BB110"/>
  <c r="BB208"/>
  <c r="BB184"/>
  <c r="BB172"/>
  <c r="BB171"/>
  <c r="BB156"/>
  <c r="BB147" i="3"/>
  <c r="BB147" i="2" s="1"/>
  <c r="BB148"/>
  <c r="BB131"/>
  <c r="BB127"/>
  <c r="BB117"/>
  <c r="BB107"/>
  <c r="BB97"/>
  <c r="BB227"/>
  <c r="BB199"/>
  <c r="BB130"/>
  <c r="BB122"/>
  <c r="BB112"/>
  <c r="BB228"/>
  <c r="BB196"/>
  <c r="BB183"/>
  <c r="BB129"/>
  <c r="BB119"/>
  <c r="BB109"/>
  <c r="BB141"/>
  <c r="BB140"/>
  <c r="BB139"/>
  <c r="BB103" i="3"/>
  <c r="BB103" i="2" s="1"/>
  <c r="BB104"/>
  <c r="BB89"/>
  <c r="BB79"/>
  <c r="BB70" i="3"/>
  <c r="BB70" i="2" s="1"/>
  <c r="BB71"/>
  <c r="BB69"/>
  <c r="BB61"/>
  <c r="BB187"/>
  <c r="BB121"/>
  <c r="BB92" i="3"/>
  <c r="BB92" i="2" s="1"/>
  <c r="BB93"/>
  <c r="BB91"/>
  <c r="BB83"/>
  <c r="BB73"/>
  <c r="BB63"/>
  <c r="BB161"/>
  <c r="BB160"/>
  <c r="BB158" i="3"/>
  <c r="BB158" i="2" s="1"/>
  <c r="BB159"/>
  <c r="BB128"/>
  <c r="BB108"/>
  <c r="BB94"/>
  <c r="BB88"/>
  <c r="BB78"/>
  <c r="BB68"/>
  <c r="BB59" i="3"/>
  <c r="BB59" i="2" s="1"/>
  <c r="BB60"/>
  <c r="BB118"/>
  <c r="BB87"/>
  <c r="BB238"/>
  <c r="BB116"/>
  <c r="BB113"/>
  <c r="BB99"/>
  <c r="BB235" i="3"/>
  <c r="BB235" i="2" s="1"/>
  <c r="BB236"/>
  <c r="BB166"/>
  <c r="BB146"/>
  <c r="BB124"/>
  <c r="BB105"/>
  <c r="BB151"/>
  <c r="BB98"/>
  <c r="BB81" i="3"/>
  <c r="BB81" i="2" s="1"/>
  <c r="BB82"/>
  <c r="BB100"/>
  <c r="BB75"/>
  <c r="BB53"/>
  <c r="BB43"/>
  <c r="BB33"/>
  <c r="BB23"/>
  <c r="BB84"/>
  <c r="BB76"/>
  <c r="BB52"/>
  <c r="BB42"/>
  <c r="BB32"/>
  <c r="BB22"/>
  <c r="BB190"/>
  <c r="BB96"/>
  <c r="BB67"/>
  <c r="BB54"/>
  <c r="BB44"/>
  <c r="BB34"/>
  <c r="BB24"/>
  <c r="BB15" i="3"/>
  <c r="BB15" i="2" s="1"/>
  <c r="BB16"/>
  <c r="BB111"/>
  <c r="BB65"/>
  <c r="BB138"/>
  <c r="BB114" i="3"/>
  <c r="BB114" i="2" s="1"/>
  <c r="BB115"/>
  <c r="BB106"/>
  <c r="BB95"/>
  <c r="BB72"/>
  <c r="BB49"/>
  <c r="BB48" i="3"/>
  <c r="BB48" i="2" s="1"/>
  <c r="BB39"/>
  <c r="BB35"/>
  <c r="BB30"/>
  <c r="BB10"/>
  <c r="BB125" i="3"/>
  <c r="BB125" i="2" s="1"/>
  <c r="BB126"/>
  <c r="BB85"/>
  <c r="BB62"/>
  <c r="BB57"/>
  <c r="BB19"/>
  <c r="BB7"/>
  <c r="BB74"/>
  <c r="BB28"/>
  <c r="BB66"/>
  <c r="BB21"/>
  <c r="BB64"/>
  <c r="BB55"/>
  <c r="BB50"/>
  <c r="BB17"/>
  <c r="BB6"/>
  <c r="BB4" i="3"/>
  <c r="BB4" i="2" s="1"/>
  <c r="BB5"/>
  <c r="BB47"/>
  <c r="BB18"/>
  <c r="BB12"/>
  <c r="BB101"/>
  <c r="BB90"/>
  <c r="BB13"/>
  <c r="BB56"/>
  <c r="BB51"/>
  <c r="BB26" i="3"/>
  <c r="BB26" i="2" s="1"/>
  <c r="BB27"/>
  <c r="BB123"/>
  <c r="BB41"/>
  <c r="BB77"/>
  <c r="BB31"/>
  <c r="BB20"/>
  <c r="BB86"/>
  <c r="BB58"/>
  <c r="BB40"/>
  <c r="BB29"/>
  <c r="BB14"/>
  <c r="BB80"/>
  <c r="BB25"/>
  <c r="BB102"/>
  <c r="BB46"/>
  <c r="BB179"/>
  <c r="BB11"/>
  <c r="BB36"/>
  <c r="BB8"/>
  <c r="BB37" i="3"/>
  <c r="BB37" i="2" s="1"/>
  <c r="BB38"/>
  <c r="BB45"/>
  <c r="BB9"/>
  <c r="AG275"/>
  <c r="AG261"/>
  <c r="AG251"/>
  <c r="AG241"/>
  <c r="AG272"/>
  <c r="AG264"/>
  <c r="AG256"/>
  <c r="AG248"/>
  <c r="AG277"/>
  <c r="AG268" i="3"/>
  <c r="AG268" i="2" s="1"/>
  <c r="AG269"/>
  <c r="AG267"/>
  <c r="AG259"/>
  <c r="AG253"/>
  <c r="AG243"/>
  <c r="AG273"/>
  <c r="AG263"/>
  <c r="AG249"/>
  <c r="AG242"/>
  <c r="AG233"/>
  <c r="AG240"/>
  <c r="AG230"/>
  <c r="AG220"/>
  <c r="AG210"/>
  <c r="AG278"/>
  <c r="AG270"/>
  <c r="AG266"/>
  <c r="AG257" i="3"/>
  <c r="AG257" i="2" s="1"/>
  <c r="AG258"/>
  <c r="AG254"/>
  <c r="AG232"/>
  <c r="AG222"/>
  <c r="AG274"/>
  <c r="AG244"/>
  <c r="AG239"/>
  <c r="AG234"/>
  <c r="AG229"/>
  <c r="AG226"/>
  <c r="AG223"/>
  <c r="AG217"/>
  <c r="AG207"/>
  <c r="AG260"/>
  <c r="AG238"/>
  <c r="AG237"/>
  <c r="AG224" i="3"/>
  <c r="AG224" i="2" s="1"/>
  <c r="AG225"/>
  <c r="AG271"/>
  <c r="AG265"/>
  <c r="AG245"/>
  <c r="AG219"/>
  <c r="AG216"/>
  <c r="AG206"/>
  <c r="AG221"/>
  <c r="AG211"/>
  <c r="AG202" i="3"/>
  <c r="AG202" i="2" s="1"/>
  <c r="AG203"/>
  <c r="AG194"/>
  <c r="AG276"/>
  <c r="AG227"/>
  <c r="AG212"/>
  <c r="AG199"/>
  <c r="AG189"/>
  <c r="AG180" i="3"/>
  <c r="AG180" i="2" s="1"/>
  <c r="AG181"/>
  <c r="AG179"/>
  <c r="AG171"/>
  <c r="AG262"/>
  <c r="AG231"/>
  <c r="AG218"/>
  <c r="AG213" i="3"/>
  <c r="AG213" i="2" s="1"/>
  <c r="AG214"/>
  <c r="AG196"/>
  <c r="AG186"/>
  <c r="AG176"/>
  <c r="AG252"/>
  <c r="AG250"/>
  <c r="AG195"/>
  <c r="AG205"/>
  <c r="AG190"/>
  <c r="AG172"/>
  <c r="AG164"/>
  <c r="AG154"/>
  <c r="AG144"/>
  <c r="AG134"/>
  <c r="AG198"/>
  <c r="AG175"/>
  <c r="AG166"/>
  <c r="AG156"/>
  <c r="AG147" i="3"/>
  <c r="AG147" i="2" s="1"/>
  <c r="AG148"/>
  <c r="AG146"/>
  <c r="AG138"/>
  <c r="AG255"/>
  <c r="AG209"/>
  <c r="AG197"/>
  <c r="AG185"/>
  <c r="AG178"/>
  <c r="AG169" i="3"/>
  <c r="AG169" i="2" s="1"/>
  <c r="AG170"/>
  <c r="AG168"/>
  <c r="AG163"/>
  <c r="AG153"/>
  <c r="AG143"/>
  <c r="AG133"/>
  <c r="AG246" i="3"/>
  <c r="AG246" i="2" s="1"/>
  <c r="AG247"/>
  <c r="AG184"/>
  <c r="AG173"/>
  <c r="AG165"/>
  <c r="AG155"/>
  <c r="AG145"/>
  <c r="AG136" i="3"/>
  <c r="AG136" i="2" s="1"/>
  <c r="AG137"/>
  <c r="AG135"/>
  <c r="AG121"/>
  <c r="AG111"/>
  <c r="AG101"/>
  <c r="AG228"/>
  <c r="AG204"/>
  <c r="AG162"/>
  <c r="AG142"/>
  <c r="AG128"/>
  <c r="AG118"/>
  <c r="AG108"/>
  <c r="AG98"/>
  <c r="AG183"/>
  <c r="AG167"/>
  <c r="AG161"/>
  <c r="AG160"/>
  <c r="AG141"/>
  <c r="AG140"/>
  <c r="AG123"/>
  <c r="AG114" i="3"/>
  <c r="AG114" i="2" s="1"/>
  <c r="AG115"/>
  <c r="AG113"/>
  <c r="AG182"/>
  <c r="AG158" i="3"/>
  <c r="AG158" i="2" s="1"/>
  <c r="AG159"/>
  <c r="AG139"/>
  <c r="AG130"/>
  <c r="AG120"/>
  <c r="AG110"/>
  <c r="AG157"/>
  <c r="AG151"/>
  <c r="AG150"/>
  <c r="AG129"/>
  <c r="AG90"/>
  <c r="AG81" i="3"/>
  <c r="AG81" i="2" s="1"/>
  <c r="AG82"/>
  <c r="AG80"/>
  <c r="AG72"/>
  <c r="AG62"/>
  <c r="AG188"/>
  <c r="AG177"/>
  <c r="AG132"/>
  <c r="AG131"/>
  <c r="AG84"/>
  <c r="AG74"/>
  <c r="AG64"/>
  <c r="AG125" i="3"/>
  <c r="AG125" i="2" s="1"/>
  <c r="AG126"/>
  <c r="AG119"/>
  <c r="AG103" i="3"/>
  <c r="AG103" i="2" s="1"/>
  <c r="AG104"/>
  <c r="AG89"/>
  <c r="AG79"/>
  <c r="AG70" i="3"/>
  <c r="AG70" i="2" s="1"/>
  <c r="AG71"/>
  <c r="AG69"/>
  <c r="AG61"/>
  <c r="AG96"/>
  <c r="AG83"/>
  <c r="AG187"/>
  <c r="AG127"/>
  <c r="AG215"/>
  <c r="AG208"/>
  <c r="AG152"/>
  <c r="AG117"/>
  <c r="AG109"/>
  <c r="AG107"/>
  <c r="AG106"/>
  <c r="AG102"/>
  <c r="AG99"/>
  <c r="AG149"/>
  <c r="AG124"/>
  <c r="AG122"/>
  <c r="AG100"/>
  <c r="AG92" i="3"/>
  <c r="AG92" i="2" s="1"/>
  <c r="AG93"/>
  <c r="AG193"/>
  <c r="AG116"/>
  <c r="AG112"/>
  <c r="AG95"/>
  <c r="AG67"/>
  <c r="AG54"/>
  <c r="AG44"/>
  <c r="AG34"/>
  <c r="AG24"/>
  <c r="AG88"/>
  <c r="AG78"/>
  <c r="AG73"/>
  <c r="AG65"/>
  <c r="AG59" i="3"/>
  <c r="AG59" i="2" s="1"/>
  <c r="AG60"/>
  <c r="AG53"/>
  <c r="AG43"/>
  <c r="AG33"/>
  <c r="AG23"/>
  <c r="AG105"/>
  <c r="AG75"/>
  <c r="AG63"/>
  <c r="AG55"/>
  <c r="AG45"/>
  <c r="AG35"/>
  <c r="AG26" i="3"/>
  <c r="AG26" i="2" s="1"/>
  <c r="AG27"/>
  <c r="AG25"/>
  <c r="AG17"/>
  <c r="AG94"/>
  <c r="AG97"/>
  <c r="AG66"/>
  <c r="AG56"/>
  <c r="AG46"/>
  <c r="AG32"/>
  <c r="AG11"/>
  <c r="AG76"/>
  <c r="AG50"/>
  <c r="AG41"/>
  <c r="AG31"/>
  <c r="AG20"/>
  <c r="AG86"/>
  <c r="AG68"/>
  <c r="AG37" i="3"/>
  <c r="AG37" i="2" s="1"/>
  <c r="AG38"/>
  <c r="AG28"/>
  <c r="AG6"/>
  <c r="AG21"/>
  <c r="AG12"/>
  <c r="AG10"/>
  <c r="AG29"/>
  <c r="AG22"/>
  <c r="AG14"/>
  <c r="AG13"/>
  <c r="AG200"/>
  <c r="AG91"/>
  <c r="AG77"/>
  <c r="AG51"/>
  <c r="AG30"/>
  <c r="AG18"/>
  <c r="AG235" i="3"/>
  <c r="AG235" i="2" s="1"/>
  <c r="AG236"/>
  <c r="AG58"/>
  <c r="AG42"/>
  <c r="AG191" i="3"/>
  <c r="AG191" i="2" s="1"/>
  <c r="AG192"/>
  <c r="AG47"/>
  <c r="AG8"/>
  <c r="AG7"/>
  <c r="AG174"/>
  <c r="AG36"/>
  <c r="AG40"/>
  <c r="AG48" i="3"/>
  <c r="AG48" i="2" s="1"/>
  <c r="AG49"/>
  <c r="AG19"/>
  <c r="AG52"/>
  <c r="AG15" i="3"/>
  <c r="AG15" i="2" s="1"/>
  <c r="AG16"/>
  <c r="AG9"/>
  <c r="AG4" i="3"/>
  <c r="AG4" i="2" s="1"/>
  <c r="AG5"/>
  <c r="AG39"/>
  <c r="AG87"/>
  <c r="AG57"/>
  <c r="AG201"/>
  <c r="AG85"/>
  <c r="BF278"/>
  <c r="BF270"/>
  <c r="BF266"/>
  <c r="BF257" i="3"/>
  <c r="BF257" i="2" s="1"/>
  <c r="BF258"/>
  <c r="BF254"/>
  <c r="BF244"/>
  <c r="BF275"/>
  <c r="BF261"/>
  <c r="BF251"/>
  <c r="BF241"/>
  <c r="BF272"/>
  <c r="BF264"/>
  <c r="BF256"/>
  <c r="BF248"/>
  <c r="BF276"/>
  <c r="BF260"/>
  <c r="BF252"/>
  <c r="BF242"/>
  <c r="BF277"/>
  <c r="BF268" i="3"/>
  <c r="BF268" i="2" s="1"/>
  <c r="BF269"/>
  <c r="BF253"/>
  <c r="BF238"/>
  <c r="BF263"/>
  <c r="BF233"/>
  <c r="BF224" i="3"/>
  <c r="BF224" i="2" s="1"/>
  <c r="BF225"/>
  <c r="BF223"/>
  <c r="BF215"/>
  <c r="BF274"/>
  <c r="BF262"/>
  <c r="BF250"/>
  <c r="BF243"/>
  <c r="BF237"/>
  <c r="BF227"/>
  <c r="BF255"/>
  <c r="BF239"/>
  <c r="BF234"/>
  <c r="BF229"/>
  <c r="BF228"/>
  <c r="BF249"/>
  <c r="BF246" i="3"/>
  <c r="BF246" i="2" s="1"/>
  <c r="BF247"/>
  <c r="BF232"/>
  <c r="BF265"/>
  <c r="BF245"/>
  <c r="BF226"/>
  <c r="BF209"/>
  <c r="BF197"/>
  <c r="BF208"/>
  <c r="BF205"/>
  <c r="BF194"/>
  <c r="BF184"/>
  <c r="BF174"/>
  <c r="BF219"/>
  <c r="BF199"/>
  <c r="BF189"/>
  <c r="BF180" i="3"/>
  <c r="BF180" i="2" s="1"/>
  <c r="BF181"/>
  <c r="BF179"/>
  <c r="BF171"/>
  <c r="BF271"/>
  <c r="BF235" i="3"/>
  <c r="BF235" i="2" s="1"/>
  <c r="BF236"/>
  <c r="BF221"/>
  <c r="BF206"/>
  <c r="BF198"/>
  <c r="BF196"/>
  <c r="BF190"/>
  <c r="BF173"/>
  <c r="BF158" i="3"/>
  <c r="BF158" i="2" s="1"/>
  <c r="BF159"/>
  <c r="BF157"/>
  <c r="BF149"/>
  <c r="BF139"/>
  <c r="BF273"/>
  <c r="BF259"/>
  <c r="BF211"/>
  <c r="BF195"/>
  <c r="BF187"/>
  <c r="BF176"/>
  <c r="BF161"/>
  <c r="BF151"/>
  <c r="BF141"/>
  <c r="BF131"/>
  <c r="BF220"/>
  <c r="BF213" i="3"/>
  <c r="BF213" i="2" s="1"/>
  <c r="BF214"/>
  <c r="BF212"/>
  <c r="BF186"/>
  <c r="BF172"/>
  <c r="BF166"/>
  <c r="BF156"/>
  <c r="BF147" i="3"/>
  <c r="BF147" i="2" s="1"/>
  <c r="BF148"/>
  <c r="BF146"/>
  <c r="BF138"/>
  <c r="BF222"/>
  <c r="BF216"/>
  <c r="BF207"/>
  <c r="BF202" i="3"/>
  <c r="BF202" i="2" s="1"/>
  <c r="BF203"/>
  <c r="BF175"/>
  <c r="BF160"/>
  <c r="BF150"/>
  <c r="BF140"/>
  <c r="BF130"/>
  <c r="BF210"/>
  <c r="BF188"/>
  <c r="BF134"/>
  <c r="BF125" i="3"/>
  <c r="BF125" i="2" s="1"/>
  <c r="BF126"/>
  <c r="BF124"/>
  <c r="BF116"/>
  <c r="BF106"/>
  <c r="BF230"/>
  <c r="BF177"/>
  <c r="BF168"/>
  <c r="BF165"/>
  <c r="BF152"/>
  <c r="BF145"/>
  <c r="BF136" i="3"/>
  <c r="BF136" i="2" s="1"/>
  <c r="BF137"/>
  <c r="BF133"/>
  <c r="BF121"/>
  <c r="BF111"/>
  <c r="BF101"/>
  <c r="BF240"/>
  <c r="BF185"/>
  <c r="BF128"/>
  <c r="BF118"/>
  <c r="BF169" i="3"/>
  <c r="BF169" i="2" s="1"/>
  <c r="BF170"/>
  <c r="BF164"/>
  <c r="BF144"/>
  <c r="BF132"/>
  <c r="BF123"/>
  <c r="BF114" i="3"/>
  <c r="BF114" i="2" s="1"/>
  <c r="BF115"/>
  <c r="BF113"/>
  <c r="BF105"/>
  <c r="BF217"/>
  <c r="BF119"/>
  <c r="BF85"/>
  <c r="BF75"/>
  <c r="BF65"/>
  <c r="BF267"/>
  <c r="BF191" i="3"/>
  <c r="BF191" i="2" s="1"/>
  <c r="BF192"/>
  <c r="BF178"/>
  <c r="BF143"/>
  <c r="BF99"/>
  <c r="BF96"/>
  <c r="BF87"/>
  <c r="BF77"/>
  <c r="BF67"/>
  <c r="BF167"/>
  <c r="BF142"/>
  <c r="BF103" i="3"/>
  <c r="BF103" i="2" s="1"/>
  <c r="BF104"/>
  <c r="BF84"/>
  <c r="BF74"/>
  <c r="BF64"/>
  <c r="BF231"/>
  <c r="BF163"/>
  <c r="BF155"/>
  <c r="BF98"/>
  <c r="BF97"/>
  <c r="BF83"/>
  <c r="BF129"/>
  <c r="BF127"/>
  <c r="BF193"/>
  <c r="BF100"/>
  <c r="BF218"/>
  <c r="BF135"/>
  <c r="BF120"/>
  <c r="BF112"/>
  <c r="BF110"/>
  <c r="BF109"/>
  <c r="BF107"/>
  <c r="BF102"/>
  <c r="BF92" i="3"/>
  <c r="BF92" i="2" s="1"/>
  <c r="BF93"/>
  <c r="BF89"/>
  <c r="BF200"/>
  <c r="BF122"/>
  <c r="BF108"/>
  <c r="BF61"/>
  <c r="BF57"/>
  <c r="BF48" i="3"/>
  <c r="BF48" i="2" s="1"/>
  <c r="BF49"/>
  <c r="BF47"/>
  <c r="BF39"/>
  <c r="BF29"/>
  <c r="BF19"/>
  <c r="BF86"/>
  <c r="BF80"/>
  <c r="BF73"/>
  <c r="BF59" i="3"/>
  <c r="BF59" i="2" s="1"/>
  <c r="BF60"/>
  <c r="BF56"/>
  <c r="BF46"/>
  <c r="BF37" i="3"/>
  <c r="BF37" i="2" s="1"/>
  <c r="BF38"/>
  <c r="BF36"/>
  <c r="BF28"/>
  <c r="BF18"/>
  <c r="BF88"/>
  <c r="BF76"/>
  <c r="BF72"/>
  <c r="BF63"/>
  <c r="BF58"/>
  <c r="BF50"/>
  <c r="BF40"/>
  <c r="BF30"/>
  <c r="BF20"/>
  <c r="BF153"/>
  <c r="BF79"/>
  <c r="BF70" i="3"/>
  <c r="BF70" i="2" s="1"/>
  <c r="BF71"/>
  <c r="BF62"/>
  <c r="BF32"/>
  <c r="BF23"/>
  <c r="BF17"/>
  <c r="BF14"/>
  <c r="BF6"/>
  <c r="BF51"/>
  <c r="BF42"/>
  <c r="BF21"/>
  <c r="BF12"/>
  <c r="BF9"/>
  <c r="BF117"/>
  <c r="BF68"/>
  <c r="BF43"/>
  <c r="BF33"/>
  <c r="BF22"/>
  <c r="BF4" i="3"/>
  <c r="BF4" i="2" s="1"/>
  <c r="BF5"/>
  <c r="BF90"/>
  <c r="BF53"/>
  <c r="BF26" i="3"/>
  <c r="BF26" i="2" s="1"/>
  <c r="BF27"/>
  <c r="BF25"/>
  <c r="BF10"/>
  <c r="BF204"/>
  <c r="BF54"/>
  <c r="BF44"/>
  <c r="BF31"/>
  <c r="BF13"/>
  <c r="BF81" i="3"/>
  <c r="BF81" i="2" s="1"/>
  <c r="BF82"/>
  <c r="BF45"/>
  <c r="BF34"/>
  <c r="BF15" i="3"/>
  <c r="BF15" i="2" s="1"/>
  <c r="BF16"/>
  <c r="BF182"/>
  <c r="BF162"/>
  <c r="BF95"/>
  <c r="BF41"/>
  <c r="BF11"/>
  <c r="BF183"/>
  <c r="BF154"/>
  <c r="BF78"/>
  <c r="BF201"/>
  <c r="BF66"/>
  <c r="BF24"/>
  <c r="BF8"/>
  <c r="BF55"/>
  <c r="BF7"/>
  <c r="BF52"/>
  <c r="BF91"/>
  <c r="BF69"/>
  <c r="BF94"/>
  <c r="BF35"/>
  <c r="Z278"/>
  <c r="Z270"/>
  <c r="Z266"/>
  <c r="Z257" i="3"/>
  <c r="Z257" i="2" s="1"/>
  <c r="Z258"/>
  <c r="Z254"/>
  <c r="Z244"/>
  <c r="Z275"/>
  <c r="Z261"/>
  <c r="Z251"/>
  <c r="Z272"/>
  <c r="Z264"/>
  <c r="Z256"/>
  <c r="Z248"/>
  <c r="Z276"/>
  <c r="Z260"/>
  <c r="Z252"/>
  <c r="Z242"/>
  <c r="Z277"/>
  <c r="Z268" i="3"/>
  <c r="Z268" i="2" s="1"/>
  <c r="Z269"/>
  <c r="Z253"/>
  <c r="Z238"/>
  <c r="Z263"/>
  <c r="Z233"/>
  <c r="Z224" i="3"/>
  <c r="Z224" i="2" s="1"/>
  <c r="Z225"/>
  <c r="Z223"/>
  <c r="Z215"/>
  <c r="Z274"/>
  <c r="Z262"/>
  <c r="Z250"/>
  <c r="Z243"/>
  <c r="Z237"/>
  <c r="Z227"/>
  <c r="Z249"/>
  <c r="Z246" i="3"/>
  <c r="Z246" i="2" s="1"/>
  <c r="Z247"/>
  <c r="Z235" i="3"/>
  <c r="Z235" i="2" s="1"/>
  <c r="Z236"/>
  <c r="Z228"/>
  <c r="Z221"/>
  <c r="Z218"/>
  <c r="Z212"/>
  <c r="Z273"/>
  <c r="Z271"/>
  <c r="Z240"/>
  <c r="Z230"/>
  <c r="Z220"/>
  <c r="Z217"/>
  <c r="Z226"/>
  <c r="Z211"/>
  <c r="Z209"/>
  <c r="Z265"/>
  <c r="Z234"/>
  <c r="Z232"/>
  <c r="Z231"/>
  <c r="Z219"/>
  <c r="Z204"/>
  <c r="Z197"/>
  <c r="Z239"/>
  <c r="Z210"/>
  <c r="Z208"/>
  <c r="Z194"/>
  <c r="Z184"/>
  <c r="Z174"/>
  <c r="Z216"/>
  <c r="Z206"/>
  <c r="Z202" i="3"/>
  <c r="Z202" i="2" s="1"/>
  <c r="Z203"/>
  <c r="Z199"/>
  <c r="Z189"/>
  <c r="Z180" i="3"/>
  <c r="Z180" i="2" s="1"/>
  <c r="Z181"/>
  <c r="Z179"/>
  <c r="Z171"/>
  <c r="Z267"/>
  <c r="Z222"/>
  <c r="Z205"/>
  <c r="Z198"/>
  <c r="Z241"/>
  <c r="Z196"/>
  <c r="Z191" i="3"/>
  <c r="Z191" i="2" s="1"/>
  <c r="Z192"/>
  <c r="Z173"/>
  <c r="Z167"/>
  <c r="Z158" i="3"/>
  <c r="Z158" i="2" s="1"/>
  <c r="Z159"/>
  <c r="Z157"/>
  <c r="Z149"/>
  <c r="Z139"/>
  <c r="Z255"/>
  <c r="Z213" i="3"/>
  <c r="Z213" i="2" s="1"/>
  <c r="Z214"/>
  <c r="Z195"/>
  <c r="Z187"/>
  <c r="Z176"/>
  <c r="Z161"/>
  <c r="Z151"/>
  <c r="Z141"/>
  <c r="Z131"/>
  <c r="Z186"/>
  <c r="Z172"/>
  <c r="Z166"/>
  <c r="Z156"/>
  <c r="Z147" i="3"/>
  <c r="Z147" i="2" s="1"/>
  <c r="Z148"/>
  <c r="Z146"/>
  <c r="Z138"/>
  <c r="Z229"/>
  <c r="Z193"/>
  <c r="Z175"/>
  <c r="Z168"/>
  <c r="Z160"/>
  <c r="Z150"/>
  <c r="Z140"/>
  <c r="Z259"/>
  <c r="Z245"/>
  <c r="Z207"/>
  <c r="Z183"/>
  <c r="Z182"/>
  <c r="Z134"/>
  <c r="Z125" i="3"/>
  <c r="Z125" i="2" s="1"/>
  <c r="Z126"/>
  <c r="Z124"/>
  <c r="Z116"/>
  <c r="Z106"/>
  <c r="Z165"/>
  <c r="Z152"/>
  <c r="Z145"/>
  <c r="Z136" i="3"/>
  <c r="Z136" i="2" s="1"/>
  <c r="Z137"/>
  <c r="Z133"/>
  <c r="Z121"/>
  <c r="Z111"/>
  <c r="Z101"/>
  <c r="Z128"/>
  <c r="Z118"/>
  <c r="Z178"/>
  <c r="Z164"/>
  <c r="Z144"/>
  <c r="Z132"/>
  <c r="Z123"/>
  <c r="Z114" i="3"/>
  <c r="Z114" i="2" s="1"/>
  <c r="Z115"/>
  <c r="Z113"/>
  <c r="Z105"/>
  <c r="Z188"/>
  <c r="Z177"/>
  <c r="Z119"/>
  <c r="Z109"/>
  <c r="Z98"/>
  <c r="Z95"/>
  <c r="Z85"/>
  <c r="Z75"/>
  <c r="Z65"/>
  <c r="Z190"/>
  <c r="Z143"/>
  <c r="Z130"/>
  <c r="Z87"/>
  <c r="Z77"/>
  <c r="Z67"/>
  <c r="Z201"/>
  <c r="Z200"/>
  <c r="Z142"/>
  <c r="Z107"/>
  <c r="Z102"/>
  <c r="Z100"/>
  <c r="Z97"/>
  <c r="Z94"/>
  <c r="Z84"/>
  <c r="Z74"/>
  <c r="Z64"/>
  <c r="Z185"/>
  <c r="Z91"/>
  <c r="Z86"/>
  <c r="Z162"/>
  <c r="Z154"/>
  <c r="Z103" i="3"/>
  <c r="Z103" i="2" s="1"/>
  <c r="Z104"/>
  <c r="Z120"/>
  <c r="Z112"/>
  <c r="Z153"/>
  <c r="Z129"/>
  <c r="Z127"/>
  <c r="Z135"/>
  <c r="Z79"/>
  <c r="Z69"/>
  <c r="Z57"/>
  <c r="Z48" i="3"/>
  <c r="Z48" i="2" s="1"/>
  <c r="Z49"/>
  <c r="Z47"/>
  <c r="Z39"/>
  <c r="Z29"/>
  <c r="Z19"/>
  <c r="Z122"/>
  <c r="Z81" i="3"/>
  <c r="Z81" i="2" s="1"/>
  <c r="Z82"/>
  <c r="Z76"/>
  <c r="Z68"/>
  <c r="Z62"/>
  <c r="Z56"/>
  <c r="Z46"/>
  <c r="Z37" i="3"/>
  <c r="Z37" i="2" s="1"/>
  <c r="Z38"/>
  <c r="Z36"/>
  <c r="Z28"/>
  <c r="Z18"/>
  <c r="Z169" i="3"/>
  <c r="Z169" i="2" s="1"/>
  <c r="Z170"/>
  <c r="Z155"/>
  <c r="Z66"/>
  <c r="Z58"/>
  <c r="Z50"/>
  <c r="Z40"/>
  <c r="Z30"/>
  <c r="Z20"/>
  <c r="Z92" i="3"/>
  <c r="Z92" i="2" s="1"/>
  <c r="Z93"/>
  <c r="Z99"/>
  <c r="Z78"/>
  <c r="Z34"/>
  <c r="Z25"/>
  <c r="Z21"/>
  <c r="Z15" i="3"/>
  <c r="Z15" i="2" s="1"/>
  <c r="Z16"/>
  <c r="Z14"/>
  <c r="Z6"/>
  <c r="Z90"/>
  <c r="Z61"/>
  <c r="Z52"/>
  <c r="Z22"/>
  <c r="Z163"/>
  <c r="Z96"/>
  <c r="Z73"/>
  <c r="Z53"/>
  <c r="Z44"/>
  <c r="Z23"/>
  <c r="Z13"/>
  <c r="Z10"/>
  <c r="Z7"/>
  <c r="Z72"/>
  <c r="Z70" i="3"/>
  <c r="Z70" i="2" s="1"/>
  <c r="Z71"/>
  <c r="Z24"/>
  <c r="Z4" i="3"/>
  <c r="Z4" i="2" s="1"/>
  <c r="Z5"/>
  <c r="Z117"/>
  <c r="Z83"/>
  <c r="Z80"/>
  <c r="Z63"/>
  <c r="Z42"/>
  <c r="Z11"/>
  <c r="Z9"/>
  <c r="Z110"/>
  <c r="Z59" i="3"/>
  <c r="Z59" i="2" s="1"/>
  <c r="Z60"/>
  <c r="Z54"/>
  <c r="Z26" i="3"/>
  <c r="Z26" i="2" s="1"/>
  <c r="Z27"/>
  <c r="Z17"/>
  <c r="Z55"/>
  <c r="Z45"/>
  <c r="Z33"/>
  <c r="Z108"/>
  <c r="Z35"/>
  <c r="Z12"/>
  <c r="Z8"/>
  <c r="Z43"/>
  <c r="Z32"/>
  <c r="Z88"/>
  <c r="Z51"/>
  <c r="Z31"/>
  <c r="Z89"/>
  <c r="Z41"/>
  <c r="AJ276"/>
  <c r="AJ260"/>
  <c r="AJ252"/>
  <c r="AJ242"/>
  <c r="AJ273"/>
  <c r="AJ263"/>
  <c r="AJ249"/>
  <c r="AJ278"/>
  <c r="AJ270"/>
  <c r="AJ266"/>
  <c r="AJ257" i="3"/>
  <c r="AJ257" i="2" s="1"/>
  <c r="AJ258"/>
  <c r="AJ254"/>
  <c r="AJ244"/>
  <c r="AJ274"/>
  <c r="AJ262"/>
  <c r="AJ250"/>
  <c r="AJ241"/>
  <c r="AJ235" i="3"/>
  <c r="AJ235" i="2" s="1"/>
  <c r="AJ236"/>
  <c r="AJ234"/>
  <c r="AJ243"/>
  <c r="AJ231"/>
  <c r="AJ221"/>
  <c r="AJ211"/>
  <c r="AJ261"/>
  <c r="AJ233"/>
  <c r="AJ224" i="3"/>
  <c r="AJ224" i="2" s="1"/>
  <c r="AJ225"/>
  <c r="AJ223"/>
  <c r="AJ272"/>
  <c r="AJ267"/>
  <c r="AJ255"/>
  <c r="AJ240"/>
  <c r="AJ230"/>
  <c r="AJ227"/>
  <c r="AJ218"/>
  <c r="AJ208"/>
  <c r="AJ253"/>
  <c r="AJ251"/>
  <c r="AJ246" i="3"/>
  <c r="AJ246" i="2" s="1"/>
  <c r="AJ247"/>
  <c r="AJ213" i="3"/>
  <c r="AJ213" i="2" s="1"/>
  <c r="AJ214"/>
  <c r="AJ264"/>
  <c r="AJ239"/>
  <c r="AJ238"/>
  <c r="AJ229"/>
  <c r="AJ226"/>
  <c r="AJ220"/>
  <c r="AJ217"/>
  <c r="AJ207"/>
  <c r="AJ271"/>
  <c r="AJ268" i="3"/>
  <c r="AJ268" i="2" s="1"/>
  <c r="AJ269"/>
  <c r="AJ228"/>
  <c r="AJ216"/>
  <c r="AJ204"/>
  <c r="AJ195"/>
  <c r="AJ256"/>
  <c r="AJ200"/>
  <c r="AJ191" i="3"/>
  <c r="AJ191" i="2" s="1"/>
  <c r="AJ192"/>
  <c r="AJ190"/>
  <c r="AJ182"/>
  <c r="AJ172"/>
  <c r="AJ265"/>
  <c r="AJ259"/>
  <c r="AJ222"/>
  <c r="AJ197"/>
  <c r="AJ187"/>
  <c r="AJ177"/>
  <c r="AJ215"/>
  <c r="AJ196"/>
  <c r="AJ245"/>
  <c r="AJ173"/>
  <c r="AJ167"/>
  <c r="AJ165"/>
  <c r="AJ155"/>
  <c r="AJ145"/>
  <c r="AJ136" i="3"/>
  <c r="AJ136" i="2" s="1"/>
  <c r="AJ137"/>
  <c r="AJ135"/>
  <c r="AJ210"/>
  <c r="AJ205"/>
  <c r="AJ176"/>
  <c r="AJ158" i="3"/>
  <c r="AJ158" i="2" s="1"/>
  <c r="AJ159"/>
  <c r="AJ157"/>
  <c r="AJ149"/>
  <c r="AJ139"/>
  <c r="AJ277"/>
  <c r="AJ248"/>
  <c r="AJ202" i="3"/>
  <c r="AJ202" i="2" s="1"/>
  <c r="AJ203"/>
  <c r="AJ199"/>
  <c r="AJ186"/>
  <c r="AJ179"/>
  <c r="AJ171"/>
  <c r="AJ164"/>
  <c r="AJ154"/>
  <c r="AJ144"/>
  <c r="AJ134"/>
  <c r="AJ275"/>
  <c r="AJ237"/>
  <c r="AJ232"/>
  <c r="AJ212"/>
  <c r="AJ206"/>
  <c r="AJ175"/>
  <c r="AJ174"/>
  <c r="AJ166"/>
  <c r="AJ156"/>
  <c r="AJ147" i="3"/>
  <c r="AJ147" i="2" s="1"/>
  <c r="AJ148"/>
  <c r="AJ146"/>
  <c r="AJ138"/>
  <c r="AJ193"/>
  <c r="AJ188"/>
  <c r="AJ132"/>
  <c r="AJ131"/>
  <c r="AJ122"/>
  <c r="AJ112"/>
  <c r="AJ103" i="3"/>
  <c r="AJ103" i="2" s="1"/>
  <c r="AJ104"/>
  <c r="AJ102"/>
  <c r="AJ209"/>
  <c r="AJ163"/>
  <c r="AJ143"/>
  <c r="AJ129"/>
  <c r="AJ119"/>
  <c r="AJ109"/>
  <c r="AJ99"/>
  <c r="AJ185"/>
  <c r="AJ184"/>
  <c r="AJ125" i="3"/>
  <c r="AJ125" i="2" s="1"/>
  <c r="AJ126"/>
  <c r="AJ124"/>
  <c r="AJ116"/>
  <c r="AJ194"/>
  <c r="AJ180" i="3"/>
  <c r="AJ180" i="2" s="1"/>
  <c r="AJ181"/>
  <c r="AJ169" i="3"/>
  <c r="AJ169" i="2" s="1"/>
  <c r="AJ170"/>
  <c r="AJ162"/>
  <c r="AJ161"/>
  <c r="AJ142"/>
  <c r="AJ141"/>
  <c r="AJ121"/>
  <c r="AJ111"/>
  <c r="AJ101"/>
  <c r="AJ219"/>
  <c r="AJ189"/>
  <c r="AJ183"/>
  <c r="AJ130"/>
  <c r="AJ92" i="3"/>
  <c r="AJ92" i="2" s="1"/>
  <c r="AJ93"/>
  <c r="AJ91"/>
  <c r="AJ83"/>
  <c r="AJ73"/>
  <c r="AJ63"/>
  <c r="AJ150"/>
  <c r="AJ133"/>
  <c r="AJ107"/>
  <c r="AJ106"/>
  <c r="AJ85"/>
  <c r="AJ75"/>
  <c r="AJ65"/>
  <c r="AJ140"/>
  <c r="AJ120"/>
  <c r="AJ105"/>
  <c r="AJ90"/>
  <c r="AJ81" i="3"/>
  <c r="AJ81" i="2" s="1"/>
  <c r="AJ82"/>
  <c r="AJ80"/>
  <c r="AJ72"/>
  <c r="AJ62"/>
  <c r="AJ198"/>
  <c r="AJ153"/>
  <c r="AJ117"/>
  <c r="AJ114" i="3"/>
  <c r="AJ114" i="2" s="1"/>
  <c r="AJ115"/>
  <c r="AJ100"/>
  <c r="AJ95"/>
  <c r="AJ84"/>
  <c r="AJ118"/>
  <c r="AJ160"/>
  <c r="AJ98"/>
  <c r="AJ86"/>
  <c r="AJ178"/>
  <c r="AJ55"/>
  <c r="AJ45"/>
  <c r="AJ35"/>
  <c r="AJ26" i="3"/>
  <c r="AJ26" i="2" s="1"/>
  <c r="AJ27"/>
  <c r="AJ25"/>
  <c r="AJ17"/>
  <c r="AJ201"/>
  <c r="AJ97"/>
  <c r="AJ94"/>
  <c r="AJ87"/>
  <c r="AJ74"/>
  <c r="AJ61"/>
  <c r="AJ54"/>
  <c r="AJ44"/>
  <c r="AJ34"/>
  <c r="AJ24"/>
  <c r="AJ152"/>
  <c r="AJ89"/>
  <c r="AJ88"/>
  <c r="AJ78"/>
  <c r="AJ64"/>
  <c r="AJ59" i="3"/>
  <c r="AJ59" i="2" s="1"/>
  <c r="AJ60"/>
  <c r="AJ56"/>
  <c r="AJ46"/>
  <c r="AJ37" i="3"/>
  <c r="AJ37" i="2" s="1"/>
  <c r="AJ38"/>
  <c r="AJ36"/>
  <c r="AJ28"/>
  <c r="AJ18"/>
  <c r="AJ151"/>
  <c r="AJ110"/>
  <c r="AJ108"/>
  <c r="AJ76"/>
  <c r="AJ79"/>
  <c r="AJ70" i="3"/>
  <c r="AJ70" i="2" s="1"/>
  <c r="AJ71"/>
  <c r="AJ58"/>
  <c r="AJ33"/>
  <c r="AJ19"/>
  <c r="AJ12"/>
  <c r="AJ128"/>
  <c r="AJ77"/>
  <c r="AJ40"/>
  <c r="AJ15" i="3"/>
  <c r="AJ15" i="2" s="1"/>
  <c r="AJ16"/>
  <c r="AJ168"/>
  <c r="AJ53"/>
  <c r="AJ43"/>
  <c r="AJ32"/>
  <c r="AJ20"/>
  <c r="AJ7"/>
  <c r="AJ69"/>
  <c r="AJ48" i="3"/>
  <c r="AJ48" i="2" s="1"/>
  <c r="AJ49"/>
  <c r="AJ39"/>
  <c r="AJ10"/>
  <c r="AJ9"/>
  <c r="AJ8"/>
  <c r="AJ67"/>
  <c r="AJ50"/>
  <c r="AJ29"/>
  <c r="AJ22"/>
  <c r="AJ14"/>
  <c r="AJ31"/>
  <c r="AJ66"/>
  <c r="AJ42"/>
  <c r="AJ41"/>
  <c r="AJ13"/>
  <c r="AJ6"/>
  <c r="AJ123"/>
  <c r="AJ11"/>
  <c r="AJ51"/>
  <c r="AJ21"/>
  <c r="AJ52"/>
  <c r="AJ113"/>
  <c r="AJ96"/>
  <c r="AJ68"/>
  <c r="AJ30"/>
  <c r="AJ47"/>
  <c r="AJ127"/>
  <c r="AJ57"/>
  <c r="AJ4" i="3"/>
  <c r="AJ4" i="2" s="1"/>
  <c r="AJ5"/>
  <c r="AJ23"/>
  <c r="AO275"/>
  <c r="AO261"/>
  <c r="AO251"/>
  <c r="AO241"/>
  <c r="AO272"/>
  <c r="AO264"/>
  <c r="AO256"/>
  <c r="AO248"/>
  <c r="AO277"/>
  <c r="AO268" i="3"/>
  <c r="AO268" i="2" s="1"/>
  <c r="AO269"/>
  <c r="AO267"/>
  <c r="AO259"/>
  <c r="AO253"/>
  <c r="AO243"/>
  <c r="AO273"/>
  <c r="AO263"/>
  <c r="AO249"/>
  <c r="AO233"/>
  <c r="AO276"/>
  <c r="AO265"/>
  <c r="AO260"/>
  <c r="AO252"/>
  <c r="AO245"/>
  <c r="AO240"/>
  <c r="AO230"/>
  <c r="AO220"/>
  <c r="AO210"/>
  <c r="AO232"/>
  <c r="AO222"/>
  <c r="AO262"/>
  <c r="AO250"/>
  <c r="AO224" i="3"/>
  <c r="AO224" i="2" s="1"/>
  <c r="AO225"/>
  <c r="AO211"/>
  <c r="AO207"/>
  <c r="AO274"/>
  <c r="AO257" i="3"/>
  <c r="AO257" i="2" s="1"/>
  <c r="AO258"/>
  <c r="AO255"/>
  <c r="AO244"/>
  <c r="AO242"/>
  <c r="AO231"/>
  <c r="AO219"/>
  <c r="AO216"/>
  <c r="AO270"/>
  <c r="AO228"/>
  <c r="AO206"/>
  <c r="AO238"/>
  <c r="AO226"/>
  <c r="AO194"/>
  <c r="AO199"/>
  <c r="AO189"/>
  <c r="AO180" i="3"/>
  <c r="AO180" i="2" s="1"/>
  <c r="AO181"/>
  <c r="AO179"/>
  <c r="AO171"/>
  <c r="AO271"/>
  <c r="AO254"/>
  <c r="AO209"/>
  <c r="AO205"/>
  <c r="AO196"/>
  <c r="AO186"/>
  <c r="AO176"/>
  <c r="AO217"/>
  <c r="AO212"/>
  <c r="AO204"/>
  <c r="AO195"/>
  <c r="AO234"/>
  <c r="AO229"/>
  <c r="AO221"/>
  <c r="AO175"/>
  <c r="AO164"/>
  <c r="AO154"/>
  <c r="AO144"/>
  <c r="AO134"/>
  <c r="AO278"/>
  <c r="AO235" i="3"/>
  <c r="AO235" i="2" s="1"/>
  <c r="AO236"/>
  <c r="AO188"/>
  <c r="AO174"/>
  <c r="AO168"/>
  <c r="AO166"/>
  <c r="AO156"/>
  <c r="AO147" i="3"/>
  <c r="AO147" i="2" s="1"/>
  <c r="AO148"/>
  <c r="AO146"/>
  <c r="AO138"/>
  <c r="AO266"/>
  <c r="AO227"/>
  <c r="AO201"/>
  <c r="AO184"/>
  <c r="AO173"/>
  <c r="AO163"/>
  <c r="AO153"/>
  <c r="AO143"/>
  <c r="AO133"/>
  <c r="AO200"/>
  <c r="AO190"/>
  <c r="AO187"/>
  <c r="AO167"/>
  <c r="AO165"/>
  <c r="AO155"/>
  <c r="AO145"/>
  <c r="AO136" i="3"/>
  <c r="AO136" i="2" s="1"/>
  <c r="AO137"/>
  <c r="AO135"/>
  <c r="AO213" i="3"/>
  <c r="AO213" i="2" s="1"/>
  <c r="AO214"/>
  <c r="AO152"/>
  <c r="AO121"/>
  <c r="AO111"/>
  <c r="AO101"/>
  <c r="AO215"/>
  <c r="AO193"/>
  <c r="AO178"/>
  <c r="AO151"/>
  <c r="AO150"/>
  <c r="AO128"/>
  <c r="AO118"/>
  <c r="AO108"/>
  <c r="AO98"/>
  <c r="AO239"/>
  <c r="AO223"/>
  <c r="AO177"/>
  <c r="AO157"/>
  <c r="AO149"/>
  <c r="AO132"/>
  <c r="AO130"/>
  <c r="AO123"/>
  <c r="AO114" i="3"/>
  <c r="AO114" i="2" s="1"/>
  <c r="AO115"/>
  <c r="AO113"/>
  <c r="AO131"/>
  <c r="AO120"/>
  <c r="AO110"/>
  <c r="AO185"/>
  <c r="AO169" i="3"/>
  <c r="AO169" i="2" s="1"/>
  <c r="AO170"/>
  <c r="AO160"/>
  <c r="AO117"/>
  <c r="AO112"/>
  <c r="AO103" i="3"/>
  <c r="AO103" i="2" s="1"/>
  <c r="AO104"/>
  <c r="AO100"/>
  <c r="AO97"/>
  <c r="AO94"/>
  <c r="AO90"/>
  <c r="AO81" i="3"/>
  <c r="AO81" i="2" s="1"/>
  <c r="AO82"/>
  <c r="AO80"/>
  <c r="AO72"/>
  <c r="AO62"/>
  <c r="AO237"/>
  <c r="AO218"/>
  <c r="AO124"/>
  <c r="AO116"/>
  <c r="AO84"/>
  <c r="AO74"/>
  <c r="AO64"/>
  <c r="AO122"/>
  <c r="AO99"/>
  <c r="AO96"/>
  <c r="AO89"/>
  <c r="AO79"/>
  <c r="AO70" i="3"/>
  <c r="AO70" i="2" s="1"/>
  <c r="AO71"/>
  <c r="AO69"/>
  <c r="AO61"/>
  <c r="AO119"/>
  <c r="AO106"/>
  <c r="AO87"/>
  <c r="AO198"/>
  <c r="AO182"/>
  <c r="AO161"/>
  <c r="AO141"/>
  <c r="AO125" i="3"/>
  <c r="AO125" i="2" s="1"/>
  <c r="AO126"/>
  <c r="AO109"/>
  <c r="AO91"/>
  <c r="AO86"/>
  <c r="AO158" i="3"/>
  <c r="AO158" i="2" s="1"/>
  <c r="AO159"/>
  <c r="AO140"/>
  <c r="AO107"/>
  <c r="AO105"/>
  <c r="AO102"/>
  <c r="AO88"/>
  <c r="AO183"/>
  <c r="AO83"/>
  <c r="AO73"/>
  <c r="AO65"/>
  <c r="AO59" i="3"/>
  <c r="AO59" i="2" s="1"/>
  <c r="AO60"/>
  <c r="AO54"/>
  <c r="AO44"/>
  <c r="AO34"/>
  <c r="AO24"/>
  <c r="AO76"/>
  <c r="AO53"/>
  <c r="AO43"/>
  <c r="AO33"/>
  <c r="AO23"/>
  <c r="AO191" i="3"/>
  <c r="AO191" i="2" s="1"/>
  <c r="AO192"/>
  <c r="AO92" i="3"/>
  <c r="AO92" i="2" s="1"/>
  <c r="AO93"/>
  <c r="AO77"/>
  <c r="AO67"/>
  <c r="AO55"/>
  <c r="AO45"/>
  <c r="AO35"/>
  <c r="AO26" i="3"/>
  <c r="AO26" i="2" s="1"/>
  <c r="AO27"/>
  <c r="AO25"/>
  <c r="AO17"/>
  <c r="AO246" i="3"/>
  <c r="AO246" i="2" s="1"/>
  <c r="AO247"/>
  <c r="AO202" i="3"/>
  <c r="AO202" i="2" s="1"/>
  <c r="AO203"/>
  <c r="AO85"/>
  <c r="AO162"/>
  <c r="AO142"/>
  <c r="AO129"/>
  <c r="AO48" i="3"/>
  <c r="AO48" i="2" s="1"/>
  <c r="AO49"/>
  <c r="AO39"/>
  <c r="AO30"/>
  <c r="AO11"/>
  <c r="AO63"/>
  <c r="AO52"/>
  <c r="AO22"/>
  <c r="AO18"/>
  <c r="AO6"/>
  <c r="AO208"/>
  <c r="AO75"/>
  <c r="AO57"/>
  <c r="AO12"/>
  <c r="AO9"/>
  <c r="AO51"/>
  <c r="AO41"/>
  <c r="AO36"/>
  <c r="AO95"/>
  <c r="AO58"/>
  <c r="AO47"/>
  <c r="AO42"/>
  <c r="AO37" i="3"/>
  <c r="AO37" i="2" s="1"/>
  <c r="AO38"/>
  <c r="AO4" i="3"/>
  <c r="AO4" i="2" s="1"/>
  <c r="AO5"/>
  <c r="AO127"/>
  <c r="AO32"/>
  <c r="AO28"/>
  <c r="AO8"/>
  <c r="AO172"/>
  <c r="AO56"/>
  <c r="AO29"/>
  <c r="AO10"/>
  <c r="AO40"/>
  <c r="AO31"/>
  <c r="AO78"/>
  <c r="AO66"/>
  <c r="AO50"/>
  <c r="AO20"/>
  <c r="AO14"/>
  <c r="AO13"/>
  <c r="AO197"/>
  <c r="AO68"/>
  <c r="AO46"/>
  <c r="AO7"/>
  <c r="AO139"/>
  <c r="AO15" i="3"/>
  <c r="AO15" i="2" s="1"/>
  <c r="AO16"/>
  <c r="AO19"/>
  <c r="AO21"/>
  <c r="AB276"/>
  <c r="AB260"/>
  <c r="AB252"/>
  <c r="AB242"/>
  <c r="AB273"/>
  <c r="AB263"/>
  <c r="AB249"/>
  <c r="AB278"/>
  <c r="AB270"/>
  <c r="AB266"/>
  <c r="AB257" i="3"/>
  <c r="AB257" i="2" s="1"/>
  <c r="AB258"/>
  <c r="AB254"/>
  <c r="AB244"/>
  <c r="AB274"/>
  <c r="AB262"/>
  <c r="AB250"/>
  <c r="AB271"/>
  <c r="AB255"/>
  <c r="AB246" i="3"/>
  <c r="AB246" i="2" s="1"/>
  <c r="AB247"/>
  <c r="AB235" i="3"/>
  <c r="AB235" i="2" s="1"/>
  <c r="AB236"/>
  <c r="AB234"/>
  <c r="AB241"/>
  <c r="AB231"/>
  <c r="AB221"/>
  <c r="AB211"/>
  <c r="AB265"/>
  <c r="AB245"/>
  <c r="AB233"/>
  <c r="AB224" i="3"/>
  <c r="AB224" i="2" s="1"/>
  <c r="AB225"/>
  <c r="AB223"/>
  <c r="AB232"/>
  <c r="AB215"/>
  <c r="AB208"/>
  <c r="AB256"/>
  <c r="AB227"/>
  <c r="AB212"/>
  <c r="AB268" i="3"/>
  <c r="AB268" i="2" s="1"/>
  <c r="AB269"/>
  <c r="AB261"/>
  <c r="AB243"/>
  <c r="AB240"/>
  <c r="AB230"/>
  <c r="AB213" i="3"/>
  <c r="AB213" i="2" s="1"/>
  <c r="AB214"/>
  <c r="AB207"/>
  <c r="AB251"/>
  <c r="AB229"/>
  <c r="AB209"/>
  <c r="AB195"/>
  <c r="AB259"/>
  <c r="AB248"/>
  <c r="AB204"/>
  <c r="AB200"/>
  <c r="AB191" i="3"/>
  <c r="AB191" i="2" s="1"/>
  <c r="AB192"/>
  <c r="AB190"/>
  <c r="AB182"/>
  <c r="AB172"/>
  <c r="AB253"/>
  <c r="AB238"/>
  <c r="AB237"/>
  <c r="AB226"/>
  <c r="AB219"/>
  <c r="AB197"/>
  <c r="AB187"/>
  <c r="AB177"/>
  <c r="AB277"/>
  <c r="AB217"/>
  <c r="AB196"/>
  <c r="AB272"/>
  <c r="AB228"/>
  <c r="AB202" i="3"/>
  <c r="AB202" i="2" s="1"/>
  <c r="AB203"/>
  <c r="AB198"/>
  <c r="AB185"/>
  <c r="AB184"/>
  <c r="AB178"/>
  <c r="AB169" i="3"/>
  <c r="AB169" i="2" s="1"/>
  <c r="AB170"/>
  <c r="AB165"/>
  <c r="AB155"/>
  <c r="AB145"/>
  <c r="AB136" i="3"/>
  <c r="AB136" i="2" s="1"/>
  <c r="AB137"/>
  <c r="AB135"/>
  <c r="AB220"/>
  <c r="AB206"/>
  <c r="AB173"/>
  <c r="AB158" i="3"/>
  <c r="AB158" i="2" s="1"/>
  <c r="AB159"/>
  <c r="AB157"/>
  <c r="AB149"/>
  <c r="AB139"/>
  <c r="AB183"/>
  <c r="AB164"/>
  <c r="AB154"/>
  <c r="AB144"/>
  <c r="AB134"/>
  <c r="AB216"/>
  <c r="AB201"/>
  <c r="AB186"/>
  <c r="AB179"/>
  <c r="AB171"/>
  <c r="AB166"/>
  <c r="AB156"/>
  <c r="AB147" i="3"/>
  <c r="AB147" i="2" s="1"/>
  <c r="AB148"/>
  <c r="AB146"/>
  <c r="AB138"/>
  <c r="AB239"/>
  <c r="AB222"/>
  <c r="AB194"/>
  <c r="AB180" i="3"/>
  <c r="AB180" i="2" s="1"/>
  <c r="AB181"/>
  <c r="AB167"/>
  <c r="AB160"/>
  <c r="AB153"/>
  <c r="AB140"/>
  <c r="AB122"/>
  <c r="AB112"/>
  <c r="AB103" i="3"/>
  <c r="AB103" i="2" s="1"/>
  <c r="AB104"/>
  <c r="AB102"/>
  <c r="AB129"/>
  <c r="AB119"/>
  <c r="AB109"/>
  <c r="AB99"/>
  <c r="AB264"/>
  <c r="AB152"/>
  <c r="AB151"/>
  <c r="AB133"/>
  <c r="AB125" i="3"/>
  <c r="AB125" i="2" s="1"/>
  <c r="AB126"/>
  <c r="AB124"/>
  <c r="AB116"/>
  <c r="AB267"/>
  <c r="AB218"/>
  <c r="AB150"/>
  <c r="AB121"/>
  <c r="AB111"/>
  <c r="AB101"/>
  <c r="AB193"/>
  <c r="AB132"/>
  <c r="AB127"/>
  <c r="AB118"/>
  <c r="AB113"/>
  <c r="AB92" i="3"/>
  <c r="AB92" i="2" s="1"/>
  <c r="AB93"/>
  <c r="AB91"/>
  <c r="AB83"/>
  <c r="AB73"/>
  <c r="AB63"/>
  <c r="AB108"/>
  <c r="AB98"/>
  <c r="AB95"/>
  <c r="AB85"/>
  <c r="AB75"/>
  <c r="AB65"/>
  <c r="AB210"/>
  <c r="AB205"/>
  <c r="AB199"/>
  <c r="AB168"/>
  <c r="AB143"/>
  <c r="AB141"/>
  <c r="AB123"/>
  <c r="AB117"/>
  <c r="AB114" i="3"/>
  <c r="AB114" i="2" s="1"/>
  <c r="AB115"/>
  <c r="AB90"/>
  <c r="AB81" i="3"/>
  <c r="AB81" i="2" s="1"/>
  <c r="AB82"/>
  <c r="AB80"/>
  <c r="AB72"/>
  <c r="AB62"/>
  <c r="AB176"/>
  <c r="AB174"/>
  <c r="AB131"/>
  <c r="AB142"/>
  <c r="AB275"/>
  <c r="AB189"/>
  <c r="AB188"/>
  <c r="AB161"/>
  <c r="AB120"/>
  <c r="AB97"/>
  <c r="AB88"/>
  <c r="AB87"/>
  <c r="AB79"/>
  <c r="AB106"/>
  <c r="AB78"/>
  <c r="AB64"/>
  <c r="AB59" i="3"/>
  <c r="AB59" i="2" s="1"/>
  <c r="AB60"/>
  <c r="AB55"/>
  <c r="AB45"/>
  <c r="AB35"/>
  <c r="AB26" i="3"/>
  <c r="AB26" i="2" s="1"/>
  <c r="AB27"/>
  <c r="AB25"/>
  <c r="AB17"/>
  <c r="AB175"/>
  <c r="AB162"/>
  <c r="AB130"/>
  <c r="AB110"/>
  <c r="AB105"/>
  <c r="AB89"/>
  <c r="AB54"/>
  <c r="AB44"/>
  <c r="AB34"/>
  <c r="AB24"/>
  <c r="AB107"/>
  <c r="AB96"/>
  <c r="AB77"/>
  <c r="AB76"/>
  <c r="AB56"/>
  <c r="AB46"/>
  <c r="AB37" i="3"/>
  <c r="AB37" i="2" s="1"/>
  <c r="AB38"/>
  <c r="AB36"/>
  <c r="AB28"/>
  <c r="AB18"/>
  <c r="AB84"/>
  <c r="AB66"/>
  <c r="AB128"/>
  <c r="AB69"/>
  <c r="AB68"/>
  <c r="AB48" i="3"/>
  <c r="AB48" i="2" s="1"/>
  <c r="AB49"/>
  <c r="AB39"/>
  <c r="AB30"/>
  <c r="AB12"/>
  <c r="AB86"/>
  <c r="AB51"/>
  <c r="AB47"/>
  <c r="AB43"/>
  <c r="AB33"/>
  <c r="AB29"/>
  <c r="AB14"/>
  <c r="AB11"/>
  <c r="AB8"/>
  <c r="AB61"/>
  <c r="AB52"/>
  <c r="AB22"/>
  <c r="AB15" i="3"/>
  <c r="AB15" i="2" s="1"/>
  <c r="AB16"/>
  <c r="AB100"/>
  <c r="AB40"/>
  <c r="AB23"/>
  <c r="AB70" i="3"/>
  <c r="AB70" i="2" s="1"/>
  <c r="AB71"/>
  <c r="AB50"/>
  <c r="AB74"/>
  <c r="AB53"/>
  <c r="AB41"/>
  <c r="AB7"/>
  <c r="AB67"/>
  <c r="AB9"/>
  <c r="AB163"/>
  <c r="AB19"/>
  <c r="AB10"/>
  <c r="AB21"/>
  <c r="AB4" i="3"/>
  <c r="AB4" i="2" s="1"/>
  <c r="AB5"/>
  <c r="AB58"/>
  <c r="AB57"/>
  <c r="AB31"/>
  <c r="AB42"/>
  <c r="AB32"/>
  <c r="AB20"/>
  <c r="AB13"/>
  <c r="AB6"/>
  <c r="AB94"/>
  <c r="H272"/>
  <c r="H264"/>
  <c r="H256"/>
  <c r="H248"/>
  <c r="H277"/>
  <c r="H268" i="3"/>
  <c r="H268" i="2" s="1"/>
  <c r="H269"/>
  <c r="H267"/>
  <c r="H259"/>
  <c r="H253"/>
  <c r="H243"/>
  <c r="H274"/>
  <c r="H262"/>
  <c r="H250"/>
  <c r="H278"/>
  <c r="H270"/>
  <c r="H266"/>
  <c r="H257" i="3"/>
  <c r="H257" i="2" s="1"/>
  <c r="H258"/>
  <c r="H254"/>
  <c r="H244"/>
  <c r="H276"/>
  <c r="H265"/>
  <c r="H263"/>
  <c r="H260"/>
  <c r="H252"/>
  <c r="H245"/>
  <c r="H240"/>
  <c r="H230"/>
  <c r="H275"/>
  <c r="H251"/>
  <c r="H237"/>
  <c r="H227"/>
  <c r="H217"/>
  <c r="H242"/>
  <c r="H239"/>
  <c r="H229"/>
  <c r="H234"/>
  <c r="H221"/>
  <c r="H218"/>
  <c r="H212"/>
  <c r="H249"/>
  <c r="H238"/>
  <c r="H233"/>
  <c r="H228"/>
  <c r="H271"/>
  <c r="H232"/>
  <c r="H220"/>
  <c r="H211"/>
  <c r="H231"/>
  <c r="H226"/>
  <c r="H216"/>
  <c r="H210"/>
  <c r="H204"/>
  <c r="H199"/>
  <c r="H246" i="3"/>
  <c r="H246" i="2" s="1"/>
  <c r="H247"/>
  <c r="H235" i="3"/>
  <c r="H235" i="2" s="1"/>
  <c r="H236"/>
  <c r="H209"/>
  <c r="H196"/>
  <c r="H186"/>
  <c r="H176"/>
  <c r="H261"/>
  <c r="H202" i="3"/>
  <c r="H202" i="2" s="1"/>
  <c r="H203"/>
  <c r="H201"/>
  <c r="H193"/>
  <c r="H183"/>
  <c r="H173"/>
  <c r="H273"/>
  <c r="H205"/>
  <c r="H200"/>
  <c r="H189"/>
  <c r="H185"/>
  <c r="H180" i="3"/>
  <c r="H180" i="2" s="1"/>
  <c r="H181"/>
  <c r="H178"/>
  <c r="H161"/>
  <c r="H151"/>
  <c r="H141"/>
  <c r="H131"/>
  <c r="H208"/>
  <c r="H184"/>
  <c r="H163"/>
  <c r="H153"/>
  <c r="H143"/>
  <c r="H133"/>
  <c r="H207"/>
  <c r="H177"/>
  <c r="H160"/>
  <c r="H150"/>
  <c r="H140"/>
  <c r="H213" i="3"/>
  <c r="H213" i="2" s="1"/>
  <c r="H214"/>
  <c r="H198"/>
  <c r="H172"/>
  <c r="H168"/>
  <c r="H162"/>
  <c r="H152"/>
  <c r="H142"/>
  <c r="H132"/>
  <c r="H206"/>
  <c r="H171"/>
  <c r="H165"/>
  <c r="H145"/>
  <c r="H136" i="3"/>
  <c r="H136" i="2" s="1"/>
  <c r="H137"/>
  <c r="H128"/>
  <c r="H118"/>
  <c r="H108"/>
  <c r="H219"/>
  <c r="H182"/>
  <c r="H157"/>
  <c r="H149"/>
  <c r="H123"/>
  <c r="H114" i="3"/>
  <c r="H114" i="2" s="1"/>
  <c r="H115"/>
  <c r="H113"/>
  <c r="H105"/>
  <c r="H95"/>
  <c r="H164"/>
  <c r="H156"/>
  <c r="H147" i="3"/>
  <c r="H147" i="2" s="1"/>
  <c r="H148"/>
  <c r="H144"/>
  <c r="H130"/>
  <c r="H120"/>
  <c r="H194"/>
  <c r="H155"/>
  <c r="H127"/>
  <c r="H117"/>
  <c r="H107"/>
  <c r="H167"/>
  <c r="H158" i="3"/>
  <c r="H158" i="2" s="1"/>
  <c r="H159"/>
  <c r="H87"/>
  <c r="H77"/>
  <c r="H67"/>
  <c r="H224" i="3"/>
  <c r="H224" i="2" s="1"/>
  <c r="H225"/>
  <c r="H215"/>
  <c r="H195"/>
  <c r="H191" i="3"/>
  <c r="H191" i="2" s="1"/>
  <c r="H192"/>
  <c r="H169" i="3"/>
  <c r="H169" i="2" s="1"/>
  <c r="H170"/>
  <c r="H122"/>
  <c r="H110"/>
  <c r="H89"/>
  <c r="H79"/>
  <c r="H70" i="3"/>
  <c r="H70" i="2" s="1"/>
  <c r="H71"/>
  <c r="H69"/>
  <c r="H61"/>
  <c r="H223"/>
  <c r="H134"/>
  <c r="H129"/>
  <c r="H103" i="3"/>
  <c r="H103" i="2" s="1"/>
  <c r="H104"/>
  <c r="H100"/>
  <c r="H97"/>
  <c r="H86"/>
  <c r="H76"/>
  <c r="H66"/>
  <c r="H255"/>
  <c r="H99"/>
  <c r="H83"/>
  <c r="H197"/>
  <c r="H187"/>
  <c r="H139"/>
  <c r="H119"/>
  <c r="H241"/>
  <c r="H175"/>
  <c r="H174"/>
  <c r="H166"/>
  <c r="H135"/>
  <c r="H124"/>
  <c r="H112"/>
  <c r="H92" i="3"/>
  <c r="H92" i="2" s="1"/>
  <c r="H93"/>
  <c r="H90"/>
  <c r="H84"/>
  <c r="H125" i="3"/>
  <c r="H125" i="2" s="1"/>
  <c r="H126"/>
  <c r="H98"/>
  <c r="H80"/>
  <c r="H62"/>
  <c r="H51"/>
  <c r="H41"/>
  <c r="H31"/>
  <c r="H21"/>
  <c r="H188"/>
  <c r="H111"/>
  <c r="H102"/>
  <c r="H85"/>
  <c r="H73"/>
  <c r="H65"/>
  <c r="H59" i="3"/>
  <c r="H59" i="2" s="1"/>
  <c r="H60"/>
  <c r="H58"/>
  <c r="H50"/>
  <c r="H40"/>
  <c r="H30"/>
  <c r="H20"/>
  <c r="H222"/>
  <c r="H106"/>
  <c r="H96"/>
  <c r="H78"/>
  <c r="H63"/>
  <c r="H52"/>
  <c r="H42"/>
  <c r="H32"/>
  <c r="H22"/>
  <c r="H138"/>
  <c r="H88"/>
  <c r="H75"/>
  <c r="H74"/>
  <c r="H190"/>
  <c r="H179"/>
  <c r="H154"/>
  <c r="H68"/>
  <c r="H56"/>
  <c r="H46"/>
  <c r="H8"/>
  <c r="H116"/>
  <c r="H91"/>
  <c r="H81" i="3"/>
  <c r="H81" i="2" s="1"/>
  <c r="H82"/>
  <c r="H53"/>
  <c r="H35"/>
  <c r="H19"/>
  <c r="H16"/>
  <c r="H15" i="3"/>
  <c r="H15" i="2" s="1"/>
  <c r="H109"/>
  <c r="H54"/>
  <c r="H45"/>
  <c r="H36"/>
  <c r="H24"/>
  <c r="H13"/>
  <c r="H10"/>
  <c r="H7"/>
  <c r="H34"/>
  <c r="H12"/>
  <c r="H11"/>
  <c r="H23"/>
  <c r="H18"/>
  <c r="H14"/>
  <c r="H72"/>
  <c r="H57"/>
  <c r="H47"/>
  <c r="H37" i="3"/>
  <c r="H37" i="2" s="1"/>
  <c r="H38"/>
  <c r="H26" i="3"/>
  <c r="H26" i="2" s="1"/>
  <c r="H27"/>
  <c r="H25"/>
  <c r="H101"/>
  <c r="H39"/>
  <c r="H29"/>
  <c r="H94"/>
  <c r="H64"/>
  <c r="H33"/>
  <c r="H9"/>
  <c r="H4" i="3"/>
  <c r="H4" i="2" s="1"/>
  <c r="H5"/>
  <c r="H44"/>
  <c r="H28"/>
  <c r="H17"/>
  <c r="H55"/>
  <c r="H48" i="3"/>
  <c r="H48" i="2" s="1"/>
  <c r="H49"/>
  <c r="H121"/>
  <c r="H6"/>
  <c r="H146"/>
  <c r="H43"/>
  <c r="AZ276"/>
  <c r="AZ260"/>
  <c r="AZ252"/>
  <c r="AZ242"/>
  <c r="AZ273"/>
  <c r="AZ263"/>
  <c r="AZ249"/>
  <c r="AZ278"/>
  <c r="AZ270"/>
  <c r="AZ266"/>
  <c r="AZ257" i="3"/>
  <c r="AZ257" i="2" s="1"/>
  <c r="AZ258"/>
  <c r="AZ254"/>
  <c r="AZ244"/>
  <c r="AZ274"/>
  <c r="AZ262"/>
  <c r="AZ250"/>
  <c r="AZ235" i="3"/>
  <c r="AZ235" i="2" s="1"/>
  <c r="AZ236"/>
  <c r="AZ234"/>
  <c r="AZ243"/>
  <c r="AZ231"/>
  <c r="AZ221"/>
  <c r="AZ211"/>
  <c r="AZ261"/>
  <c r="AZ233"/>
  <c r="AZ224" i="3"/>
  <c r="AZ224" i="2" s="1"/>
  <c r="AZ225"/>
  <c r="AZ223"/>
  <c r="AZ264"/>
  <c r="AZ222"/>
  <c r="AZ213" i="3"/>
  <c r="AZ213" i="2" s="1"/>
  <c r="AZ214"/>
  <c r="AZ208"/>
  <c r="AZ265"/>
  <c r="AZ245"/>
  <c r="AZ240"/>
  <c r="AZ230"/>
  <c r="AZ268" i="3"/>
  <c r="AZ268" i="2" s="1"/>
  <c r="AZ269"/>
  <c r="AZ248"/>
  <c r="AZ228"/>
  <c r="AZ207"/>
  <c r="AZ275"/>
  <c r="AZ272"/>
  <c r="AZ216"/>
  <c r="AZ195"/>
  <c r="AZ229"/>
  <c r="AZ227"/>
  <c r="AZ220"/>
  <c r="AZ206"/>
  <c r="AZ202" i="3"/>
  <c r="AZ202" i="2" s="1"/>
  <c r="AZ203"/>
  <c r="AZ200"/>
  <c r="AZ191" i="3"/>
  <c r="AZ191" i="2" s="1"/>
  <c r="AZ192"/>
  <c r="AZ190"/>
  <c r="AZ182"/>
  <c r="AZ172"/>
  <c r="AZ277"/>
  <c r="AZ246" i="3"/>
  <c r="AZ246" i="2" s="1"/>
  <c r="AZ247"/>
  <c r="AZ209"/>
  <c r="AZ197"/>
  <c r="AZ187"/>
  <c r="AZ177"/>
  <c r="AZ259"/>
  <c r="AZ256"/>
  <c r="AZ251"/>
  <c r="AZ215"/>
  <c r="AZ196"/>
  <c r="AZ267"/>
  <c r="AZ253"/>
  <c r="AZ237"/>
  <c r="AZ232"/>
  <c r="AZ226"/>
  <c r="AZ219"/>
  <c r="AZ189"/>
  <c r="AZ180" i="3"/>
  <c r="AZ180" i="2" s="1"/>
  <c r="AZ181"/>
  <c r="AZ165"/>
  <c r="AZ155"/>
  <c r="AZ145"/>
  <c r="AZ136" i="3"/>
  <c r="AZ136" i="2" s="1"/>
  <c r="AZ137"/>
  <c r="AZ135"/>
  <c r="AZ212"/>
  <c r="AZ185"/>
  <c r="AZ184"/>
  <c r="AZ178"/>
  <c r="AZ169" i="3"/>
  <c r="AZ169" i="2" s="1"/>
  <c r="AZ170"/>
  <c r="AZ158" i="3"/>
  <c r="AZ158" i="2" s="1"/>
  <c r="AZ159"/>
  <c r="AZ157"/>
  <c r="AZ149"/>
  <c r="AZ139"/>
  <c r="AZ239"/>
  <c r="AZ199"/>
  <c r="AZ194"/>
  <c r="AZ188"/>
  <c r="AZ164"/>
  <c r="AZ154"/>
  <c r="AZ144"/>
  <c r="AZ134"/>
  <c r="AZ255"/>
  <c r="AZ241"/>
  <c r="AZ238"/>
  <c r="AZ217"/>
  <c r="AZ183"/>
  <c r="AZ166"/>
  <c r="AZ156"/>
  <c r="AZ147" i="3"/>
  <c r="AZ147" i="2" s="1"/>
  <c r="AZ148"/>
  <c r="AZ146"/>
  <c r="AZ138"/>
  <c r="AZ171"/>
  <c r="AZ132"/>
  <c r="AZ131"/>
  <c r="AZ122"/>
  <c r="AZ112"/>
  <c r="AZ103" i="3"/>
  <c r="AZ103" i="2" s="1"/>
  <c r="AZ104"/>
  <c r="AZ102"/>
  <c r="AZ271"/>
  <c r="AZ198"/>
  <c r="AZ163"/>
  <c r="AZ143"/>
  <c r="AZ130"/>
  <c r="AZ129"/>
  <c r="AZ119"/>
  <c r="AZ109"/>
  <c r="AZ99"/>
  <c r="AZ167"/>
  <c r="AZ125" i="3"/>
  <c r="AZ125" i="2" s="1"/>
  <c r="AZ126"/>
  <c r="AZ124"/>
  <c r="AZ116"/>
  <c r="AZ205"/>
  <c r="AZ201"/>
  <c r="AZ162"/>
  <c r="AZ161"/>
  <c r="AZ142"/>
  <c r="AZ141"/>
  <c r="AZ121"/>
  <c r="AZ111"/>
  <c r="AZ101"/>
  <c r="AZ92" i="3"/>
  <c r="AZ92" i="2" s="1"/>
  <c r="AZ93"/>
  <c r="AZ91"/>
  <c r="AZ83"/>
  <c r="AZ73"/>
  <c r="AZ63"/>
  <c r="AZ160"/>
  <c r="AZ100"/>
  <c r="AZ97"/>
  <c r="AZ94"/>
  <c r="AZ85"/>
  <c r="AZ75"/>
  <c r="AZ65"/>
  <c r="AZ193"/>
  <c r="AZ153"/>
  <c r="AZ120"/>
  <c r="AZ90"/>
  <c r="AZ81" i="3"/>
  <c r="AZ81" i="2" s="1"/>
  <c r="AZ82"/>
  <c r="AZ80"/>
  <c r="AZ72"/>
  <c r="AZ62"/>
  <c r="AZ210"/>
  <c r="AZ168"/>
  <c r="AZ152"/>
  <c r="AZ123"/>
  <c r="AZ95"/>
  <c r="AZ86"/>
  <c r="AZ175"/>
  <c r="AZ173"/>
  <c r="AZ150"/>
  <c r="AZ117"/>
  <c r="AZ114" i="3"/>
  <c r="AZ114" i="2" s="1"/>
  <c r="AZ115"/>
  <c r="AZ110"/>
  <c r="AZ140"/>
  <c r="AZ127"/>
  <c r="AZ113"/>
  <c r="AZ174"/>
  <c r="AZ151"/>
  <c r="AZ133"/>
  <c r="AZ105"/>
  <c r="AZ55"/>
  <c r="AZ45"/>
  <c r="AZ35"/>
  <c r="AZ26" i="3"/>
  <c r="AZ26" i="2" s="1"/>
  <c r="AZ27"/>
  <c r="AZ25"/>
  <c r="AZ17"/>
  <c r="AZ128"/>
  <c r="AZ96"/>
  <c r="AZ70" i="3"/>
  <c r="AZ70" i="2" s="1"/>
  <c r="AZ71"/>
  <c r="AZ68"/>
  <c r="AZ67"/>
  <c r="AZ54"/>
  <c r="AZ44"/>
  <c r="AZ34"/>
  <c r="AZ24"/>
  <c r="AZ15" i="3"/>
  <c r="AZ15" i="2" s="1"/>
  <c r="AZ16"/>
  <c r="AZ106"/>
  <c r="AZ98"/>
  <c r="AZ78"/>
  <c r="AZ74"/>
  <c r="AZ61"/>
  <c r="AZ56"/>
  <c r="AZ46"/>
  <c r="AZ37" i="3"/>
  <c r="AZ37" i="2" s="1"/>
  <c r="AZ38"/>
  <c r="AZ36"/>
  <c r="AZ28"/>
  <c r="AZ18"/>
  <c r="AZ186"/>
  <c r="AZ84"/>
  <c r="AZ176"/>
  <c r="AZ66"/>
  <c r="AZ29"/>
  <c r="AZ21"/>
  <c r="AZ12"/>
  <c r="AZ218"/>
  <c r="AZ48" i="3"/>
  <c r="AZ48" i="2" s="1"/>
  <c r="AZ49"/>
  <c r="AZ30"/>
  <c r="AZ19"/>
  <c r="AZ13"/>
  <c r="AZ10"/>
  <c r="AZ7"/>
  <c r="AZ204"/>
  <c r="AZ179"/>
  <c r="AZ88"/>
  <c r="AZ69"/>
  <c r="AZ64"/>
  <c r="AZ58"/>
  <c r="AZ40"/>
  <c r="AZ6"/>
  <c r="AZ39"/>
  <c r="AZ33"/>
  <c r="AZ59" i="3"/>
  <c r="AZ59" i="2" s="1"/>
  <c r="AZ60"/>
  <c r="AZ4" i="3"/>
  <c r="AZ4" i="2" s="1"/>
  <c r="AZ5"/>
  <c r="AZ108"/>
  <c r="AZ76"/>
  <c r="AZ23"/>
  <c r="AZ9"/>
  <c r="AZ8"/>
  <c r="AZ118"/>
  <c r="AZ50"/>
  <c r="AZ87"/>
  <c r="AZ52"/>
  <c r="AZ51"/>
  <c r="AZ14"/>
  <c r="AZ107"/>
  <c r="AZ77"/>
  <c r="AZ53"/>
  <c r="AZ22"/>
  <c r="AZ20"/>
  <c r="AZ89"/>
  <c r="AZ57"/>
  <c r="AZ31"/>
  <c r="AZ47"/>
  <c r="AZ11"/>
  <c r="AZ32"/>
  <c r="AZ41"/>
  <c r="AZ79"/>
  <c r="AZ42"/>
  <c r="AZ43"/>
  <c r="BM275"/>
  <c r="BM261"/>
  <c r="BM251"/>
  <c r="BM241"/>
  <c r="BM272"/>
  <c r="BM264"/>
  <c r="BM256"/>
  <c r="BM248"/>
  <c r="BM277"/>
  <c r="BM268" i="3"/>
  <c r="BM268" i="2" s="1"/>
  <c r="BM269"/>
  <c r="BM267"/>
  <c r="BM259"/>
  <c r="BM253"/>
  <c r="BM243"/>
  <c r="BM273"/>
  <c r="BM263"/>
  <c r="BM249"/>
  <c r="BM242"/>
  <c r="BM233"/>
  <c r="BM240"/>
  <c r="BM230"/>
  <c r="BM220"/>
  <c r="BM210"/>
  <c r="BM278"/>
  <c r="BM270"/>
  <c r="BM266"/>
  <c r="BM257" i="3"/>
  <c r="BM257" i="2" s="1"/>
  <c r="BM258"/>
  <c r="BM254"/>
  <c r="BM232"/>
  <c r="BM222"/>
  <c r="BM262"/>
  <c r="BM250"/>
  <c r="BM235" i="3"/>
  <c r="BM235" i="2" s="1"/>
  <c r="BM236"/>
  <c r="BM226"/>
  <c r="BM223"/>
  <c r="BM207"/>
  <c r="BM274"/>
  <c r="BM244"/>
  <c r="BM224" i="3"/>
  <c r="BM224" i="2" s="1"/>
  <c r="BM225"/>
  <c r="BM221"/>
  <c r="BM218"/>
  <c r="BM212"/>
  <c r="BM246" i="3"/>
  <c r="BM246" i="2" s="1"/>
  <c r="BM247"/>
  <c r="BM213" i="3"/>
  <c r="BM213" i="2" s="1"/>
  <c r="BM214"/>
  <c r="BM206"/>
  <c r="BM239"/>
  <c r="BM237"/>
  <c r="BM227"/>
  <c r="BM216"/>
  <c r="BM194"/>
  <c r="BM260"/>
  <c r="BM238"/>
  <c r="BM217"/>
  <c r="BM211"/>
  <c r="BM199"/>
  <c r="BM189"/>
  <c r="BM180" i="3"/>
  <c r="BM180" i="2" s="1"/>
  <c r="BM181"/>
  <c r="BM179"/>
  <c r="BM171"/>
  <c r="BM255"/>
  <c r="BM204"/>
  <c r="BM196"/>
  <c r="BM186"/>
  <c r="BM176"/>
  <c r="BM229"/>
  <c r="BM228"/>
  <c r="BM215"/>
  <c r="BM195"/>
  <c r="BM208"/>
  <c r="BM202" i="3"/>
  <c r="BM202" i="2" s="1"/>
  <c r="BM203"/>
  <c r="BM191" i="3"/>
  <c r="BM191" i="2" s="1"/>
  <c r="BM192"/>
  <c r="BM172"/>
  <c r="BM164"/>
  <c r="BM154"/>
  <c r="BM144"/>
  <c r="BM134"/>
  <c r="BM245"/>
  <c r="BM198"/>
  <c r="BM175"/>
  <c r="BM167"/>
  <c r="BM166"/>
  <c r="BM156"/>
  <c r="BM147" i="3"/>
  <c r="BM147" i="2" s="1"/>
  <c r="BM148"/>
  <c r="BM146"/>
  <c r="BM138"/>
  <c r="BM197"/>
  <c r="BM185"/>
  <c r="BM178"/>
  <c r="BM169" i="3"/>
  <c r="BM169" i="2" s="1"/>
  <c r="BM170"/>
  <c r="BM163"/>
  <c r="BM153"/>
  <c r="BM143"/>
  <c r="BM133"/>
  <c r="BM271"/>
  <c r="BM234"/>
  <c r="BM193"/>
  <c r="BM184"/>
  <c r="BM173"/>
  <c r="BM165"/>
  <c r="BM155"/>
  <c r="BM145"/>
  <c r="BM136" i="3"/>
  <c r="BM136" i="2" s="1"/>
  <c r="BM137"/>
  <c r="BM135"/>
  <c r="BM231"/>
  <c r="BM190"/>
  <c r="BM121"/>
  <c r="BM111"/>
  <c r="BM101"/>
  <c r="BM219"/>
  <c r="BM162"/>
  <c r="BM142"/>
  <c r="BM128"/>
  <c r="BM118"/>
  <c r="BM108"/>
  <c r="BM98"/>
  <c r="BM188"/>
  <c r="BM161"/>
  <c r="BM160"/>
  <c r="BM141"/>
  <c r="BM140"/>
  <c r="BM123"/>
  <c r="BM114" i="3"/>
  <c r="BM114" i="2" s="1"/>
  <c r="BM115"/>
  <c r="BM113"/>
  <c r="BM187"/>
  <c r="BM177"/>
  <c r="BM174"/>
  <c r="BM158" i="3"/>
  <c r="BM158" i="2" s="1"/>
  <c r="BM159"/>
  <c r="BM139"/>
  <c r="BM120"/>
  <c r="BM110"/>
  <c r="BM276"/>
  <c r="BM157"/>
  <c r="BM151"/>
  <c r="BM150"/>
  <c r="BM129"/>
  <c r="BM109"/>
  <c r="BM99"/>
  <c r="BM96"/>
  <c r="BM90"/>
  <c r="BM81" i="3"/>
  <c r="BM81" i="2" s="1"/>
  <c r="BM82"/>
  <c r="BM80"/>
  <c r="BM72"/>
  <c r="BM62"/>
  <c r="BM265"/>
  <c r="BM252"/>
  <c r="BM182"/>
  <c r="BM132"/>
  <c r="BM131"/>
  <c r="BM95"/>
  <c r="BM84"/>
  <c r="BM74"/>
  <c r="BM64"/>
  <c r="BM168"/>
  <c r="BM125" i="3"/>
  <c r="BM125" i="2" s="1"/>
  <c r="BM126"/>
  <c r="BM119"/>
  <c r="BM107"/>
  <c r="BM102"/>
  <c r="BM89"/>
  <c r="BM79"/>
  <c r="BM70" i="3"/>
  <c r="BM70" i="2" s="1"/>
  <c r="BM71"/>
  <c r="BM69"/>
  <c r="BM61"/>
  <c r="BM112"/>
  <c r="BM105"/>
  <c r="BM103" i="3"/>
  <c r="BM103" i="2" s="1"/>
  <c r="BM104"/>
  <c r="BM100"/>
  <c r="BM91"/>
  <c r="BM86"/>
  <c r="BM124"/>
  <c r="BM122"/>
  <c r="BM106"/>
  <c r="BM201"/>
  <c r="BM183"/>
  <c r="BM116"/>
  <c r="BM200"/>
  <c r="BM117"/>
  <c r="BM87"/>
  <c r="BM130"/>
  <c r="BM76"/>
  <c r="BM54"/>
  <c r="BM44"/>
  <c r="BM34"/>
  <c r="BM24"/>
  <c r="BM15" i="3"/>
  <c r="BM15" i="2" s="1"/>
  <c r="BM16"/>
  <c r="BM127"/>
  <c r="BM83"/>
  <c r="BM68"/>
  <c r="BM53"/>
  <c r="BM43"/>
  <c r="BM33"/>
  <c r="BM23"/>
  <c r="BM149"/>
  <c r="BM97"/>
  <c r="BM94"/>
  <c r="BM85"/>
  <c r="BM66"/>
  <c r="BM55"/>
  <c r="BM45"/>
  <c r="BM35"/>
  <c r="BM26" i="3"/>
  <c r="BM26" i="2" s="1"/>
  <c r="BM27"/>
  <c r="BM25"/>
  <c r="BM17"/>
  <c r="BM88"/>
  <c r="BM92" i="3"/>
  <c r="BM92" i="2" s="1"/>
  <c r="BM93"/>
  <c r="BM37" i="3"/>
  <c r="BM37" i="2" s="1"/>
  <c r="BM38"/>
  <c r="BM29"/>
  <c r="BM21"/>
  <c r="BM11"/>
  <c r="BM77"/>
  <c r="BM67"/>
  <c r="BM63"/>
  <c r="BM59" i="3"/>
  <c r="BM59" i="2" s="1"/>
  <c r="BM60"/>
  <c r="BM58"/>
  <c r="BM40"/>
  <c r="BM8"/>
  <c r="BM78"/>
  <c r="BM36"/>
  <c r="BM20"/>
  <c r="BM14"/>
  <c r="BM75"/>
  <c r="BM56"/>
  <c r="BM46"/>
  <c r="BM18"/>
  <c r="BM51"/>
  <c r="BM41"/>
  <c r="BM30"/>
  <c r="BM31"/>
  <c r="BM7"/>
  <c r="BM6"/>
  <c r="BM42"/>
  <c r="BM205"/>
  <c r="BM10"/>
  <c r="BM9"/>
  <c r="BM47"/>
  <c r="BM4" i="3"/>
  <c r="BM4" i="2" s="1"/>
  <c r="BM5"/>
  <c r="BM48" i="3"/>
  <c r="BM48" i="2" s="1"/>
  <c r="BM49"/>
  <c r="BM22"/>
  <c r="BM19"/>
  <c r="BM209"/>
  <c r="BM57"/>
  <c r="BM50"/>
  <c r="BM39"/>
  <c r="BM28"/>
  <c r="BM12"/>
  <c r="BM152"/>
  <c r="BM32"/>
  <c r="BM73"/>
  <c r="BM52"/>
  <c r="BM13"/>
  <c r="BM65"/>
  <c r="AU277"/>
  <c r="AU268" i="3"/>
  <c r="AU268" i="2" s="1"/>
  <c r="AU269"/>
  <c r="AU267"/>
  <c r="AU259"/>
  <c r="AU253"/>
  <c r="AU243"/>
  <c r="AU274"/>
  <c r="AU262"/>
  <c r="AU250"/>
  <c r="AU271"/>
  <c r="AU265"/>
  <c r="AU255"/>
  <c r="AU246" i="3"/>
  <c r="AU246" i="2" s="1"/>
  <c r="AU247"/>
  <c r="AU245"/>
  <c r="AU275"/>
  <c r="AU261"/>
  <c r="AU251"/>
  <c r="AU272"/>
  <c r="AU264"/>
  <c r="AU256"/>
  <c r="AU248"/>
  <c r="AU237"/>
  <c r="AU232"/>
  <c r="AU222"/>
  <c r="AU213" i="3"/>
  <c r="AU213" i="2" s="1"/>
  <c r="AU214"/>
  <c r="AU212"/>
  <c r="AU276"/>
  <c r="AU263"/>
  <c r="AU260"/>
  <c r="AU252"/>
  <c r="AU235" i="3"/>
  <c r="AU235" i="2" s="1"/>
  <c r="AU236"/>
  <c r="AU234"/>
  <c r="AU226"/>
  <c r="AU254"/>
  <c r="AU240"/>
  <c r="AU230"/>
  <c r="AU210"/>
  <c r="AU209"/>
  <c r="AU278"/>
  <c r="AU266"/>
  <c r="AU238"/>
  <c r="AU233"/>
  <c r="AU223"/>
  <c r="AU221"/>
  <c r="AU218"/>
  <c r="AU257" i="3"/>
  <c r="AU257" i="2" s="1"/>
  <c r="AU258"/>
  <c r="AU208"/>
  <c r="AU242"/>
  <c r="AU227"/>
  <c r="AU217"/>
  <c r="AU196"/>
  <c r="AU241"/>
  <c r="AU201"/>
  <c r="AU193"/>
  <c r="AU183"/>
  <c r="AU173"/>
  <c r="AU244"/>
  <c r="AU239"/>
  <c r="AU204"/>
  <c r="AU198"/>
  <c r="AU188"/>
  <c r="AU178"/>
  <c r="AU169" i="3"/>
  <c r="AU169" i="2" s="1"/>
  <c r="AU170"/>
  <c r="AU270"/>
  <c r="AU228"/>
  <c r="AU206"/>
  <c r="AU202" i="3"/>
  <c r="AU202" i="2" s="1"/>
  <c r="AU203"/>
  <c r="AU197"/>
  <c r="AU220"/>
  <c r="AU215"/>
  <c r="AU200"/>
  <c r="AU190"/>
  <c r="AU177"/>
  <c r="AU166"/>
  <c r="AU156"/>
  <c r="AU147" i="3"/>
  <c r="AU147" i="2" s="1"/>
  <c r="AU148"/>
  <c r="AU146"/>
  <c r="AU138"/>
  <c r="AU231"/>
  <c r="AU229"/>
  <c r="AU216"/>
  <c r="AU172"/>
  <c r="AU167"/>
  <c r="AU160"/>
  <c r="AU150"/>
  <c r="AU140"/>
  <c r="AU130"/>
  <c r="AU182"/>
  <c r="AU176"/>
  <c r="AU165"/>
  <c r="AU155"/>
  <c r="AU145"/>
  <c r="AU136" i="3"/>
  <c r="AU136" i="2" s="1"/>
  <c r="AU137"/>
  <c r="AU135"/>
  <c r="AU249"/>
  <c r="AU189"/>
  <c r="AU185"/>
  <c r="AU180" i="3"/>
  <c r="AU180" i="2" s="1"/>
  <c r="AU181"/>
  <c r="AU158" i="3"/>
  <c r="AU158" i="2" s="1"/>
  <c r="AU159"/>
  <c r="AU157"/>
  <c r="AU149"/>
  <c r="AU139"/>
  <c r="AU273"/>
  <c r="AU191" i="3"/>
  <c r="AU191" i="2" s="1"/>
  <c r="AU192"/>
  <c r="AU162"/>
  <c r="AU154"/>
  <c r="AU142"/>
  <c r="AU123"/>
  <c r="AU114" i="3"/>
  <c r="AU114" i="2" s="1"/>
  <c r="AU115"/>
  <c r="AU113"/>
  <c r="AU105"/>
  <c r="AU211"/>
  <c r="AU199"/>
  <c r="AU195"/>
  <c r="AU161"/>
  <c r="AU141"/>
  <c r="AU120"/>
  <c r="AU110"/>
  <c r="AU100"/>
  <c r="AU224" i="3"/>
  <c r="AU224" i="2" s="1"/>
  <c r="AU225"/>
  <c r="AU205"/>
  <c r="AU179"/>
  <c r="AU153"/>
  <c r="AU134"/>
  <c r="AU127"/>
  <c r="AU117"/>
  <c r="AU152"/>
  <c r="AU122"/>
  <c r="AU112"/>
  <c r="AU103" i="3"/>
  <c r="AU103" i="2" s="1"/>
  <c r="AU104"/>
  <c r="AU102"/>
  <c r="AU187"/>
  <c r="AU144"/>
  <c r="AU128"/>
  <c r="AU107"/>
  <c r="AU99"/>
  <c r="AU96"/>
  <c r="AU84"/>
  <c r="AU74"/>
  <c r="AU64"/>
  <c r="AU219"/>
  <c r="AU86"/>
  <c r="AU76"/>
  <c r="AU66"/>
  <c r="AU175"/>
  <c r="AU164"/>
  <c r="AU151"/>
  <c r="AU118"/>
  <c r="AU98"/>
  <c r="AU95"/>
  <c r="AU92" i="3"/>
  <c r="AU92" i="2" s="1"/>
  <c r="AU93"/>
  <c r="AU91"/>
  <c r="AU83"/>
  <c r="AU73"/>
  <c r="AU63"/>
  <c r="AU133"/>
  <c r="AU121"/>
  <c r="AU207"/>
  <c r="AU186"/>
  <c r="AU119"/>
  <c r="AU97"/>
  <c r="AU89"/>
  <c r="AU171"/>
  <c r="AU129"/>
  <c r="AU168"/>
  <c r="AU163"/>
  <c r="AU143"/>
  <c r="AU111"/>
  <c r="AU90"/>
  <c r="AU88"/>
  <c r="AU87"/>
  <c r="AU70" i="3"/>
  <c r="AU70" i="2" s="1"/>
  <c r="AU71"/>
  <c r="AU62"/>
  <c r="AU56"/>
  <c r="AU46"/>
  <c r="AU37" i="3"/>
  <c r="AU37" i="2" s="1"/>
  <c r="AU38"/>
  <c r="AU36"/>
  <c r="AU28"/>
  <c r="AU18"/>
  <c r="AU132"/>
  <c r="AU65"/>
  <c r="AU59" i="3"/>
  <c r="AU59" i="2" s="1"/>
  <c r="AU60"/>
  <c r="AU55"/>
  <c r="AU45"/>
  <c r="AU35"/>
  <c r="AU26" i="3"/>
  <c r="AU26" i="2" s="1"/>
  <c r="AU27"/>
  <c r="AU25"/>
  <c r="AU17"/>
  <c r="AU184"/>
  <c r="AU125" i="3"/>
  <c r="AU125" i="2" s="1"/>
  <c r="AU126"/>
  <c r="AU101"/>
  <c r="AU85"/>
  <c r="AU81" i="3"/>
  <c r="AU81" i="2" s="1"/>
  <c r="AU82"/>
  <c r="AU80"/>
  <c r="AU57"/>
  <c r="AU48" i="3"/>
  <c r="AU48" i="2" s="1"/>
  <c r="AU49"/>
  <c r="AU47"/>
  <c r="AU39"/>
  <c r="AU29"/>
  <c r="AU19"/>
  <c r="AU116"/>
  <c r="AU109"/>
  <c r="AU106"/>
  <c r="AU69"/>
  <c r="AU68"/>
  <c r="AU108"/>
  <c r="AU77"/>
  <c r="AU52"/>
  <c r="AU42"/>
  <c r="AU13"/>
  <c r="AU4" i="3"/>
  <c r="AU4" i="2" s="1"/>
  <c r="AU5"/>
  <c r="AU194"/>
  <c r="AU94"/>
  <c r="AU61"/>
  <c r="AU50"/>
  <c r="AU41"/>
  <c r="AU31"/>
  <c r="AU20"/>
  <c r="AU15" i="3"/>
  <c r="AU15" i="2" s="1"/>
  <c r="AU16"/>
  <c r="AU32"/>
  <c r="AU14"/>
  <c r="AU11"/>
  <c r="AU8"/>
  <c r="AU79"/>
  <c r="AU40"/>
  <c r="AU23"/>
  <c r="AU10"/>
  <c r="AU51"/>
  <c r="AU30"/>
  <c r="AU9"/>
  <c r="AU75"/>
  <c r="AU54"/>
  <c r="AU53"/>
  <c r="AU22"/>
  <c r="AU21"/>
  <c r="AU34"/>
  <c r="AU33"/>
  <c r="AU24"/>
  <c r="AU131"/>
  <c r="AU67"/>
  <c r="AU174"/>
  <c r="AU124"/>
  <c r="AU78"/>
  <c r="AU6"/>
  <c r="AU72"/>
  <c r="AU43"/>
  <c r="AU44"/>
  <c r="AU7"/>
  <c r="AU58"/>
  <c r="AU12"/>
  <c r="BH276"/>
  <c r="BH260"/>
  <c r="BH252"/>
  <c r="BH242"/>
  <c r="BH273"/>
  <c r="BH263"/>
  <c r="BH249"/>
  <c r="BH278"/>
  <c r="BH270"/>
  <c r="BH266"/>
  <c r="BH257" i="3"/>
  <c r="BH257" i="2" s="1"/>
  <c r="BH258"/>
  <c r="BH254"/>
  <c r="BH244"/>
  <c r="BH274"/>
  <c r="BH262"/>
  <c r="BH250"/>
  <c r="BH271"/>
  <c r="BH255"/>
  <c r="BH246" i="3"/>
  <c r="BH246" i="2" s="1"/>
  <c r="BH247"/>
  <c r="BH235" i="3"/>
  <c r="BH235" i="2" s="1"/>
  <c r="BH236"/>
  <c r="BH234"/>
  <c r="BH231"/>
  <c r="BH221"/>
  <c r="BH211"/>
  <c r="BH265"/>
  <c r="BH245"/>
  <c r="BH233"/>
  <c r="BH224" i="3"/>
  <c r="BH224" i="2" s="1"/>
  <c r="BH225"/>
  <c r="BH223"/>
  <c r="BH272"/>
  <c r="BH267"/>
  <c r="BH220"/>
  <c r="BH217"/>
  <c r="BH208"/>
  <c r="BH241"/>
  <c r="BH239"/>
  <c r="BH238"/>
  <c r="BH229"/>
  <c r="BH227"/>
  <c r="BH277"/>
  <c r="BH275"/>
  <c r="BH264"/>
  <c r="BH237"/>
  <c r="BH219"/>
  <c r="BH216"/>
  <c r="BH210"/>
  <c r="BH207"/>
  <c r="BH253"/>
  <c r="BH248"/>
  <c r="BH218"/>
  <c r="BH212"/>
  <c r="BH209"/>
  <c r="BH202" i="3"/>
  <c r="BH202" i="2" s="1"/>
  <c r="BH203"/>
  <c r="BH195"/>
  <c r="BH243"/>
  <c r="BH226"/>
  <c r="BH215"/>
  <c r="BH213" i="3"/>
  <c r="BH213" i="2" s="1"/>
  <c r="BH214"/>
  <c r="BH200"/>
  <c r="BH191" i="3"/>
  <c r="BH191" i="2" s="1"/>
  <c r="BH192"/>
  <c r="BH190"/>
  <c r="BH182"/>
  <c r="BH172"/>
  <c r="BH197"/>
  <c r="BH187"/>
  <c r="BH177"/>
  <c r="BH232"/>
  <c r="BH204"/>
  <c r="BH196"/>
  <c r="BH230"/>
  <c r="BH206"/>
  <c r="BH198"/>
  <c r="BH194"/>
  <c r="BH185"/>
  <c r="BH184"/>
  <c r="BH178"/>
  <c r="BH169" i="3"/>
  <c r="BH169" i="2" s="1"/>
  <c r="BH170"/>
  <c r="BH165"/>
  <c r="BH155"/>
  <c r="BH145"/>
  <c r="BH136" i="3"/>
  <c r="BH136" i="2" s="1"/>
  <c r="BH137"/>
  <c r="BH135"/>
  <c r="BH251"/>
  <c r="BH240"/>
  <c r="BH173"/>
  <c r="BH158" i="3"/>
  <c r="BH158" i="2" s="1"/>
  <c r="BH159"/>
  <c r="BH157"/>
  <c r="BH149"/>
  <c r="BH139"/>
  <c r="BH259"/>
  <c r="BH193"/>
  <c r="BH183"/>
  <c r="BH168"/>
  <c r="BH164"/>
  <c r="BH154"/>
  <c r="BH144"/>
  <c r="BH134"/>
  <c r="BH201"/>
  <c r="BH186"/>
  <c r="BH179"/>
  <c r="BH171"/>
  <c r="BH167"/>
  <c r="BH166"/>
  <c r="BH156"/>
  <c r="BH147" i="3"/>
  <c r="BH147" i="2" s="1"/>
  <c r="BH148"/>
  <c r="BH146"/>
  <c r="BH138"/>
  <c r="BH189"/>
  <c r="BH160"/>
  <c r="BH153"/>
  <c r="BH140"/>
  <c r="BH122"/>
  <c r="BH112"/>
  <c r="BH103" i="3"/>
  <c r="BH103" i="2" s="1"/>
  <c r="BH104"/>
  <c r="BH102"/>
  <c r="BH188"/>
  <c r="BH176"/>
  <c r="BH174"/>
  <c r="BH129"/>
  <c r="BH119"/>
  <c r="BH109"/>
  <c r="BH99"/>
  <c r="BH268" i="3"/>
  <c r="BH268" i="2" s="1"/>
  <c r="BH269"/>
  <c r="BH175"/>
  <c r="BH152"/>
  <c r="BH151"/>
  <c r="BH133"/>
  <c r="BH125" i="3"/>
  <c r="BH125" i="2" s="1"/>
  <c r="BH126"/>
  <c r="BH124"/>
  <c r="BH116"/>
  <c r="BH256"/>
  <c r="BH222"/>
  <c r="BH150"/>
  <c r="BH121"/>
  <c r="BH111"/>
  <c r="BH101"/>
  <c r="BH132"/>
  <c r="BH127"/>
  <c r="BH118"/>
  <c r="BH113"/>
  <c r="BH92" i="3"/>
  <c r="BH92" i="2" s="1"/>
  <c r="BH93"/>
  <c r="BH91"/>
  <c r="BH83"/>
  <c r="BH73"/>
  <c r="BH63"/>
  <c r="BH105"/>
  <c r="BH85"/>
  <c r="BH75"/>
  <c r="BH65"/>
  <c r="BH180" i="3"/>
  <c r="BH180" i="2" s="1"/>
  <c r="BH181"/>
  <c r="BH143"/>
  <c r="BH141"/>
  <c r="BH123"/>
  <c r="BH117"/>
  <c r="BH114" i="3"/>
  <c r="BH114" i="2" s="1"/>
  <c r="BH115"/>
  <c r="BH110"/>
  <c r="BH96"/>
  <c r="BH90"/>
  <c r="BH81" i="3"/>
  <c r="BH81" i="2" s="1"/>
  <c r="BH82"/>
  <c r="BH80"/>
  <c r="BH72"/>
  <c r="BH62"/>
  <c r="BH205"/>
  <c r="BH107"/>
  <c r="BH199"/>
  <c r="BH163"/>
  <c r="BH120"/>
  <c r="BH97"/>
  <c r="BH89"/>
  <c r="BH131"/>
  <c r="BH128"/>
  <c r="BH162"/>
  <c r="BH108"/>
  <c r="BH106"/>
  <c r="BH84"/>
  <c r="BH261"/>
  <c r="BH228"/>
  <c r="BH161"/>
  <c r="BH70" i="3"/>
  <c r="BH70" i="2" s="1"/>
  <c r="BH71"/>
  <c r="BH68"/>
  <c r="BH67"/>
  <c r="BH55"/>
  <c r="BH45"/>
  <c r="BH35"/>
  <c r="BH26" i="3"/>
  <c r="BH26" i="2" s="1"/>
  <c r="BH27"/>
  <c r="BH25"/>
  <c r="BH17"/>
  <c r="BH100"/>
  <c r="BH94"/>
  <c r="BH79"/>
  <c r="BH66"/>
  <c r="BH54"/>
  <c r="BH44"/>
  <c r="BH34"/>
  <c r="BH24"/>
  <c r="BH15" i="3"/>
  <c r="BH15" i="2" s="1"/>
  <c r="BH16"/>
  <c r="BH86"/>
  <c r="BH56"/>
  <c r="BH46"/>
  <c r="BH37" i="3"/>
  <c r="BH37" i="2" s="1"/>
  <c r="BH38"/>
  <c r="BH36"/>
  <c r="BH28"/>
  <c r="BH18"/>
  <c r="BH130"/>
  <c r="BH76"/>
  <c r="BH64"/>
  <c r="BH61"/>
  <c r="BH57"/>
  <c r="BH52"/>
  <c r="BH47"/>
  <c r="BH42"/>
  <c r="BH12"/>
  <c r="BH78"/>
  <c r="BH32"/>
  <c r="BH6"/>
  <c r="BH51"/>
  <c r="BH21"/>
  <c r="BH9"/>
  <c r="BH88"/>
  <c r="BH77"/>
  <c r="BH41"/>
  <c r="BH19"/>
  <c r="BH8"/>
  <c r="BH74"/>
  <c r="BH53"/>
  <c r="BH43"/>
  <c r="BH11"/>
  <c r="BH7"/>
  <c r="BH95"/>
  <c r="BH33"/>
  <c r="BH20"/>
  <c r="BH13"/>
  <c r="BH69"/>
  <c r="BH59" i="3"/>
  <c r="BH59" i="2" s="1"/>
  <c r="BH60"/>
  <c r="BH10"/>
  <c r="BH4" i="3"/>
  <c r="BH4" i="2" s="1"/>
  <c r="BH5"/>
  <c r="BH142"/>
  <c r="BH48" i="3"/>
  <c r="BH48" i="2" s="1"/>
  <c r="BH49"/>
  <c r="BH87"/>
  <c r="BH23"/>
  <c r="BH39"/>
  <c r="BH98"/>
  <c r="BH58"/>
  <c r="BH30"/>
  <c r="BH14"/>
  <c r="BH22"/>
  <c r="BH29"/>
  <c r="BH50"/>
  <c r="BH40"/>
  <c r="BH31"/>
  <c r="AA273"/>
  <c r="AA263"/>
  <c r="AA249"/>
  <c r="AA278"/>
  <c r="AA270"/>
  <c r="AA266"/>
  <c r="AA257" i="3"/>
  <c r="AA257" i="2" s="1"/>
  <c r="AA258"/>
  <c r="AA254"/>
  <c r="AA244"/>
  <c r="AA275"/>
  <c r="AA261"/>
  <c r="AA251"/>
  <c r="AA271"/>
  <c r="AA265"/>
  <c r="AA255"/>
  <c r="AA246" i="3"/>
  <c r="AA246" i="2" s="1"/>
  <c r="AA247"/>
  <c r="AA245"/>
  <c r="AA241"/>
  <c r="AA231"/>
  <c r="AA277"/>
  <c r="AA268" i="3"/>
  <c r="AA268" i="2" s="1"/>
  <c r="AA269"/>
  <c r="AA253"/>
  <c r="AA238"/>
  <c r="AA228"/>
  <c r="AA218"/>
  <c r="AA240"/>
  <c r="AA230"/>
  <c r="AA264"/>
  <c r="AA260"/>
  <c r="AA243"/>
  <c r="AA213" i="3"/>
  <c r="AA213" i="2" s="1"/>
  <c r="AA214"/>
  <c r="AA252"/>
  <c r="AA248"/>
  <c r="AA223"/>
  <c r="AA220"/>
  <c r="AA217"/>
  <c r="AA204"/>
  <c r="AA262"/>
  <c r="AA259"/>
  <c r="AA256"/>
  <c r="AA233"/>
  <c r="AA215"/>
  <c r="AA200"/>
  <c r="AA191" i="3"/>
  <c r="AA191" i="2" s="1"/>
  <c r="AA192"/>
  <c r="AA190"/>
  <c r="AA237"/>
  <c r="AA234"/>
  <c r="AA232"/>
  <c r="AA226"/>
  <c r="AA219"/>
  <c r="AA197"/>
  <c r="AA187"/>
  <c r="AA177"/>
  <c r="AA167"/>
  <c r="AA239"/>
  <c r="AA235" i="3"/>
  <c r="AA235" i="2" s="1"/>
  <c r="AA236"/>
  <c r="AA210"/>
  <c r="AA208"/>
  <c r="AA194"/>
  <c r="AA184"/>
  <c r="AA174"/>
  <c r="AA242"/>
  <c r="AA221"/>
  <c r="AA201"/>
  <c r="AA250"/>
  <c r="AA227"/>
  <c r="AA188"/>
  <c r="AA162"/>
  <c r="AA152"/>
  <c r="AA142"/>
  <c r="AA132"/>
  <c r="AA224" i="3"/>
  <c r="AA224" i="2" s="1"/>
  <c r="AA225"/>
  <c r="AA207"/>
  <c r="AA183"/>
  <c r="AA164"/>
  <c r="AA154"/>
  <c r="AA144"/>
  <c r="AA134"/>
  <c r="AA276"/>
  <c r="AA212"/>
  <c r="AA195"/>
  <c r="AA176"/>
  <c r="AA161"/>
  <c r="AA151"/>
  <c r="AA141"/>
  <c r="AA131"/>
  <c r="AA189"/>
  <c r="AA182"/>
  <c r="AA180" i="3"/>
  <c r="AA180" i="2" s="1"/>
  <c r="AA181"/>
  <c r="AA163"/>
  <c r="AA153"/>
  <c r="AA143"/>
  <c r="AA133"/>
  <c r="AA209"/>
  <c r="AA169" i="3"/>
  <c r="AA169" i="2" s="1"/>
  <c r="AA170"/>
  <c r="AA166"/>
  <c r="AA158" i="3"/>
  <c r="AA158" i="2" s="1"/>
  <c r="AA159"/>
  <c r="AA146"/>
  <c r="AA139"/>
  <c r="AA138"/>
  <c r="AA129"/>
  <c r="AA119"/>
  <c r="AA109"/>
  <c r="AA125" i="3"/>
  <c r="AA125" i="2" s="1"/>
  <c r="AA126"/>
  <c r="AA124"/>
  <c r="AA116"/>
  <c r="AA106"/>
  <c r="AA96"/>
  <c r="AA267"/>
  <c r="AA202" i="3"/>
  <c r="AA202" i="2" s="1"/>
  <c r="AA203"/>
  <c r="AA179"/>
  <c r="AA165"/>
  <c r="AA150"/>
  <c r="AA145"/>
  <c r="AA136" i="3"/>
  <c r="AA136" i="2" s="1"/>
  <c r="AA137"/>
  <c r="AA121"/>
  <c r="AA111"/>
  <c r="AA274"/>
  <c r="AA272"/>
  <c r="AA199"/>
  <c r="AA198"/>
  <c r="AA168"/>
  <c r="AA157"/>
  <c r="AA156"/>
  <c r="AA149"/>
  <c r="AA147" i="3"/>
  <c r="AA147" i="2" s="1"/>
  <c r="AA148"/>
  <c r="AA128"/>
  <c r="AA118"/>
  <c r="AA108"/>
  <c r="AA222"/>
  <c r="AA175"/>
  <c r="AA103" i="3"/>
  <c r="AA103" i="2" s="1"/>
  <c r="AA104"/>
  <c r="AA88"/>
  <c r="AA78"/>
  <c r="AA68"/>
  <c r="AA59" i="3"/>
  <c r="AA59" i="2" s="1"/>
  <c r="AA60"/>
  <c r="AA211"/>
  <c r="AA205"/>
  <c r="AA140"/>
  <c r="AA123"/>
  <c r="AA117"/>
  <c r="AA114" i="3"/>
  <c r="AA114" i="2" s="1"/>
  <c r="AA115"/>
  <c r="AA112"/>
  <c r="AA90"/>
  <c r="AA81" i="3"/>
  <c r="AA81" i="2" s="1"/>
  <c r="AA82"/>
  <c r="AA80"/>
  <c r="AA72"/>
  <c r="AA62"/>
  <c r="AA196"/>
  <c r="AA178"/>
  <c r="AA130"/>
  <c r="AA87"/>
  <c r="AA77"/>
  <c r="AA67"/>
  <c r="AA229"/>
  <c r="AA216"/>
  <c r="AA127"/>
  <c r="AA113"/>
  <c r="AA98"/>
  <c r="AA185"/>
  <c r="AA105"/>
  <c r="AA101"/>
  <c r="AA94"/>
  <c r="AA91"/>
  <c r="AA86"/>
  <c r="AA122"/>
  <c r="AA186"/>
  <c r="AA160"/>
  <c r="AA120"/>
  <c r="AA99"/>
  <c r="AA92" i="3"/>
  <c r="AA92" i="2" s="1"/>
  <c r="AA93"/>
  <c r="AA73"/>
  <c r="AA52"/>
  <c r="AA42"/>
  <c r="AA32"/>
  <c r="AA22"/>
  <c r="AA85"/>
  <c r="AA70" i="3"/>
  <c r="AA70" i="2" s="1"/>
  <c r="AA71"/>
  <c r="AA51"/>
  <c r="AA41"/>
  <c r="AA31"/>
  <c r="AA21"/>
  <c r="AA95"/>
  <c r="AA84"/>
  <c r="AA74"/>
  <c r="AA61"/>
  <c r="AA53"/>
  <c r="AA43"/>
  <c r="AA33"/>
  <c r="AA23"/>
  <c r="AA173"/>
  <c r="AA155"/>
  <c r="AA206"/>
  <c r="AA193"/>
  <c r="AA135"/>
  <c r="AA97"/>
  <c r="AA69"/>
  <c r="AA171"/>
  <c r="AA54"/>
  <c r="AA44"/>
  <c r="AA37" i="3"/>
  <c r="AA37" i="2" s="1"/>
  <c r="AA38"/>
  <c r="AA29"/>
  <c r="AA9"/>
  <c r="AA110"/>
  <c r="AA89"/>
  <c r="AA79"/>
  <c r="AA64"/>
  <c r="AA39"/>
  <c r="AA18"/>
  <c r="AA15" i="3"/>
  <c r="AA15" i="2" s="1"/>
  <c r="AA16"/>
  <c r="AA172"/>
  <c r="AA107"/>
  <c r="AA57"/>
  <c r="AA34"/>
  <c r="AA55"/>
  <c r="AA50"/>
  <c r="AA35"/>
  <c r="AA30"/>
  <c r="AA17"/>
  <c r="AA102"/>
  <c r="AA75"/>
  <c r="AA56"/>
  <c r="AA46"/>
  <c r="AA24"/>
  <c r="AA19"/>
  <c r="AA6"/>
  <c r="AA4" i="3"/>
  <c r="AA4" i="2" s="1"/>
  <c r="AA5"/>
  <c r="AA58"/>
  <c r="AA47"/>
  <c r="AA26" i="3"/>
  <c r="AA26" i="2" s="1"/>
  <c r="AA27"/>
  <c r="AA25"/>
  <c r="AA10"/>
  <c r="AA8"/>
  <c r="AA48" i="3"/>
  <c r="AA48" i="2" s="1"/>
  <c r="AA49"/>
  <c r="AA45"/>
  <c r="AA76"/>
  <c r="AA63"/>
  <c r="AA100"/>
  <c r="AA40"/>
  <c r="AA66"/>
  <c r="AA36"/>
  <c r="AA12"/>
  <c r="AA13"/>
  <c r="AA11"/>
  <c r="AA83"/>
  <c r="AA65"/>
  <c r="AA20"/>
  <c r="AA28"/>
  <c r="AA14"/>
  <c r="AA7"/>
  <c r="BL272"/>
  <c r="BL264"/>
  <c r="BL256"/>
  <c r="BL248"/>
  <c r="BL277"/>
  <c r="BL268" i="3"/>
  <c r="BL268" i="2" s="1"/>
  <c r="BL269"/>
  <c r="BL267"/>
  <c r="BL259"/>
  <c r="BL253"/>
  <c r="BL243"/>
  <c r="BL274"/>
  <c r="BL262"/>
  <c r="BL250"/>
  <c r="BL278"/>
  <c r="BL270"/>
  <c r="BL266"/>
  <c r="BL257" i="3"/>
  <c r="BL257" i="2" s="1"/>
  <c r="BL258"/>
  <c r="BL254"/>
  <c r="BL244"/>
  <c r="BL273"/>
  <c r="BL249"/>
  <c r="BL241"/>
  <c r="BL240"/>
  <c r="BL230"/>
  <c r="BL271"/>
  <c r="BL255"/>
  <c r="BL246" i="3"/>
  <c r="BL246" i="2" s="1"/>
  <c r="BL247"/>
  <c r="BL237"/>
  <c r="BL227"/>
  <c r="BL217"/>
  <c r="BL239"/>
  <c r="BL229"/>
  <c r="BL276"/>
  <c r="BL231"/>
  <c r="BL215"/>
  <c r="BL263"/>
  <c r="BL242"/>
  <c r="BL213" i="3"/>
  <c r="BL213" i="2" s="1"/>
  <c r="BL214"/>
  <c r="BL260"/>
  <c r="BL251"/>
  <c r="BL234"/>
  <c r="BL202" i="3"/>
  <c r="BL202" i="2" s="1"/>
  <c r="BL203"/>
  <c r="BL238"/>
  <c r="BL235" i="3"/>
  <c r="BL235" i="2" s="1"/>
  <c r="BL236"/>
  <c r="BL222"/>
  <c r="BL211"/>
  <c r="BL207"/>
  <c r="BL199"/>
  <c r="BL221"/>
  <c r="BL204"/>
  <c r="BL196"/>
  <c r="BL186"/>
  <c r="BL176"/>
  <c r="BL275"/>
  <c r="BL245"/>
  <c r="BL212"/>
  <c r="BL206"/>
  <c r="BL201"/>
  <c r="BL193"/>
  <c r="BL183"/>
  <c r="BL173"/>
  <c r="BL261"/>
  <c r="BL224" i="3"/>
  <c r="BL224" i="2" s="1"/>
  <c r="BL225"/>
  <c r="BL219"/>
  <c r="BL208"/>
  <c r="BL200"/>
  <c r="BL252"/>
  <c r="BL233"/>
  <c r="BL228"/>
  <c r="BL182"/>
  <c r="BL161"/>
  <c r="BL151"/>
  <c r="BL141"/>
  <c r="BL131"/>
  <c r="BL226"/>
  <c r="BL218"/>
  <c r="BL210"/>
  <c r="BL197"/>
  <c r="BL189"/>
  <c r="BL185"/>
  <c r="BL180" i="3"/>
  <c r="BL180" i="2" s="1"/>
  <c r="BL181"/>
  <c r="BL178"/>
  <c r="BL169" i="3"/>
  <c r="BL169" i="2" s="1"/>
  <c r="BL170"/>
  <c r="BL163"/>
  <c r="BL153"/>
  <c r="BL143"/>
  <c r="BL133"/>
  <c r="BL232"/>
  <c r="BL190"/>
  <c r="BL188"/>
  <c r="BL174"/>
  <c r="BL160"/>
  <c r="BL150"/>
  <c r="BL140"/>
  <c r="BL130"/>
  <c r="BL220"/>
  <c r="BL195"/>
  <c r="BL177"/>
  <c r="BL162"/>
  <c r="BL152"/>
  <c r="BL142"/>
  <c r="BL132"/>
  <c r="BL167"/>
  <c r="BL128"/>
  <c r="BL118"/>
  <c r="BL108"/>
  <c r="BL179"/>
  <c r="BL154"/>
  <c r="BL135"/>
  <c r="BL123"/>
  <c r="BL114" i="3"/>
  <c r="BL114" i="2" s="1"/>
  <c r="BL115"/>
  <c r="BL113"/>
  <c r="BL105"/>
  <c r="BL95"/>
  <c r="BL187"/>
  <c r="BL158" i="3"/>
  <c r="BL158" i="2" s="1"/>
  <c r="BL159"/>
  <c r="BL139"/>
  <c r="BL120"/>
  <c r="BL175"/>
  <c r="BL168"/>
  <c r="BL166"/>
  <c r="BL146"/>
  <c r="BL138"/>
  <c r="BL134"/>
  <c r="BL127"/>
  <c r="BL117"/>
  <c r="BL107"/>
  <c r="BL209"/>
  <c r="BL171"/>
  <c r="BL164"/>
  <c r="BL156"/>
  <c r="BL155"/>
  <c r="BL149"/>
  <c r="BL121"/>
  <c r="BL87"/>
  <c r="BL77"/>
  <c r="BL67"/>
  <c r="BL125" i="3"/>
  <c r="BL125" i="2" s="1"/>
  <c r="BL126"/>
  <c r="BL119"/>
  <c r="BL102"/>
  <c r="BL98"/>
  <c r="BL89"/>
  <c r="BL79"/>
  <c r="BL70" i="3"/>
  <c r="BL70" i="2" s="1"/>
  <c r="BL71"/>
  <c r="BL69"/>
  <c r="BL61"/>
  <c r="BL216"/>
  <c r="BL145"/>
  <c r="BL136" i="3"/>
  <c r="BL136" i="2" s="1"/>
  <c r="BL137"/>
  <c r="BL112"/>
  <c r="BL86"/>
  <c r="BL76"/>
  <c r="BL66"/>
  <c r="BL124"/>
  <c r="BL122"/>
  <c r="BL106"/>
  <c r="BL101"/>
  <c r="BL205"/>
  <c r="BL147" i="3"/>
  <c r="BL147" i="2" s="1"/>
  <c r="BL148"/>
  <c r="BL110"/>
  <c r="BL165"/>
  <c r="BL111"/>
  <c r="BL191" i="3"/>
  <c r="BL191" i="2" s="1"/>
  <c r="BL192"/>
  <c r="BL103" i="3"/>
  <c r="BL103" i="2" s="1"/>
  <c r="BL104"/>
  <c r="BL100"/>
  <c r="BL99"/>
  <c r="BL91"/>
  <c r="BL78"/>
  <c r="BL223"/>
  <c r="BL172"/>
  <c r="BL129"/>
  <c r="BL96"/>
  <c r="BL90"/>
  <c r="BL88"/>
  <c r="BL63"/>
  <c r="BL51"/>
  <c r="BL41"/>
  <c r="BL31"/>
  <c r="BL21"/>
  <c r="BL62"/>
  <c r="BL58"/>
  <c r="BL50"/>
  <c r="BL40"/>
  <c r="BL30"/>
  <c r="BL20"/>
  <c r="BL194"/>
  <c r="BL116"/>
  <c r="BL109"/>
  <c r="BL92" i="3"/>
  <c r="BL92" i="2" s="1"/>
  <c r="BL93"/>
  <c r="BL52"/>
  <c r="BL42"/>
  <c r="BL32"/>
  <c r="BL22"/>
  <c r="BL97"/>
  <c r="BL157"/>
  <c r="BL80"/>
  <c r="BL184"/>
  <c r="BL144"/>
  <c r="BL83"/>
  <c r="BL59" i="3"/>
  <c r="BL59" i="2" s="1"/>
  <c r="BL60"/>
  <c r="BL34"/>
  <c r="BL28"/>
  <c r="BL25"/>
  <c r="BL8"/>
  <c r="BL198"/>
  <c r="BL54"/>
  <c r="BL45"/>
  <c r="BL36"/>
  <c r="BL26" i="3"/>
  <c r="BL26" i="2" s="1"/>
  <c r="BL27"/>
  <c r="BL14"/>
  <c r="BL11"/>
  <c r="BL265"/>
  <c r="BL46"/>
  <c r="BL85"/>
  <c r="BL35"/>
  <c r="BL23"/>
  <c r="BL68"/>
  <c r="BL57"/>
  <c r="BL47"/>
  <c r="BL24"/>
  <c r="BL19"/>
  <c r="BL4" i="3"/>
  <c r="BL4" i="2" s="1"/>
  <c r="BL5"/>
  <c r="BL74"/>
  <c r="BL53"/>
  <c r="BL43"/>
  <c r="BL10"/>
  <c r="BL84"/>
  <c r="BL9"/>
  <c r="BL44"/>
  <c r="BL73"/>
  <c r="BL72"/>
  <c r="BL64"/>
  <c r="BL48" i="3"/>
  <c r="BL48" i="2" s="1"/>
  <c r="BL49"/>
  <c r="BL75"/>
  <c r="BL56"/>
  <c r="BL16"/>
  <c r="BL15" i="3"/>
  <c r="BL15" i="2" s="1"/>
  <c r="BL81" i="3"/>
  <c r="BL81" i="2" s="1"/>
  <c r="BL82"/>
  <c r="BL17"/>
  <c r="BL55"/>
  <c r="BL39"/>
  <c r="BL33"/>
  <c r="BL37" i="3"/>
  <c r="BL37" i="2" s="1"/>
  <c r="BL38"/>
  <c r="BL18"/>
  <c r="BL13"/>
  <c r="BL29"/>
  <c r="BL94"/>
  <c r="BL65"/>
  <c r="BL6"/>
  <c r="BL12"/>
  <c r="BL7"/>
  <c r="AF272"/>
  <c r="AF264"/>
  <c r="AF256"/>
  <c r="AF248"/>
  <c r="AF277"/>
  <c r="AF268" i="3"/>
  <c r="AF268" i="2" s="1"/>
  <c r="AF269"/>
  <c r="AF267"/>
  <c r="AF259"/>
  <c r="AF253"/>
  <c r="AF243"/>
  <c r="AF274"/>
  <c r="AF262"/>
  <c r="AF250"/>
  <c r="AF278"/>
  <c r="AF270"/>
  <c r="AF266"/>
  <c r="AF257" i="3"/>
  <c r="AF257" i="2" s="1"/>
  <c r="AF258"/>
  <c r="AF254"/>
  <c r="AF244"/>
  <c r="AF273"/>
  <c r="AF249"/>
  <c r="AF240"/>
  <c r="AF230"/>
  <c r="AF271"/>
  <c r="AF255"/>
  <c r="AF246" i="3"/>
  <c r="AF246" i="2" s="1"/>
  <c r="AF247"/>
  <c r="AF237"/>
  <c r="AF227"/>
  <c r="AF217"/>
  <c r="AF239"/>
  <c r="AF229"/>
  <c r="AF263"/>
  <c r="AF242"/>
  <c r="AF220"/>
  <c r="AF211"/>
  <c r="AF265"/>
  <c r="AF245"/>
  <c r="AF232"/>
  <c r="AF219"/>
  <c r="AF216"/>
  <c r="AF275"/>
  <c r="AF235" i="3"/>
  <c r="AF235" i="2" s="1"/>
  <c r="AF236"/>
  <c r="AF210"/>
  <c r="AF202" i="3"/>
  <c r="AF202" i="2" s="1"/>
  <c r="AF203"/>
  <c r="AF276"/>
  <c r="AF212"/>
  <c r="AF207"/>
  <c r="AF206"/>
  <c r="AF199"/>
  <c r="AF251"/>
  <c r="AF231"/>
  <c r="AF222"/>
  <c r="AF218"/>
  <c r="AF213" i="3"/>
  <c r="AF213" i="2" s="1"/>
  <c r="AF214"/>
  <c r="AF196"/>
  <c r="AF186"/>
  <c r="AF176"/>
  <c r="AF215"/>
  <c r="AF205"/>
  <c r="AF201"/>
  <c r="AF193"/>
  <c r="AF183"/>
  <c r="AF173"/>
  <c r="AF228"/>
  <c r="AF208"/>
  <c r="AF204"/>
  <c r="AF200"/>
  <c r="AF223"/>
  <c r="AF194"/>
  <c r="AF182"/>
  <c r="AF161"/>
  <c r="AF151"/>
  <c r="AF141"/>
  <c r="AF131"/>
  <c r="AF238"/>
  <c r="AF209"/>
  <c r="AF197"/>
  <c r="AF189"/>
  <c r="AF185"/>
  <c r="AF180" i="3"/>
  <c r="AF180" i="2" s="1"/>
  <c r="AF181"/>
  <c r="AF178"/>
  <c r="AF169" i="3"/>
  <c r="AF169" i="2" s="1"/>
  <c r="AF170"/>
  <c r="AF168"/>
  <c r="AF163"/>
  <c r="AF153"/>
  <c r="AF143"/>
  <c r="AF133"/>
  <c r="AF226"/>
  <c r="AF191" i="3"/>
  <c r="AF191" i="2" s="1"/>
  <c r="AF192"/>
  <c r="AF188"/>
  <c r="AF174"/>
  <c r="AF160"/>
  <c r="AF150"/>
  <c r="AF140"/>
  <c r="AF252"/>
  <c r="AF195"/>
  <c r="AF177"/>
  <c r="AF167"/>
  <c r="AF162"/>
  <c r="AF152"/>
  <c r="AF142"/>
  <c r="AF132"/>
  <c r="AF234"/>
  <c r="AF224" i="3"/>
  <c r="AF224" i="2" s="1"/>
  <c r="AF225"/>
  <c r="AF128"/>
  <c r="AF118"/>
  <c r="AF108"/>
  <c r="AF260"/>
  <c r="AF184"/>
  <c r="AF172"/>
  <c r="AF171"/>
  <c r="AF154"/>
  <c r="AF135"/>
  <c r="AF123"/>
  <c r="AF114" i="3"/>
  <c r="AF114" i="2" s="1"/>
  <c r="AF115"/>
  <c r="AF113"/>
  <c r="AF105"/>
  <c r="AF95"/>
  <c r="AF233"/>
  <c r="AF158" i="3"/>
  <c r="AF158" i="2" s="1"/>
  <c r="AF159"/>
  <c r="AF139"/>
  <c r="AF130"/>
  <c r="AF120"/>
  <c r="AF166"/>
  <c r="AF146"/>
  <c r="AF138"/>
  <c r="AF134"/>
  <c r="AF127"/>
  <c r="AF117"/>
  <c r="AF107"/>
  <c r="AF164"/>
  <c r="AF156"/>
  <c r="AF155"/>
  <c r="AF149"/>
  <c r="AF121"/>
  <c r="AF106"/>
  <c r="AF101"/>
  <c r="AF100"/>
  <c r="AF97"/>
  <c r="AF94"/>
  <c r="AF87"/>
  <c r="AF77"/>
  <c r="AF67"/>
  <c r="AF175"/>
  <c r="AF125" i="3"/>
  <c r="AF125" i="2" s="1"/>
  <c r="AF126"/>
  <c r="AF119"/>
  <c r="AF103" i="3"/>
  <c r="AF103" i="2" s="1"/>
  <c r="AF104"/>
  <c r="AF89"/>
  <c r="AF79"/>
  <c r="AF70" i="3"/>
  <c r="AF70" i="2" s="1"/>
  <c r="AF71"/>
  <c r="AF69"/>
  <c r="AF61"/>
  <c r="AF198"/>
  <c r="AF145"/>
  <c r="AF136" i="3"/>
  <c r="AF136" i="2" s="1"/>
  <c r="AF137"/>
  <c r="AF112"/>
  <c r="AF109"/>
  <c r="AF99"/>
  <c r="AF96"/>
  <c r="AF86"/>
  <c r="AF76"/>
  <c r="AF66"/>
  <c r="AF190"/>
  <c r="AF187"/>
  <c r="AF165"/>
  <c r="AF241"/>
  <c r="AF157"/>
  <c r="AF129"/>
  <c r="AF88"/>
  <c r="AF110"/>
  <c r="AF83"/>
  <c r="AF75"/>
  <c r="AF102"/>
  <c r="AF51"/>
  <c r="AF41"/>
  <c r="AF31"/>
  <c r="AF21"/>
  <c r="AF221"/>
  <c r="AF91"/>
  <c r="AF64"/>
  <c r="AF58"/>
  <c r="AF50"/>
  <c r="AF40"/>
  <c r="AF30"/>
  <c r="AF20"/>
  <c r="AF179"/>
  <c r="AF147" i="3"/>
  <c r="AF147" i="2" s="1"/>
  <c r="AF148"/>
  <c r="AF90"/>
  <c r="AF80"/>
  <c r="AF72"/>
  <c r="AF52"/>
  <c r="AF42"/>
  <c r="AF32"/>
  <c r="AF22"/>
  <c r="AF261"/>
  <c r="AF144"/>
  <c r="AF73"/>
  <c r="AF92" i="3"/>
  <c r="AF92" i="2" s="1"/>
  <c r="AF93"/>
  <c r="AF74"/>
  <c r="AF36"/>
  <c r="AF23"/>
  <c r="AF17"/>
  <c r="AF8"/>
  <c r="AF84"/>
  <c r="AF78"/>
  <c r="AF68"/>
  <c r="AF55"/>
  <c r="AF46"/>
  <c r="AF37" i="3"/>
  <c r="AF37" i="2" s="1"/>
  <c r="AF38"/>
  <c r="AF28"/>
  <c r="AF6"/>
  <c r="AF65"/>
  <c r="AF62"/>
  <c r="AF12"/>
  <c r="AF9"/>
  <c r="AF33"/>
  <c r="AF29"/>
  <c r="AF14"/>
  <c r="AF13"/>
  <c r="AF124"/>
  <c r="AF45"/>
  <c r="AF34"/>
  <c r="AF4" i="3"/>
  <c r="AF4" i="2" s="1"/>
  <c r="AF5"/>
  <c r="AF122"/>
  <c r="AF116"/>
  <c r="AF81" i="3"/>
  <c r="AF81" i="2" s="1"/>
  <c r="AF82"/>
  <c r="AF47"/>
  <c r="AF44"/>
  <c r="AF43"/>
  <c r="AF7"/>
  <c r="AF63"/>
  <c r="AF48" i="3"/>
  <c r="AF48" i="2" s="1"/>
  <c r="AF49"/>
  <c r="AF18"/>
  <c r="AF15" i="3"/>
  <c r="AF15" i="2" s="1"/>
  <c r="AF16"/>
  <c r="AF111"/>
  <c r="AF59" i="3"/>
  <c r="AF59" i="2" s="1"/>
  <c r="AF60"/>
  <c r="AF53"/>
  <c r="AF25"/>
  <c r="AF35"/>
  <c r="AF11"/>
  <c r="AF57"/>
  <c r="AF26" i="3"/>
  <c r="AF26" i="2" s="1"/>
  <c r="AF27"/>
  <c r="AF85"/>
  <c r="AF56"/>
  <c r="AF54"/>
  <c r="AF24"/>
  <c r="AF10"/>
  <c r="AF98"/>
  <c r="AF39"/>
  <c r="AF19"/>
  <c r="AT274"/>
  <c r="AT262"/>
  <c r="AT250"/>
  <c r="AT271"/>
  <c r="AT265"/>
  <c r="AT255"/>
  <c r="AT246" i="3"/>
  <c r="AT246" i="2" s="1"/>
  <c r="AT247"/>
  <c r="AT245"/>
  <c r="AT276"/>
  <c r="AT260"/>
  <c r="AT252"/>
  <c r="AT242"/>
  <c r="AT272"/>
  <c r="AT264"/>
  <c r="AT256"/>
  <c r="AT248"/>
  <c r="AT232"/>
  <c r="AT278"/>
  <c r="AT270"/>
  <c r="AT266"/>
  <c r="AT261"/>
  <c r="AT257" i="3"/>
  <c r="AT257" i="2" s="1"/>
  <c r="AT258"/>
  <c r="AT254"/>
  <c r="AT241"/>
  <c r="AT239"/>
  <c r="AT229"/>
  <c r="AT219"/>
  <c r="AT277"/>
  <c r="AT268" i="3"/>
  <c r="AT268" i="2" s="1"/>
  <c r="AT269"/>
  <c r="AT253"/>
  <c r="AT231"/>
  <c r="AT273"/>
  <c r="AT234"/>
  <c r="AT227"/>
  <c r="AT215"/>
  <c r="AT226"/>
  <c r="AT212"/>
  <c r="AT244"/>
  <c r="AT237"/>
  <c r="AT224" i="3"/>
  <c r="AT224" i="2" s="1"/>
  <c r="AT225"/>
  <c r="AT213" i="3"/>
  <c r="AT213" i="2" s="1"/>
  <c r="AT214"/>
  <c r="AT205"/>
  <c r="AT235" i="3"/>
  <c r="AT235" i="2" s="1"/>
  <c r="AT236"/>
  <c r="AT233"/>
  <c r="AT208"/>
  <c r="AT201"/>
  <c r="AT193"/>
  <c r="AT238"/>
  <c r="AT218"/>
  <c r="AT204"/>
  <c r="AT198"/>
  <c r="AT188"/>
  <c r="AT178"/>
  <c r="AT169" i="3"/>
  <c r="AT169" i="2" s="1"/>
  <c r="AT170"/>
  <c r="AT168"/>
  <c r="AT267"/>
  <c r="AT240"/>
  <c r="AT207"/>
  <c r="AT195"/>
  <c r="AT185"/>
  <c r="AT175"/>
  <c r="AT223"/>
  <c r="AT220"/>
  <c r="AT216"/>
  <c r="AT210"/>
  <c r="AT251"/>
  <c r="AT209"/>
  <c r="AT202" i="3"/>
  <c r="AT202" i="2" s="1"/>
  <c r="AT203"/>
  <c r="AT199"/>
  <c r="AT194"/>
  <c r="AT187"/>
  <c r="AT173"/>
  <c r="AT163"/>
  <c r="AT153"/>
  <c r="AT143"/>
  <c r="AT133"/>
  <c r="AT221"/>
  <c r="AT206"/>
  <c r="AT182"/>
  <c r="AT176"/>
  <c r="AT165"/>
  <c r="AT155"/>
  <c r="AT145"/>
  <c r="AT136" i="3"/>
  <c r="AT136" i="2" s="1"/>
  <c r="AT137"/>
  <c r="AT135"/>
  <c r="AT263"/>
  <c r="AT222"/>
  <c r="AT196"/>
  <c r="AT191" i="3"/>
  <c r="AT191" i="2" s="1"/>
  <c r="AT192"/>
  <c r="AT186"/>
  <c r="AT179"/>
  <c r="AT171"/>
  <c r="AT162"/>
  <c r="AT152"/>
  <c r="AT142"/>
  <c r="AT132"/>
  <c r="AT243"/>
  <c r="AT174"/>
  <c r="AT164"/>
  <c r="AT154"/>
  <c r="AT144"/>
  <c r="AT134"/>
  <c r="AT230"/>
  <c r="AT211"/>
  <c r="AT197"/>
  <c r="AT183"/>
  <c r="AT167"/>
  <c r="AT161"/>
  <c r="AT141"/>
  <c r="AT120"/>
  <c r="AT110"/>
  <c r="AT275"/>
  <c r="AT259"/>
  <c r="AT200"/>
  <c r="AT160"/>
  <c r="AT158" i="3"/>
  <c r="AT158" i="2" s="1"/>
  <c r="AT159"/>
  <c r="AT140"/>
  <c r="AT139"/>
  <c r="AT127"/>
  <c r="AT117"/>
  <c r="AT107"/>
  <c r="AT97"/>
  <c r="AT228"/>
  <c r="AT190"/>
  <c r="AT166"/>
  <c r="AT146"/>
  <c r="AT138"/>
  <c r="AT122"/>
  <c r="AT112"/>
  <c r="AT189"/>
  <c r="AT151"/>
  <c r="AT129"/>
  <c r="AT119"/>
  <c r="AT109"/>
  <c r="AT125" i="3"/>
  <c r="AT125" i="2" s="1"/>
  <c r="AT126"/>
  <c r="AT106"/>
  <c r="AT101"/>
  <c r="AT89"/>
  <c r="AT79"/>
  <c r="AT70" i="3"/>
  <c r="AT70" i="2" s="1"/>
  <c r="AT71"/>
  <c r="AT69"/>
  <c r="AT61"/>
  <c r="AT180" i="3"/>
  <c r="AT180" i="2" s="1"/>
  <c r="AT181"/>
  <c r="AT157"/>
  <c r="AT118"/>
  <c r="AT113"/>
  <c r="AT105"/>
  <c r="AT98"/>
  <c r="AT95"/>
  <c r="AT92" i="3"/>
  <c r="AT92" i="2" s="1"/>
  <c r="AT93"/>
  <c r="AT91"/>
  <c r="AT83"/>
  <c r="AT73"/>
  <c r="AT63"/>
  <c r="AT249"/>
  <c r="AT177"/>
  <c r="AT156"/>
  <c r="AT150"/>
  <c r="AT149"/>
  <c r="AT124"/>
  <c r="AT116"/>
  <c r="AT111"/>
  <c r="AT103" i="3"/>
  <c r="AT103" i="2" s="1"/>
  <c r="AT104"/>
  <c r="AT88"/>
  <c r="AT78"/>
  <c r="AT68"/>
  <c r="AT59" i="3"/>
  <c r="AT59" i="2" s="1"/>
  <c r="AT60"/>
  <c r="AT96"/>
  <c r="AT172"/>
  <c r="AT147" i="3"/>
  <c r="AT147" i="2" s="1"/>
  <c r="AT148"/>
  <c r="AT99"/>
  <c r="AT130"/>
  <c r="AT123"/>
  <c r="AT121"/>
  <c r="AT84"/>
  <c r="AT76"/>
  <c r="AT75"/>
  <c r="AT77"/>
  <c r="AT67"/>
  <c r="AT53"/>
  <c r="AT43"/>
  <c r="AT33"/>
  <c r="AT23"/>
  <c r="AT131"/>
  <c r="AT52"/>
  <c r="AT42"/>
  <c r="AT32"/>
  <c r="AT22"/>
  <c r="AT108"/>
  <c r="AT94"/>
  <c r="AT72"/>
  <c r="AT54"/>
  <c r="AT44"/>
  <c r="AT34"/>
  <c r="AT24"/>
  <c r="AT15" i="3"/>
  <c r="AT15" i="2" s="1"/>
  <c r="AT16"/>
  <c r="AT184"/>
  <c r="AT114" i="3"/>
  <c r="AT114" i="2" s="1"/>
  <c r="AT115"/>
  <c r="AT100"/>
  <c r="AT217"/>
  <c r="AT102"/>
  <c r="AT90"/>
  <c r="AT87"/>
  <c r="AT85"/>
  <c r="AT81" i="3"/>
  <c r="AT81" i="2" s="1"/>
  <c r="AT82"/>
  <c r="AT80"/>
  <c r="AT56"/>
  <c r="AT46"/>
  <c r="AT10"/>
  <c r="AT55"/>
  <c r="AT37" i="3"/>
  <c r="AT37" i="2" s="1"/>
  <c r="AT38"/>
  <c r="AT28"/>
  <c r="AT14"/>
  <c r="AT11"/>
  <c r="AT8"/>
  <c r="AT128"/>
  <c r="AT66"/>
  <c r="AT51"/>
  <c r="AT21"/>
  <c r="AT17"/>
  <c r="AT50"/>
  <c r="AT35"/>
  <c r="AT30"/>
  <c r="AT18"/>
  <c r="AT9"/>
  <c r="AT62"/>
  <c r="AT13"/>
  <c r="AT12"/>
  <c r="AT26" i="3"/>
  <c r="AT26" i="2" s="1"/>
  <c r="AT27"/>
  <c r="AT65"/>
  <c r="AT57"/>
  <c r="AT39"/>
  <c r="AT29"/>
  <c r="AT20"/>
  <c r="AT86"/>
  <c r="AT74"/>
  <c r="AT58"/>
  <c r="AT36"/>
  <c r="AT31"/>
  <c r="AT25"/>
  <c r="AT64"/>
  <c r="AT4" i="3"/>
  <c r="AT4" i="2" s="1"/>
  <c r="AT5"/>
  <c r="AT47"/>
  <c r="AT7"/>
  <c r="AT6"/>
  <c r="AT45"/>
  <c r="AT40"/>
  <c r="AT19"/>
  <c r="AT48" i="3"/>
  <c r="AT48" i="2" s="1"/>
  <c r="AT49"/>
  <c r="AT41"/>
  <c r="F63"/>
  <c r="F263"/>
  <c r="F10"/>
  <c r="F123"/>
  <c r="F55"/>
  <c r="F134"/>
  <c r="F220"/>
  <c r="F116"/>
  <c r="F239"/>
  <c r="F51"/>
  <c r="F94"/>
  <c r="F29"/>
  <c r="F114" i="3"/>
  <c r="F114" i="2" s="1"/>
  <c r="F115"/>
  <c r="F33"/>
  <c r="F124"/>
  <c r="F152"/>
  <c r="F19"/>
  <c r="F204"/>
  <c r="F164"/>
  <c r="F231"/>
  <c r="F73"/>
  <c r="F205"/>
  <c r="F97"/>
  <c r="F14"/>
  <c r="F161"/>
  <c r="F62"/>
  <c r="F249"/>
  <c r="F187"/>
  <c r="F53"/>
  <c r="F95"/>
  <c r="F44"/>
  <c r="F196"/>
  <c r="F76"/>
  <c r="F81" i="3"/>
  <c r="F81" i="2" s="1"/>
  <c r="F82"/>
  <c r="F139"/>
  <c r="F20"/>
  <c r="F169" i="3"/>
  <c r="F169" i="2" s="1"/>
  <c r="F170"/>
  <c r="F133"/>
  <c r="F45"/>
  <c r="F68"/>
  <c r="F246" i="3"/>
  <c r="F246" i="2" s="1"/>
  <c r="F247"/>
  <c r="F98"/>
  <c r="F46"/>
  <c r="F85"/>
  <c r="F146"/>
  <c r="F160"/>
  <c r="F88"/>
  <c r="F58"/>
  <c r="F186"/>
  <c r="F112"/>
  <c r="F230"/>
  <c r="F41"/>
  <c r="F90"/>
  <c r="F15" i="3"/>
  <c r="F15" i="2" s="1"/>
  <c r="F16"/>
  <c r="F107"/>
  <c r="F229"/>
  <c r="F120"/>
  <c r="F268" i="3"/>
  <c r="F268" i="2" s="1"/>
  <c r="F269"/>
  <c r="F59" i="3"/>
  <c r="F59" i="2" s="1"/>
  <c r="F60"/>
  <c r="F151"/>
  <c r="F212"/>
  <c r="F99"/>
  <c r="F103" i="3"/>
  <c r="F103" i="2" s="1"/>
  <c r="F104"/>
  <c r="F142"/>
  <c r="F238"/>
  <c r="F195"/>
  <c r="F28"/>
  <c r="F86"/>
  <c r="F213" i="3"/>
  <c r="F213" i="2" s="1"/>
  <c r="F214"/>
  <c r="F130"/>
  <c r="F111"/>
  <c r="F143"/>
  <c r="F23"/>
  <c r="F173"/>
  <c r="F222"/>
  <c r="F150"/>
  <c r="F276"/>
  <c r="F255"/>
  <c r="F106"/>
  <c r="F50"/>
  <c r="F42"/>
  <c r="F277"/>
  <c r="F72"/>
  <c r="F32"/>
  <c r="F132"/>
  <c r="F9"/>
  <c r="F275"/>
  <c r="F185"/>
  <c r="F80"/>
  <c r="F248"/>
  <c r="F24"/>
  <c r="F177"/>
  <c r="F79"/>
  <c r="F221"/>
  <c r="F37" i="3"/>
  <c r="F37" i="2" s="1"/>
  <c r="F38"/>
  <c r="F256"/>
  <c r="F77"/>
  <c r="F168"/>
  <c r="F102"/>
  <c r="F211"/>
  <c r="F117"/>
  <c r="F26" i="3"/>
  <c r="F26" i="2" s="1"/>
  <c r="F27"/>
  <c r="F158" i="3"/>
  <c r="F158" i="2" s="1"/>
  <c r="F159"/>
  <c r="F70" i="3"/>
  <c r="F70" i="2" s="1"/>
  <c r="F71"/>
  <c r="F18"/>
  <c r="F35"/>
  <c r="F194"/>
  <c r="F165"/>
  <c r="F138"/>
  <c r="F67"/>
  <c r="F129"/>
  <c r="F176"/>
  <c r="F202" i="3"/>
  <c r="F202" i="2" s="1"/>
  <c r="F203"/>
  <c r="F121"/>
  <c r="F64"/>
  <c r="F6"/>
  <c r="F147" i="3"/>
  <c r="F147" i="2" s="1"/>
  <c r="F148"/>
  <c r="F54"/>
  <c r="F155"/>
  <c r="F108"/>
  <c r="F11"/>
  <c r="F89"/>
  <c r="F36"/>
  <c r="F178"/>
  <c r="F141"/>
  <c r="F240"/>
  <c r="F167"/>
  <c r="F125" i="3"/>
  <c r="F125" i="2" s="1"/>
  <c r="F126"/>
  <c r="F7"/>
  <c r="F156"/>
  <c r="F30"/>
  <c r="F265"/>
  <c r="F84"/>
  <c r="F188"/>
  <c r="F234"/>
  <c r="F209"/>
  <c r="F105"/>
  <c r="F149"/>
  <c r="F122"/>
  <c r="F180" i="3"/>
  <c r="F180" i="2" s="1"/>
  <c r="F181"/>
  <c r="F206"/>
  <c r="F4" i="3"/>
  <c r="F4" i="2" s="1"/>
  <c r="F5"/>
  <c r="F191" i="3"/>
  <c r="F191" i="2" s="1"/>
  <c r="F192"/>
  <c r="F91"/>
  <c r="F48" i="3"/>
  <c r="F48" i="2" s="1"/>
  <c r="F49"/>
  <c r="F135"/>
  <c r="F69"/>
  <c r="F224" i="3"/>
  <c r="F224" i="2" s="1"/>
  <c r="F225"/>
  <c r="F223"/>
  <c r="F267"/>
  <c r="F96"/>
  <c r="F210"/>
  <c r="F254"/>
  <c r="F157"/>
  <c r="F251"/>
  <c r="F57"/>
  <c r="F145"/>
  <c r="F78"/>
  <c r="F127"/>
  <c r="F119"/>
  <c r="F131"/>
  <c r="F118"/>
  <c r="F227"/>
  <c r="F40"/>
  <c r="F22"/>
  <c r="F237"/>
  <c r="F219"/>
  <c r="F128"/>
  <c r="F87"/>
  <c r="F100"/>
  <c r="F56"/>
  <c r="F241"/>
  <c r="F140"/>
  <c r="F272"/>
  <c r="F270"/>
  <c r="F260"/>
  <c r="F201"/>
  <c r="F66"/>
  <c r="F154"/>
  <c r="F193"/>
  <c r="F200"/>
  <c r="F198"/>
  <c r="F183"/>
  <c r="F184"/>
  <c r="F162"/>
  <c r="F189"/>
  <c r="F266"/>
  <c r="F273"/>
  <c r="F101"/>
  <c r="F109"/>
  <c r="F259"/>
  <c r="F190"/>
  <c r="F208"/>
  <c r="F61"/>
  <c r="F250"/>
  <c r="F43"/>
  <c r="F172"/>
  <c r="F215"/>
  <c r="F17"/>
  <c r="F175"/>
  <c r="F278"/>
  <c r="F75"/>
  <c r="F242"/>
  <c r="F216"/>
  <c r="F52"/>
  <c r="F74"/>
  <c r="F218"/>
  <c r="F153"/>
  <c r="F261"/>
  <c r="F179"/>
  <c r="F174"/>
  <c r="F245"/>
  <c r="F39"/>
  <c r="F233"/>
  <c r="F12"/>
  <c r="F31"/>
  <c r="F207"/>
  <c r="F226"/>
  <c r="F228"/>
  <c r="F235" i="3"/>
  <c r="F235" i="2" s="1"/>
  <c r="F236"/>
  <c r="F244"/>
  <c r="F253"/>
  <c r="F13"/>
  <c r="F197"/>
  <c r="F271"/>
  <c r="F257" i="3"/>
  <c r="F257" i="2" s="1"/>
  <c r="F258"/>
  <c r="F144"/>
  <c r="F47"/>
  <c r="F65"/>
  <c r="F274"/>
  <c r="F25"/>
  <c r="F34"/>
  <c r="F232"/>
  <c r="F136" i="3"/>
  <c r="F136" i="2" s="1"/>
  <c r="F137"/>
  <c r="F83"/>
  <c r="F171"/>
  <c r="F163"/>
  <c r="F166"/>
  <c r="F264"/>
  <c r="F243"/>
  <c r="F182"/>
  <c r="F113"/>
  <c r="F262"/>
  <c r="F217"/>
  <c r="F21"/>
  <c r="F252"/>
  <c r="F199"/>
  <c r="F8"/>
  <c r="F110"/>
  <c r="F92" i="3"/>
  <c r="F92" i="2" s="1"/>
  <c r="F93"/>
  <c r="AN272"/>
  <c r="AN264"/>
  <c r="AN256"/>
  <c r="AN248"/>
  <c r="AN277"/>
  <c r="AN268" i="3"/>
  <c r="AN268" i="2" s="1"/>
  <c r="AN269"/>
  <c r="AN267"/>
  <c r="AN259"/>
  <c r="AN253"/>
  <c r="AN243"/>
  <c r="AN274"/>
  <c r="AN262"/>
  <c r="AN250"/>
  <c r="AN278"/>
  <c r="AN270"/>
  <c r="AN266"/>
  <c r="AN257" i="3"/>
  <c r="AN257" i="2" s="1"/>
  <c r="AN258"/>
  <c r="AN254"/>
  <c r="AN244"/>
  <c r="AN276"/>
  <c r="AN265"/>
  <c r="AN263"/>
  <c r="AN260"/>
  <c r="AN252"/>
  <c r="AN245"/>
  <c r="AN240"/>
  <c r="AN230"/>
  <c r="AN275"/>
  <c r="AN251"/>
  <c r="AN237"/>
  <c r="AN227"/>
  <c r="AN217"/>
  <c r="AN242"/>
  <c r="AN239"/>
  <c r="AN229"/>
  <c r="AN241"/>
  <c r="AN235" i="3"/>
  <c r="AN235" i="2" s="1"/>
  <c r="AN236"/>
  <c r="AN228"/>
  <c r="AN210"/>
  <c r="AN246" i="3"/>
  <c r="AN246" i="2" s="1"/>
  <c r="AN247"/>
  <c r="AN215"/>
  <c r="AN202" i="3"/>
  <c r="AN202" i="2" s="1"/>
  <c r="AN203"/>
  <c r="AN219"/>
  <c r="AN199"/>
  <c r="AN271"/>
  <c r="AN261"/>
  <c r="AN249"/>
  <c r="AN209"/>
  <c r="AN205"/>
  <c r="AN196"/>
  <c r="AN186"/>
  <c r="AN176"/>
  <c r="AN224" i="3"/>
  <c r="AN224" i="2" s="1"/>
  <c r="AN225"/>
  <c r="AN223"/>
  <c r="AN216"/>
  <c r="AN201"/>
  <c r="AN193"/>
  <c r="AN183"/>
  <c r="AN173"/>
  <c r="AN255"/>
  <c r="AN234"/>
  <c r="AN231"/>
  <c r="AN222"/>
  <c r="AN218"/>
  <c r="AN213" i="3"/>
  <c r="AN213" i="2" s="1"/>
  <c r="AN214"/>
  <c r="AN200"/>
  <c r="AN273"/>
  <c r="AN206"/>
  <c r="AN191" i="3"/>
  <c r="AN191" i="2" s="1"/>
  <c r="AN192"/>
  <c r="AN189"/>
  <c r="AN185"/>
  <c r="AN180" i="3"/>
  <c r="AN180" i="2" s="1"/>
  <c r="AN181"/>
  <c r="AN178"/>
  <c r="AN169" i="3"/>
  <c r="AN169" i="2" s="1"/>
  <c r="AN170"/>
  <c r="AN161"/>
  <c r="AN151"/>
  <c r="AN141"/>
  <c r="AN131"/>
  <c r="AN184"/>
  <c r="AN163"/>
  <c r="AN153"/>
  <c r="AN143"/>
  <c r="AN133"/>
  <c r="AN233"/>
  <c r="AN177"/>
  <c r="AN160"/>
  <c r="AN150"/>
  <c r="AN140"/>
  <c r="AN130"/>
  <c r="AN226"/>
  <c r="AN211"/>
  <c r="AN198"/>
  <c r="AN194"/>
  <c r="AN172"/>
  <c r="AN162"/>
  <c r="AN152"/>
  <c r="AN142"/>
  <c r="AN132"/>
  <c r="AN221"/>
  <c r="AN212"/>
  <c r="AN195"/>
  <c r="AN190"/>
  <c r="AN179"/>
  <c r="AN165"/>
  <c r="AN145"/>
  <c r="AN136" i="3"/>
  <c r="AN136" i="2" s="1"/>
  <c r="AN137"/>
  <c r="AN128"/>
  <c r="AN118"/>
  <c r="AN108"/>
  <c r="AN188"/>
  <c r="AN187"/>
  <c r="AN168"/>
  <c r="AN157"/>
  <c r="AN149"/>
  <c r="AN123"/>
  <c r="AN114" i="3"/>
  <c r="AN114" i="2" s="1"/>
  <c r="AN115"/>
  <c r="AN113"/>
  <c r="AN105"/>
  <c r="AN95"/>
  <c r="AN175"/>
  <c r="AN174"/>
  <c r="AN164"/>
  <c r="AN156"/>
  <c r="AN147" i="3"/>
  <c r="AN147" i="2" s="1"/>
  <c r="AN148"/>
  <c r="AN144"/>
  <c r="AN120"/>
  <c r="AN238"/>
  <c r="AN207"/>
  <c r="AN204"/>
  <c r="AN155"/>
  <c r="AN127"/>
  <c r="AN117"/>
  <c r="AN107"/>
  <c r="AN232"/>
  <c r="AN208"/>
  <c r="AN158" i="3"/>
  <c r="AN158" i="2" s="1"/>
  <c r="AN159"/>
  <c r="AN109"/>
  <c r="AN87"/>
  <c r="AN77"/>
  <c r="AN67"/>
  <c r="AN122"/>
  <c r="AN99"/>
  <c r="AN96"/>
  <c r="AN89"/>
  <c r="AN79"/>
  <c r="AN70" i="3"/>
  <c r="AN70" i="2" s="1"/>
  <c r="AN71"/>
  <c r="AN69"/>
  <c r="AN61"/>
  <c r="AN171"/>
  <c r="AN134"/>
  <c r="AN129"/>
  <c r="AN102"/>
  <c r="AN86"/>
  <c r="AN76"/>
  <c r="AN66"/>
  <c r="AN182"/>
  <c r="AN138"/>
  <c r="AN125" i="3"/>
  <c r="AN125" i="2" s="1"/>
  <c r="AN126"/>
  <c r="AN110"/>
  <c r="AN91"/>
  <c r="AN124"/>
  <c r="AN112"/>
  <c r="AN94"/>
  <c r="AN167"/>
  <c r="AN121"/>
  <c r="AN116"/>
  <c r="AN220"/>
  <c r="AN119"/>
  <c r="AN106"/>
  <c r="AN101"/>
  <c r="AN98"/>
  <c r="AN81" i="3"/>
  <c r="AN81" i="2" s="1"/>
  <c r="AN82"/>
  <c r="AN154"/>
  <c r="AN111"/>
  <c r="AN64"/>
  <c r="AN51"/>
  <c r="AN41"/>
  <c r="AN31"/>
  <c r="AN21"/>
  <c r="AN166"/>
  <c r="AN68"/>
  <c r="AN58"/>
  <c r="AN50"/>
  <c r="AN40"/>
  <c r="AN30"/>
  <c r="AN20"/>
  <c r="AN139"/>
  <c r="AN100"/>
  <c r="AN52"/>
  <c r="AN42"/>
  <c r="AN32"/>
  <c r="AN22"/>
  <c r="AN146"/>
  <c r="AN90"/>
  <c r="AN85"/>
  <c r="AN80"/>
  <c r="AN197"/>
  <c r="AN135"/>
  <c r="AN88"/>
  <c r="AN63"/>
  <c r="AN54"/>
  <c r="AN44"/>
  <c r="AN37" i="3"/>
  <c r="AN37" i="2" s="1"/>
  <c r="AN38"/>
  <c r="AN29"/>
  <c r="AN8"/>
  <c r="AN75"/>
  <c r="AN59" i="3"/>
  <c r="AN59" i="2" s="1"/>
  <c r="AN60"/>
  <c r="AN57"/>
  <c r="AN34"/>
  <c r="AN12"/>
  <c r="AN9"/>
  <c r="AN104"/>
  <c r="AN103" i="3"/>
  <c r="AN103" i="2" s="1"/>
  <c r="AN53"/>
  <c r="AN48" i="3"/>
  <c r="AN48" i="2" s="1"/>
  <c r="AN49"/>
  <c r="AN23"/>
  <c r="AN19"/>
  <c r="AN4" i="3"/>
  <c r="AN4" i="2" s="1"/>
  <c r="AN5"/>
  <c r="AN65"/>
  <c r="AN47"/>
  <c r="AN26" i="3"/>
  <c r="AN26" i="2" s="1"/>
  <c r="AN27"/>
  <c r="AN25"/>
  <c r="AN78"/>
  <c r="AN84"/>
  <c r="AN83"/>
  <c r="AN39"/>
  <c r="AN15" i="3"/>
  <c r="AN15" i="2" s="1"/>
  <c r="AN16"/>
  <c r="AN7"/>
  <c r="AN6"/>
  <c r="AN73"/>
  <c r="AN33"/>
  <c r="AN24"/>
  <c r="AN11"/>
  <c r="AN97"/>
  <c r="AN74"/>
  <c r="AN36"/>
  <c r="AN62"/>
  <c r="AN45"/>
  <c r="AN28"/>
  <c r="AN17"/>
  <c r="AN10"/>
  <c r="AN55"/>
  <c r="AN43"/>
  <c r="AN72"/>
  <c r="AN46"/>
  <c r="AN14"/>
  <c r="AN92" i="3"/>
  <c r="AN92" i="2" s="1"/>
  <c r="AN93"/>
  <c r="AN56"/>
  <c r="AN35"/>
  <c r="AN18"/>
  <c r="AN13"/>
  <c r="BJ274"/>
  <c r="BJ262"/>
  <c r="BJ250"/>
  <c r="BJ271"/>
  <c r="BJ265"/>
  <c r="BJ255"/>
  <c r="BJ246" i="3"/>
  <c r="BJ246" i="2" s="1"/>
  <c r="BJ247"/>
  <c r="BJ245"/>
  <c r="BJ276"/>
  <c r="BJ260"/>
  <c r="BJ252"/>
  <c r="BJ242"/>
  <c r="BJ272"/>
  <c r="BJ264"/>
  <c r="BJ256"/>
  <c r="BJ248"/>
  <c r="BJ232"/>
  <c r="BJ278"/>
  <c r="BJ270"/>
  <c r="BJ266"/>
  <c r="BJ261"/>
  <c r="BJ257" i="3"/>
  <c r="BJ257" i="2" s="1"/>
  <c r="BJ258"/>
  <c r="BJ254"/>
  <c r="BJ239"/>
  <c r="BJ229"/>
  <c r="BJ219"/>
  <c r="BJ277"/>
  <c r="BJ268" i="3"/>
  <c r="BJ268" i="2" s="1"/>
  <c r="BJ269"/>
  <c r="BJ253"/>
  <c r="BJ231"/>
  <c r="BJ244"/>
  <c r="BJ222"/>
  <c r="BJ212"/>
  <c r="BJ206"/>
  <c r="BJ259"/>
  <c r="BJ251"/>
  <c r="BJ234"/>
  <c r="BJ228"/>
  <c r="BJ220"/>
  <c r="BJ217"/>
  <c r="BJ211"/>
  <c r="BJ249"/>
  <c r="BJ238"/>
  <c r="BJ233"/>
  <c r="BJ205"/>
  <c r="BJ273"/>
  <c r="BJ240"/>
  <c r="BJ221"/>
  <c r="BJ201"/>
  <c r="BJ193"/>
  <c r="BJ275"/>
  <c r="BJ198"/>
  <c r="BJ188"/>
  <c r="BJ178"/>
  <c r="BJ169" i="3"/>
  <c r="BJ169" i="2" s="1"/>
  <c r="BJ170"/>
  <c r="BJ168"/>
  <c r="BJ263"/>
  <c r="BJ243"/>
  <c r="BJ226"/>
  <c r="BJ218"/>
  <c r="BJ213" i="3"/>
  <c r="BJ213" i="2" s="1"/>
  <c r="BJ214"/>
  <c r="BJ209"/>
  <c r="BJ202" i="3"/>
  <c r="BJ202" i="2" s="1"/>
  <c r="BJ203"/>
  <c r="BJ195"/>
  <c r="BJ185"/>
  <c r="BJ175"/>
  <c r="BJ230"/>
  <c r="BJ216"/>
  <c r="BJ210"/>
  <c r="BJ227"/>
  <c r="BJ199"/>
  <c r="BJ189"/>
  <c r="BJ180" i="3"/>
  <c r="BJ180" i="2" s="1"/>
  <c r="BJ181"/>
  <c r="BJ163"/>
  <c r="BJ153"/>
  <c r="BJ143"/>
  <c r="BJ133"/>
  <c r="BJ267"/>
  <c r="BJ194"/>
  <c r="BJ184"/>
  <c r="BJ165"/>
  <c r="BJ155"/>
  <c r="BJ145"/>
  <c r="BJ136" i="3"/>
  <c r="BJ136" i="2" s="1"/>
  <c r="BJ137"/>
  <c r="BJ135"/>
  <c r="BJ237"/>
  <c r="BJ224" i="3"/>
  <c r="BJ224" i="2" s="1"/>
  <c r="BJ225"/>
  <c r="BJ204"/>
  <c r="BJ196"/>
  <c r="BJ177"/>
  <c r="BJ162"/>
  <c r="BJ152"/>
  <c r="BJ142"/>
  <c r="BJ132"/>
  <c r="BJ191" i="3"/>
  <c r="BJ191" i="2" s="1"/>
  <c r="BJ192"/>
  <c r="BJ183"/>
  <c r="BJ172"/>
  <c r="BJ164"/>
  <c r="BJ154"/>
  <c r="BJ144"/>
  <c r="BJ134"/>
  <c r="BJ235" i="3"/>
  <c r="BJ235" i="2" s="1"/>
  <c r="BJ236"/>
  <c r="BJ179"/>
  <c r="BJ161"/>
  <c r="BJ141"/>
  <c r="BJ120"/>
  <c r="BJ110"/>
  <c r="BJ241"/>
  <c r="BJ187"/>
  <c r="BJ160"/>
  <c r="BJ158" i="3"/>
  <c r="BJ158" i="2" s="1"/>
  <c r="BJ159"/>
  <c r="BJ140"/>
  <c r="BJ139"/>
  <c r="BJ127"/>
  <c r="BJ117"/>
  <c r="BJ107"/>
  <c r="BJ97"/>
  <c r="BJ176"/>
  <c r="BJ174"/>
  <c r="BJ166"/>
  <c r="BJ146"/>
  <c r="BJ138"/>
  <c r="BJ122"/>
  <c r="BJ112"/>
  <c r="BJ215"/>
  <c r="BJ208"/>
  <c r="BJ186"/>
  <c r="BJ173"/>
  <c r="BJ151"/>
  <c r="BJ129"/>
  <c r="BJ119"/>
  <c r="BJ109"/>
  <c r="BJ200"/>
  <c r="BJ182"/>
  <c r="BJ147" i="3"/>
  <c r="BJ147" i="2" s="1"/>
  <c r="BJ148"/>
  <c r="BJ131"/>
  <c r="BJ130"/>
  <c r="BJ125" i="3"/>
  <c r="BJ125" i="2" s="1"/>
  <c r="BJ126"/>
  <c r="BJ108"/>
  <c r="BJ98"/>
  <c r="BJ95"/>
  <c r="BJ89"/>
  <c r="BJ79"/>
  <c r="BJ70" i="3"/>
  <c r="BJ70" i="2" s="1"/>
  <c r="BJ71"/>
  <c r="BJ69"/>
  <c r="BJ61"/>
  <c r="BJ118"/>
  <c r="BJ113"/>
  <c r="BJ106"/>
  <c r="BJ101"/>
  <c r="BJ94"/>
  <c r="BJ92" i="3"/>
  <c r="BJ92" i="2" s="1"/>
  <c r="BJ93"/>
  <c r="BJ91"/>
  <c r="BJ83"/>
  <c r="BJ73"/>
  <c r="BJ63"/>
  <c r="BJ124"/>
  <c r="BJ116"/>
  <c r="BJ111"/>
  <c r="BJ100"/>
  <c r="BJ88"/>
  <c r="BJ78"/>
  <c r="BJ68"/>
  <c r="BJ59" i="3"/>
  <c r="BJ59" i="2" s="1"/>
  <c r="BJ60"/>
  <c r="BJ167"/>
  <c r="BJ114" i="3"/>
  <c r="BJ114" i="2" s="1"/>
  <c r="BJ115"/>
  <c r="BJ102"/>
  <c r="BJ96"/>
  <c r="BJ90"/>
  <c r="BJ223"/>
  <c r="BJ197"/>
  <c r="BJ157"/>
  <c r="BJ99"/>
  <c r="BJ171"/>
  <c r="BJ128"/>
  <c r="BJ105"/>
  <c r="BJ86"/>
  <c r="BJ85"/>
  <c r="BJ77"/>
  <c r="BJ53"/>
  <c r="BJ43"/>
  <c r="BJ33"/>
  <c r="BJ23"/>
  <c r="BJ207"/>
  <c r="BJ150"/>
  <c r="BJ123"/>
  <c r="BJ74"/>
  <c r="BJ52"/>
  <c r="BJ42"/>
  <c r="BJ32"/>
  <c r="BJ22"/>
  <c r="BJ103" i="3"/>
  <c r="BJ103" i="2" s="1"/>
  <c r="BJ104"/>
  <c r="BJ80"/>
  <c r="BJ54"/>
  <c r="BJ44"/>
  <c r="BJ34"/>
  <c r="BJ24"/>
  <c r="BJ15" i="3"/>
  <c r="BJ15" i="2" s="1"/>
  <c r="BJ16"/>
  <c r="BJ149"/>
  <c r="BJ121"/>
  <c r="BJ76"/>
  <c r="BJ58"/>
  <c r="BJ19"/>
  <c r="BJ10"/>
  <c r="BJ50"/>
  <c r="BJ46"/>
  <c r="BJ41"/>
  <c r="BJ31"/>
  <c r="BJ25"/>
  <c r="BJ20"/>
  <c r="BJ7"/>
  <c r="BJ156"/>
  <c r="BJ72"/>
  <c r="BJ65"/>
  <c r="BJ55"/>
  <c r="BJ37" i="3"/>
  <c r="BJ37" i="2" s="1"/>
  <c r="BJ38"/>
  <c r="BJ28"/>
  <c r="BJ13"/>
  <c r="BJ87"/>
  <c r="BJ57"/>
  <c r="BJ47"/>
  <c r="BJ6"/>
  <c r="BJ4" i="3"/>
  <c r="BJ4" i="2" s="1"/>
  <c r="BJ5"/>
  <c r="BJ36"/>
  <c r="BJ48" i="3"/>
  <c r="BJ48" i="2" s="1"/>
  <c r="BJ49"/>
  <c r="BJ39"/>
  <c r="BJ12"/>
  <c r="BJ11"/>
  <c r="BJ64"/>
  <c r="BJ45"/>
  <c r="BJ18"/>
  <c r="BJ17"/>
  <c r="BJ30"/>
  <c r="BJ26" i="3"/>
  <c r="BJ26" i="2" s="1"/>
  <c r="BJ27"/>
  <c r="BJ40"/>
  <c r="BJ9"/>
  <c r="BJ66"/>
  <c r="BJ35"/>
  <c r="BJ8"/>
  <c r="BJ190"/>
  <c r="BJ21"/>
  <c r="BJ14"/>
  <c r="BJ84"/>
  <c r="BJ67"/>
  <c r="BJ62"/>
  <c r="BJ51"/>
  <c r="BJ56"/>
  <c r="BJ29"/>
  <c r="BJ75"/>
  <c r="BJ81" i="3"/>
  <c r="BJ81" i="2" s="1"/>
  <c r="BJ82"/>
  <c r="K273"/>
  <c r="K263"/>
  <c r="K249"/>
  <c r="K278"/>
  <c r="K270"/>
  <c r="K266"/>
  <c r="K257" i="3"/>
  <c r="K257" i="2" s="1"/>
  <c r="K258"/>
  <c r="K254"/>
  <c r="K244"/>
  <c r="K275"/>
  <c r="K261"/>
  <c r="K251"/>
  <c r="K271"/>
  <c r="K265"/>
  <c r="K255"/>
  <c r="K246" i="3"/>
  <c r="K246" i="2" s="1"/>
  <c r="K247"/>
  <c r="K245"/>
  <c r="K241"/>
  <c r="K231"/>
  <c r="K277"/>
  <c r="K268" i="3"/>
  <c r="K268" i="2" s="1"/>
  <c r="K269"/>
  <c r="K253"/>
  <c r="K238"/>
  <c r="K228"/>
  <c r="K218"/>
  <c r="K240"/>
  <c r="K230"/>
  <c r="K276"/>
  <c r="K272"/>
  <c r="K267"/>
  <c r="K226"/>
  <c r="K222"/>
  <c r="K219"/>
  <c r="K216"/>
  <c r="K210"/>
  <c r="K229"/>
  <c r="K264"/>
  <c r="K260"/>
  <c r="K239"/>
  <c r="K234"/>
  <c r="K233"/>
  <c r="K221"/>
  <c r="K212"/>
  <c r="K204"/>
  <c r="K207"/>
  <c r="K205"/>
  <c r="K200"/>
  <c r="K191" i="3"/>
  <c r="K191" i="2" s="1"/>
  <c r="K192"/>
  <c r="K252"/>
  <c r="K250"/>
  <c r="K197"/>
  <c r="K187"/>
  <c r="K177"/>
  <c r="K242"/>
  <c r="K237"/>
  <c r="K232"/>
  <c r="K220"/>
  <c r="K194"/>
  <c r="K184"/>
  <c r="K174"/>
  <c r="K259"/>
  <c r="K223"/>
  <c r="K213" i="3"/>
  <c r="K213" i="2" s="1"/>
  <c r="K214"/>
  <c r="K206"/>
  <c r="K202" i="3"/>
  <c r="K202" i="2" s="1"/>
  <c r="K203"/>
  <c r="K201"/>
  <c r="K186"/>
  <c r="K179"/>
  <c r="K172"/>
  <c r="K171"/>
  <c r="K168"/>
  <c r="K162"/>
  <c r="K152"/>
  <c r="K142"/>
  <c r="K132"/>
  <c r="K217"/>
  <c r="K209"/>
  <c r="K195"/>
  <c r="K175"/>
  <c r="K164"/>
  <c r="K154"/>
  <c r="K144"/>
  <c r="K134"/>
  <c r="K185"/>
  <c r="K178"/>
  <c r="K161"/>
  <c r="K151"/>
  <c r="K141"/>
  <c r="K131"/>
  <c r="K211"/>
  <c r="K173"/>
  <c r="K163"/>
  <c r="K153"/>
  <c r="K143"/>
  <c r="K133"/>
  <c r="K243"/>
  <c r="K196"/>
  <c r="K193"/>
  <c r="K167"/>
  <c r="K166"/>
  <c r="K158" i="3"/>
  <c r="K158" i="2" s="1"/>
  <c r="K159"/>
  <c r="K146"/>
  <c r="K139"/>
  <c r="K138"/>
  <c r="K129"/>
  <c r="K119"/>
  <c r="K109"/>
  <c r="K256"/>
  <c r="K208"/>
  <c r="K169" i="3"/>
  <c r="K169" i="2" s="1"/>
  <c r="K170"/>
  <c r="K125" i="3"/>
  <c r="K125" i="2" s="1"/>
  <c r="K126"/>
  <c r="K124"/>
  <c r="K116"/>
  <c r="K106"/>
  <c r="K96"/>
  <c r="K274"/>
  <c r="K248"/>
  <c r="K183"/>
  <c r="K180" i="3"/>
  <c r="K180" i="2" s="1"/>
  <c r="K181"/>
  <c r="K165"/>
  <c r="K150"/>
  <c r="K145"/>
  <c r="K136" i="3"/>
  <c r="K136" i="2" s="1"/>
  <c r="K137"/>
  <c r="K121"/>
  <c r="K111"/>
  <c r="K235" i="3"/>
  <c r="K235" i="2" s="1"/>
  <c r="K236"/>
  <c r="K182"/>
  <c r="K157"/>
  <c r="K156"/>
  <c r="K149"/>
  <c r="K147" i="3"/>
  <c r="K147" i="2" s="1"/>
  <c r="K148"/>
  <c r="K128"/>
  <c r="K118"/>
  <c r="K108"/>
  <c r="K88"/>
  <c r="K78"/>
  <c r="K68"/>
  <c r="K59" i="3"/>
  <c r="K59" i="2" s="1"/>
  <c r="K60"/>
  <c r="K227"/>
  <c r="K199"/>
  <c r="K198"/>
  <c r="K176"/>
  <c r="K155"/>
  <c r="K123"/>
  <c r="K117"/>
  <c r="K114" i="3"/>
  <c r="K114" i="2" s="1"/>
  <c r="K115"/>
  <c r="K112"/>
  <c r="K107"/>
  <c r="K102"/>
  <c r="K101"/>
  <c r="K90"/>
  <c r="K81" i="3"/>
  <c r="K81" i="2" s="1"/>
  <c r="K82"/>
  <c r="K80"/>
  <c r="K72"/>
  <c r="K62"/>
  <c r="K224" i="3"/>
  <c r="K224" i="2" s="1"/>
  <c r="K225"/>
  <c r="K215"/>
  <c r="K189"/>
  <c r="K135"/>
  <c r="K130"/>
  <c r="K105"/>
  <c r="K98"/>
  <c r="K95"/>
  <c r="K87"/>
  <c r="K77"/>
  <c r="K67"/>
  <c r="K122"/>
  <c r="K85"/>
  <c r="K84"/>
  <c r="K140"/>
  <c r="K120"/>
  <c r="K188"/>
  <c r="K190"/>
  <c r="K94"/>
  <c r="K91"/>
  <c r="K86"/>
  <c r="K262"/>
  <c r="K79"/>
  <c r="K63"/>
  <c r="K52"/>
  <c r="K42"/>
  <c r="K32"/>
  <c r="K22"/>
  <c r="K127"/>
  <c r="K103" i="3"/>
  <c r="K103" i="2" s="1"/>
  <c r="K104"/>
  <c r="K99"/>
  <c r="K89"/>
  <c r="K76"/>
  <c r="K74"/>
  <c r="K61"/>
  <c r="K51"/>
  <c r="K41"/>
  <c r="K31"/>
  <c r="K21"/>
  <c r="K100"/>
  <c r="K65"/>
  <c r="K64"/>
  <c r="K53"/>
  <c r="K43"/>
  <c r="K33"/>
  <c r="K23"/>
  <c r="K160"/>
  <c r="K73"/>
  <c r="K113"/>
  <c r="K75"/>
  <c r="K66"/>
  <c r="K58"/>
  <c r="K19"/>
  <c r="K9"/>
  <c r="K97"/>
  <c r="K83"/>
  <c r="K70" i="3"/>
  <c r="K70" i="2" s="1"/>
  <c r="K71"/>
  <c r="K57"/>
  <c r="K5"/>
  <c r="K4" i="3"/>
  <c r="K4" i="2" s="1"/>
  <c r="K92" i="3"/>
  <c r="K92" i="2" s="1"/>
  <c r="K93"/>
  <c r="K48" i="3"/>
  <c r="K48" i="2" s="1"/>
  <c r="K49"/>
  <c r="K44"/>
  <c r="K34"/>
  <c r="K30"/>
  <c r="K14"/>
  <c r="K11"/>
  <c r="K8"/>
  <c r="K45"/>
  <c r="K40"/>
  <c r="K7"/>
  <c r="K110"/>
  <c r="K55"/>
  <c r="K50"/>
  <c r="K35"/>
  <c r="K29"/>
  <c r="K17"/>
  <c r="K10"/>
  <c r="K69"/>
  <c r="K36"/>
  <c r="K12"/>
  <c r="K37" i="3"/>
  <c r="K37" i="2" s="1"/>
  <c r="K38"/>
  <c r="K24"/>
  <c r="K20"/>
  <c r="K28"/>
  <c r="K25"/>
  <c r="K15" i="3"/>
  <c r="K15" i="2" s="1"/>
  <c r="K16"/>
  <c r="K39"/>
  <c r="K56"/>
  <c r="K26" i="3"/>
  <c r="K26" i="2" s="1"/>
  <c r="K27"/>
  <c r="K13"/>
  <c r="K6"/>
  <c r="K47"/>
  <c r="K46"/>
  <c r="K54"/>
  <c r="K18"/>
  <c r="M271"/>
  <c r="M265"/>
  <c r="M255"/>
  <c r="M246" i="3"/>
  <c r="M246" i="2" s="1"/>
  <c r="M247"/>
  <c r="M245"/>
  <c r="M276"/>
  <c r="M260"/>
  <c r="M252"/>
  <c r="M242"/>
  <c r="M273"/>
  <c r="M263"/>
  <c r="M249"/>
  <c r="M277"/>
  <c r="M268" i="3"/>
  <c r="M268" i="2" s="1"/>
  <c r="M269"/>
  <c r="M267"/>
  <c r="M259"/>
  <c r="M253"/>
  <c r="M243"/>
  <c r="M278"/>
  <c r="M270"/>
  <c r="M266"/>
  <c r="M261"/>
  <c r="M257" i="3"/>
  <c r="M257" i="2" s="1"/>
  <c r="M258"/>
  <c r="M254"/>
  <c r="M239"/>
  <c r="M235" i="3"/>
  <c r="M235" i="2" s="1"/>
  <c r="M236"/>
  <c r="M234"/>
  <c r="M226"/>
  <c r="M216"/>
  <c r="M275"/>
  <c r="M251"/>
  <c r="M244"/>
  <c r="M238"/>
  <c r="M228"/>
  <c r="M262"/>
  <c r="M250"/>
  <c r="M248"/>
  <c r="M241"/>
  <c r="M231"/>
  <c r="M223"/>
  <c r="M274"/>
  <c r="M272"/>
  <c r="M240"/>
  <c r="M230"/>
  <c r="M224" i="3"/>
  <c r="M224" i="2" s="1"/>
  <c r="M225"/>
  <c r="M222"/>
  <c r="M219"/>
  <c r="M210"/>
  <c r="M215"/>
  <c r="M227"/>
  <c r="M198"/>
  <c r="M229"/>
  <c r="M207"/>
  <c r="M195"/>
  <c r="M185"/>
  <c r="M175"/>
  <c r="M233"/>
  <c r="M205"/>
  <c r="M200"/>
  <c r="M191" i="3"/>
  <c r="M191" i="2" s="1"/>
  <c r="M192"/>
  <c r="M190"/>
  <c r="M182"/>
  <c r="M172"/>
  <c r="M211"/>
  <c r="M209"/>
  <c r="M199"/>
  <c r="M256"/>
  <c r="M221"/>
  <c r="M197"/>
  <c r="M183"/>
  <c r="M160"/>
  <c r="M150"/>
  <c r="M140"/>
  <c r="M202" i="3"/>
  <c r="M202" i="2" s="1"/>
  <c r="M203"/>
  <c r="M196"/>
  <c r="M186"/>
  <c r="M179"/>
  <c r="M171"/>
  <c r="M168"/>
  <c r="M162"/>
  <c r="M152"/>
  <c r="M142"/>
  <c r="M132"/>
  <c r="M217"/>
  <c r="M194"/>
  <c r="M189"/>
  <c r="M180" i="3"/>
  <c r="M180" i="2" s="1"/>
  <c r="M181"/>
  <c r="M169" i="3"/>
  <c r="M169" i="2" s="1"/>
  <c r="M170"/>
  <c r="M167"/>
  <c r="M158" i="3"/>
  <c r="M158" i="2" s="1"/>
  <c r="M159"/>
  <c r="M157"/>
  <c r="M149"/>
  <c r="M139"/>
  <c r="M208"/>
  <c r="M204"/>
  <c r="M184"/>
  <c r="M178"/>
  <c r="M161"/>
  <c r="M151"/>
  <c r="M141"/>
  <c r="M131"/>
  <c r="M218"/>
  <c r="M176"/>
  <c r="M135"/>
  <c r="M127"/>
  <c r="M117"/>
  <c r="M107"/>
  <c r="M264"/>
  <c r="M206"/>
  <c r="M201"/>
  <c r="M193"/>
  <c r="M173"/>
  <c r="M166"/>
  <c r="M153"/>
  <c r="M146"/>
  <c r="M138"/>
  <c r="M134"/>
  <c r="M122"/>
  <c r="M112"/>
  <c r="M103" i="3"/>
  <c r="M103" i="2" s="1"/>
  <c r="M104"/>
  <c r="M102"/>
  <c r="M237"/>
  <c r="M232"/>
  <c r="M129"/>
  <c r="M119"/>
  <c r="M165"/>
  <c r="M145"/>
  <c r="M136" i="3"/>
  <c r="M136" i="2" s="1"/>
  <c r="M137"/>
  <c r="M133"/>
  <c r="M125" i="3"/>
  <c r="M125" i="2" s="1"/>
  <c r="M126"/>
  <c r="M124"/>
  <c r="M116"/>
  <c r="M106"/>
  <c r="M143"/>
  <c r="M120"/>
  <c r="M100"/>
  <c r="M97"/>
  <c r="M86"/>
  <c r="M76"/>
  <c r="M66"/>
  <c r="M174"/>
  <c r="M164"/>
  <c r="M156"/>
  <c r="M111"/>
  <c r="M99"/>
  <c r="M96"/>
  <c r="M88"/>
  <c r="M78"/>
  <c r="M68"/>
  <c r="M59" i="3"/>
  <c r="M59" i="2" s="1"/>
  <c r="M60"/>
  <c r="M187"/>
  <c r="M163"/>
  <c r="M155"/>
  <c r="M154"/>
  <c r="M147" i="3"/>
  <c r="M147" i="2" s="1"/>
  <c r="M148"/>
  <c r="M101"/>
  <c r="M85"/>
  <c r="M75"/>
  <c r="M65"/>
  <c r="M177"/>
  <c r="M114" i="3"/>
  <c r="M114" i="2" s="1"/>
  <c r="M115"/>
  <c r="M98"/>
  <c r="M91"/>
  <c r="M213" i="3"/>
  <c r="M213" i="2" s="1"/>
  <c r="M214"/>
  <c r="M94"/>
  <c r="M90"/>
  <c r="M212"/>
  <c r="M108"/>
  <c r="M128"/>
  <c r="M220"/>
  <c r="M144"/>
  <c r="M113"/>
  <c r="M110"/>
  <c r="M95"/>
  <c r="M72"/>
  <c r="M58"/>
  <c r="M50"/>
  <c r="M40"/>
  <c r="M30"/>
  <c r="M20"/>
  <c r="M123"/>
  <c r="M87"/>
  <c r="M83"/>
  <c r="M81" i="3"/>
  <c r="M81" i="2" s="1"/>
  <c r="M82"/>
  <c r="M70" i="3"/>
  <c r="M70" i="2" s="1"/>
  <c r="M71"/>
  <c r="M67"/>
  <c r="M57"/>
  <c r="M48" i="3"/>
  <c r="M48" i="2" s="1"/>
  <c r="M49"/>
  <c r="M47"/>
  <c r="M39"/>
  <c r="M29"/>
  <c r="M19"/>
  <c r="M89"/>
  <c r="M77"/>
  <c r="M74"/>
  <c r="M61"/>
  <c r="M51"/>
  <c r="M41"/>
  <c r="M31"/>
  <c r="M21"/>
  <c r="M118"/>
  <c r="M73"/>
  <c r="M34"/>
  <c r="M28"/>
  <c r="M25"/>
  <c r="M7"/>
  <c r="M130"/>
  <c r="M43"/>
  <c r="M33"/>
  <c r="M18"/>
  <c r="M12"/>
  <c r="M9"/>
  <c r="M52"/>
  <c r="M22"/>
  <c r="M84"/>
  <c r="M62"/>
  <c r="M32"/>
  <c r="M79"/>
  <c r="M64"/>
  <c r="M63"/>
  <c r="M45"/>
  <c r="M15" i="3"/>
  <c r="M15" i="2" s="1"/>
  <c r="M16"/>
  <c r="M8"/>
  <c r="M6"/>
  <c r="M105"/>
  <c r="M56"/>
  <c r="M46"/>
  <c r="M24"/>
  <c r="M14"/>
  <c r="M10"/>
  <c r="M80"/>
  <c r="M55"/>
  <c r="M54"/>
  <c r="M35"/>
  <c r="M23"/>
  <c r="M13"/>
  <c r="M69"/>
  <c r="M37" i="3"/>
  <c r="M37" i="2" s="1"/>
  <c r="M38"/>
  <c r="M36"/>
  <c r="M188"/>
  <c r="M4" i="3"/>
  <c r="M4" i="2" s="1"/>
  <c r="M5"/>
  <c r="M92" i="3"/>
  <c r="M92" i="2" s="1"/>
  <c r="M93"/>
  <c r="M26" i="3"/>
  <c r="M26" i="2" s="1"/>
  <c r="M27"/>
  <c r="M11"/>
  <c r="M109"/>
  <c r="M42"/>
  <c r="M44"/>
  <c r="M17"/>
  <c r="M53"/>
  <c r="M121"/>
  <c r="AD274"/>
  <c r="AD262"/>
  <c r="AD250"/>
  <c r="AD271"/>
  <c r="AD265"/>
  <c r="AD255"/>
  <c r="AD246" i="3"/>
  <c r="AD246" i="2" s="1"/>
  <c r="AD247"/>
  <c r="AD245"/>
  <c r="AD276"/>
  <c r="AD260"/>
  <c r="AD252"/>
  <c r="AD242"/>
  <c r="AD272"/>
  <c r="AD264"/>
  <c r="AD256"/>
  <c r="AD248"/>
  <c r="AD232"/>
  <c r="AD278"/>
  <c r="AD270"/>
  <c r="AD266"/>
  <c r="AD261"/>
  <c r="AD257" i="3"/>
  <c r="AD257" i="2" s="1"/>
  <c r="AD258"/>
  <c r="AD254"/>
  <c r="AD239"/>
  <c r="AD229"/>
  <c r="AD219"/>
  <c r="AD277"/>
  <c r="AD268" i="3"/>
  <c r="AD268" i="2" s="1"/>
  <c r="AD269"/>
  <c r="AD253"/>
  <c r="AD241"/>
  <c r="AD231"/>
  <c r="AD259"/>
  <c r="AD251"/>
  <c r="AD222"/>
  <c r="AD216"/>
  <c r="AD275"/>
  <c r="AD235" i="3"/>
  <c r="AD235" i="2" s="1"/>
  <c r="AD236"/>
  <c r="AD228"/>
  <c r="AD215"/>
  <c r="AD273"/>
  <c r="AD221"/>
  <c r="AD218"/>
  <c r="AD205"/>
  <c r="AD267"/>
  <c r="AD249"/>
  <c r="AD230"/>
  <c r="AD213" i="3"/>
  <c r="AD213" i="2" s="1"/>
  <c r="AD214"/>
  <c r="AD201"/>
  <c r="AD193"/>
  <c r="AD198"/>
  <c r="AD188"/>
  <c r="AD178"/>
  <c r="AD169" i="3"/>
  <c r="AD169" i="2" s="1"/>
  <c r="AD170"/>
  <c r="AD168"/>
  <c r="AD234"/>
  <c r="AD233"/>
  <c r="AD209"/>
  <c r="AD195"/>
  <c r="AD185"/>
  <c r="AD175"/>
  <c r="AD224" i="3"/>
  <c r="AD224" i="2" s="1"/>
  <c r="AD225"/>
  <c r="AD223"/>
  <c r="AD220"/>
  <c r="AD217"/>
  <c r="AD210"/>
  <c r="AD199"/>
  <c r="AD189"/>
  <c r="AD180" i="3"/>
  <c r="AD180" i="2" s="1"/>
  <c r="AD181"/>
  <c r="AD163"/>
  <c r="AD153"/>
  <c r="AD143"/>
  <c r="AD133"/>
  <c r="AD263"/>
  <c r="AD243"/>
  <c r="AD226"/>
  <c r="AD211"/>
  <c r="AD184"/>
  <c r="AD165"/>
  <c r="AD155"/>
  <c r="AD145"/>
  <c r="AD136" i="3"/>
  <c r="AD136" i="2" s="1"/>
  <c r="AD137"/>
  <c r="AD135"/>
  <c r="AD240"/>
  <c r="AD208"/>
  <c r="AD207"/>
  <c r="AD206"/>
  <c r="AD196"/>
  <c r="AD177"/>
  <c r="AD167"/>
  <c r="AD162"/>
  <c r="AD152"/>
  <c r="AD142"/>
  <c r="AD132"/>
  <c r="AD190"/>
  <c r="AD183"/>
  <c r="AD172"/>
  <c r="AD164"/>
  <c r="AD154"/>
  <c r="AD144"/>
  <c r="AD134"/>
  <c r="AD227"/>
  <c r="AD204"/>
  <c r="AD171"/>
  <c r="AD161"/>
  <c r="AD141"/>
  <c r="AD130"/>
  <c r="AD120"/>
  <c r="AD110"/>
  <c r="AD194"/>
  <c r="AD182"/>
  <c r="AD160"/>
  <c r="AD158" i="3"/>
  <c r="AD158" i="2" s="1"/>
  <c r="AD159"/>
  <c r="AD140"/>
  <c r="AD139"/>
  <c r="AD127"/>
  <c r="AD117"/>
  <c r="AD107"/>
  <c r="AD97"/>
  <c r="AD238"/>
  <c r="AD166"/>
  <c r="AD146"/>
  <c r="AD138"/>
  <c r="AD122"/>
  <c r="AD112"/>
  <c r="AD237"/>
  <c r="AD202" i="3"/>
  <c r="AD202" i="2" s="1"/>
  <c r="AD203"/>
  <c r="AD191" i="3"/>
  <c r="AD191" i="2" s="1"/>
  <c r="AD192"/>
  <c r="AD151"/>
  <c r="AD129"/>
  <c r="AD119"/>
  <c r="AD109"/>
  <c r="AD244"/>
  <c r="AD212"/>
  <c r="AD179"/>
  <c r="AD147" i="3"/>
  <c r="AD147" i="2" s="1"/>
  <c r="AD148"/>
  <c r="AD131"/>
  <c r="AD125" i="3"/>
  <c r="AD125" i="2" s="1"/>
  <c r="AD126"/>
  <c r="AD105"/>
  <c r="AD89"/>
  <c r="AD79"/>
  <c r="AD70" i="3"/>
  <c r="AD70" i="2" s="1"/>
  <c r="AD71"/>
  <c r="AD69"/>
  <c r="AD61"/>
  <c r="AD173"/>
  <c r="AD118"/>
  <c r="AD113"/>
  <c r="AD92" i="3"/>
  <c r="AD92" i="2" s="1"/>
  <c r="AD93"/>
  <c r="AD91"/>
  <c r="AD83"/>
  <c r="AD73"/>
  <c r="AD63"/>
  <c r="AD197"/>
  <c r="AD186"/>
  <c r="AD124"/>
  <c r="AD116"/>
  <c r="AD111"/>
  <c r="AD88"/>
  <c r="AD78"/>
  <c r="AD68"/>
  <c r="AD59" i="3"/>
  <c r="AD59" i="2" s="1"/>
  <c r="AD60"/>
  <c r="AD157"/>
  <c r="AD176"/>
  <c r="AD174"/>
  <c r="AD150"/>
  <c r="AD98"/>
  <c r="AD87"/>
  <c r="AD128"/>
  <c r="AD187"/>
  <c r="AD156"/>
  <c r="AD96"/>
  <c r="AD94"/>
  <c r="AD86"/>
  <c r="AD84"/>
  <c r="AD74"/>
  <c r="AD66"/>
  <c r="AD65"/>
  <c r="AD53"/>
  <c r="AD43"/>
  <c r="AD33"/>
  <c r="AD23"/>
  <c r="AD100"/>
  <c r="AD90"/>
  <c r="AD75"/>
  <c r="AD72"/>
  <c r="AD52"/>
  <c r="AD42"/>
  <c r="AD32"/>
  <c r="AD22"/>
  <c r="AD123"/>
  <c r="AD114" i="3"/>
  <c r="AD114" i="2" s="1"/>
  <c r="AD115"/>
  <c r="AD62"/>
  <c r="AD54"/>
  <c r="AD44"/>
  <c r="AD34"/>
  <c r="AD24"/>
  <c r="AD149"/>
  <c r="AD108"/>
  <c r="AD102"/>
  <c r="AD101"/>
  <c r="AD67"/>
  <c r="AD200"/>
  <c r="AD99"/>
  <c r="AD55"/>
  <c r="AD50"/>
  <c r="AD45"/>
  <c r="AD40"/>
  <c r="AD31"/>
  <c r="AD10"/>
  <c r="AD121"/>
  <c r="AD95"/>
  <c r="AD80"/>
  <c r="AD21"/>
  <c r="AD56"/>
  <c r="AD51"/>
  <c r="AD47"/>
  <c r="AD39"/>
  <c r="AD29"/>
  <c r="AD17"/>
  <c r="AD4" i="3"/>
  <c r="AD4" i="2" s="1"/>
  <c r="AD5"/>
  <c r="AD103" i="3"/>
  <c r="AD103" i="2" s="1"/>
  <c r="AD104"/>
  <c r="AD35"/>
  <c r="AD30"/>
  <c r="AD18"/>
  <c r="AD85"/>
  <c r="AD57"/>
  <c r="AD46"/>
  <c r="AD19"/>
  <c r="AD81" i="3"/>
  <c r="AD81" i="2" s="1"/>
  <c r="AD82"/>
  <c r="AD77"/>
  <c r="AD41"/>
  <c r="AD15" i="3"/>
  <c r="AD15" i="2" s="1"/>
  <c r="AD16"/>
  <c r="AD14"/>
  <c r="AD13"/>
  <c r="AD8"/>
  <c r="AD48" i="3"/>
  <c r="AD48" i="2" s="1"/>
  <c r="AD49"/>
  <c r="AD76"/>
  <c r="AD58"/>
  <c r="AD25"/>
  <c r="AD26" i="3"/>
  <c r="AD26" i="2" s="1"/>
  <c r="AD27"/>
  <c r="AD64"/>
  <c r="AD12"/>
  <c r="AD9"/>
  <c r="AD36"/>
  <c r="AD6"/>
  <c r="AD106"/>
  <c r="AD37" i="3"/>
  <c r="AD37" i="2" s="1"/>
  <c r="AD38"/>
  <c r="AD20"/>
  <c r="AD28"/>
  <c r="AD11"/>
  <c r="AD7"/>
  <c r="AV272"/>
  <c r="AV264"/>
  <c r="AV256"/>
  <c r="AV248"/>
  <c r="AV277"/>
  <c r="AV268" i="3"/>
  <c r="AV268" i="2" s="1"/>
  <c r="AV269"/>
  <c r="AV267"/>
  <c r="AV259"/>
  <c r="AV253"/>
  <c r="AV243"/>
  <c r="AV274"/>
  <c r="AV262"/>
  <c r="AV250"/>
  <c r="AV278"/>
  <c r="AV270"/>
  <c r="AV266"/>
  <c r="AV257" i="3"/>
  <c r="AV257" i="2" s="1"/>
  <c r="AV258"/>
  <c r="AV254"/>
  <c r="AV244"/>
  <c r="AV273"/>
  <c r="AV249"/>
  <c r="AV240"/>
  <c r="AV230"/>
  <c r="AV271"/>
  <c r="AV255"/>
  <c r="AV246" i="3"/>
  <c r="AV246" i="2" s="1"/>
  <c r="AV247"/>
  <c r="AV237"/>
  <c r="AV227"/>
  <c r="AV217"/>
  <c r="AV241"/>
  <c r="AV239"/>
  <c r="AV229"/>
  <c r="AV275"/>
  <c r="AV228"/>
  <c r="AV219"/>
  <c r="AV216"/>
  <c r="AV215"/>
  <c r="AV276"/>
  <c r="AV238"/>
  <c r="AV233"/>
  <c r="AV226"/>
  <c r="AV223"/>
  <c r="AV221"/>
  <c r="AV218"/>
  <c r="AV212"/>
  <c r="AV202" i="3"/>
  <c r="AV202" i="2" s="1"/>
  <c r="AV203"/>
  <c r="AV252"/>
  <c r="AV245"/>
  <c r="AV232"/>
  <c r="AV231"/>
  <c r="AV222"/>
  <c r="AV211"/>
  <c r="AV205"/>
  <c r="AV199"/>
  <c r="AV242"/>
  <c r="AV235" i="3"/>
  <c r="AV235" i="2" s="1"/>
  <c r="AV236"/>
  <c r="AV234"/>
  <c r="AV213" i="3"/>
  <c r="AV213" i="2" s="1"/>
  <c r="AV214"/>
  <c r="AV208"/>
  <c r="AV196"/>
  <c r="AV186"/>
  <c r="AV176"/>
  <c r="AV261"/>
  <c r="AV201"/>
  <c r="AV193"/>
  <c r="AV183"/>
  <c r="AV173"/>
  <c r="AV224" i="3"/>
  <c r="AV224" i="2" s="1"/>
  <c r="AV225"/>
  <c r="AV200"/>
  <c r="AV184"/>
  <c r="AV168"/>
  <c r="AV161"/>
  <c r="AV151"/>
  <c r="AV141"/>
  <c r="AV131"/>
  <c r="AV207"/>
  <c r="AV197"/>
  <c r="AV194"/>
  <c r="AV187"/>
  <c r="AV163"/>
  <c r="AV153"/>
  <c r="AV143"/>
  <c r="AV133"/>
  <c r="AV206"/>
  <c r="AV172"/>
  <c r="AV167"/>
  <c r="AV160"/>
  <c r="AV150"/>
  <c r="AV140"/>
  <c r="AV130"/>
  <c r="AV265"/>
  <c r="AV210"/>
  <c r="AV195"/>
  <c r="AV191" i="3"/>
  <c r="AV191" i="2" s="1"/>
  <c r="AV192"/>
  <c r="AV179"/>
  <c r="AV175"/>
  <c r="AV171"/>
  <c r="AV162"/>
  <c r="AV152"/>
  <c r="AV142"/>
  <c r="AV132"/>
  <c r="AV198"/>
  <c r="AV182"/>
  <c r="AV180" i="3"/>
  <c r="AV180" i="2" s="1"/>
  <c r="AV181"/>
  <c r="AV128"/>
  <c r="AV118"/>
  <c r="AV108"/>
  <c r="AV263"/>
  <c r="AV220"/>
  <c r="AV154"/>
  <c r="AV135"/>
  <c r="AV123"/>
  <c r="AV114" i="3"/>
  <c r="AV114" i="2" s="1"/>
  <c r="AV115"/>
  <c r="AV113"/>
  <c r="AV105"/>
  <c r="AV95"/>
  <c r="AV260"/>
  <c r="AV158" i="3"/>
  <c r="AV158" i="2" s="1"/>
  <c r="AV159"/>
  <c r="AV139"/>
  <c r="AV120"/>
  <c r="AV190"/>
  <c r="AV178"/>
  <c r="AV166"/>
  <c r="AV146"/>
  <c r="AV138"/>
  <c r="AV134"/>
  <c r="AV127"/>
  <c r="AV117"/>
  <c r="AV107"/>
  <c r="AV251"/>
  <c r="AV174"/>
  <c r="AV121"/>
  <c r="AV102"/>
  <c r="AV87"/>
  <c r="AV77"/>
  <c r="AV67"/>
  <c r="AV185"/>
  <c r="AV169" i="3"/>
  <c r="AV169" i="2" s="1"/>
  <c r="AV170"/>
  <c r="AV165"/>
  <c r="AV125" i="3"/>
  <c r="AV125" i="2" s="1"/>
  <c r="AV126"/>
  <c r="AV119"/>
  <c r="AV106"/>
  <c r="AV101"/>
  <c r="AV89"/>
  <c r="AV79"/>
  <c r="AV70" i="3"/>
  <c r="AV70" i="2" s="1"/>
  <c r="AV71"/>
  <c r="AV69"/>
  <c r="AV61"/>
  <c r="AV157"/>
  <c r="AV112"/>
  <c r="AV110"/>
  <c r="AV86"/>
  <c r="AV76"/>
  <c r="AV66"/>
  <c r="AV188"/>
  <c r="AV149"/>
  <c r="AV111"/>
  <c r="AV103" i="3"/>
  <c r="AV103" i="2" s="1"/>
  <c r="AV104"/>
  <c r="AV92" i="3"/>
  <c r="AV92" i="2" s="1"/>
  <c r="AV93"/>
  <c r="AV90"/>
  <c r="AV84"/>
  <c r="AV204"/>
  <c r="AV164"/>
  <c r="AV156"/>
  <c r="AV144"/>
  <c r="AV96"/>
  <c r="AV155"/>
  <c r="AV136" i="3"/>
  <c r="AV136" i="2" s="1"/>
  <c r="AV137"/>
  <c r="AV116"/>
  <c r="AV100"/>
  <c r="AV85"/>
  <c r="AV209"/>
  <c r="AV68"/>
  <c r="AV51"/>
  <c r="AV41"/>
  <c r="AV31"/>
  <c r="AV21"/>
  <c r="AV124"/>
  <c r="AV98"/>
  <c r="AV78"/>
  <c r="AV74"/>
  <c r="AV58"/>
  <c r="AV50"/>
  <c r="AV40"/>
  <c r="AV30"/>
  <c r="AV20"/>
  <c r="AV177"/>
  <c r="AV75"/>
  <c r="AV64"/>
  <c r="AV52"/>
  <c r="AV42"/>
  <c r="AV32"/>
  <c r="AV22"/>
  <c r="AV91"/>
  <c r="AV109"/>
  <c r="AV57"/>
  <c r="AV47"/>
  <c r="AV33"/>
  <c r="AV26" i="3"/>
  <c r="AV26" i="2" s="1"/>
  <c r="AV27"/>
  <c r="AV24"/>
  <c r="AV18"/>
  <c r="AV8"/>
  <c r="AV83"/>
  <c r="AV46"/>
  <c r="AV25"/>
  <c r="AV4" i="3"/>
  <c r="AV4" i="2" s="1"/>
  <c r="AV5"/>
  <c r="AV147" i="3"/>
  <c r="AV147" i="2" s="1"/>
  <c r="AV148"/>
  <c r="AV94"/>
  <c r="AV81" i="3"/>
  <c r="AV81" i="2" s="1"/>
  <c r="AV82"/>
  <c r="AV55"/>
  <c r="AV37" i="3"/>
  <c r="AV37" i="2" s="1"/>
  <c r="AV38"/>
  <c r="AV28"/>
  <c r="AV15" i="3"/>
  <c r="AV15" i="2" s="1"/>
  <c r="AV16"/>
  <c r="AV63"/>
  <c r="AV56"/>
  <c r="AV45"/>
  <c r="AV34"/>
  <c r="AV7"/>
  <c r="AV6"/>
  <c r="AV35"/>
  <c r="AV23"/>
  <c r="AV11"/>
  <c r="AV10"/>
  <c r="AV122"/>
  <c r="AV99"/>
  <c r="AV65"/>
  <c r="AV36"/>
  <c r="AV19"/>
  <c r="AV12"/>
  <c r="AV88"/>
  <c r="AV72"/>
  <c r="AV73"/>
  <c r="AV54"/>
  <c r="AV53"/>
  <c r="AV97"/>
  <c r="AV39"/>
  <c r="AV29"/>
  <c r="AV9"/>
  <c r="AV80"/>
  <c r="AV44"/>
  <c r="AV62"/>
  <c r="AV145"/>
  <c r="AV189"/>
  <c r="AV14"/>
  <c r="AV17"/>
  <c r="AV13"/>
  <c r="AV48" i="3"/>
  <c r="AV48" i="2" s="1"/>
  <c r="AV49"/>
  <c r="AV129"/>
  <c r="AV59" i="3"/>
  <c r="AV59" i="2" s="1"/>
  <c r="AV60"/>
  <c r="AV43"/>
  <c r="U271"/>
  <c r="U265"/>
  <c r="U255"/>
  <c r="U246" i="3"/>
  <c r="U246" i="2" s="1"/>
  <c r="U247"/>
  <c r="U245"/>
  <c r="U276"/>
  <c r="U260"/>
  <c r="U252"/>
  <c r="U242"/>
  <c r="U273"/>
  <c r="U263"/>
  <c r="U249"/>
  <c r="U277"/>
  <c r="U268" i="3"/>
  <c r="U268" i="2" s="1"/>
  <c r="U269"/>
  <c r="U267"/>
  <c r="U259"/>
  <c r="U253"/>
  <c r="U243"/>
  <c r="U239"/>
  <c r="U229"/>
  <c r="U274"/>
  <c r="U262"/>
  <c r="U250"/>
  <c r="U235" i="3"/>
  <c r="U235" i="2" s="1"/>
  <c r="U236"/>
  <c r="U234"/>
  <c r="U226"/>
  <c r="U216"/>
  <c r="U272"/>
  <c r="U264"/>
  <c r="U256"/>
  <c r="U248"/>
  <c r="U238"/>
  <c r="U228"/>
  <c r="U275"/>
  <c r="U261"/>
  <c r="U224" i="3"/>
  <c r="U224" i="2" s="1"/>
  <c r="U225"/>
  <c r="U257" i="3"/>
  <c r="U257" i="2" s="1"/>
  <c r="U258"/>
  <c r="U215"/>
  <c r="U270"/>
  <c r="U237"/>
  <c r="U221"/>
  <c r="U218"/>
  <c r="U241"/>
  <c r="U240"/>
  <c r="U220"/>
  <c r="U198"/>
  <c r="U223"/>
  <c r="U211"/>
  <c r="U205"/>
  <c r="U195"/>
  <c r="U185"/>
  <c r="U175"/>
  <c r="U266"/>
  <c r="U217"/>
  <c r="U212"/>
  <c r="U200"/>
  <c r="U191" i="3"/>
  <c r="U191" i="2" s="1"/>
  <c r="U192"/>
  <c r="U190"/>
  <c r="U182"/>
  <c r="U172"/>
  <c r="U254"/>
  <c r="U244"/>
  <c r="U231"/>
  <c r="U230"/>
  <c r="U208"/>
  <c r="U199"/>
  <c r="U278"/>
  <c r="U219"/>
  <c r="U213" i="3"/>
  <c r="U213" i="2" s="1"/>
  <c r="U214"/>
  <c r="U207"/>
  <c r="U204"/>
  <c r="U194"/>
  <c r="U186"/>
  <c r="U179"/>
  <c r="U171"/>
  <c r="U160"/>
  <c r="U150"/>
  <c r="U140"/>
  <c r="U232"/>
  <c r="U201"/>
  <c r="U174"/>
  <c r="U169" i="3"/>
  <c r="U169" i="2" s="1"/>
  <c r="U170"/>
  <c r="U162"/>
  <c r="U152"/>
  <c r="U142"/>
  <c r="U132"/>
  <c r="U193"/>
  <c r="U184"/>
  <c r="U178"/>
  <c r="U167"/>
  <c r="U158" i="3"/>
  <c r="U158" i="2" s="1"/>
  <c r="U159"/>
  <c r="U157"/>
  <c r="U149"/>
  <c r="U139"/>
  <c r="U222"/>
  <c r="U202" i="3"/>
  <c r="U202" i="2" s="1"/>
  <c r="U203"/>
  <c r="U187"/>
  <c r="U173"/>
  <c r="U161"/>
  <c r="U151"/>
  <c r="U141"/>
  <c r="U131"/>
  <c r="U164"/>
  <c r="U156"/>
  <c r="U147" i="3"/>
  <c r="U147" i="2" s="1"/>
  <c r="U148"/>
  <c r="U144"/>
  <c r="U127"/>
  <c r="U117"/>
  <c r="U107"/>
  <c r="U233"/>
  <c r="U197"/>
  <c r="U168"/>
  <c r="U122"/>
  <c r="U112"/>
  <c r="U103" i="3"/>
  <c r="U103" i="2" s="1"/>
  <c r="U104"/>
  <c r="U102"/>
  <c r="U196"/>
  <c r="U189"/>
  <c r="U188"/>
  <c r="U177"/>
  <c r="U163"/>
  <c r="U155"/>
  <c r="U143"/>
  <c r="U129"/>
  <c r="U119"/>
  <c r="U210"/>
  <c r="U206"/>
  <c r="U176"/>
  <c r="U154"/>
  <c r="U125" i="3"/>
  <c r="U125" i="2" s="1"/>
  <c r="U126"/>
  <c r="U124"/>
  <c r="U116"/>
  <c r="U106"/>
  <c r="U146"/>
  <c r="U138"/>
  <c r="U123"/>
  <c r="U114" i="3"/>
  <c r="U114" i="2" s="1"/>
  <c r="U115"/>
  <c r="U101"/>
  <c r="U86"/>
  <c r="U76"/>
  <c r="U66"/>
  <c r="U145"/>
  <c r="U136" i="3"/>
  <c r="U136" i="2" s="1"/>
  <c r="U137"/>
  <c r="U128"/>
  <c r="U105"/>
  <c r="U88"/>
  <c r="U78"/>
  <c r="U68"/>
  <c r="U59" i="3"/>
  <c r="U59" i="2" s="1"/>
  <c r="U60"/>
  <c r="U227"/>
  <c r="U166"/>
  <c r="U110"/>
  <c r="U85"/>
  <c r="U75"/>
  <c r="U65"/>
  <c r="U251"/>
  <c r="U209"/>
  <c r="U183"/>
  <c r="U135"/>
  <c r="U109"/>
  <c r="U108"/>
  <c r="U92" i="3"/>
  <c r="U92" i="2" s="1"/>
  <c r="U93"/>
  <c r="U130"/>
  <c r="U100"/>
  <c r="U89"/>
  <c r="U153"/>
  <c r="U118"/>
  <c r="U180" i="3"/>
  <c r="U180" i="2" s="1"/>
  <c r="U181"/>
  <c r="U165"/>
  <c r="U121"/>
  <c r="U111"/>
  <c r="U99"/>
  <c r="U95"/>
  <c r="U84"/>
  <c r="U91"/>
  <c r="U90"/>
  <c r="U70" i="3"/>
  <c r="U70" i="2" s="1"/>
  <c r="U71"/>
  <c r="U67"/>
  <c r="U58"/>
  <c r="U50"/>
  <c r="U40"/>
  <c r="U30"/>
  <c r="U20"/>
  <c r="U134"/>
  <c r="U98"/>
  <c r="U57"/>
  <c r="U48" i="3"/>
  <c r="U48" i="2" s="1"/>
  <c r="U49"/>
  <c r="U47"/>
  <c r="U39"/>
  <c r="U29"/>
  <c r="U19"/>
  <c r="U87"/>
  <c r="U72"/>
  <c r="U51"/>
  <c r="U41"/>
  <c r="U31"/>
  <c r="U21"/>
  <c r="U97"/>
  <c r="U80"/>
  <c r="U77"/>
  <c r="U96"/>
  <c r="U81" i="3"/>
  <c r="U81" i="2" s="1"/>
  <c r="U82"/>
  <c r="U56"/>
  <c r="U52"/>
  <c r="U46"/>
  <c r="U42"/>
  <c r="U7"/>
  <c r="U54"/>
  <c r="U45"/>
  <c r="U36"/>
  <c r="U24"/>
  <c r="U133"/>
  <c r="U69"/>
  <c r="U63"/>
  <c r="U26" i="3"/>
  <c r="U26" i="2" s="1"/>
  <c r="U27"/>
  <c r="U25"/>
  <c r="U4" i="3"/>
  <c r="U4" i="2" s="1"/>
  <c r="U5"/>
  <c r="U37" i="3"/>
  <c r="U37" i="2" s="1"/>
  <c r="U38"/>
  <c r="U14"/>
  <c r="U10"/>
  <c r="U9"/>
  <c r="U94"/>
  <c r="U74"/>
  <c r="U13"/>
  <c r="U12"/>
  <c r="U120"/>
  <c r="U79"/>
  <c r="U64"/>
  <c r="U61"/>
  <c r="U44"/>
  <c r="U18"/>
  <c r="U55"/>
  <c r="U11"/>
  <c r="U53"/>
  <c r="U28"/>
  <c r="U22"/>
  <c r="U34"/>
  <c r="U43"/>
  <c r="U15" i="3"/>
  <c r="U15" i="2" s="1"/>
  <c r="U16"/>
  <c r="U35"/>
  <c r="U23"/>
  <c r="U113"/>
  <c r="U83"/>
  <c r="U33"/>
  <c r="U8"/>
  <c r="U6"/>
  <c r="U32"/>
  <c r="U73"/>
  <c r="U17"/>
  <c r="U62"/>
  <c r="BA271"/>
  <c r="BA265"/>
  <c r="BA255"/>
  <c r="BA246" i="3"/>
  <c r="BA246" i="2" s="1"/>
  <c r="BA247"/>
  <c r="BA245"/>
  <c r="BA276"/>
  <c r="BA260"/>
  <c r="BA252"/>
  <c r="BA242"/>
  <c r="BA273"/>
  <c r="BA263"/>
  <c r="BA249"/>
  <c r="BA277"/>
  <c r="BA268" i="3"/>
  <c r="BA268" i="2" s="1"/>
  <c r="BA269"/>
  <c r="BA267"/>
  <c r="BA259"/>
  <c r="BA253"/>
  <c r="BA243"/>
  <c r="BA239"/>
  <c r="BA229"/>
  <c r="BA274"/>
  <c r="BA262"/>
  <c r="BA250"/>
  <c r="BA235" i="3"/>
  <c r="BA235" i="2" s="1"/>
  <c r="BA236"/>
  <c r="BA234"/>
  <c r="BA226"/>
  <c r="BA216"/>
  <c r="BA272"/>
  <c r="BA264"/>
  <c r="BA256"/>
  <c r="BA248"/>
  <c r="BA238"/>
  <c r="BA228"/>
  <c r="BA251"/>
  <c r="BA241"/>
  <c r="BA232"/>
  <c r="BA224" i="3"/>
  <c r="BA224" i="2" s="1"/>
  <c r="BA225"/>
  <c r="BA212"/>
  <c r="BA275"/>
  <c r="BA261"/>
  <c r="BA220"/>
  <c r="BA217"/>
  <c r="BA211"/>
  <c r="BA278"/>
  <c r="BA266"/>
  <c r="BA240"/>
  <c r="BA230"/>
  <c r="BA223"/>
  <c r="BA210"/>
  <c r="BA198"/>
  <c r="BA195"/>
  <c r="BA185"/>
  <c r="BA175"/>
  <c r="BA257" i="3"/>
  <c r="BA257" i="2" s="1"/>
  <c r="BA258"/>
  <c r="BA233"/>
  <c r="BA231"/>
  <c r="BA227"/>
  <c r="BA206"/>
  <c r="BA202" i="3"/>
  <c r="BA202" i="2" s="1"/>
  <c r="BA203"/>
  <c r="BA200"/>
  <c r="BA191" i="3"/>
  <c r="BA191" i="2" s="1"/>
  <c r="BA192"/>
  <c r="BA190"/>
  <c r="BA182"/>
  <c r="BA172"/>
  <c r="BA218"/>
  <c r="BA213" i="3"/>
  <c r="BA213" i="2" s="1"/>
  <c r="BA214"/>
  <c r="BA208"/>
  <c r="BA205"/>
  <c r="BA199"/>
  <c r="BA186"/>
  <c r="BA179"/>
  <c r="BA171"/>
  <c r="BA160"/>
  <c r="BA150"/>
  <c r="BA140"/>
  <c r="BA130"/>
  <c r="BA215"/>
  <c r="BA209"/>
  <c r="BA201"/>
  <c r="BA174"/>
  <c r="BA162"/>
  <c r="BA152"/>
  <c r="BA142"/>
  <c r="BA132"/>
  <c r="BA244"/>
  <c r="BA221"/>
  <c r="BA184"/>
  <c r="BA178"/>
  <c r="BA169" i="3"/>
  <c r="BA169" i="2" s="1"/>
  <c r="BA170"/>
  <c r="BA158" i="3"/>
  <c r="BA158" i="2" s="1"/>
  <c r="BA159"/>
  <c r="BA157"/>
  <c r="BA149"/>
  <c r="BA139"/>
  <c r="BA187"/>
  <c r="BA173"/>
  <c r="BA168"/>
  <c r="BA161"/>
  <c r="BA151"/>
  <c r="BA141"/>
  <c r="BA131"/>
  <c r="BA219"/>
  <c r="BA194"/>
  <c r="BA164"/>
  <c r="BA156"/>
  <c r="BA147" i="3"/>
  <c r="BA147" i="2" s="1"/>
  <c r="BA148"/>
  <c r="BA144"/>
  <c r="BA127"/>
  <c r="BA117"/>
  <c r="BA107"/>
  <c r="BA197"/>
  <c r="BA122"/>
  <c r="BA112"/>
  <c r="BA103" i="3"/>
  <c r="BA103" i="2" s="1"/>
  <c r="BA104"/>
  <c r="BA102"/>
  <c r="BA94"/>
  <c r="BA222"/>
  <c r="BA196"/>
  <c r="BA183"/>
  <c r="BA180" i="3"/>
  <c r="BA180" i="2" s="1"/>
  <c r="BA181"/>
  <c r="BA163"/>
  <c r="BA155"/>
  <c r="BA143"/>
  <c r="BA129"/>
  <c r="BA119"/>
  <c r="BA254"/>
  <c r="BA167"/>
  <c r="BA154"/>
  <c r="BA125" i="3"/>
  <c r="BA125" i="2" s="1"/>
  <c r="BA126"/>
  <c r="BA124"/>
  <c r="BA116"/>
  <c r="BA106"/>
  <c r="BA270"/>
  <c r="BA146"/>
  <c r="BA138"/>
  <c r="BA123"/>
  <c r="BA114" i="3"/>
  <c r="BA114" i="2" s="1"/>
  <c r="BA115"/>
  <c r="BA109"/>
  <c r="BA98"/>
  <c r="BA95"/>
  <c r="BA86"/>
  <c r="BA76"/>
  <c r="BA66"/>
  <c r="BA207"/>
  <c r="BA176"/>
  <c r="BA145"/>
  <c r="BA136" i="3"/>
  <c r="BA136" i="2" s="1"/>
  <c r="BA137"/>
  <c r="BA128"/>
  <c r="BA108"/>
  <c r="BA88"/>
  <c r="BA78"/>
  <c r="BA68"/>
  <c r="BA59" i="3"/>
  <c r="BA59" i="2" s="1"/>
  <c r="BA60"/>
  <c r="BA237"/>
  <c r="BA189"/>
  <c r="BA166"/>
  <c r="BA100"/>
  <c r="BA97"/>
  <c r="BA85"/>
  <c r="BA75"/>
  <c r="BA65"/>
  <c r="BA113"/>
  <c r="BA99"/>
  <c r="BA121"/>
  <c r="BA111"/>
  <c r="BA91"/>
  <c r="BA135"/>
  <c r="BA118"/>
  <c r="BA87"/>
  <c r="BA79"/>
  <c r="BA110"/>
  <c r="BA81" i="3"/>
  <c r="BA81" i="2" s="1"/>
  <c r="BA82"/>
  <c r="BA80"/>
  <c r="BA73"/>
  <c r="BA64"/>
  <c r="BA58"/>
  <c r="BA50"/>
  <c r="BA40"/>
  <c r="BA30"/>
  <c r="BA20"/>
  <c r="BA204"/>
  <c r="BA90"/>
  <c r="BA77"/>
  <c r="BA62"/>
  <c r="BA57"/>
  <c r="BA48" i="3"/>
  <c r="BA48" i="2" s="1"/>
  <c r="BA49"/>
  <c r="BA47"/>
  <c r="BA39"/>
  <c r="BA29"/>
  <c r="BA19"/>
  <c r="BA188"/>
  <c r="BA134"/>
  <c r="BA89"/>
  <c r="BA51"/>
  <c r="BA41"/>
  <c r="BA31"/>
  <c r="BA21"/>
  <c r="BA165"/>
  <c r="BA105"/>
  <c r="BA96"/>
  <c r="BA84"/>
  <c r="BA72"/>
  <c r="BA70" i="3"/>
  <c r="BA70" i="2" s="1"/>
  <c r="BA71"/>
  <c r="BA193"/>
  <c r="BA120"/>
  <c r="BA101"/>
  <c r="BA74"/>
  <c r="BA67"/>
  <c r="BA54"/>
  <c r="BA44"/>
  <c r="BA37" i="3"/>
  <c r="BA37" i="2" s="1"/>
  <c r="BA38"/>
  <c r="BA7"/>
  <c r="BA53"/>
  <c r="BA23"/>
  <c r="BA92" i="3"/>
  <c r="BA92" i="2" s="1"/>
  <c r="BA93"/>
  <c r="BA35"/>
  <c r="BA24"/>
  <c r="BA13"/>
  <c r="BA10"/>
  <c r="BA32"/>
  <c r="BA153"/>
  <c r="BA45"/>
  <c r="BA33"/>
  <c r="BA15" i="3"/>
  <c r="BA15" i="2" s="1"/>
  <c r="BA16"/>
  <c r="BA177"/>
  <c r="BA63"/>
  <c r="BA56"/>
  <c r="BA46"/>
  <c r="BA22"/>
  <c r="BA18"/>
  <c r="BA17"/>
  <c r="BA83"/>
  <c r="BA61"/>
  <c r="BA26" i="3"/>
  <c r="BA26" i="2" s="1"/>
  <c r="BA27"/>
  <c r="BA55"/>
  <c r="BA52"/>
  <c r="BA14"/>
  <c r="BA8"/>
  <c r="BA36"/>
  <c r="BA28"/>
  <c r="BA9"/>
  <c r="BA133"/>
  <c r="BA42"/>
  <c r="BA25"/>
  <c r="BA6"/>
  <c r="BA34"/>
  <c r="BA43"/>
  <c r="BA12"/>
  <c r="BA4" i="3"/>
  <c r="BA4" i="2" s="1"/>
  <c r="BA5"/>
  <c r="BA11"/>
  <c r="BA69"/>
  <c r="BG273"/>
  <c r="BG263"/>
  <c r="BG249"/>
  <c r="BG278"/>
  <c r="BG270"/>
  <c r="BG266"/>
  <c r="BG257" i="3"/>
  <c r="BG257" i="2" s="1"/>
  <c r="BG258"/>
  <c r="BG254"/>
  <c r="BG244"/>
  <c r="BG275"/>
  <c r="BG261"/>
  <c r="BG251"/>
  <c r="BG271"/>
  <c r="BG265"/>
  <c r="BG255"/>
  <c r="BG246" i="3"/>
  <c r="BG246" i="2" s="1"/>
  <c r="BG247"/>
  <c r="BG245"/>
  <c r="BG231"/>
  <c r="BG277"/>
  <c r="BG268" i="3"/>
  <c r="BG268" i="2" s="1"/>
  <c r="BG269"/>
  <c r="BG253"/>
  <c r="BG238"/>
  <c r="BG228"/>
  <c r="BG218"/>
  <c r="BG241"/>
  <c r="BG240"/>
  <c r="BG230"/>
  <c r="BG274"/>
  <c r="BG259"/>
  <c r="BG242"/>
  <c r="BG211"/>
  <c r="BG264"/>
  <c r="BG260"/>
  <c r="BG237"/>
  <c r="BG219"/>
  <c r="BG216"/>
  <c r="BG210"/>
  <c r="BG256"/>
  <c r="BG232"/>
  <c r="BG223"/>
  <c r="BG215"/>
  <c r="BG204"/>
  <c r="BG243"/>
  <c r="BG226"/>
  <c r="BG213" i="3"/>
  <c r="BG213" i="2" s="1"/>
  <c r="BG214"/>
  <c r="BG200"/>
  <c r="BG191" i="3"/>
  <c r="BG191" i="2" s="1"/>
  <c r="BG192"/>
  <c r="BG190"/>
  <c r="BG197"/>
  <c r="BG187"/>
  <c r="BG177"/>
  <c r="BG167"/>
  <c r="BG272"/>
  <c r="BG252"/>
  <c r="BG250"/>
  <c r="BG224" i="3"/>
  <c r="BG224" i="2" s="1"/>
  <c r="BG225"/>
  <c r="BG208"/>
  <c r="BG205"/>
  <c r="BG194"/>
  <c r="BG184"/>
  <c r="BG174"/>
  <c r="BG267"/>
  <c r="BG233"/>
  <c r="BG227"/>
  <c r="BG222"/>
  <c r="BG220"/>
  <c r="BG201"/>
  <c r="BG217"/>
  <c r="BG188"/>
  <c r="BG162"/>
  <c r="BG152"/>
  <c r="BG142"/>
  <c r="BG132"/>
  <c r="BG193"/>
  <c r="BG183"/>
  <c r="BG168"/>
  <c r="BG164"/>
  <c r="BG154"/>
  <c r="BG144"/>
  <c r="BG134"/>
  <c r="BG195"/>
  <c r="BG176"/>
  <c r="BG161"/>
  <c r="BG151"/>
  <c r="BG141"/>
  <c r="BG131"/>
  <c r="BG239"/>
  <c r="BG235" i="3"/>
  <c r="BG235" i="2" s="1"/>
  <c r="BG236"/>
  <c r="BG221"/>
  <c r="BG209"/>
  <c r="BG189"/>
  <c r="BG182"/>
  <c r="BG180" i="3"/>
  <c r="BG180" i="2" s="1"/>
  <c r="BG181"/>
  <c r="BG163"/>
  <c r="BG153"/>
  <c r="BG143"/>
  <c r="BG133"/>
  <c r="BG262"/>
  <c r="BG178"/>
  <c r="BG166"/>
  <c r="BG158" i="3"/>
  <c r="BG158" i="2" s="1"/>
  <c r="BG159"/>
  <c r="BG146"/>
  <c r="BG139"/>
  <c r="BG138"/>
  <c r="BG129"/>
  <c r="BG119"/>
  <c r="BG109"/>
  <c r="BG202" i="3"/>
  <c r="BG202" i="2" s="1"/>
  <c r="BG203"/>
  <c r="BG186"/>
  <c r="BG175"/>
  <c r="BG125" i="3"/>
  <c r="BG125" i="2" s="1"/>
  <c r="BG126"/>
  <c r="BG124"/>
  <c r="BG116"/>
  <c r="BG106"/>
  <c r="BG96"/>
  <c r="BG229"/>
  <c r="BG173"/>
  <c r="BG171"/>
  <c r="BG165"/>
  <c r="BG150"/>
  <c r="BG145"/>
  <c r="BG136" i="3"/>
  <c r="BG136" i="2" s="1"/>
  <c r="BG137"/>
  <c r="BG121"/>
  <c r="BG111"/>
  <c r="BG234"/>
  <c r="BG212"/>
  <c r="BG206"/>
  <c r="BG199"/>
  <c r="BG198"/>
  <c r="BG185"/>
  <c r="BG172"/>
  <c r="BG157"/>
  <c r="BG156"/>
  <c r="BG149"/>
  <c r="BG147" i="3"/>
  <c r="BG147" i="2" s="1"/>
  <c r="BG148"/>
  <c r="BG128"/>
  <c r="BG118"/>
  <c r="BG108"/>
  <c r="BG248"/>
  <c r="BG107"/>
  <c r="BG102"/>
  <c r="BG101"/>
  <c r="BG100"/>
  <c r="BG97"/>
  <c r="BG94"/>
  <c r="BG88"/>
  <c r="BG78"/>
  <c r="BG68"/>
  <c r="BG59" i="3"/>
  <c r="BG59" i="2" s="1"/>
  <c r="BG60"/>
  <c r="BG140"/>
  <c r="BG123"/>
  <c r="BG117"/>
  <c r="BG114" i="3"/>
  <c r="BG114" i="2" s="1"/>
  <c r="BG115"/>
  <c r="BG112"/>
  <c r="BG110"/>
  <c r="BG90"/>
  <c r="BG81" i="3"/>
  <c r="BG81" i="2" s="1"/>
  <c r="BG82"/>
  <c r="BG80"/>
  <c r="BG72"/>
  <c r="BG62"/>
  <c r="BG207"/>
  <c r="BG169" i="3"/>
  <c r="BG169" i="2" s="1"/>
  <c r="BG170"/>
  <c r="BG99"/>
  <c r="BG87"/>
  <c r="BG77"/>
  <c r="BG67"/>
  <c r="BG135"/>
  <c r="BG120"/>
  <c r="BG92" i="3"/>
  <c r="BG92" i="2" s="1"/>
  <c r="BG93"/>
  <c r="BG89"/>
  <c r="BG160"/>
  <c r="BG155"/>
  <c r="BG130"/>
  <c r="BG98"/>
  <c r="BG179"/>
  <c r="BG103" i="3"/>
  <c r="BG103" i="2" s="1"/>
  <c r="BG104"/>
  <c r="BG196"/>
  <c r="BG122"/>
  <c r="BG76"/>
  <c r="BG95"/>
  <c r="BG83"/>
  <c r="BG74"/>
  <c r="BG52"/>
  <c r="BG42"/>
  <c r="BG32"/>
  <c r="BG22"/>
  <c r="BG85"/>
  <c r="BG75"/>
  <c r="BG65"/>
  <c r="BG64"/>
  <c r="BG51"/>
  <c r="BG41"/>
  <c r="BG31"/>
  <c r="BG21"/>
  <c r="BG84"/>
  <c r="BG69"/>
  <c r="BG53"/>
  <c r="BG43"/>
  <c r="BG33"/>
  <c r="BG23"/>
  <c r="BG105"/>
  <c r="BG79"/>
  <c r="BG63"/>
  <c r="BG56"/>
  <c r="BG46"/>
  <c r="BG9"/>
  <c r="BG113"/>
  <c r="BG17"/>
  <c r="BG276"/>
  <c r="BG47"/>
  <c r="BG39"/>
  <c r="BG29"/>
  <c r="BG12"/>
  <c r="BG86"/>
  <c r="BG11"/>
  <c r="BG7"/>
  <c r="BG58"/>
  <c r="BG48" i="3"/>
  <c r="BG48" i="2" s="1"/>
  <c r="BG49"/>
  <c r="BG37" i="3"/>
  <c r="BG37" i="2" s="1"/>
  <c r="BG38"/>
  <c r="BG27"/>
  <c r="BG26" i="3"/>
  <c r="BG26" i="2" s="1"/>
  <c r="BG25"/>
  <c r="BG14"/>
  <c r="BG10"/>
  <c r="BG73"/>
  <c r="BG66"/>
  <c r="BG28"/>
  <c r="BG91"/>
  <c r="BG70" i="3"/>
  <c r="BG70" i="2" s="1"/>
  <c r="BG71"/>
  <c r="BG18"/>
  <c r="BG61"/>
  <c r="BG50"/>
  <c r="BG15" i="3"/>
  <c r="BG15" i="2" s="1"/>
  <c r="BG16"/>
  <c r="BG35"/>
  <c r="BG127"/>
  <c r="BG54"/>
  <c r="BG19"/>
  <c r="BG13"/>
  <c r="BG6"/>
  <c r="BG44"/>
  <c r="BG40"/>
  <c r="BG20"/>
  <c r="BG45"/>
  <c r="BG34"/>
  <c r="BG57"/>
  <c r="BG5"/>
  <c r="BG4" i="3"/>
  <c r="BG4" i="2" s="1"/>
  <c r="BG24"/>
  <c r="BG55"/>
  <c r="BG30"/>
  <c r="BG36"/>
  <c r="BG8"/>
  <c r="BI271"/>
  <c r="BI265"/>
  <c r="BI255"/>
  <c r="BI246" i="3"/>
  <c r="BI246" i="2" s="1"/>
  <c r="BI247"/>
  <c r="BI245"/>
  <c r="BI276"/>
  <c r="BI260"/>
  <c r="BI252"/>
  <c r="BI242"/>
  <c r="BI273"/>
  <c r="BI263"/>
  <c r="BI249"/>
  <c r="BI277"/>
  <c r="BI268" i="3"/>
  <c r="BI268" i="2" s="1"/>
  <c r="BI269"/>
  <c r="BI267"/>
  <c r="BI259"/>
  <c r="BI253"/>
  <c r="BI243"/>
  <c r="BI278"/>
  <c r="BI270"/>
  <c r="BI266"/>
  <c r="BI261"/>
  <c r="BI257" i="3"/>
  <c r="BI257" i="2" s="1"/>
  <c r="BI258"/>
  <c r="BI254"/>
  <c r="BI239"/>
  <c r="BI229"/>
  <c r="BI235" i="3"/>
  <c r="BI235" i="2" s="1"/>
  <c r="BI236"/>
  <c r="BI234"/>
  <c r="BI226"/>
  <c r="BI216"/>
  <c r="BI275"/>
  <c r="BI251"/>
  <c r="BI244"/>
  <c r="BI238"/>
  <c r="BI228"/>
  <c r="BI240"/>
  <c r="BI230"/>
  <c r="BI213" i="3"/>
  <c r="BI213" i="2" s="1"/>
  <c r="BI214"/>
  <c r="BI233"/>
  <c r="BI241"/>
  <c r="BI227"/>
  <c r="BI262"/>
  <c r="BI217"/>
  <c r="BI206"/>
  <c r="BI198"/>
  <c r="BI248"/>
  <c r="BI218"/>
  <c r="BI212"/>
  <c r="BI209"/>
  <c r="BI202" i="3"/>
  <c r="BI202" i="2" s="1"/>
  <c r="BI203"/>
  <c r="BI195"/>
  <c r="BI185"/>
  <c r="BI175"/>
  <c r="BI215"/>
  <c r="BI200"/>
  <c r="BI191" i="3"/>
  <c r="BI191" i="2" s="1"/>
  <c r="BI192"/>
  <c r="BI190"/>
  <c r="BI182"/>
  <c r="BI172"/>
  <c r="BI274"/>
  <c r="BI231"/>
  <c r="BI207"/>
  <c r="BI199"/>
  <c r="BI210"/>
  <c r="BI197"/>
  <c r="BI174"/>
  <c r="BI160"/>
  <c r="BI150"/>
  <c r="BI140"/>
  <c r="BI130"/>
  <c r="BI237"/>
  <c r="BI232"/>
  <c r="BI224" i="3"/>
  <c r="BI224" i="2" s="1"/>
  <c r="BI225"/>
  <c r="BI219"/>
  <c r="BI204"/>
  <c r="BI196"/>
  <c r="BI188"/>
  <c r="BI177"/>
  <c r="BI162"/>
  <c r="BI152"/>
  <c r="BI142"/>
  <c r="BI132"/>
  <c r="BI272"/>
  <c r="BI211"/>
  <c r="BI187"/>
  <c r="BI173"/>
  <c r="BI158" i="3"/>
  <c r="BI158" i="2" s="1"/>
  <c r="BI159"/>
  <c r="BI157"/>
  <c r="BI149"/>
  <c r="BI139"/>
  <c r="BI256"/>
  <c r="BI223"/>
  <c r="BI205"/>
  <c r="BI176"/>
  <c r="BI161"/>
  <c r="BI151"/>
  <c r="BI141"/>
  <c r="BI131"/>
  <c r="BI193"/>
  <c r="BI135"/>
  <c r="BI127"/>
  <c r="BI117"/>
  <c r="BI107"/>
  <c r="BI189"/>
  <c r="BI178"/>
  <c r="BI166"/>
  <c r="BI153"/>
  <c r="BI146"/>
  <c r="BI138"/>
  <c r="BI134"/>
  <c r="BI122"/>
  <c r="BI112"/>
  <c r="BI103" i="3"/>
  <c r="BI103" i="2" s="1"/>
  <c r="BI104"/>
  <c r="BI102"/>
  <c r="BI94"/>
  <c r="BI220"/>
  <c r="BI208"/>
  <c r="BI186"/>
  <c r="BI168"/>
  <c r="BI129"/>
  <c r="BI119"/>
  <c r="BI250"/>
  <c r="BI221"/>
  <c r="BI194"/>
  <c r="BI171"/>
  <c r="BI165"/>
  <c r="BI145"/>
  <c r="BI136" i="3"/>
  <c r="BI136" i="2" s="1"/>
  <c r="BI137"/>
  <c r="BI133"/>
  <c r="BI125" i="3"/>
  <c r="BI125" i="2" s="1"/>
  <c r="BI126"/>
  <c r="BI124"/>
  <c r="BI116"/>
  <c r="BI106"/>
  <c r="BI201"/>
  <c r="BI184"/>
  <c r="BI120"/>
  <c r="BI86"/>
  <c r="BI76"/>
  <c r="BI66"/>
  <c r="BI111"/>
  <c r="BI100"/>
  <c r="BI97"/>
  <c r="BI88"/>
  <c r="BI78"/>
  <c r="BI68"/>
  <c r="BI59" i="3"/>
  <c r="BI59" i="2" s="1"/>
  <c r="BI60"/>
  <c r="BI144"/>
  <c r="BI105"/>
  <c r="BI85"/>
  <c r="BI75"/>
  <c r="BI65"/>
  <c r="BI147" i="3"/>
  <c r="BI147" i="2" s="1"/>
  <c r="BI148"/>
  <c r="BI143"/>
  <c r="BI110"/>
  <c r="BI109"/>
  <c r="BI108"/>
  <c r="BI84"/>
  <c r="BI92" i="3"/>
  <c r="BI92" i="2" s="1"/>
  <c r="BI93"/>
  <c r="BI169" i="3"/>
  <c r="BI169" i="2" s="1"/>
  <c r="BI170"/>
  <c r="BI167"/>
  <c r="BI154"/>
  <c r="BI114" i="3"/>
  <c r="BI114" i="2" s="1"/>
  <c r="BI115"/>
  <c r="BI101"/>
  <c r="BI96"/>
  <c r="BI90"/>
  <c r="BI264"/>
  <c r="BI179"/>
  <c r="BI155"/>
  <c r="BI118"/>
  <c r="BI91"/>
  <c r="BI77"/>
  <c r="BI62"/>
  <c r="BI58"/>
  <c r="BI50"/>
  <c r="BI40"/>
  <c r="BI30"/>
  <c r="BI20"/>
  <c r="BI81" i="3"/>
  <c r="BI81" i="2" s="1"/>
  <c r="BI82"/>
  <c r="BI61"/>
  <c r="BI57"/>
  <c r="BI48" i="3"/>
  <c r="BI48" i="2" s="1"/>
  <c r="BI49"/>
  <c r="BI47"/>
  <c r="BI39"/>
  <c r="BI29"/>
  <c r="BI19"/>
  <c r="BI156"/>
  <c r="BI128"/>
  <c r="BI87"/>
  <c r="BI73"/>
  <c r="BI64"/>
  <c r="BI51"/>
  <c r="BI41"/>
  <c r="BI31"/>
  <c r="BI21"/>
  <c r="BI180" i="3"/>
  <c r="BI180" i="2" s="1"/>
  <c r="BI181"/>
  <c r="BI121"/>
  <c r="BI83"/>
  <c r="BI33"/>
  <c r="BI26" i="3"/>
  <c r="BI26" i="2" s="1"/>
  <c r="BI27"/>
  <c r="BI24"/>
  <c r="BI18"/>
  <c r="BI7"/>
  <c r="BI80"/>
  <c r="BI79"/>
  <c r="BI72"/>
  <c r="BI55"/>
  <c r="BI37" i="3"/>
  <c r="BI37" i="2" s="1"/>
  <c r="BI38"/>
  <c r="BI28"/>
  <c r="BI15" i="3"/>
  <c r="BI15" i="2" s="1"/>
  <c r="BI16"/>
  <c r="BI13"/>
  <c r="BI10"/>
  <c r="BI113"/>
  <c r="BI56"/>
  <c r="BI42"/>
  <c r="BI32"/>
  <c r="BI17"/>
  <c r="BI6"/>
  <c r="BI163"/>
  <c r="BI70" i="3"/>
  <c r="BI70" i="2" s="1"/>
  <c r="BI71"/>
  <c r="BI52"/>
  <c r="BI36"/>
  <c r="BI222"/>
  <c r="BI89"/>
  <c r="BI67"/>
  <c r="BI9"/>
  <c r="BI8"/>
  <c r="BI54"/>
  <c r="BI44"/>
  <c r="BI14"/>
  <c r="BI45"/>
  <c r="BI43"/>
  <c r="BI95"/>
  <c r="BI69"/>
  <c r="BI46"/>
  <c r="BI11"/>
  <c r="BI4" i="3"/>
  <c r="BI4" i="2" s="1"/>
  <c r="BI5"/>
  <c r="BI12"/>
  <c r="BI123"/>
  <c r="BI53"/>
  <c r="BI35"/>
  <c r="BI23"/>
  <c r="BI183"/>
  <c r="BI99"/>
  <c r="BI74"/>
  <c r="BI63"/>
  <c r="BI34"/>
  <c r="BI22"/>
  <c r="BI98"/>
  <c r="BI25"/>
  <c r="BI164"/>
  <c r="X272"/>
  <c r="X264"/>
  <c r="X256"/>
  <c r="X248"/>
  <c r="X277"/>
  <c r="X268" i="3"/>
  <c r="X268" i="2" s="1"/>
  <c r="X269"/>
  <c r="X267"/>
  <c r="X259"/>
  <c r="X253"/>
  <c r="X243"/>
  <c r="X274"/>
  <c r="X262"/>
  <c r="X250"/>
  <c r="X278"/>
  <c r="X270"/>
  <c r="X266"/>
  <c r="X257" i="3"/>
  <c r="X257" i="2" s="1"/>
  <c r="X258"/>
  <c r="X254"/>
  <c r="X244"/>
  <c r="X276"/>
  <c r="X265"/>
  <c r="X263"/>
  <c r="X260"/>
  <c r="X252"/>
  <c r="X245"/>
  <c r="X240"/>
  <c r="X230"/>
  <c r="X275"/>
  <c r="X251"/>
  <c r="X237"/>
  <c r="X227"/>
  <c r="X217"/>
  <c r="X242"/>
  <c r="X239"/>
  <c r="X229"/>
  <c r="X271"/>
  <c r="X261"/>
  <c r="X234"/>
  <c r="X224" i="3"/>
  <c r="X224" i="2" s="1"/>
  <c r="X225"/>
  <c r="X222"/>
  <c r="X219"/>
  <c r="X216"/>
  <c r="X202" i="3"/>
  <c r="X202" i="2" s="1"/>
  <c r="X203"/>
  <c r="X238"/>
  <c r="X235" i="3"/>
  <c r="X235" i="2" s="1"/>
  <c r="X236"/>
  <c r="X226"/>
  <c r="X210"/>
  <c r="X199"/>
  <c r="X273"/>
  <c r="X255"/>
  <c r="X206"/>
  <c r="X196"/>
  <c r="X186"/>
  <c r="X176"/>
  <c r="X241"/>
  <c r="X228"/>
  <c r="X220"/>
  <c r="X207"/>
  <c r="X201"/>
  <c r="X193"/>
  <c r="X183"/>
  <c r="X173"/>
  <c r="X218"/>
  <c r="X213" i="3"/>
  <c r="X213" i="2" s="1"/>
  <c r="X214"/>
  <c r="X209"/>
  <c r="X200"/>
  <c r="X233"/>
  <c r="X211"/>
  <c r="X187"/>
  <c r="X161"/>
  <c r="X151"/>
  <c r="X141"/>
  <c r="X131"/>
  <c r="X215"/>
  <c r="X212"/>
  <c r="X204"/>
  <c r="X190"/>
  <c r="X182"/>
  <c r="X163"/>
  <c r="X153"/>
  <c r="X143"/>
  <c r="X133"/>
  <c r="X249"/>
  <c r="X232"/>
  <c r="X221"/>
  <c r="X194"/>
  <c r="X179"/>
  <c r="X175"/>
  <c r="X171"/>
  <c r="X168"/>
  <c r="X160"/>
  <c r="X150"/>
  <c r="X140"/>
  <c r="X223"/>
  <c r="X198"/>
  <c r="X188"/>
  <c r="X174"/>
  <c r="X162"/>
  <c r="X152"/>
  <c r="X142"/>
  <c r="X132"/>
  <c r="X165"/>
  <c r="X145"/>
  <c r="X136" i="3"/>
  <c r="X136" i="2" s="1"/>
  <c r="X137"/>
  <c r="X128"/>
  <c r="X118"/>
  <c r="X108"/>
  <c r="X191" i="3"/>
  <c r="X191" i="2" s="1"/>
  <c r="X192"/>
  <c r="X157"/>
  <c r="X149"/>
  <c r="X123"/>
  <c r="X114" i="3"/>
  <c r="X114" i="2" s="1"/>
  <c r="X115"/>
  <c r="X113"/>
  <c r="X105"/>
  <c r="X95"/>
  <c r="X197"/>
  <c r="X178"/>
  <c r="X164"/>
  <c r="X156"/>
  <c r="X147" i="3"/>
  <c r="X147" i="2" s="1"/>
  <c r="X148"/>
  <c r="X144"/>
  <c r="X130"/>
  <c r="X120"/>
  <c r="X189"/>
  <c r="X155"/>
  <c r="X127"/>
  <c r="X117"/>
  <c r="X107"/>
  <c r="X87"/>
  <c r="X77"/>
  <c r="X67"/>
  <c r="X184"/>
  <c r="X146"/>
  <c r="X138"/>
  <c r="X122"/>
  <c r="X89"/>
  <c r="X79"/>
  <c r="X70" i="3"/>
  <c r="X70" i="2" s="1"/>
  <c r="X71"/>
  <c r="X69"/>
  <c r="X61"/>
  <c r="X231"/>
  <c r="X195"/>
  <c r="X129"/>
  <c r="X106"/>
  <c r="X101"/>
  <c r="X86"/>
  <c r="X76"/>
  <c r="X66"/>
  <c r="X180" i="3"/>
  <c r="X180" i="2" s="1"/>
  <c r="X181"/>
  <c r="X154"/>
  <c r="X139"/>
  <c r="X134"/>
  <c r="X121"/>
  <c r="X116"/>
  <c r="X99"/>
  <c r="X94"/>
  <c r="X85"/>
  <c r="X246" i="3"/>
  <c r="X246" i="2" s="1"/>
  <c r="X247"/>
  <c r="X177"/>
  <c r="X166"/>
  <c r="X158" i="3"/>
  <c r="X158" i="2" s="1"/>
  <c r="X159"/>
  <c r="X135"/>
  <c r="X111"/>
  <c r="X110"/>
  <c r="X102"/>
  <c r="X92" i="3"/>
  <c r="X92" i="2" s="1"/>
  <c r="X93"/>
  <c r="X90"/>
  <c r="X185"/>
  <c r="X103" i="3"/>
  <c r="X103" i="2" s="1"/>
  <c r="X104"/>
  <c r="X98"/>
  <c r="X124"/>
  <c r="X100"/>
  <c r="X97"/>
  <c r="X88"/>
  <c r="X75"/>
  <c r="X72"/>
  <c r="X51"/>
  <c r="X41"/>
  <c r="X31"/>
  <c r="X21"/>
  <c r="X58"/>
  <c r="X50"/>
  <c r="X40"/>
  <c r="X30"/>
  <c r="X20"/>
  <c r="X208"/>
  <c r="X172"/>
  <c r="X109"/>
  <c r="X73"/>
  <c r="X65"/>
  <c r="X59" i="3"/>
  <c r="X59" i="2" s="1"/>
  <c r="X60"/>
  <c r="X52"/>
  <c r="X42"/>
  <c r="X32"/>
  <c r="X22"/>
  <c r="X119"/>
  <c r="X84"/>
  <c r="X53"/>
  <c r="X43"/>
  <c r="X19"/>
  <c r="X8"/>
  <c r="X112"/>
  <c r="X96"/>
  <c r="X48" i="3"/>
  <c r="X48" i="2" s="1"/>
  <c r="X49"/>
  <c r="X44"/>
  <c r="X34"/>
  <c r="X23"/>
  <c r="X91"/>
  <c r="X35"/>
  <c r="X24"/>
  <c r="X6"/>
  <c r="X83"/>
  <c r="X80"/>
  <c r="X78"/>
  <c r="X36"/>
  <c r="X167"/>
  <c r="X68"/>
  <c r="X57"/>
  <c r="X47"/>
  <c r="X26" i="3"/>
  <c r="X26" i="2" s="1"/>
  <c r="X27"/>
  <c r="X15" i="3"/>
  <c r="X15" i="2" s="1"/>
  <c r="X16"/>
  <c r="X9"/>
  <c r="X7"/>
  <c r="X205"/>
  <c r="X54"/>
  <c r="X14"/>
  <c r="X13"/>
  <c r="X63"/>
  <c r="X18"/>
  <c r="X17"/>
  <c r="X10"/>
  <c r="X4" i="3"/>
  <c r="X4" i="2" s="1"/>
  <c r="X5"/>
  <c r="X125" i="3"/>
  <c r="X125" i="2" s="1"/>
  <c r="X126"/>
  <c r="X11"/>
  <c r="X74"/>
  <c r="X62"/>
  <c r="X37" i="3"/>
  <c r="X37" i="2" s="1"/>
  <c r="X38"/>
  <c r="X81" i="3"/>
  <c r="X81" i="2" s="1"/>
  <c r="X82"/>
  <c r="X56"/>
  <c r="X169" i="3"/>
  <c r="X169" i="2" s="1"/>
  <c r="X170"/>
  <c r="X46"/>
  <c r="X39"/>
  <c r="X12"/>
  <c r="X45"/>
  <c r="X29"/>
  <c r="X28"/>
  <c r="X64"/>
  <c r="X33"/>
  <c r="X55"/>
  <c r="X25"/>
  <c r="AI273"/>
  <c r="AI263"/>
  <c r="AI249"/>
  <c r="AI278"/>
  <c r="AI270"/>
  <c r="AI266"/>
  <c r="AI257" i="3"/>
  <c r="AI257" i="2" s="1"/>
  <c r="AI258"/>
  <c r="AI254"/>
  <c r="AI244"/>
  <c r="AI275"/>
  <c r="AI261"/>
  <c r="AI251"/>
  <c r="AI271"/>
  <c r="AI265"/>
  <c r="AI255"/>
  <c r="AI246" i="3"/>
  <c r="AI246" i="2" s="1"/>
  <c r="AI247"/>
  <c r="AI245"/>
  <c r="AI274"/>
  <c r="AI262"/>
  <c r="AI250"/>
  <c r="AI243"/>
  <c r="AI231"/>
  <c r="AI272"/>
  <c r="AI267"/>
  <c r="AI264"/>
  <c r="AI259"/>
  <c r="AI256"/>
  <c r="AI248"/>
  <c r="AI242"/>
  <c r="AI238"/>
  <c r="AI228"/>
  <c r="AI218"/>
  <c r="AI240"/>
  <c r="AI230"/>
  <c r="AI276"/>
  <c r="AI221"/>
  <c r="AI212"/>
  <c r="AI239"/>
  <c r="AI234"/>
  <c r="AI233"/>
  <c r="AI229"/>
  <c r="AI226"/>
  <c r="AI220"/>
  <c r="AI217"/>
  <c r="AI277"/>
  <c r="AI260"/>
  <c r="AI237"/>
  <c r="AI224" i="3"/>
  <c r="AI224" i="2" s="1"/>
  <c r="AI225"/>
  <c r="AI222"/>
  <c r="AI211"/>
  <c r="AI204"/>
  <c r="AI223"/>
  <c r="AI208"/>
  <c r="AI200"/>
  <c r="AI191" i="3"/>
  <c r="AI191" i="2" s="1"/>
  <c r="AI192"/>
  <c r="AI190"/>
  <c r="AI197"/>
  <c r="AI187"/>
  <c r="AI177"/>
  <c r="AI167"/>
  <c r="AI227"/>
  <c r="AI207"/>
  <c r="AI206"/>
  <c r="AI202" i="3"/>
  <c r="AI202" i="2" s="1"/>
  <c r="AI203"/>
  <c r="AI194"/>
  <c r="AI184"/>
  <c r="AI174"/>
  <c r="AI235" i="3"/>
  <c r="AI235" i="2" s="1"/>
  <c r="AI236"/>
  <c r="AI219"/>
  <c r="AI209"/>
  <c r="AI205"/>
  <c r="AI201"/>
  <c r="AI183"/>
  <c r="AI162"/>
  <c r="AI152"/>
  <c r="AI142"/>
  <c r="AI132"/>
  <c r="AI241"/>
  <c r="AI199"/>
  <c r="AI186"/>
  <c r="AI179"/>
  <c r="AI172"/>
  <c r="AI171"/>
  <c r="AI164"/>
  <c r="AI154"/>
  <c r="AI144"/>
  <c r="AI134"/>
  <c r="AI198"/>
  <c r="AI193"/>
  <c r="AI189"/>
  <c r="AI182"/>
  <c r="AI180" i="3"/>
  <c r="AI180" i="2" s="1"/>
  <c r="AI181"/>
  <c r="AI161"/>
  <c r="AI151"/>
  <c r="AI141"/>
  <c r="AI131"/>
  <c r="AI253"/>
  <c r="AI215"/>
  <c r="AI196"/>
  <c r="AI185"/>
  <c r="AI178"/>
  <c r="AI169" i="3"/>
  <c r="AI169" i="2" s="1"/>
  <c r="AI170"/>
  <c r="AI168"/>
  <c r="AI163"/>
  <c r="AI153"/>
  <c r="AI143"/>
  <c r="AI133"/>
  <c r="AI176"/>
  <c r="AI175"/>
  <c r="AI129"/>
  <c r="AI119"/>
  <c r="AI109"/>
  <c r="AI268" i="3"/>
  <c r="AI268" i="2" s="1"/>
  <c r="AI269"/>
  <c r="AI216"/>
  <c r="AI173"/>
  <c r="AI155"/>
  <c r="AI125" i="3"/>
  <c r="AI125" i="2" s="1"/>
  <c r="AI126"/>
  <c r="AI124"/>
  <c r="AI116"/>
  <c r="AI106"/>
  <c r="AI96"/>
  <c r="AI252"/>
  <c r="AI121"/>
  <c r="AI111"/>
  <c r="AI232"/>
  <c r="AI160"/>
  <c r="AI140"/>
  <c r="AI135"/>
  <c r="AI128"/>
  <c r="AI118"/>
  <c r="AI108"/>
  <c r="AI213" i="3"/>
  <c r="AI213" i="2" s="1"/>
  <c r="AI214"/>
  <c r="AI165"/>
  <c r="AI98"/>
  <c r="AI95"/>
  <c r="AI88"/>
  <c r="AI78"/>
  <c r="AI68"/>
  <c r="AI59" i="3"/>
  <c r="AI59" i="2" s="1"/>
  <c r="AI60"/>
  <c r="AI149"/>
  <c r="AI147" i="3"/>
  <c r="AI147" i="2" s="1"/>
  <c r="AI148"/>
  <c r="AI120"/>
  <c r="AI105"/>
  <c r="AI90"/>
  <c r="AI81" i="3"/>
  <c r="AI81" i="2" s="1"/>
  <c r="AI82"/>
  <c r="AI80"/>
  <c r="AI72"/>
  <c r="AI62"/>
  <c r="AI188"/>
  <c r="AI146"/>
  <c r="AI139"/>
  <c r="AI138"/>
  <c r="AI127"/>
  <c r="AI113"/>
  <c r="AI110"/>
  <c r="AI100"/>
  <c r="AI97"/>
  <c r="AI94"/>
  <c r="AI87"/>
  <c r="AI77"/>
  <c r="AI67"/>
  <c r="AI156"/>
  <c r="AI145"/>
  <c r="AI122"/>
  <c r="AI112"/>
  <c r="AI195"/>
  <c r="AI92" i="3"/>
  <c r="AI92" i="2" s="1"/>
  <c r="AI93"/>
  <c r="AI89"/>
  <c r="AI136" i="3"/>
  <c r="AI136" i="2" s="1"/>
  <c r="AI137"/>
  <c r="AI130"/>
  <c r="AI101"/>
  <c r="AI117"/>
  <c r="AI114" i="3"/>
  <c r="AI114" i="2" s="1"/>
  <c r="AI115"/>
  <c r="AI99"/>
  <c r="AI85"/>
  <c r="AI84"/>
  <c r="AI150"/>
  <c r="AI103" i="3"/>
  <c r="AI103" i="2" s="1"/>
  <c r="AI104"/>
  <c r="AI76"/>
  <c r="AI70" i="3"/>
  <c r="AI70" i="2" s="1"/>
  <c r="AI71"/>
  <c r="AI52"/>
  <c r="AI42"/>
  <c r="AI32"/>
  <c r="AI22"/>
  <c r="AI86"/>
  <c r="AI66"/>
  <c r="AI51"/>
  <c r="AI41"/>
  <c r="AI31"/>
  <c r="AI21"/>
  <c r="AI83"/>
  <c r="AI79"/>
  <c r="AI73"/>
  <c r="AI53"/>
  <c r="AI43"/>
  <c r="AI33"/>
  <c r="AI23"/>
  <c r="AI210"/>
  <c r="AI107"/>
  <c r="AI102"/>
  <c r="AI166"/>
  <c r="AI75"/>
  <c r="AI65"/>
  <c r="AI57"/>
  <c r="AI47"/>
  <c r="AI26" i="3"/>
  <c r="AI26" i="2" s="1"/>
  <c r="AI27"/>
  <c r="AI24"/>
  <c r="AI18"/>
  <c r="AI9"/>
  <c r="AI58"/>
  <c r="AI54"/>
  <c r="AI45"/>
  <c r="AI36"/>
  <c r="AI123"/>
  <c r="AI50"/>
  <c r="AI46"/>
  <c r="AI25"/>
  <c r="AI20"/>
  <c r="AI13"/>
  <c r="AI10"/>
  <c r="AI7"/>
  <c r="AI69"/>
  <c r="AI48" i="3"/>
  <c r="AI48" i="2" s="1"/>
  <c r="AI49"/>
  <c r="AI39"/>
  <c r="AI28"/>
  <c r="AI15" i="3"/>
  <c r="AI15" i="2" s="1"/>
  <c r="AI16"/>
  <c r="AI8"/>
  <c r="AI44"/>
  <c r="AI11"/>
  <c r="AI56"/>
  <c r="AI40"/>
  <c r="AI34"/>
  <c r="AI12"/>
  <c r="AI6"/>
  <c r="AI158" i="3"/>
  <c r="AI158" i="2" s="1"/>
  <c r="AI159"/>
  <c r="AI14"/>
  <c r="AI74"/>
  <c r="AI55"/>
  <c r="AI29"/>
  <c r="AI157"/>
  <c r="AI61"/>
  <c r="AI37" i="3"/>
  <c r="AI37" i="2" s="1"/>
  <c r="AI38"/>
  <c r="AI30"/>
  <c r="AI17"/>
  <c r="AI19"/>
  <c r="AI4" i="3"/>
  <c r="AI4" i="2" s="1"/>
  <c r="AI5"/>
  <c r="AI64"/>
  <c r="AI35"/>
  <c r="AI91"/>
  <c r="AI63"/>
  <c r="AQ273"/>
  <c r="AQ263"/>
  <c r="AQ249"/>
  <c r="AQ278"/>
  <c r="AQ270"/>
  <c r="AQ266"/>
  <c r="AQ257" i="3"/>
  <c r="AQ257" i="2" s="1"/>
  <c r="AQ258"/>
  <c r="AQ254"/>
  <c r="AQ244"/>
  <c r="AQ275"/>
  <c r="AQ261"/>
  <c r="AQ251"/>
  <c r="AQ271"/>
  <c r="AQ265"/>
  <c r="AQ255"/>
  <c r="AQ246" i="3"/>
  <c r="AQ246" i="2" s="1"/>
  <c r="AQ247"/>
  <c r="AQ245"/>
  <c r="AQ231"/>
  <c r="AQ277"/>
  <c r="AQ268" i="3"/>
  <c r="AQ268" i="2" s="1"/>
  <c r="AQ269"/>
  <c r="AQ253"/>
  <c r="AQ238"/>
  <c r="AQ228"/>
  <c r="AQ218"/>
  <c r="AQ240"/>
  <c r="AQ230"/>
  <c r="AQ252"/>
  <c r="AQ248"/>
  <c r="AQ237"/>
  <c r="AQ226"/>
  <c r="AQ213" i="3"/>
  <c r="AQ213" i="2" s="1"/>
  <c r="AQ214"/>
  <c r="AQ276"/>
  <c r="AQ272"/>
  <c r="AQ267"/>
  <c r="AQ241"/>
  <c r="AQ211"/>
  <c r="AQ274"/>
  <c r="AQ259"/>
  <c r="AQ242"/>
  <c r="AQ235" i="3"/>
  <c r="AQ235" i="2" s="1"/>
  <c r="AQ236"/>
  <c r="AQ204"/>
  <c r="AQ264"/>
  <c r="AQ234"/>
  <c r="AQ215"/>
  <c r="AQ207"/>
  <c r="AQ200"/>
  <c r="AQ191" i="3"/>
  <c r="AQ191" i="2" s="1"/>
  <c r="AQ192"/>
  <c r="AQ190"/>
  <c r="AQ239"/>
  <c r="AQ219"/>
  <c r="AQ206"/>
  <c r="AQ202" i="3"/>
  <c r="AQ202" i="2" s="1"/>
  <c r="AQ203"/>
  <c r="AQ197"/>
  <c r="AQ187"/>
  <c r="AQ177"/>
  <c r="AQ167"/>
  <c r="AQ210"/>
  <c r="AQ194"/>
  <c r="AQ184"/>
  <c r="AQ174"/>
  <c r="AQ260"/>
  <c r="AQ227"/>
  <c r="AQ201"/>
  <c r="AQ216"/>
  <c r="AQ212"/>
  <c r="AQ208"/>
  <c r="AQ193"/>
  <c r="AQ186"/>
  <c r="AQ179"/>
  <c r="AQ172"/>
  <c r="AQ171"/>
  <c r="AQ162"/>
  <c r="AQ152"/>
  <c r="AQ142"/>
  <c r="AQ132"/>
  <c r="AQ256"/>
  <c r="AQ223"/>
  <c r="AQ222"/>
  <c r="AQ175"/>
  <c r="AQ164"/>
  <c r="AQ154"/>
  <c r="AQ144"/>
  <c r="AQ134"/>
  <c r="AQ250"/>
  <c r="AQ217"/>
  <c r="AQ195"/>
  <c r="AQ185"/>
  <c r="AQ178"/>
  <c r="AQ169" i="3"/>
  <c r="AQ169" i="2" s="1"/>
  <c r="AQ170"/>
  <c r="AQ161"/>
  <c r="AQ151"/>
  <c r="AQ141"/>
  <c r="AQ131"/>
  <c r="AQ205"/>
  <c r="AQ173"/>
  <c r="AQ163"/>
  <c r="AQ153"/>
  <c r="AQ143"/>
  <c r="AQ133"/>
  <c r="AQ220"/>
  <c r="AQ196"/>
  <c r="AQ166"/>
  <c r="AQ158" i="3"/>
  <c r="AQ158" i="2" s="1"/>
  <c r="AQ159"/>
  <c r="AQ146"/>
  <c r="AQ139"/>
  <c r="AQ138"/>
  <c r="AQ129"/>
  <c r="AQ119"/>
  <c r="AQ109"/>
  <c r="AQ243"/>
  <c r="AQ229"/>
  <c r="AQ224" i="3"/>
  <c r="AQ224" i="2" s="1"/>
  <c r="AQ225"/>
  <c r="AQ221"/>
  <c r="AQ125" i="3"/>
  <c r="AQ125" i="2" s="1"/>
  <c r="AQ126"/>
  <c r="AQ124"/>
  <c r="AQ116"/>
  <c r="AQ106"/>
  <c r="AQ96"/>
  <c r="AQ209"/>
  <c r="AQ189"/>
  <c r="AQ188"/>
  <c r="AQ168"/>
  <c r="AQ165"/>
  <c r="AQ150"/>
  <c r="AQ145"/>
  <c r="AQ136" i="3"/>
  <c r="AQ136" i="2" s="1"/>
  <c r="AQ137"/>
  <c r="AQ121"/>
  <c r="AQ111"/>
  <c r="AQ233"/>
  <c r="AQ176"/>
  <c r="AQ157"/>
  <c r="AQ156"/>
  <c r="AQ149"/>
  <c r="AQ147" i="3"/>
  <c r="AQ147" i="2" s="1"/>
  <c r="AQ148"/>
  <c r="AQ128"/>
  <c r="AQ118"/>
  <c r="AQ108"/>
  <c r="AQ262"/>
  <c r="AQ110"/>
  <c r="AQ88"/>
  <c r="AQ78"/>
  <c r="AQ68"/>
  <c r="AQ59" i="3"/>
  <c r="AQ59" i="2" s="1"/>
  <c r="AQ60"/>
  <c r="AQ183"/>
  <c r="AQ155"/>
  <c r="AQ130"/>
  <c r="AQ123"/>
  <c r="AQ117"/>
  <c r="AQ114" i="3"/>
  <c r="AQ114" i="2" s="1"/>
  <c r="AQ115"/>
  <c r="AQ112"/>
  <c r="AQ103" i="3"/>
  <c r="AQ103" i="2" s="1"/>
  <c r="AQ104"/>
  <c r="AQ100"/>
  <c r="AQ97"/>
  <c r="AQ94"/>
  <c r="AQ90"/>
  <c r="AQ81" i="3"/>
  <c r="AQ81" i="2" s="1"/>
  <c r="AQ82"/>
  <c r="AQ80"/>
  <c r="AQ72"/>
  <c r="AQ62"/>
  <c r="AQ135"/>
  <c r="AQ87"/>
  <c r="AQ77"/>
  <c r="AQ67"/>
  <c r="AQ199"/>
  <c r="AQ105"/>
  <c r="AQ101"/>
  <c r="AQ107"/>
  <c r="AQ102"/>
  <c r="AQ98"/>
  <c r="AQ127"/>
  <c r="AQ113"/>
  <c r="AQ160"/>
  <c r="AQ83"/>
  <c r="AQ91"/>
  <c r="AQ66"/>
  <c r="AQ52"/>
  <c r="AQ42"/>
  <c r="AQ32"/>
  <c r="AQ22"/>
  <c r="AQ182"/>
  <c r="AQ95"/>
  <c r="AQ85"/>
  <c r="AQ75"/>
  <c r="AQ69"/>
  <c r="AQ51"/>
  <c r="AQ41"/>
  <c r="AQ31"/>
  <c r="AQ21"/>
  <c r="AQ122"/>
  <c r="AQ86"/>
  <c r="AQ84"/>
  <c r="AQ76"/>
  <c r="AQ70" i="3"/>
  <c r="AQ70" i="2" s="1"/>
  <c r="AQ71"/>
  <c r="AQ53"/>
  <c r="AQ43"/>
  <c r="AQ33"/>
  <c r="AQ23"/>
  <c r="AQ232"/>
  <c r="AQ120"/>
  <c r="AQ140"/>
  <c r="AQ89"/>
  <c r="AQ55"/>
  <c r="AQ50"/>
  <c r="AQ45"/>
  <c r="AQ40"/>
  <c r="AQ9"/>
  <c r="AQ74"/>
  <c r="AQ56"/>
  <c r="AQ47"/>
  <c r="AQ39"/>
  <c r="AQ29"/>
  <c r="AQ17"/>
  <c r="AQ13"/>
  <c r="AQ10"/>
  <c r="AQ7"/>
  <c r="AQ63"/>
  <c r="AQ18"/>
  <c r="AQ6"/>
  <c r="AQ198"/>
  <c r="AQ64"/>
  <c r="AQ61"/>
  <c r="AQ57"/>
  <c r="AQ46"/>
  <c r="AQ24"/>
  <c r="AQ19"/>
  <c r="AQ73"/>
  <c r="AQ65"/>
  <c r="AQ36"/>
  <c r="AQ54"/>
  <c r="AQ44"/>
  <c r="AQ20"/>
  <c r="AQ4" i="3"/>
  <c r="AQ4" i="2" s="1"/>
  <c r="AQ5"/>
  <c r="AQ37" i="3"/>
  <c r="AQ37" i="2" s="1"/>
  <c r="AQ38"/>
  <c r="AQ35"/>
  <c r="AQ34"/>
  <c r="AQ30"/>
  <c r="AQ28"/>
  <c r="AQ99"/>
  <c r="AQ58"/>
  <c r="AQ25"/>
  <c r="AQ79"/>
  <c r="AQ11"/>
  <c r="AQ8"/>
  <c r="AQ180" i="3"/>
  <c r="AQ180" i="2" s="1"/>
  <c r="AQ181"/>
  <c r="AQ14"/>
  <c r="AQ12"/>
  <c r="AQ92" i="3"/>
  <c r="AQ92" i="2" s="1"/>
  <c r="AQ93"/>
  <c r="AQ26" i="3"/>
  <c r="AQ26" i="2" s="1"/>
  <c r="AQ27"/>
  <c r="AQ15" i="3"/>
  <c r="AQ15" i="2" s="1"/>
  <c r="AQ16"/>
  <c r="AQ48" i="3"/>
  <c r="AQ48" i="2" s="1"/>
  <c r="AQ49"/>
  <c r="AS271"/>
  <c r="AS265"/>
  <c r="AS255"/>
  <c r="AS246" i="3"/>
  <c r="AS246" i="2" s="1"/>
  <c r="AS247"/>
  <c r="AS245"/>
  <c r="AS276"/>
  <c r="AS260"/>
  <c r="AS252"/>
  <c r="AS242"/>
  <c r="AS273"/>
  <c r="AS263"/>
  <c r="AS249"/>
  <c r="AS277"/>
  <c r="AS268" i="3"/>
  <c r="AS268" i="2" s="1"/>
  <c r="AS269"/>
  <c r="AS267"/>
  <c r="AS259"/>
  <c r="AS253"/>
  <c r="AS243"/>
  <c r="AS278"/>
  <c r="AS270"/>
  <c r="AS266"/>
  <c r="AS261"/>
  <c r="AS257" i="3"/>
  <c r="AS257" i="2" s="1"/>
  <c r="AS258"/>
  <c r="AS254"/>
  <c r="AS241"/>
  <c r="AS239"/>
  <c r="AS229"/>
  <c r="AS235" i="3"/>
  <c r="AS235" i="2" s="1"/>
  <c r="AS236"/>
  <c r="AS234"/>
  <c r="AS226"/>
  <c r="AS216"/>
  <c r="AS275"/>
  <c r="AS251"/>
  <c r="AS244"/>
  <c r="AS238"/>
  <c r="AS228"/>
  <c r="AS256"/>
  <c r="AS233"/>
  <c r="AS223"/>
  <c r="AS221"/>
  <c r="AS218"/>
  <c r="AS262"/>
  <c r="AS250"/>
  <c r="AS248"/>
  <c r="AS237"/>
  <c r="AS224" i="3"/>
  <c r="AS224" i="2" s="1"/>
  <c r="AS225"/>
  <c r="AS213" i="3"/>
  <c r="AS213" i="2" s="1"/>
  <c r="AS214"/>
  <c r="AS232"/>
  <c r="AS222"/>
  <c r="AS220"/>
  <c r="AS217"/>
  <c r="AS211"/>
  <c r="AS212"/>
  <c r="AS204"/>
  <c r="AS198"/>
  <c r="AS274"/>
  <c r="AS240"/>
  <c r="AS207"/>
  <c r="AS195"/>
  <c r="AS185"/>
  <c r="AS175"/>
  <c r="AS264"/>
  <c r="AS215"/>
  <c r="AS200"/>
  <c r="AS191" i="3"/>
  <c r="AS191" i="2" s="1"/>
  <c r="AS192"/>
  <c r="AS190"/>
  <c r="AS182"/>
  <c r="AS172"/>
  <c r="AS209"/>
  <c r="AS199"/>
  <c r="AS197"/>
  <c r="AS183"/>
  <c r="AS167"/>
  <c r="AS160"/>
  <c r="AS150"/>
  <c r="AS140"/>
  <c r="AS130"/>
  <c r="AS272"/>
  <c r="AS196"/>
  <c r="AS193"/>
  <c r="AS186"/>
  <c r="AS179"/>
  <c r="AS171"/>
  <c r="AS162"/>
  <c r="AS152"/>
  <c r="AS142"/>
  <c r="AS132"/>
  <c r="AS189"/>
  <c r="AS181"/>
  <c r="AS180" i="3"/>
  <c r="AS180" i="2" s="1"/>
  <c r="AS158" i="3"/>
  <c r="AS158" i="2" s="1"/>
  <c r="AS159"/>
  <c r="AS157"/>
  <c r="AS149"/>
  <c r="AS139"/>
  <c r="AS230"/>
  <c r="AS227"/>
  <c r="AS184"/>
  <c r="AS178"/>
  <c r="AS169" i="3"/>
  <c r="AS169" i="2" s="1"/>
  <c r="AS170"/>
  <c r="AS161"/>
  <c r="AS151"/>
  <c r="AS141"/>
  <c r="AS131"/>
  <c r="AS208"/>
  <c r="AS206"/>
  <c r="AS135"/>
  <c r="AS127"/>
  <c r="AS117"/>
  <c r="AS107"/>
  <c r="AS205"/>
  <c r="AS201"/>
  <c r="AS166"/>
  <c r="AS153"/>
  <c r="AS146"/>
  <c r="AS138"/>
  <c r="AS134"/>
  <c r="AS122"/>
  <c r="AS112"/>
  <c r="AS103" i="3"/>
  <c r="AS103" i="2" s="1"/>
  <c r="AS104"/>
  <c r="AS102"/>
  <c r="AS94"/>
  <c r="AS129"/>
  <c r="AS119"/>
  <c r="AS188"/>
  <c r="AS187"/>
  <c r="AS177"/>
  <c r="AS174"/>
  <c r="AS168"/>
  <c r="AS165"/>
  <c r="AS145"/>
  <c r="AS136" i="3"/>
  <c r="AS136" i="2" s="1"/>
  <c r="AS137"/>
  <c r="AS133"/>
  <c r="AS125" i="3"/>
  <c r="AS125" i="2" s="1"/>
  <c r="AS126"/>
  <c r="AS124"/>
  <c r="AS116"/>
  <c r="AS106"/>
  <c r="AS143"/>
  <c r="AS120"/>
  <c r="AS86"/>
  <c r="AS76"/>
  <c r="AS66"/>
  <c r="AS164"/>
  <c r="AS156"/>
  <c r="AS111"/>
  <c r="AS110"/>
  <c r="AS88"/>
  <c r="AS78"/>
  <c r="AS68"/>
  <c r="AS59" i="3"/>
  <c r="AS59" i="2" s="1"/>
  <c r="AS60"/>
  <c r="AS163"/>
  <c r="AS155"/>
  <c r="AS154"/>
  <c r="AS147" i="3"/>
  <c r="AS147" i="2" s="1"/>
  <c r="AS148"/>
  <c r="AS109"/>
  <c r="AS85"/>
  <c r="AS75"/>
  <c r="AS65"/>
  <c r="AS144"/>
  <c r="AS97"/>
  <c r="AS89"/>
  <c r="AS83"/>
  <c r="AS128"/>
  <c r="AS108"/>
  <c r="AS105"/>
  <c r="AS101"/>
  <c r="AS202" i="3"/>
  <c r="AS202" i="2" s="1"/>
  <c r="AS203"/>
  <c r="AS118"/>
  <c r="AS100"/>
  <c r="AS231"/>
  <c r="AS210"/>
  <c r="AS96"/>
  <c r="AS92" i="3"/>
  <c r="AS92" i="2" s="1"/>
  <c r="AS93"/>
  <c r="AS80"/>
  <c r="AS176"/>
  <c r="AS123"/>
  <c r="AS58"/>
  <c r="AS50"/>
  <c r="AS40"/>
  <c r="AS30"/>
  <c r="AS20"/>
  <c r="AS194"/>
  <c r="AS173"/>
  <c r="AS81" i="3"/>
  <c r="AS81" i="2" s="1"/>
  <c r="AS82"/>
  <c r="AS79"/>
  <c r="AS73"/>
  <c r="AS64"/>
  <c r="AS57"/>
  <c r="AS48" i="3"/>
  <c r="AS48" i="2" s="1"/>
  <c r="AS49"/>
  <c r="AS47"/>
  <c r="AS39"/>
  <c r="AS29"/>
  <c r="AS19"/>
  <c r="AS113"/>
  <c r="AS99"/>
  <c r="AS69"/>
  <c r="AS63"/>
  <c r="AS51"/>
  <c r="AS41"/>
  <c r="AS31"/>
  <c r="AS21"/>
  <c r="AS121"/>
  <c r="AS114" i="3"/>
  <c r="AS114" i="2" s="1"/>
  <c r="AS115"/>
  <c r="AS91"/>
  <c r="AS98"/>
  <c r="AS95"/>
  <c r="AS90"/>
  <c r="AS87"/>
  <c r="AS77"/>
  <c r="AS36"/>
  <c r="AS32"/>
  <c r="AS23"/>
  <c r="AS17"/>
  <c r="AS7"/>
  <c r="AS74"/>
  <c r="AS56"/>
  <c r="AS42"/>
  <c r="AS62"/>
  <c r="AS13"/>
  <c r="AS12"/>
  <c r="AS11"/>
  <c r="AS61"/>
  <c r="AS46"/>
  <c r="AS24"/>
  <c r="AS14"/>
  <c r="AS72"/>
  <c r="AS53"/>
  <c r="AS43"/>
  <c r="AS37" i="3"/>
  <c r="AS37" i="2" s="1"/>
  <c r="AS38"/>
  <c r="AS26" i="3"/>
  <c r="AS26" i="2" s="1"/>
  <c r="AS27"/>
  <c r="AS25"/>
  <c r="AS22"/>
  <c r="AS8"/>
  <c r="AS219"/>
  <c r="AS55"/>
  <c r="AS35"/>
  <c r="AS34"/>
  <c r="AS33"/>
  <c r="AS28"/>
  <c r="AS9"/>
  <c r="AS67"/>
  <c r="AS10"/>
  <c r="AS4" i="3"/>
  <c r="AS4" i="2" s="1"/>
  <c r="AS5"/>
  <c r="AS15" i="3"/>
  <c r="AS15" i="2" s="1"/>
  <c r="AS16"/>
  <c r="AS6"/>
  <c r="AS54"/>
  <c r="AS84"/>
  <c r="AS18"/>
  <c r="AS70" i="3"/>
  <c r="AS70" i="2" s="1"/>
  <c r="AS71"/>
  <c r="AS45"/>
  <c r="AS44"/>
  <c r="AS52"/>
  <c r="BK277"/>
  <c r="BK268" i="3"/>
  <c r="BK268" i="2" s="1"/>
  <c r="BK269"/>
  <c r="BK267"/>
  <c r="BK259"/>
  <c r="BK253"/>
  <c r="BK243"/>
  <c r="BK274"/>
  <c r="BK262"/>
  <c r="BK250"/>
  <c r="BK271"/>
  <c r="BK265"/>
  <c r="BK255"/>
  <c r="BK246" i="3"/>
  <c r="BK246" i="2" s="1"/>
  <c r="BK247"/>
  <c r="BK245"/>
  <c r="BK275"/>
  <c r="BK261"/>
  <c r="BK251"/>
  <c r="BK272"/>
  <c r="BK264"/>
  <c r="BK256"/>
  <c r="BK248"/>
  <c r="BK237"/>
  <c r="BK232"/>
  <c r="BK222"/>
  <c r="BK213" i="3"/>
  <c r="BK213" i="2" s="1"/>
  <c r="BK214"/>
  <c r="BK212"/>
  <c r="BK276"/>
  <c r="BK263"/>
  <c r="BK260"/>
  <c r="BK252"/>
  <c r="BK235" i="3"/>
  <c r="BK235" i="2" s="1"/>
  <c r="BK236"/>
  <c r="BK234"/>
  <c r="BK226"/>
  <c r="BK257" i="3"/>
  <c r="BK257" i="2" s="1"/>
  <c r="BK258"/>
  <c r="BK224" i="3"/>
  <c r="BK224" i="2" s="1"/>
  <c r="BK225"/>
  <c r="BK221"/>
  <c r="BK218"/>
  <c r="BK209"/>
  <c r="BK240"/>
  <c r="BK230"/>
  <c r="BK239"/>
  <c r="BK229"/>
  <c r="BK228"/>
  <c r="BK220"/>
  <c r="BK217"/>
  <c r="BK211"/>
  <c r="BK208"/>
  <c r="BK278"/>
  <c r="BK204"/>
  <c r="BK196"/>
  <c r="BK273"/>
  <c r="BK270"/>
  <c r="BK206"/>
  <c r="BK201"/>
  <c r="BK193"/>
  <c r="BK183"/>
  <c r="BK173"/>
  <c r="BK198"/>
  <c r="BK188"/>
  <c r="BK178"/>
  <c r="BK169" i="3"/>
  <c r="BK169" i="2" s="1"/>
  <c r="BK170"/>
  <c r="BK254"/>
  <c r="BK223"/>
  <c r="BK205"/>
  <c r="BK197"/>
  <c r="BK238"/>
  <c r="BK207"/>
  <c r="BK200"/>
  <c r="BK186"/>
  <c r="BK179"/>
  <c r="BK175"/>
  <c r="BK171"/>
  <c r="BK167"/>
  <c r="BK166"/>
  <c r="BK156"/>
  <c r="BK147" i="3"/>
  <c r="BK147" i="2" s="1"/>
  <c r="BK148"/>
  <c r="BK146"/>
  <c r="BK138"/>
  <c r="BK190"/>
  <c r="BK174"/>
  <c r="BK160"/>
  <c r="BK150"/>
  <c r="BK140"/>
  <c r="BK130"/>
  <c r="BK219"/>
  <c r="BK194"/>
  <c r="BK184"/>
  <c r="BK165"/>
  <c r="BK155"/>
  <c r="BK145"/>
  <c r="BK136" i="3"/>
  <c r="BK136" i="2" s="1"/>
  <c r="BK137"/>
  <c r="BK135"/>
  <c r="BK231"/>
  <c r="BK215"/>
  <c r="BK187"/>
  <c r="BK168"/>
  <c r="BK158" i="3"/>
  <c r="BK158" i="2" s="1"/>
  <c r="BK159"/>
  <c r="BK157"/>
  <c r="BK149"/>
  <c r="BK139"/>
  <c r="BK249"/>
  <c r="BK162"/>
  <c r="BK154"/>
  <c r="BK142"/>
  <c r="BK123"/>
  <c r="BK114" i="3"/>
  <c r="BK114" i="2" s="1"/>
  <c r="BK115"/>
  <c r="BK113"/>
  <c r="BK105"/>
  <c r="BK266"/>
  <c r="BK210"/>
  <c r="BK161"/>
  <c r="BK141"/>
  <c r="BK120"/>
  <c r="BK110"/>
  <c r="BK100"/>
  <c r="BK241"/>
  <c r="BK202" i="3"/>
  <c r="BK202" i="2" s="1"/>
  <c r="BK203"/>
  <c r="BK189"/>
  <c r="BK177"/>
  <c r="BK153"/>
  <c r="BK134"/>
  <c r="BK127"/>
  <c r="BK117"/>
  <c r="BK176"/>
  <c r="BK152"/>
  <c r="BK122"/>
  <c r="BK112"/>
  <c r="BK103" i="3"/>
  <c r="BK103" i="2" s="1"/>
  <c r="BK104"/>
  <c r="BK102"/>
  <c r="BK199"/>
  <c r="BK195"/>
  <c r="BK163"/>
  <c r="BK133"/>
  <c r="BK128"/>
  <c r="BK84"/>
  <c r="BK74"/>
  <c r="BK64"/>
  <c r="BK216"/>
  <c r="BK107"/>
  <c r="BK86"/>
  <c r="BK76"/>
  <c r="BK66"/>
  <c r="BK191" i="3"/>
  <c r="BK191" i="2" s="1"/>
  <c r="BK192"/>
  <c r="BK172"/>
  <c r="BK118"/>
  <c r="BK106"/>
  <c r="BK101"/>
  <c r="BK97"/>
  <c r="BK94"/>
  <c r="BK92" i="3"/>
  <c r="BK92" i="2" s="1"/>
  <c r="BK93"/>
  <c r="BK91"/>
  <c r="BK83"/>
  <c r="BK73"/>
  <c r="BK63"/>
  <c r="BK151"/>
  <c r="BK85"/>
  <c r="BK143"/>
  <c r="BK132"/>
  <c r="BK109"/>
  <c r="BK108"/>
  <c r="BK96"/>
  <c r="BK90"/>
  <c r="BK233"/>
  <c r="BK121"/>
  <c r="BK244"/>
  <c r="BK125" i="3"/>
  <c r="BK125" i="2" s="1"/>
  <c r="BK126"/>
  <c r="BK124"/>
  <c r="BK95"/>
  <c r="BK242"/>
  <c r="BK180" i="3"/>
  <c r="BK180" i="2" s="1"/>
  <c r="BK181"/>
  <c r="BK98"/>
  <c r="BK89"/>
  <c r="BK72"/>
  <c r="BK69"/>
  <c r="BK56"/>
  <c r="BK46"/>
  <c r="BK37" i="3"/>
  <c r="BK37" i="2" s="1"/>
  <c r="BK38"/>
  <c r="BK36"/>
  <c r="BK28"/>
  <c r="BK18"/>
  <c r="BK144"/>
  <c r="BK119"/>
  <c r="BK111"/>
  <c r="BK78"/>
  <c r="BK67"/>
  <c r="BK55"/>
  <c r="BK45"/>
  <c r="BK35"/>
  <c r="BK26" i="3"/>
  <c r="BK26" i="2" s="1"/>
  <c r="BK27"/>
  <c r="BK25"/>
  <c r="BK17"/>
  <c r="BK182"/>
  <c r="BK81" i="3"/>
  <c r="BK81" i="2" s="1"/>
  <c r="BK82"/>
  <c r="BK79"/>
  <c r="BK75"/>
  <c r="BK65"/>
  <c r="BK59" i="3"/>
  <c r="BK59" i="2" s="1"/>
  <c r="BK60"/>
  <c r="BK57"/>
  <c r="BK48" i="3"/>
  <c r="BK48" i="2" s="1"/>
  <c r="BK49"/>
  <c r="BK47"/>
  <c r="BK39"/>
  <c r="BK29"/>
  <c r="BK19"/>
  <c r="BK99"/>
  <c r="BK227"/>
  <c r="BK116"/>
  <c r="BK53"/>
  <c r="BK43"/>
  <c r="BK20"/>
  <c r="BK13"/>
  <c r="BK4" i="3"/>
  <c r="BK4" i="2" s="1"/>
  <c r="BK5"/>
  <c r="BK87"/>
  <c r="BK80"/>
  <c r="BK50"/>
  <c r="BK41"/>
  <c r="BK31"/>
  <c r="BK15" i="3"/>
  <c r="BK15" i="2" s="1"/>
  <c r="BK16"/>
  <c r="BK10"/>
  <c r="BK7"/>
  <c r="BK131"/>
  <c r="BK68"/>
  <c r="BK51"/>
  <c r="BK30"/>
  <c r="BK24"/>
  <c r="BK88"/>
  <c r="BK77"/>
  <c r="BK70" i="3"/>
  <c r="BK70" i="2" s="1"/>
  <c r="BK71"/>
  <c r="BK52"/>
  <c r="BK42"/>
  <c r="BK6"/>
  <c r="BK185"/>
  <c r="BK164"/>
  <c r="BK129"/>
  <c r="BK58"/>
  <c r="BK32"/>
  <c r="BK9"/>
  <c r="BK8"/>
  <c r="BK44"/>
  <c r="BK40"/>
  <c r="BK11"/>
  <c r="BK34"/>
  <c r="BK62"/>
  <c r="BK54"/>
  <c r="BK23"/>
  <c r="BK61"/>
  <c r="BK14"/>
  <c r="BK12"/>
  <c r="BK22"/>
  <c r="BK33"/>
  <c r="BK21"/>
  <c r="AP278"/>
  <c r="AP270"/>
  <c r="AP266"/>
  <c r="AP257" i="3"/>
  <c r="AP257" i="2" s="1"/>
  <c r="AP258"/>
  <c r="AP254"/>
  <c r="AP244"/>
  <c r="AP275"/>
  <c r="AP261"/>
  <c r="AP251"/>
  <c r="AP272"/>
  <c r="AP264"/>
  <c r="AP256"/>
  <c r="AP248"/>
  <c r="AP276"/>
  <c r="AP260"/>
  <c r="AP252"/>
  <c r="AP242"/>
  <c r="AP277"/>
  <c r="AP268" i="3"/>
  <c r="AP268" i="2" s="1"/>
  <c r="AP269"/>
  <c r="AP253"/>
  <c r="AP238"/>
  <c r="AP263"/>
  <c r="AP233"/>
  <c r="AP224" i="3"/>
  <c r="AP224" i="2" s="1"/>
  <c r="AP225"/>
  <c r="AP223"/>
  <c r="AP215"/>
  <c r="AP274"/>
  <c r="AP262"/>
  <c r="AP250"/>
  <c r="AP243"/>
  <c r="AP237"/>
  <c r="AP227"/>
  <c r="AP232"/>
  <c r="AP222"/>
  <c r="AP220"/>
  <c r="AP217"/>
  <c r="AP259"/>
  <c r="AP235" i="3"/>
  <c r="AP235" i="2" s="1"/>
  <c r="AP236"/>
  <c r="AP255"/>
  <c r="AP231"/>
  <c r="AP219"/>
  <c r="AP216"/>
  <c r="AP210"/>
  <c r="AP209"/>
  <c r="AP246" i="3"/>
  <c r="AP246" i="2" s="1"/>
  <c r="AP247"/>
  <c r="AP241"/>
  <c r="AP239"/>
  <c r="AP206"/>
  <c r="AP202" i="3"/>
  <c r="AP202" i="2" s="1"/>
  <c r="AP203"/>
  <c r="AP197"/>
  <c r="AP267"/>
  <c r="AP226"/>
  <c r="AP194"/>
  <c r="AP184"/>
  <c r="AP174"/>
  <c r="AP249"/>
  <c r="AP228"/>
  <c r="AP199"/>
  <c r="AP189"/>
  <c r="AP180" i="3"/>
  <c r="AP180" i="2" s="1"/>
  <c r="AP181"/>
  <c r="AP179"/>
  <c r="AP171"/>
  <c r="AP273"/>
  <c r="AP229"/>
  <c r="AP221"/>
  <c r="AP211"/>
  <c r="AP208"/>
  <c r="AP198"/>
  <c r="AP207"/>
  <c r="AP196"/>
  <c r="AP182"/>
  <c r="AP158" i="3"/>
  <c r="AP158" i="2" s="1"/>
  <c r="AP159"/>
  <c r="AP157"/>
  <c r="AP149"/>
  <c r="AP139"/>
  <c r="AP204"/>
  <c r="AP195"/>
  <c r="AP191" i="3"/>
  <c r="AP191" i="2" s="1"/>
  <c r="AP192"/>
  <c r="AP185"/>
  <c r="AP178"/>
  <c r="AP169" i="3"/>
  <c r="AP169" i="2" s="1"/>
  <c r="AP170"/>
  <c r="AP161"/>
  <c r="AP151"/>
  <c r="AP141"/>
  <c r="AP131"/>
  <c r="AP271"/>
  <c r="AP188"/>
  <c r="AP168"/>
  <c r="AP166"/>
  <c r="AP156"/>
  <c r="AP147" i="3"/>
  <c r="AP147" i="2" s="1"/>
  <c r="AP148"/>
  <c r="AP146"/>
  <c r="AP138"/>
  <c r="AP218"/>
  <c r="AP183"/>
  <c r="AP177"/>
  <c r="AP160"/>
  <c r="AP150"/>
  <c r="AP140"/>
  <c r="AP240"/>
  <c r="AP205"/>
  <c r="AP201"/>
  <c r="AP200"/>
  <c r="AP134"/>
  <c r="AP125" i="3"/>
  <c r="AP125" i="2" s="1"/>
  <c r="AP126"/>
  <c r="AP124"/>
  <c r="AP116"/>
  <c r="AP106"/>
  <c r="AP245"/>
  <c r="AP213" i="3"/>
  <c r="AP213" i="2" s="1"/>
  <c r="AP214"/>
  <c r="AP212"/>
  <c r="AP190"/>
  <c r="AP165"/>
  <c r="AP152"/>
  <c r="AP145"/>
  <c r="AP136" i="3"/>
  <c r="AP136" i="2" s="1"/>
  <c r="AP137"/>
  <c r="AP133"/>
  <c r="AP121"/>
  <c r="AP111"/>
  <c r="AP101"/>
  <c r="AP234"/>
  <c r="AP193"/>
  <c r="AP187"/>
  <c r="AP176"/>
  <c r="AP128"/>
  <c r="AP118"/>
  <c r="AP186"/>
  <c r="AP175"/>
  <c r="AP173"/>
  <c r="AP164"/>
  <c r="AP144"/>
  <c r="AP132"/>
  <c r="AP130"/>
  <c r="AP123"/>
  <c r="AP114" i="3"/>
  <c r="AP114" i="2" s="1"/>
  <c r="AP115"/>
  <c r="AP113"/>
  <c r="AP105"/>
  <c r="AP265"/>
  <c r="AP172"/>
  <c r="AP167"/>
  <c r="AP119"/>
  <c r="AP85"/>
  <c r="AP75"/>
  <c r="AP65"/>
  <c r="AP162"/>
  <c r="AP154"/>
  <c r="AP153"/>
  <c r="AP135"/>
  <c r="AP109"/>
  <c r="AP87"/>
  <c r="AP77"/>
  <c r="AP67"/>
  <c r="AP108"/>
  <c r="AP84"/>
  <c r="AP74"/>
  <c r="AP64"/>
  <c r="AP107"/>
  <c r="AP102"/>
  <c r="AP98"/>
  <c r="AP88"/>
  <c r="AP81" i="3"/>
  <c r="AP81" i="2" s="1"/>
  <c r="AP82"/>
  <c r="AP122"/>
  <c r="AP117"/>
  <c r="AP110"/>
  <c r="AP143"/>
  <c r="AP103" i="3"/>
  <c r="AP103" i="2" s="1"/>
  <c r="AP104"/>
  <c r="AP97"/>
  <c r="AP79"/>
  <c r="AP142"/>
  <c r="AP127"/>
  <c r="AP90"/>
  <c r="AP89"/>
  <c r="AP78"/>
  <c r="AP57"/>
  <c r="AP48" i="3"/>
  <c r="AP48" i="2" s="1"/>
  <c r="AP49"/>
  <c r="AP47"/>
  <c r="AP39"/>
  <c r="AP29"/>
  <c r="AP19"/>
  <c r="AP163"/>
  <c r="AP99"/>
  <c r="AP80"/>
  <c r="AP72"/>
  <c r="AP63"/>
  <c r="AP56"/>
  <c r="AP46"/>
  <c r="AP37" i="3"/>
  <c r="AP37" i="2" s="1"/>
  <c r="AP38"/>
  <c r="AP36"/>
  <c r="AP28"/>
  <c r="AP18"/>
  <c r="AP230"/>
  <c r="AP129"/>
  <c r="AP68"/>
  <c r="AP62"/>
  <c r="AP58"/>
  <c r="AP50"/>
  <c r="AP40"/>
  <c r="AP30"/>
  <c r="AP20"/>
  <c r="AP120"/>
  <c r="AP100"/>
  <c r="AP95"/>
  <c r="AP155"/>
  <c r="AP86"/>
  <c r="AP94"/>
  <c r="AP61"/>
  <c r="AP59" i="3"/>
  <c r="AP59" i="2" s="1"/>
  <c r="AP60"/>
  <c r="AP35"/>
  <c r="AP31"/>
  <c r="AP22"/>
  <c r="AP15" i="3"/>
  <c r="AP15" i="2" s="1"/>
  <c r="AP16"/>
  <c r="AP14"/>
  <c r="AP6"/>
  <c r="AP70" i="3"/>
  <c r="AP70" i="2" s="1"/>
  <c r="AP71"/>
  <c r="AP51"/>
  <c r="AP43"/>
  <c r="AP33"/>
  <c r="AP112"/>
  <c r="AP76"/>
  <c r="AP52"/>
  <c r="AP44"/>
  <c r="AP34"/>
  <c r="AP73"/>
  <c r="AP66"/>
  <c r="AP96"/>
  <c r="AP53"/>
  <c r="AP41"/>
  <c r="AP27"/>
  <c r="AP26" i="3"/>
  <c r="AP26" i="2" s="1"/>
  <c r="AP25"/>
  <c r="AP92" i="3"/>
  <c r="AP92" i="2" s="1"/>
  <c r="AP93"/>
  <c r="AP69"/>
  <c r="AP83"/>
  <c r="AP55"/>
  <c r="AP23"/>
  <c r="AP21"/>
  <c r="AP4" i="3"/>
  <c r="AP4" i="2" s="1"/>
  <c r="AP5"/>
  <c r="AP32"/>
  <c r="AP24"/>
  <c r="AP11"/>
  <c r="AP10"/>
  <c r="AP54"/>
  <c r="AP42"/>
  <c r="AP12"/>
  <c r="AP9"/>
  <c r="AP7"/>
  <c r="AP45"/>
  <c r="AP17"/>
  <c r="AP13"/>
  <c r="AP91"/>
  <c r="AP8"/>
  <c r="AR276"/>
  <c r="AR260"/>
  <c r="AR252"/>
  <c r="AR242"/>
  <c r="AR273"/>
  <c r="AR263"/>
  <c r="AR249"/>
  <c r="AR278"/>
  <c r="AR270"/>
  <c r="AR266"/>
  <c r="AR257" i="3"/>
  <c r="AR257" i="2" s="1"/>
  <c r="AR258"/>
  <c r="AR254"/>
  <c r="AR244"/>
  <c r="AR274"/>
  <c r="AR262"/>
  <c r="AR250"/>
  <c r="AR271"/>
  <c r="AR255"/>
  <c r="AR246" i="3"/>
  <c r="AR246" i="2" s="1"/>
  <c r="AR247"/>
  <c r="AR235" i="3"/>
  <c r="AR235" i="2" s="1"/>
  <c r="AR236"/>
  <c r="AR234"/>
  <c r="AR231"/>
  <c r="AR221"/>
  <c r="AR211"/>
  <c r="AR265"/>
  <c r="AR245"/>
  <c r="AR233"/>
  <c r="AR224" i="3"/>
  <c r="AR224" i="2" s="1"/>
  <c r="AR225"/>
  <c r="AR223"/>
  <c r="AR268" i="3"/>
  <c r="AR268" i="2" s="1"/>
  <c r="AR269"/>
  <c r="AR261"/>
  <c r="AR243"/>
  <c r="AR239"/>
  <c r="AR238"/>
  <c r="AR229"/>
  <c r="AR212"/>
  <c r="AR208"/>
  <c r="AR232"/>
  <c r="AR222"/>
  <c r="AR220"/>
  <c r="AR217"/>
  <c r="AR272"/>
  <c r="AR267"/>
  <c r="AR241"/>
  <c r="AR207"/>
  <c r="AR277"/>
  <c r="AR240"/>
  <c r="AR237"/>
  <c r="AR218"/>
  <c r="AR213" i="3"/>
  <c r="AR213" i="2" s="1"/>
  <c r="AR214"/>
  <c r="AR195"/>
  <c r="AR264"/>
  <c r="AR215"/>
  <c r="AR200"/>
  <c r="AR191" i="3"/>
  <c r="AR191" i="2" s="1"/>
  <c r="AR192"/>
  <c r="AR190"/>
  <c r="AR182"/>
  <c r="AR172"/>
  <c r="AR251"/>
  <c r="AR226"/>
  <c r="AR219"/>
  <c r="AR206"/>
  <c r="AR202" i="3"/>
  <c r="AR202" i="2" s="1"/>
  <c r="AR203"/>
  <c r="AR197"/>
  <c r="AR187"/>
  <c r="AR177"/>
  <c r="AR248"/>
  <c r="AR230"/>
  <c r="AR205"/>
  <c r="AR196"/>
  <c r="AR259"/>
  <c r="AR198"/>
  <c r="AR176"/>
  <c r="AR165"/>
  <c r="AR155"/>
  <c r="AR145"/>
  <c r="AR136" i="3"/>
  <c r="AR136" i="2" s="1"/>
  <c r="AR137"/>
  <c r="AR135"/>
  <c r="AR189"/>
  <c r="AR180" i="3"/>
  <c r="AR180" i="2" s="1"/>
  <c r="AR181"/>
  <c r="AR158" i="3"/>
  <c r="AR158" i="2" s="1"/>
  <c r="AR159"/>
  <c r="AR157"/>
  <c r="AR149"/>
  <c r="AR139"/>
  <c r="AR256"/>
  <c r="AR228"/>
  <c r="AR210"/>
  <c r="AR204"/>
  <c r="AR175"/>
  <c r="AR174"/>
  <c r="AR164"/>
  <c r="AR154"/>
  <c r="AR144"/>
  <c r="AR134"/>
  <c r="AR201"/>
  <c r="AR188"/>
  <c r="AR168"/>
  <c r="AR166"/>
  <c r="AR156"/>
  <c r="AR147" i="3"/>
  <c r="AR147" i="2" s="1"/>
  <c r="AR148"/>
  <c r="AR146"/>
  <c r="AR138"/>
  <c r="AR275"/>
  <c r="AR199"/>
  <c r="AR160"/>
  <c r="AR153"/>
  <c r="AR140"/>
  <c r="AR122"/>
  <c r="AR112"/>
  <c r="AR103" i="3"/>
  <c r="AR103" i="2" s="1"/>
  <c r="AR104"/>
  <c r="AR102"/>
  <c r="AR227"/>
  <c r="AR179"/>
  <c r="AR129"/>
  <c r="AR119"/>
  <c r="AR109"/>
  <c r="AR99"/>
  <c r="AR216"/>
  <c r="AR178"/>
  <c r="AR152"/>
  <c r="AR151"/>
  <c r="AR133"/>
  <c r="AR125" i="3"/>
  <c r="AR125" i="2" s="1"/>
  <c r="AR126"/>
  <c r="AR124"/>
  <c r="AR116"/>
  <c r="AR209"/>
  <c r="AR193"/>
  <c r="AR150"/>
  <c r="AR121"/>
  <c r="AR111"/>
  <c r="AR101"/>
  <c r="AR142"/>
  <c r="AR127"/>
  <c r="AR118"/>
  <c r="AR113"/>
  <c r="AR105"/>
  <c r="AR98"/>
  <c r="AR95"/>
  <c r="AR92" i="3"/>
  <c r="AR92" i="2" s="1"/>
  <c r="AR93"/>
  <c r="AR91"/>
  <c r="AR83"/>
  <c r="AR73"/>
  <c r="AR63"/>
  <c r="AR163"/>
  <c r="AR161"/>
  <c r="AR85"/>
  <c r="AR75"/>
  <c r="AR65"/>
  <c r="AR183"/>
  <c r="AR173"/>
  <c r="AR162"/>
  <c r="AR131"/>
  <c r="AR130"/>
  <c r="AR123"/>
  <c r="AR117"/>
  <c r="AR114" i="3"/>
  <c r="AR114" i="2" s="1"/>
  <c r="AR115"/>
  <c r="AR100"/>
  <c r="AR97"/>
  <c r="AR94"/>
  <c r="AR90"/>
  <c r="AR81" i="3"/>
  <c r="AR81" i="2" s="1"/>
  <c r="AR82"/>
  <c r="AR80"/>
  <c r="AR72"/>
  <c r="AR62"/>
  <c r="AR186"/>
  <c r="AR128"/>
  <c r="AR108"/>
  <c r="AR194"/>
  <c r="AR184"/>
  <c r="AR106"/>
  <c r="AR88"/>
  <c r="AR87"/>
  <c r="AR132"/>
  <c r="AR89"/>
  <c r="AR107"/>
  <c r="AR74"/>
  <c r="AR61"/>
  <c r="AR55"/>
  <c r="AR45"/>
  <c r="AR35"/>
  <c r="AR26" i="3"/>
  <c r="AR26" i="2" s="1"/>
  <c r="AR27"/>
  <c r="AR25"/>
  <c r="AR17"/>
  <c r="AR120"/>
  <c r="AR54"/>
  <c r="AR44"/>
  <c r="AR34"/>
  <c r="AR24"/>
  <c r="AR15" i="3"/>
  <c r="AR15" i="2" s="1"/>
  <c r="AR16"/>
  <c r="AR110"/>
  <c r="AR56"/>
  <c r="AR46"/>
  <c r="AR37" i="3"/>
  <c r="AR37" i="2" s="1"/>
  <c r="AR38"/>
  <c r="AR36"/>
  <c r="AR28"/>
  <c r="AR18"/>
  <c r="AR253"/>
  <c r="AR169" i="3"/>
  <c r="AR169" i="2" s="1"/>
  <c r="AR170"/>
  <c r="AR167"/>
  <c r="AR96"/>
  <c r="AR86"/>
  <c r="AR51"/>
  <c r="AR41"/>
  <c r="AR12"/>
  <c r="AR69"/>
  <c r="AR66"/>
  <c r="AR42"/>
  <c r="AR32"/>
  <c r="AR21"/>
  <c r="AR143"/>
  <c r="AR70" i="3"/>
  <c r="AR70" i="2" s="1"/>
  <c r="AR71"/>
  <c r="AR67"/>
  <c r="AR59" i="3"/>
  <c r="AR59" i="2" s="1"/>
  <c r="AR60"/>
  <c r="AR47"/>
  <c r="AR43"/>
  <c r="AR39"/>
  <c r="AR33"/>
  <c r="AR29"/>
  <c r="AR22"/>
  <c r="AR13"/>
  <c r="AR10"/>
  <c r="AR7"/>
  <c r="AR171"/>
  <c r="AR76"/>
  <c r="AR14"/>
  <c r="AR64"/>
  <c r="AR57"/>
  <c r="AR52"/>
  <c r="AR19"/>
  <c r="AR141"/>
  <c r="AR78"/>
  <c r="AR58"/>
  <c r="AR48" i="3"/>
  <c r="AR48" i="2" s="1"/>
  <c r="AR49"/>
  <c r="AR31"/>
  <c r="AR20"/>
  <c r="AR9"/>
  <c r="AR77"/>
  <c r="AR30"/>
  <c r="AR23"/>
  <c r="AR4" i="3"/>
  <c r="AR4" i="2" s="1"/>
  <c r="AR5"/>
  <c r="AR40"/>
  <c r="AR50"/>
  <c r="AR11"/>
  <c r="AR8"/>
  <c r="AR79"/>
  <c r="AR84"/>
  <c r="AR53"/>
  <c r="AR185"/>
  <c r="AR6"/>
  <c r="AR68"/>
  <c r="AX278"/>
  <c r="AX270"/>
  <c r="AX266"/>
  <c r="AX257" i="3"/>
  <c r="AX257" i="2" s="1"/>
  <c r="AX258"/>
  <c r="AX254"/>
  <c r="AX244"/>
  <c r="AX275"/>
  <c r="AX261"/>
  <c r="AX251"/>
  <c r="AX272"/>
  <c r="AX264"/>
  <c r="AX256"/>
  <c r="AX248"/>
  <c r="AX276"/>
  <c r="AX260"/>
  <c r="AX252"/>
  <c r="AX242"/>
  <c r="AX267"/>
  <c r="AX259"/>
  <c r="AX238"/>
  <c r="AX273"/>
  <c r="AX249"/>
  <c r="AX233"/>
  <c r="AX224" i="3"/>
  <c r="AX224" i="2" s="1"/>
  <c r="AX225"/>
  <c r="AX223"/>
  <c r="AX215"/>
  <c r="AX271"/>
  <c r="AX255"/>
  <c r="AX246" i="3"/>
  <c r="AX246" i="2" s="1"/>
  <c r="AX247"/>
  <c r="AX237"/>
  <c r="AX227"/>
  <c r="AX231"/>
  <c r="AX211"/>
  <c r="AX243"/>
  <c r="AX228"/>
  <c r="AX219"/>
  <c r="AX216"/>
  <c r="AX210"/>
  <c r="AX239"/>
  <c r="AX234"/>
  <c r="AX229"/>
  <c r="AX209"/>
  <c r="AX263"/>
  <c r="AX250"/>
  <c r="AX230"/>
  <c r="AX220"/>
  <c r="AX197"/>
  <c r="AX277"/>
  <c r="AX245"/>
  <c r="AX232"/>
  <c r="AX222"/>
  <c r="AX221"/>
  <c r="AX194"/>
  <c r="AX184"/>
  <c r="AX174"/>
  <c r="AX268" i="3"/>
  <c r="AX268" i="2" s="1"/>
  <c r="AX269"/>
  <c r="AX241"/>
  <c r="AX217"/>
  <c r="AX212"/>
  <c r="AX205"/>
  <c r="AX199"/>
  <c r="AX189"/>
  <c r="AX180" i="3"/>
  <c r="AX180" i="2" s="1"/>
  <c r="AX181"/>
  <c r="AX179"/>
  <c r="AX171"/>
  <c r="AX265"/>
  <c r="AX262"/>
  <c r="AX253"/>
  <c r="AX207"/>
  <c r="AX204"/>
  <c r="AX198"/>
  <c r="AX274"/>
  <c r="AX213" i="3"/>
  <c r="AX213" i="2" s="1"/>
  <c r="AX214"/>
  <c r="AX201"/>
  <c r="AX185"/>
  <c r="AX178"/>
  <c r="AX169" i="3"/>
  <c r="AX169" i="2" s="1"/>
  <c r="AX170"/>
  <c r="AX158" i="3"/>
  <c r="AX158" i="2" s="1"/>
  <c r="AX159"/>
  <c r="AX157"/>
  <c r="AX149"/>
  <c r="AX139"/>
  <c r="AX208"/>
  <c r="AX202" i="3"/>
  <c r="AX202" i="2" s="1"/>
  <c r="AX203"/>
  <c r="AX200"/>
  <c r="AX173"/>
  <c r="AX168"/>
  <c r="AX161"/>
  <c r="AX151"/>
  <c r="AX141"/>
  <c r="AX131"/>
  <c r="AX235" i="3"/>
  <c r="AX235" i="2" s="1"/>
  <c r="AX236"/>
  <c r="AX190"/>
  <c r="AX183"/>
  <c r="AX177"/>
  <c r="AX166"/>
  <c r="AX156"/>
  <c r="AX147" i="3"/>
  <c r="AX147" i="2" s="1"/>
  <c r="AX148"/>
  <c r="AX146"/>
  <c r="AX138"/>
  <c r="AX186"/>
  <c r="AX172"/>
  <c r="AX167"/>
  <c r="AX160"/>
  <c r="AX150"/>
  <c r="AX140"/>
  <c r="AX130"/>
  <c r="AX163"/>
  <c r="AX155"/>
  <c r="AX143"/>
  <c r="AX125" i="3"/>
  <c r="AX125" i="2" s="1"/>
  <c r="AX126"/>
  <c r="AX124"/>
  <c r="AX116"/>
  <c r="AX106"/>
  <c r="AX240"/>
  <c r="AX206"/>
  <c r="AX196"/>
  <c r="AX182"/>
  <c r="AX121"/>
  <c r="AX111"/>
  <c r="AX101"/>
  <c r="AX226"/>
  <c r="AX195"/>
  <c r="AX191" i="3"/>
  <c r="AX191" i="2" s="1"/>
  <c r="AX192"/>
  <c r="AX162"/>
  <c r="AX154"/>
  <c r="AX142"/>
  <c r="AX135"/>
  <c r="AX128"/>
  <c r="AX118"/>
  <c r="AX153"/>
  <c r="AX123"/>
  <c r="AX114" i="3"/>
  <c r="AX114" i="2" s="1"/>
  <c r="AX115"/>
  <c r="AX113"/>
  <c r="AX105"/>
  <c r="AX176"/>
  <c r="AX145"/>
  <c r="AX136" i="3"/>
  <c r="AX136" i="2" s="1"/>
  <c r="AX137"/>
  <c r="AX122"/>
  <c r="AX108"/>
  <c r="AX100"/>
  <c r="AX97"/>
  <c r="AX94"/>
  <c r="AX85"/>
  <c r="AX75"/>
  <c r="AX65"/>
  <c r="AX193"/>
  <c r="AX144"/>
  <c r="AX127"/>
  <c r="AX107"/>
  <c r="AX102"/>
  <c r="AX87"/>
  <c r="AX77"/>
  <c r="AX67"/>
  <c r="AX218"/>
  <c r="AX165"/>
  <c r="AX99"/>
  <c r="AX96"/>
  <c r="AX84"/>
  <c r="AX74"/>
  <c r="AX64"/>
  <c r="AX132"/>
  <c r="AX188"/>
  <c r="AX133"/>
  <c r="AX90"/>
  <c r="AX120"/>
  <c r="AX109"/>
  <c r="AX152"/>
  <c r="AX129"/>
  <c r="AX95"/>
  <c r="AX91"/>
  <c r="AX86"/>
  <c r="AX78"/>
  <c r="AX164"/>
  <c r="AX119"/>
  <c r="AX92" i="3"/>
  <c r="AX92" i="2" s="1"/>
  <c r="AX93"/>
  <c r="AX76"/>
  <c r="AX72"/>
  <c r="AX63"/>
  <c r="AX57"/>
  <c r="AX48" i="3"/>
  <c r="AX48" i="2" s="1"/>
  <c r="AX49"/>
  <c r="AX47"/>
  <c r="AX39"/>
  <c r="AX29"/>
  <c r="AX19"/>
  <c r="AX112"/>
  <c r="AX88"/>
  <c r="AX61"/>
  <c r="AX56"/>
  <c r="AX46"/>
  <c r="AX37" i="3"/>
  <c r="AX37" i="2" s="1"/>
  <c r="AX38"/>
  <c r="AX36"/>
  <c r="AX28"/>
  <c r="AX18"/>
  <c r="AX175"/>
  <c r="AX79"/>
  <c r="AX58"/>
  <c r="AX50"/>
  <c r="AX40"/>
  <c r="AX30"/>
  <c r="AX20"/>
  <c r="AX103" i="3"/>
  <c r="AX103" i="2" s="1"/>
  <c r="AX104"/>
  <c r="AX110"/>
  <c r="AX66"/>
  <c r="AX187"/>
  <c r="AX98"/>
  <c r="AX69"/>
  <c r="AX53"/>
  <c r="AX43"/>
  <c r="AX14"/>
  <c r="AX6"/>
  <c r="AX117"/>
  <c r="AX73"/>
  <c r="AX54"/>
  <c r="AX45"/>
  <c r="AX26" i="3"/>
  <c r="AX26" i="2" s="1"/>
  <c r="AX27"/>
  <c r="AX83"/>
  <c r="AX25"/>
  <c r="AX12"/>
  <c r="AX9"/>
  <c r="AX59" i="3"/>
  <c r="AX59" i="2" s="1"/>
  <c r="AX60"/>
  <c r="AX55"/>
  <c r="AX21"/>
  <c r="AX17"/>
  <c r="AX81" i="3"/>
  <c r="AX81" i="2" s="1"/>
  <c r="AX82"/>
  <c r="AX34"/>
  <c r="AX22"/>
  <c r="AX8"/>
  <c r="AX62"/>
  <c r="AX51"/>
  <c r="AX41"/>
  <c r="AX24"/>
  <c r="AX10"/>
  <c r="AX52"/>
  <c r="AX15" i="3"/>
  <c r="AX15" i="2" s="1"/>
  <c r="AX16"/>
  <c r="AX7"/>
  <c r="AX35"/>
  <c r="AX23"/>
  <c r="AX70" i="3"/>
  <c r="AX70" i="2" s="1"/>
  <c r="AX71"/>
  <c r="AX68"/>
  <c r="AX80"/>
  <c r="AX44"/>
  <c r="AX42"/>
  <c r="AX32"/>
  <c r="AX4" i="3"/>
  <c r="AX4" i="2" s="1"/>
  <c r="AX5"/>
  <c r="AX33"/>
  <c r="AX13"/>
  <c r="AX89"/>
  <c r="AX31"/>
  <c r="AX11"/>
  <c r="AX134"/>
  <c r="S273"/>
  <c r="S263"/>
  <c r="S249"/>
  <c r="S278"/>
  <c r="S270"/>
  <c r="S266"/>
  <c r="S257" i="3"/>
  <c r="S257" i="2" s="1"/>
  <c r="S258"/>
  <c r="S254"/>
  <c r="S244"/>
  <c r="S275"/>
  <c r="S261"/>
  <c r="S251"/>
  <c r="S271"/>
  <c r="S265"/>
  <c r="S255"/>
  <c r="S246" i="3"/>
  <c r="S246" i="2" s="1"/>
  <c r="S247"/>
  <c r="S245"/>
  <c r="S274"/>
  <c r="S262"/>
  <c r="S250"/>
  <c r="S243"/>
  <c r="S241"/>
  <c r="S231"/>
  <c r="S272"/>
  <c r="S267"/>
  <c r="S264"/>
  <c r="S259"/>
  <c r="S256"/>
  <c r="S248"/>
  <c r="S242"/>
  <c r="S238"/>
  <c r="S228"/>
  <c r="S218"/>
  <c r="S240"/>
  <c r="S230"/>
  <c r="S268" i="3"/>
  <c r="S268" i="2" s="1"/>
  <c r="S269"/>
  <c r="S239"/>
  <c r="S234"/>
  <c r="S233"/>
  <c r="S229"/>
  <c r="S215"/>
  <c r="S232"/>
  <c r="S221"/>
  <c r="S212"/>
  <c r="S276"/>
  <c r="S227"/>
  <c r="S213" i="3"/>
  <c r="S213" i="2" s="1"/>
  <c r="S214"/>
  <c r="S204"/>
  <c r="S224" i="3"/>
  <c r="S224" i="2" s="1"/>
  <c r="S225"/>
  <c r="S223"/>
  <c r="S217"/>
  <c r="S211"/>
  <c r="S200"/>
  <c r="S191" i="3"/>
  <c r="S191" i="2" s="1"/>
  <c r="S192"/>
  <c r="S260"/>
  <c r="S209"/>
  <c r="S197"/>
  <c r="S187"/>
  <c r="S177"/>
  <c r="S194"/>
  <c r="S184"/>
  <c r="S174"/>
  <c r="S219"/>
  <c r="S201"/>
  <c r="S226"/>
  <c r="S220"/>
  <c r="S175"/>
  <c r="S169" i="3"/>
  <c r="S169" i="2" s="1"/>
  <c r="S170"/>
  <c r="S162"/>
  <c r="S152"/>
  <c r="S142"/>
  <c r="S132"/>
  <c r="S237"/>
  <c r="S199"/>
  <c r="S188"/>
  <c r="S164"/>
  <c r="S154"/>
  <c r="S144"/>
  <c r="S134"/>
  <c r="S216"/>
  <c r="S205"/>
  <c r="S198"/>
  <c r="S173"/>
  <c r="S161"/>
  <c r="S151"/>
  <c r="S141"/>
  <c r="S131"/>
  <c r="S235" i="3"/>
  <c r="S235" i="2" s="1"/>
  <c r="S236"/>
  <c r="S210"/>
  <c r="S196"/>
  <c r="S176"/>
  <c r="S163"/>
  <c r="S153"/>
  <c r="S143"/>
  <c r="S133"/>
  <c r="S277"/>
  <c r="S202" i="3"/>
  <c r="S202" i="2" s="1"/>
  <c r="S203"/>
  <c r="S168"/>
  <c r="S129"/>
  <c r="S119"/>
  <c r="S109"/>
  <c r="S252"/>
  <c r="S189"/>
  <c r="S178"/>
  <c r="S155"/>
  <c r="S125" i="3"/>
  <c r="S125" i="2" s="1"/>
  <c r="S126"/>
  <c r="S124"/>
  <c r="S116"/>
  <c r="S106"/>
  <c r="S96"/>
  <c r="S206"/>
  <c r="S190"/>
  <c r="S186"/>
  <c r="S121"/>
  <c r="S111"/>
  <c r="S208"/>
  <c r="S195"/>
  <c r="S193"/>
  <c r="S171"/>
  <c r="S160"/>
  <c r="S140"/>
  <c r="S135"/>
  <c r="S128"/>
  <c r="S118"/>
  <c r="S108"/>
  <c r="S207"/>
  <c r="S105"/>
  <c r="S99"/>
  <c r="S88"/>
  <c r="S78"/>
  <c r="S68"/>
  <c r="S59" i="3"/>
  <c r="S59" i="2" s="1"/>
  <c r="S60"/>
  <c r="S167"/>
  <c r="S166"/>
  <c r="S158" i="3"/>
  <c r="S158" i="2" s="1"/>
  <c r="S159"/>
  <c r="S120"/>
  <c r="S98"/>
  <c r="S95"/>
  <c r="S90"/>
  <c r="S81" i="3"/>
  <c r="S81" i="2" s="1"/>
  <c r="S82"/>
  <c r="S80"/>
  <c r="S72"/>
  <c r="S62"/>
  <c r="S172"/>
  <c r="S127"/>
  <c r="S113"/>
  <c r="S103" i="3"/>
  <c r="S103" i="2" s="1"/>
  <c r="S104"/>
  <c r="S87"/>
  <c r="S77"/>
  <c r="S67"/>
  <c r="S130"/>
  <c r="S110"/>
  <c r="S107"/>
  <c r="S102"/>
  <c r="S83"/>
  <c r="S179"/>
  <c r="S222"/>
  <c r="S156"/>
  <c r="S149"/>
  <c r="S183"/>
  <c r="S182"/>
  <c r="S157"/>
  <c r="S150"/>
  <c r="S146"/>
  <c r="S139"/>
  <c r="S101"/>
  <c r="S100"/>
  <c r="S92" i="3"/>
  <c r="S92" i="2" s="1"/>
  <c r="S93"/>
  <c r="S89"/>
  <c r="S75"/>
  <c r="S185"/>
  <c r="S85"/>
  <c r="S76"/>
  <c r="S74"/>
  <c r="S61"/>
  <c r="S52"/>
  <c r="S42"/>
  <c r="S32"/>
  <c r="S22"/>
  <c r="S253"/>
  <c r="S147" i="3"/>
  <c r="S147" i="2" s="1"/>
  <c r="S148"/>
  <c r="S73"/>
  <c r="S51"/>
  <c r="S41"/>
  <c r="S31"/>
  <c r="S21"/>
  <c r="S180" i="3"/>
  <c r="S180" i="2" s="1"/>
  <c r="S181"/>
  <c r="S97"/>
  <c r="S63"/>
  <c r="S53"/>
  <c r="S43"/>
  <c r="S33"/>
  <c r="S23"/>
  <c r="S138"/>
  <c r="S91"/>
  <c r="S64"/>
  <c r="S36"/>
  <c r="S17"/>
  <c r="S9"/>
  <c r="S165"/>
  <c r="S136" i="3"/>
  <c r="S136" i="2" s="1"/>
  <c r="S137"/>
  <c r="S123"/>
  <c r="S69"/>
  <c r="S66"/>
  <c r="S50"/>
  <c r="S26" i="3"/>
  <c r="S26" i="2" s="1"/>
  <c r="S27"/>
  <c r="S25"/>
  <c r="S20"/>
  <c r="S14"/>
  <c r="S11"/>
  <c r="S8"/>
  <c r="S70" i="3"/>
  <c r="S70" i="2" s="1"/>
  <c r="S71"/>
  <c r="S55"/>
  <c r="S46"/>
  <c r="S37" i="3"/>
  <c r="S37" i="2" s="1"/>
  <c r="S38"/>
  <c r="S28"/>
  <c r="S15" i="3"/>
  <c r="S15" i="2" s="1"/>
  <c r="S16"/>
  <c r="S117"/>
  <c r="S94"/>
  <c r="S12"/>
  <c r="S145"/>
  <c r="S122"/>
  <c r="S112"/>
  <c r="S58"/>
  <c r="S48" i="3"/>
  <c r="S48" i="2" s="1"/>
  <c r="S49"/>
  <c r="S39"/>
  <c r="S86"/>
  <c r="S65"/>
  <c r="S29"/>
  <c r="S56"/>
  <c r="S54"/>
  <c r="S19"/>
  <c r="S6"/>
  <c r="S35"/>
  <c r="S34"/>
  <c r="S30"/>
  <c r="S114" i="3"/>
  <c r="S114" i="2" s="1"/>
  <c r="S115"/>
  <c r="S84"/>
  <c r="S7"/>
  <c r="S57"/>
  <c r="S44"/>
  <c r="S10"/>
  <c r="S47"/>
  <c r="S45"/>
  <c r="S24"/>
  <c r="S4" i="3"/>
  <c r="S4" i="2" s="1"/>
  <c r="S5"/>
  <c r="S79"/>
  <c r="S18"/>
  <c r="S13"/>
  <c r="S40"/>
  <c r="J278"/>
  <c r="J270"/>
  <c r="J266"/>
  <c r="J257" i="3"/>
  <c r="J257" i="2" s="1"/>
  <c r="J258"/>
  <c r="J254"/>
  <c r="J244"/>
  <c r="J275"/>
  <c r="J261"/>
  <c r="J251"/>
  <c r="J272"/>
  <c r="J264"/>
  <c r="J256"/>
  <c r="J248"/>
  <c r="J276"/>
  <c r="J260"/>
  <c r="J252"/>
  <c r="J242"/>
  <c r="J277"/>
  <c r="J268" i="3"/>
  <c r="J268" i="2" s="1"/>
  <c r="J269"/>
  <c r="J253"/>
  <c r="J238"/>
  <c r="J263"/>
  <c r="J233"/>
  <c r="J224" i="3"/>
  <c r="J224" i="2" s="1"/>
  <c r="J225"/>
  <c r="J223"/>
  <c r="J215"/>
  <c r="J274"/>
  <c r="J262"/>
  <c r="J250"/>
  <c r="J243"/>
  <c r="J237"/>
  <c r="J227"/>
  <c r="J259"/>
  <c r="J240"/>
  <c r="J230"/>
  <c r="J239"/>
  <c r="J234"/>
  <c r="J221"/>
  <c r="J218"/>
  <c r="J212"/>
  <c r="J249"/>
  <c r="J246" i="3"/>
  <c r="J246" i="2" s="1"/>
  <c r="J247"/>
  <c r="J213" i="3"/>
  <c r="J213" i="2" s="1"/>
  <c r="J214"/>
  <c r="J209"/>
  <c r="J255"/>
  <c r="J245"/>
  <c r="J229"/>
  <c r="J219"/>
  <c r="J197"/>
  <c r="J232"/>
  <c r="J220"/>
  <c r="J210"/>
  <c r="J194"/>
  <c r="J184"/>
  <c r="J174"/>
  <c r="J231"/>
  <c r="J226"/>
  <c r="J216"/>
  <c r="J204"/>
  <c r="J199"/>
  <c r="J189"/>
  <c r="J180" i="3"/>
  <c r="J180" i="2" s="1"/>
  <c r="J181"/>
  <c r="J179"/>
  <c r="J171"/>
  <c r="J241"/>
  <c r="J208"/>
  <c r="J198"/>
  <c r="J271"/>
  <c r="J202" i="3"/>
  <c r="J202" i="2" s="1"/>
  <c r="J203"/>
  <c r="J196"/>
  <c r="J190"/>
  <c r="J182"/>
  <c r="J169" i="3"/>
  <c r="J169" i="2" s="1"/>
  <c r="J170"/>
  <c r="J167"/>
  <c r="J158" i="3"/>
  <c r="J158" i="2" s="1"/>
  <c r="J159"/>
  <c r="J157"/>
  <c r="J149"/>
  <c r="J139"/>
  <c r="J222"/>
  <c r="J206"/>
  <c r="J185"/>
  <c r="J178"/>
  <c r="J161"/>
  <c r="J151"/>
  <c r="J141"/>
  <c r="J131"/>
  <c r="J235" i="3"/>
  <c r="J235" i="2" s="1"/>
  <c r="J236"/>
  <c r="J228"/>
  <c r="J193"/>
  <c r="J188"/>
  <c r="J166"/>
  <c r="J156"/>
  <c r="J147" i="3"/>
  <c r="J147" i="2" s="1"/>
  <c r="J148"/>
  <c r="J146"/>
  <c r="J138"/>
  <c r="J273"/>
  <c r="J183"/>
  <c r="J177"/>
  <c r="J160"/>
  <c r="J150"/>
  <c r="J140"/>
  <c r="J201"/>
  <c r="J200"/>
  <c r="J195"/>
  <c r="J134"/>
  <c r="J125" i="3"/>
  <c r="J125" i="2" s="1"/>
  <c r="J126"/>
  <c r="J124"/>
  <c r="J116"/>
  <c r="J106"/>
  <c r="J267"/>
  <c r="J172"/>
  <c r="J165"/>
  <c r="J152"/>
  <c r="J145"/>
  <c r="J136" i="3"/>
  <c r="J136" i="2" s="1"/>
  <c r="J137"/>
  <c r="J133"/>
  <c r="J121"/>
  <c r="J111"/>
  <c r="J101"/>
  <c r="J205"/>
  <c r="J128"/>
  <c r="J118"/>
  <c r="J211"/>
  <c r="J164"/>
  <c r="J144"/>
  <c r="J132"/>
  <c r="J123"/>
  <c r="J114" i="3"/>
  <c r="J114" i="2" s="1"/>
  <c r="J115"/>
  <c r="J113"/>
  <c r="J105"/>
  <c r="J119"/>
  <c r="J99"/>
  <c r="J96"/>
  <c r="J85"/>
  <c r="J75"/>
  <c r="J65"/>
  <c r="J187"/>
  <c r="J162"/>
  <c r="J154"/>
  <c r="J153"/>
  <c r="J135"/>
  <c r="J130"/>
  <c r="J98"/>
  <c r="J95"/>
  <c r="J87"/>
  <c r="J77"/>
  <c r="J67"/>
  <c r="J191" i="3"/>
  <c r="J191" i="2" s="1"/>
  <c r="J192"/>
  <c r="J110"/>
  <c r="J94"/>
  <c r="J84"/>
  <c r="J74"/>
  <c r="J64"/>
  <c r="J175"/>
  <c r="J173"/>
  <c r="J143"/>
  <c r="J120"/>
  <c r="J112"/>
  <c r="J90"/>
  <c r="J163"/>
  <c r="J155"/>
  <c r="J92" i="3"/>
  <c r="J92" i="2" s="1"/>
  <c r="J93"/>
  <c r="J89"/>
  <c r="J109"/>
  <c r="J207"/>
  <c r="J176"/>
  <c r="J142"/>
  <c r="J122"/>
  <c r="J117"/>
  <c r="J265"/>
  <c r="J217"/>
  <c r="J70" i="3"/>
  <c r="J70" i="2" s="1"/>
  <c r="J71"/>
  <c r="J57"/>
  <c r="J48" i="3"/>
  <c r="J48" i="2" s="1"/>
  <c r="J49"/>
  <c r="J47"/>
  <c r="J39"/>
  <c r="J29"/>
  <c r="J19"/>
  <c r="J168"/>
  <c r="J97"/>
  <c r="J88"/>
  <c r="J66"/>
  <c r="J56"/>
  <c r="J46"/>
  <c r="J38"/>
  <c r="J37" i="3"/>
  <c r="J37" i="2" s="1"/>
  <c r="J36"/>
  <c r="J28"/>
  <c r="J18"/>
  <c r="J73"/>
  <c r="J59" i="3"/>
  <c r="J59" i="2" s="1"/>
  <c r="J60"/>
  <c r="J58"/>
  <c r="J50"/>
  <c r="J40"/>
  <c r="J30"/>
  <c r="J20"/>
  <c r="J91"/>
  <c r="J79"/>
  <c r="J72"/>
  <c r="J127"/>
  <c r="J100"/>
  <c r="J86"/>
  <c r="J83"/>
  <c r="J69"/>
  <c r="J33"/>
  <c r="J26" i="3"/>
  <c r="J26" i="2" s="1"/>
  <c r="J27"/>
  <c r="J24"/>
  <c r="J15" i="3"/>
  <c r="J15" i="2" s="1"/>
  <c r="J16"/>
  <c r="J14"/>
  <c r="J6"/>
  <c r="J107"/>
  <c r="J44"/>
  <c r="J34"/>
  <c r="J23"/>
  <c r="J11"/>
  <c r="J8"/>
  <c r="J186"/>
  <c r="J81" i="3"/>
  <c r="J81" i="2" s="1"/>
  <c r="J82"/>
  <c r="J62"/>
  <c r="J53"/>
  <c r="J35"/>
  <c r="J102"/>
  <c r="J63"/>
  <c r="J55"/>
  <c r="J21"/>
  <c r="J17"/>
  <c r="J10"/>
  <c r="J129"/>
  <c r="J108"/>
  <c r="J22"/>
  <c r="J13"/>
  <c r="J9"/>
  <c r="J51"/>
  <c r="J41"/>
  <c r="J25"/>
  <c r="J7"/>
  <c r="J32"/>
  <c r="J31"/>
  <c r="J42"/>
  <c r="J103" i="3"/>
  <c r="J103" i="2" s="1"/>
  <c r="J104"/>
  <c r="J12"/>
  <c r="J54"/>
  <c r="J61"/>
  <c r="J43"/>
  <c r="J4" i="3"/>
  <c r="J4" i="2" s="1"/>
  <c r="J5"/>
  <c r="J76"/>
  <c r="J68"/>
  <c r="J52"/>
  <c r="J80"/>
  <c r="J45"/>
  <c r="J78"/>
  <c r="AC271"/>
  <c r="AC265"/>
  <c r="AC255"/>
  <c r="AC246" i="3"/>
  <c r="AC246" i="2" s="1"/>
  <c r="AC247"/>
  <c r="AC245"/>
  <c r="AC276"/>
  <c r="AC260"/>
  <c r="AC252"/>
  <c r="AC242"/>
  <c r="AC273"/>
  <c r="AC263"/>
  <c r="AC249"/>
  <c r="AC277"/>
  <c r="AC268" i="3"/>
  <c r="AC268" i="2" s="1"/>
  <c r="AC269"/>
  <c r="AC267"/>
  <c r="AC259"/>
  <c r="AC253"/>
  <c r="AC243"/>
  <c r="AC278"/>
  <c r="AC270"/>
  <c r="AC266"/>
  <c r="AC261"/>
  <c r="AC257" i="3"/>
  <c r="AC257" i="2" s="1"/>
  <c r="AC258"/>
  <c r="AC254"/>
  <c r="AC239"/>
  <c r="AC229"/>
  <c r="AC235" i="3"/>
  <c r="AC235" i="2" s="1"/>
  <c r="AC236"/>
  <c r="AC234"/>
  <c r="AC226"/>
  <c r="AC216"/>
  <c r="AC275"/>
  <c r="AC251"/>
  <c r="AC244"/>
  <c r="AC238"/>
  <c r="AC228"/>
  <c r="AC237"/>
  <c r="AC219"/>
  <c r="AC210"/>
  <c r="AC264"/>
  <c r="AC241"/>
  <c r="AC231"/>
  <c r="AC221"/>
  <c r="AC218"/>
  <c r="AC256"/>
  <c r="AC227"/>
  <c r="AC212"/>
  <c r="AC222"/>
  <c r="AC205"/>
  <c r="AC198"/>
  <c r="AC262"/>
  <c r="AC233"/>
  <c r="AC215"/>
  <c r="AC209"/>
  <c r="AC195"/>
  <c r="AC185"/>
  <c r="AC175"/>
  <c r="AC248"/>
  <c r="AC240"/>
  <c r="AC232"/>
  <c r="AC204"/>
  <c r="AC200"/>
  <c r="AC191" i="3"/>
  <c r="AC191" i="2" s="1"/>
  <c r="AC192"/>
  <c r="AC190"/>
  <c r="AC182"/>
  <c r="AC172"/>
  <c r="AC272"/>
  <c r="AC211"/>
  <c r="AC207"/>
  <c r="AC206"/>
  <c r="AC202" i="3"/>
  <c r="AC202" i="2" s="1"/>
  <c r="AC203"/>
  <c r="AC199"/>
  <c r="AC197"/>
  <c r="AC193"/>
  <c r="AC174"/>
  <c r="AC168"/>
  <c r="AC160"/>
  <c r="AC150"/>
  <c r="AC140"/>
  <c r="AC230"/>
  <c r="AC208"/>
  <c r="AC196"/>
  <c r="AC188"/>
  <c r="AC177"/>
  <c r="AC167"/>
  <c r="AC162"/>
  <c r="AC152"/>
  <c r="AC142"/>
  <c r="AC132"/>
  <c r="AC224" i="3"/>
  <c r="AC224" i="2" s="1"/>
  <c r="AC225"/>
  <c r="AC220"/>
  <c r="AC213" i="3"/>
  <c r="AC213" i="2" s="1"/>
  <c r="AC214"/>
  <c r="AC187"/>
  <c r="AC173"/>
  <c r="AC158" i="3"/>
  <c r="AC158" i="2" s="1"/>
  <c r="AC159"/>
  <c r="AC157"/>
  <c r="AC149"/>
  <c r="AC139"/>
  <c r="AC194"/>
  <c r="AC176"/>
  <c r="AC161"/>
  <c r="AC151"/>
  <c r="AC141"/>
  <c r="AC131"/>
  <c r="AC223"/>
  <c r="AC184"/>
  <c r="AC135"/>
  <c r="AC127"/>
  <c r="AC117"/>
  <c r="AC107"/>
  <c r="AC183"/>
  <c r="AC180" i="3"/>
  <c r="AC180" i="2" s="1"/>
  <c r="AC181"/>
  <c r="AC169" i="3"/>
  <c r="AC169" i="2" s="1"/>
  <c r="AC170"/>
  <c r="AC166"/>
  <c r="AC153"/>
  <c r="AC146"/>
  <c r="AC138"/>
  <c r="AC134"/>
  <c r="AC122"/>
  <c r="AC112"/>
  <c r="AC103" i="3"/>
  <c r="AC103" i="2" s="1"/>
  <c r="AC104"/>
  <c r="AC102"/>
  <c r="AC94"/>
  <c r="AC250"/>
  <c r="AC217"/>
  <c r="AC129"/>
  <c r="AC119"/>
  <c r="AC179"/>
  <c r="AC165"/>
  <c r="AC145"/>
  <c r="AC136" i="3"/>
  <c r="AC136" i="2" s="1"/>
  <c r="AC137"/>
  <c r="AC133"/>
  <c r="AC125" i="3"/>
  <c r="AC125" i="2" s="1"/>
  <c r="AC126"/>
  <c r="AC124"/>
  <c r="AC116"/>
  <c r="AC106"/>
  <c r="AC120"/>
  <c r="AC110"/>
  <c r="AC99"/>
  <c r="AC96"/>
  <c r="AC86"/>
  <c r="AC76"/>
  <c r="AC66"/>
  <c r="AC186"/>
  <c r="AC171"/>
  <c r="AC111"/>
  <c r="AC88"/>
  <c r="AC78"/>
  <c r="AC68"/>
  <c r="AC59" i="3"/>
  <c r="AC59" i="2" s="1"/>
  <c r="AC60"/>
  <c r="AC144"/>
  <c r="AC108"/>
  <c r="AC98"/>
  <c r="AC95"/>
  <c r="AC85"/>
  <c r="AC75"/>
  <c r="AC65"/>
  <c r="AC189"/>
  <c r="AC178"/>
  <c r="AC118"/>
  <c r="AC97"/>
  <c r="AC87"/>
  <c r="AC201"/>
  <c r="AC123"/>
  <c r="AC121"/>
  <c r="AC113"/>
  <c r="AC274"/>
  <c r="AC163"/>
  <c r="AC155"/>
  <c r="AC114" i="3"/>
  <c r="AC114" i="2" s="1"/>
  <c r="AC115"/>
  <c r="AC100"/>
  <c r="AC81" i="3"/>
  <c r="AC81" i="2" s="1"/>
  <c r="AC82"/>
  <c r="AC128"/>
  <c r="AC58"/>
  <c r="AC50"/>
  <c r="AC40"/>
  <c r="AC30"/>
  <c r="AC20"/>
  <c r="AC156"/>
  <c r="AC83"/>
  <c r="AC80"/>
  <c r="AC69"/>
  <c r="AC63"/>
  <c r="AC57"/>
  <c r="AC48" i="3"/>
  <c r="AC48" i="2" s="1"/>
  <c r="AC49"/>
  <c r="AC47"/>
  <c r="AC39"/>
  <c r="AC29"/>
  <c r="AC19"/>
  <c r="AC70" i="3"/>
  <c r="AC70" i="2" s="1"/>
  <c r="AC71"/>
  <c r="AC67"/>
  <c r="AC51"/>
  <c r="AC41"/>
  <c r="AC31"/>
  <c r="AC21"/>
  <c r="AC109"/>
  <c r="AC92" i="3"/>
  <c r="AC92" i="2" s="1"/>
  <c r="AC93"/>
  <c r="AC74"/>
  <c r="AC164"/>
  <c r="AC84"/>
  <c r="AC35"/>
  <c r="AC22"/>
  <c r="AC7"/>
  <c r="AC147" i="3"/>
  <c r="AC147" i="2" s="1"/>
  <c r="AC148"/>
  <c r="AC143"/>
  <c r="AC72"/>
  <c r="AC56"/>
  <c r="AC42"/>
  <c r="AC32"/>
  <c r="AC17"/>
  <c r="AC4" i="3"/>
  <c r="AC4" i="2" s="1"/>
  <c r="AC5"/>
  <c r="AC154"/>
  <c r="AC130"/>
  <c r="AC101"/>
  <c r="AC90"/>
  <c r="AC89"/>
  <c r="AC79"/>
  <c r="AC64"/>
  <c r="AC43"/>
  <c r="AC33"/>
  <c r="AC18"/>
  <c r="AC14"/>
  <c r="AC11"/>
  <c r="AC8"/>
  <c r="AC45"/>
  <c r="AC77"/>
  <c r="AC55"/>
  <c r="AC23"/>
  <c r="AC52"/>
  <c r="AC36"/>
  <c r="AC15" i="3"/>
  <c r="AC15" i="2" s="1"/>
  <c r="AC16"/>
  <c r="AC6"/>
  <c r="AC62"/>
  <c r="AC46"/>
  <c r="AC9"/>
  <c r="AC25"/>
  <c r="AC61"/>
  <c r="AC37" i="3"/>
  <c r="AC37" i="2" s="1"/>
  <c r="AC38"/>
  <c r="AC105"/>
  <c r="AC73"/>
  <c r="AC53"/>
  <c r="AC44"/>
  <c r="AC24"/>
  <c r="AC28"/>
  <c r="AC12"/>
  <c r="AC10"/>
  <c r="AC91"/>
  <c r="AC34"/>
  <c r="AC13"/>
  <c r="AC54"/>
  <c r="AC26" i="3"/>
  <c r="AC26" i="2" s="1"/>
  <c r="AC27"/>
  <c r="I275"/>
  <c r="I261"/>
  <c r="I251"/>
  <c r="I272"/>
  <c r="I264"/>
  <c r="I256"/>
  <c r="I248"/>
  <c r="I277"/>
  <c r="I268" i="3"/>
  <c r="I268" i="2" s="1"/>
  <c r="I269"/>
  <c r="I267"/>
  <c r="I259"/>
  <c r="I253"/>
  <c r="I243"/>
  <c r="I273"/>
  <c r="I263"/>
  <c r="I249"/>
  <c r="I233"/>
  <c r="I276"/>
  <c r="I265"/>
  <c r="I260"/>
  <c r="I252"/>
  <c r="I245"/>
  <c r="I240"/>
  <c r="I230"/>
  <c r="I220"/>
  <c r="I210"/>
  <c r="I232"/>
  <c r="I274"/>
  <c r="I257" i="3"/>
  <c r="I257" i="2" s="1"/>
  <c r="I258"/>
  <c r="I255"/>
  <c r="I244"/>
  <c r="I242"/>
  <c r="I229"/>
  <c r="I224" i="3"/>
  <c r="I224" i="2" s="1"/>
  <c r="I225"/>
  <c r="I215"/>
  <c r="I207"/>
  <c r="I246" i="3"/>
  <c r="I246" i="2" s="1"/>
  <c r="I247"/>
  <c r="I213" i="3"/>
  <c r="I213" i="2" s="1"/>
  <c r="I214"/>
  <c r="I238"/>
  <c r="I237"/>
  <c r="I228"/>
  <c r="I217"/>
  <c r="I206"/>
  <c r="I250"/>
  <c r="I194"/>
  <c r="I266"/>
  <c r="I231"/>
  <c r="I226"/>
  <c r="I216"/>
  <c r="I204"/>
  <c r="I199"/>
  <c r="I189"/>
  <c r="I180" i="3"/>
  <c r="I180" i="2" s="1"/>
  <c r="I181"/>
  <c r="I179"/>
  <c r="I171"/>
  <c r="I235" i="3"/>
  <c r="I235" i="2" s="1"/>
  <c r="I236"/>
  <c r="I234"/>
  <c r="I211"/>
  <c r="I209"/>
  <c r="I196"/>
  <c r="I186"/>
  <c r="I176"/>
  <c r="I262"/>
  <c r="I227"/>
  <c r="I222"/>
  <c r="I218"/>
  <c r="I195"/>
  <c r="I175"/>
  <c r="I164"/>
  <c r="I154"/>
  <c r="I144"/>
  <c r="I134"/>
  <c r="I254"/>
  <c r="I239"/>
  <c r="I223"/>
  <c r="I193"/>
  <c r="I188"/>
  <c r="I174"/>
  <c r="I166"/>
  <c r="I156"/>
  <c r="I147" i="3"/>
  <c r="I147" i="2" s="1"/>
  <c r="I148"/>
  <c r="I146"/>
  <c r="I138"/>
  <c r="I208"/>
  <c r="I201"/>
  <c r="I184"/>
  <c r="I173"/>
  <c r="I163"/>
  <c r="I153"/>
  <c r="I143"/>
  <c r="I133"/>
  <c r="I241"/>
  <c r="I219"/>
  <c r="I200"/>
  <c r="I191" i="3"/>
  <c r="I191" i="2" s="1"/>
  <c r="I192"/>
  <c r="I187"/>
  <c r="I165"/>
  <c r="I155"/>
  <c r="I145"/>
  <c r="I136" i="3"/>
  <c r="I136" i="2" s="1"/>
  <c r="I137"/>
  <c r="I135"/>
  <c r="I185"/>
  <c r="I172"/>
  <c r="I169" i="3"/>
  <c r="I169" i="2" s="1"/>
  <c r="I170"/>
  <c r="I152"/>
  <c r="I121"/>
  <c r="I111"/>
  <c r="I101"/>
  <c r="I205"/>
  <c r="I183"/>
  <c r="I151"/>
  <c r="I150"/>
  <c r="I128"/>
  <c r="I118"/>
  <c r="I108"/>
  <c r="I98"/>
  <c r="I182"/>
  <c r="I157"/>
  <c r="I149"/>
  <c r="I132"/>
  <c r="I123"/>
  <c r="I114" i="3"/>
  <c r="I114" i="2" s="1"/>
  <c r="I115"/>
  <c r="I113"/>
  <c r="I168"/>
  <c r="I131"/>
  <c r="I130"/>
  <c r="I120"/>
  <c r="I110"/>
  <c r="I190"/>
  <c r="I178"/>
  <c r="I160"/>
  <c r="I117"/>
  <c r="I112"/>
  <c r="I107"/>
  <c r="I102"/>
  <c r="I90"/>
  <c r="I81" i="3"/>
  <c r="I81" i="2" s="1"/>
  <c r="I82"/>
  <c r="I80"/>
  <c r="I72"/>
  <c r="I62"/>
  <c r="I271"/>
  <c r="I197"/>
  <c r="I124"/>
  <c r="I116"/>
  <c r="I106"/>
  <c r="I105"/>
  <c r="I94"/>
  <c r="I84"/>
  <c r="I74"/>
  <c r="I64"/>
  <c r="I278"/>
  <c r="I122"/>
  <c r="I89"/>
  <c r="I79"/>
  <c r="I70" i="3"/>
  <c r="I70" i="2" s="1"/>
  <c r="I71"/>
  <c r="I69"/>
  <c r="I61"/>
  <c r="I158" i="3"/>
  <c r="I158" i="2" s="1"/>
  <c r="I159"/>
  <c r="I140"/>
  <c r="I92" i="3"/>
  <c r="I92" i="2" s="1"/>
  <c r="I93"/>
  <c r="I221"/>
  <c r="I167"/>
  <c r="I129"/>
  <c r="I127"/>
  <c r="I103" i="3"/>
  <c r="I103" i="2" s="1"/>
  <c r="I104"/>
  <c r="I100"/>
  <c r="I99"/>
  <c r="I95"/>
  <c r="I270"/>
  <c r="I198"/>
  <c r="I177"/>
  <c r="I125" i="3"/>
  <c r="I125" i="2" s="1"/>
  <c r="I126"/>
  <c r="I85"/>
  <c r="I76"/>
  <c r="I212"/>
  <c r="I141"/>
  <c r="I86"/>
  <c r="I83"/>
  <c r="I75"/>
  <c r="I68"/>
  <c r="I54"/>
  <c r="I44"/>
  <c r="I34"/>
  <c r="I24"/>
  <c r="I119"/>
  <c r="I109"/>
  <c r="I91"/>
  <c r="I53"/>
  <c r="I43"/>
  <c r="I33"/>
  <c r="I23"/>
  <c r="I142"/>
  <c r="I55"/>
  <c r="I45"/>
  <c r="I35"/>
  <c r="I26" i="3"/>
  <c r="I26" i="2" s="1"/>
  <c r="I27"/>
  <c r="I25"/>
  <c r="I17"/>
  <c r="I202" i="3"/>
  <c r="I202" i="2" s="1"/>
  <c r="I203"/>
  <c r="I96"/>
  <c r="I162"/>
  <c r="I87"/>
  <c r="I67"/>
  <c r="I66"/>
  <c r="I88"/>
  <c r="I57"/>
  <c r="I52"/>
  <c r="I47"/>
  <c r="I42"/>
  <c r="I18"/>
  <c r="I11"/>
  <c r="I48" i="3"/>
  <c r="I48" i="2" s="1"/>
  <c r="I49"/>
  <c r="I30"/>
  <c r="I14"/>
  <c r="I77"/>
  <c r="I65"/>
  <c r="I40"/>
  <c r="I19"/>
  <c r="I15" i="3"/>
  <c r="I15" i="2" s="1"/>
  <c r="I16"/>
  <c r="I50"/>
  <c r="I29"/>
  <c r="I22"/>
  <c r="I13"/>
  <c r="I9"/>
  <c r="I161"/>
  <c r="I73"/>
  <c r="I56"/>
  <c r="I46"/>
  <c r="I12"/>
  <c r="I78"/>
  <c r="I59" i="3"/>
  <c r="I59" i="2" s="1"/>
  <c r="I60"/>
  <c r="I58"/>
  <c r="I36"/>
  <c r="I32"/>
  <c r="I31"/>
  <c r="I28"/>
  <c r="I21"/>
  <c r="I39"/>
  <c r="I8"/>
  <c r="I139"/>
  <c r="I41"/>
  <c r="I7"/>
  <c r="I6"/>
  <c r="I20"/>
  <c r="I63"/>
  <c r="I51"/>
  <c r="I10"/>
  <c r="I37" i="3"/>
  <c r="I37" i="2" s="1"/>
  <c r="I38"/>
  <c r="I4" i="3"/>
  <c r="I4" i="2" s="1"/>
  <c r="I5"/>
  <c r="I97"/>
  <c r="L276"/>
  <c r="L260"/>
  <c r="L252"/>
  <c r="L242"/>
  <c r="L273"/>
  <c r="L263"/>
  <c r="L249"/>
  <c r="L278"/>
  <c r="L270"/>
  <c r="L266"/>
  <c r="L257" i="3"/>
  <c r="L257" i="2" s="1"/>
  <c r="L258"/>
  <c r="L254"/>
  <c r="L244"/>
  <c r="L274"/>
  <c r="L262"/>
  <c r="L250"/>
  <c r="L271"/>
  <c r="L255"/>
  <c r="L246" i="3"/>
  <c r="L246" i="2" s="1"/>
  <c r="L247"/>
  <c r="L235" i="3"/>
  <c r="L235" i="2" s="1"/>
  <c r="L236"/>
  <c r="L234"/>
  <c r="L241"/>
  <c r="L231"/>
  <c r="L221"/>
  <c r="L211"/>
  <c r="L265"/>
  <c r="L245"/>
  <c r="L233"/>
  <c r="L224" i="3"/>
  <c r="L224" i="2" s="1"/>
  <c r="L225"/>
  <c r="L223"/>
  <c r="L208"/>
  <c r="L259"/>
  <c r="L253"/>
  <c r="L251"/>
  <c r="L215"/>
  <c r="L229"/>
  <c r="L218"/>
  <c r="L207"/>
  <c r="L243"/>
  <c r="L195"/>
  <c r="L277"/>
  <c r="L272"/>
  <c r="L230"/>
  <c r="L219"/>
  <c r="L205"/>
  <c r="L200"/>
  <c r="L191" i="3"/>
  <c r="L191" i="2" s="1"/>
  <c r="L192"/>
  <c r="L190"/>
  <c r="L182"/>
  <c r="L172"/>
  <c r="L264"/>
  <c r="L210"/>
  <c r="L197"/>
  <c r="L187"/>
  <c r="L177"/>
  <c r="L256"/>
  <c r="L217"/>
  <c r="L212"/>
  <c r="L196"/>
  <c r="L240"/>
  <c r="L237"/>
  <c r="L232"/>
  <c r="L216"/>
  <c r="L198"/>
  <c r="L176"/>
  <c r="L165"/>
  <c r="L155"/>
  <c r="L145"/>
  <c r="L136" i="3"/>
  <c r="L136" i="2" s="1"/>
  <c r="L137"/>
  <c r="L135"/>
  <c r="L248"/>
  <c r="L194"/>
  <c r="L189"/>
  <c r="L180" i="3"/>
  <c r="L180" i="2" s="1"/>
  <c r="L181"/>
  <c r="L169" i="3"/>
  <c r="L169" i="2" s="1"/>
  <c r="L170"/>
  <c r="L167"/>
  <c r="L158" i="3"/>
  <c r="L158" i="2" s="1"/>
  <c r="L159"/>
  <c r="L157"/>
  <c r="L149"/>
  <c r="L139"/>
  <c r="L275"/>
  <c r="L239"/>
  <c r="L222"/>
  <c r="L209"/>
  <c r="L206"/>
  <c r="L175"/>
  <c r="L174"/>
  <c r="L164"/>
  <c r="L154"/>
  <c r="L144"/>
  <c r="L134"/>
  <c r="L267"/>
  <c r="L238"/>
  <c r="L227"/>
  <c r="L201"/>
  <c r="L193"/>
  <c r="L188"/>
  <c r="L166"/>
  <c r="L156"/>
  <c r="L147" i="3"/>
  <c r="L147" i="2" s="1"/>
  <c r="L148"/>
  <c r="L146"/>
  <c r="L138"/>
  <c r="L268" i="3"/>
  <c r="L268" i="2" s="1"/>
  <c r="L269"/>
  <c r="L199"/>
  <c r="L186"/>
  <c r="L173"/>
  <c r="L160"/>
  <c r="L153"/>
  <c r="L140"/>
  <c r="L122"/>
  <c r="L112"/>
  <c r="L103" i="3"/>
  <c r="L103" i="2" s="1"/>
  <c r="L104"/>
  <c r="L102"/>
  <c r="L185"/>
  <c r="L184"/>
  <c r="L171"/>
  <c r="L129"/>
  <c r="L119"/>
  <c r="L109"/>
  <c r="L99"/>
  <c r="L152"/>
  <c r="L151"/>
  <c r="L133"/>
  <c r="L125" i="3"/>
  <c r="L125" i="2" s="1"/>
  <c r="L126"/>
  <c r="L124"/>
  <c r="L116"/>
  <c r="L261"/>
  <c r="L220"/>
  <c r="L183"/>
  <c r="L150"/>
  <c r="L121"/>
  <c r="L111"/>
  <c r="L101"/>
  <c r="L204"/>
  <c r="L168"/>
  <c r="L142"/>
  <c r="L127"/>
  <c r="L118"/>
  <c r="L113"/>
  <c r="L108"/>
  <c r="L92" i="3"/>
  <c r="L92" i="2" s="1"/>
  <c r="L93"/>
  <c r="L91"/>
  <c r="L83"/>
  <c r="L73"/>
  <c r="L63"/>
  <c r="L202" i="3"/>
  <c r="L202" i="2" s="1"/>
  <c r="L203"/>
  <c r="L163"/>
  <c r="L161"/>
  <c r="L85"/>
  <c r="L75"/>
  <c r="L65"/>
  <c r="L162"/>
  <c r="L131"/>
  <c r="L123"/>
  <c r="L117"/>
  <c r="L114" i="3"/>
  <c r="L114" i="2" s="1"/>
  <c r="L115"/>
  <c r="L107"/>
  <c r="L106"/>
  <c r="L90"/>
  <c r="L81" i="3"/>
  <c r="L81" i="2" s="1"/>
  <c r="L82"/>
  <c r="L80"/>
  <c r="L72"/>
  <c r="L62"/>
  <c r="L213" i="3"/>
  <c r="L213" i="2" s="1"/>
  <c r="L214"/>
  <c r="L132"/>
  <c r="L94"/>
  <c r="L86"/>
  <c r="L143"/>
  <c r="L228"/>
  <c r="L141"/>
  <c r="L130"/>
  <c r="L110"/>
  <c r="L226"/>
  <c r="L179"/>
  <c r="L178"/>
  <c r="L98"/>
  <c r="L97"/>
  <c r="L78"/>
  <c r="L77"/>
  <c r="L105"/>
  <c r="L69"/>
  <c r="L55"/>
  <c r="L45"/>
  <c r="L35"/>
  <c r="L26" i="3"/>
  <c r="L26" i="2" s="1"/>
  <c r="L27"/>
  <c r="L25"/>
  <c r="L17"/>
  <c r="L54"/>
  <c r="L44"/>
  <c r="L34"/>
  <c r="L24"/>
  <c r="L128"/>
  <c r="L120"/>
  <c r="L66"/>
  <c r="L56"/>
  <c r="L46"/>
  <c r="L37" i="3"/>
  <c r="L37" i="2" s="1"/>
  <c r="L38"/>
  <c r="L36"/>
  <c r="L28"/>
  <c r="L18"/>
  <c r="L96"/>
  <c r="L95"/>
  <c r="L76"/>
  <c r="L70" i="3"/>
  <c r="L70" i="2" s="1"/>
  <c r="L71"/>
  <c r="L89"/>
  <c r="L87"/>
  <c r="L79"/>
  <c r="L74"/>
  <c r="L67"/>
  <c r="L53"/>
  <c r="L43"/>
  <c r="L20"/>
  <c r="L12"/>
  <c r="L100"/>
  <c r="L52"/>
  <c r="L39"/>
  <c r="L29"/>
  <c r="L22"/>
  <c r="L57"/>
  <c r="L23"/>
  <c r="L4" i="3"/>
  <c r="L4" i="2" s="1"/>
  <c r="L5"/>
  <c r="L64"/>
  <c r="L61"/>
  <c r="L33"/>
  <c r="L15" i="3"/>
  <c r="L15" i="2" s="1"/>
  <c r="L16"/>
  <c r="L8"/>
  <c r="L6"/>
  <c r="L40"/>
  <c r="L21"/>
  <c r="L11"/>
  <c r="L7"/>
  <c r="L19"/>
  <c r="L13"/>
  <c r="L68"/>
  <c r="L30"/>
  <c r="L14"/>
  <c r="L60"/>
  <c r="L59" i="3"/>
  <c r="L59" i="2" s="1"/>
  <c r="L58"/>
  <c r="L32"/>
  <c r="L31"/>
  <c r="L84"/>
  <c r="L48" i="3"/>
  <c r="L48" i="2" s="1"/>
  <c r="L49"/>
  <c r="L41"/>
  <c r="L10"/>
  <c r="L88"/>
  <c r="L50"/>
  <c r="L42"/>
  <c r="L9"/>
  <c r="L51"/>
  <c r="L47"/>
  <c r="T276"/>
  <c r="T260"/>
  <c r="T252"/>
  <c r="T242"/>
  <c r="T273"/>
  <c r="T263"/>
  <c r="T249"/>
  <c r="T278"/>
  <c r="T270"/>
  <c r="T266"/>
  <c r="T257" i="3"/>
  <c r="T257" i="2" s="1"/>
  <c r="T258"/>
  <c r="T254"/>
  <c r="T244"/>
  <c r="T274"/>
  <c r="T262"/>
  <c r="T250"/>
  <c r="T235" i="3"/>
  <c r="T235" i="2" s="1"/>
  <c r="T236"/>
  <c r="T234"/>
  <c r="T243"/>
  <c r="T241"/>
  <c r="T231"/>
  <c r="T221"/>
  <c r="T211"/>
  <c r="T261"/>
  <c r="T233"/>
  <c r="T224" i="3"/>
  <c r="T224" i="2" s="1"/>
  <c r="T225"/>
  <c r="T223"/>
  <c r="T265"/>
  <c r="T245"/>
  <c r="T222"/>
  <c r="T219"/>
  <c r="T216"/>
  <c r="T210"/>
  <c r="T208"/>
  <c r="T237"/>
  <c r="T218"/>
  <c r="T272"/>
  <c r="T267"/>
  <c r="T255"/>
  <c r="T232"/>
  <c r="T228"/>
  <c r="T212"/>
  <c r="T207"/>
  <c r="T253"/>
  <c r="T248"/>
  <c r="T239"/>
  <c r="T205"/>
  <c r="T195"/>
  <c r="T217"/>
  <c r="T200"/>
  <c r="T191" i="3"/>
  <c r="T191" i="2" s="1"/>
  <c r="T192"/>
  <c r="T190"/>
  <c r="T182"/>
  <c r="T172"/>
  <c r="T275"/>
  <c r="T227"/>
  <c r="T213" i="3"/>
  <c r="T213" i="2" s="1"/>
  <c r="T214"/>
  <c r="T209"/>
  <c r="T204"/>
  <c r="T197"/>
  <c r="T187"/>
  <c r="T177"/>
  <c r="T268" i="3"/>
  <c r="T268" i="2" s="1"/>
  <c r="T269"/>
  <c r="T229"/>
  <c r="T206"/>
  <c r="T202" i="3"/>
  <c r="T202" i="2" s="1"/>
  <c r="T203"/>
  <c r="T196"/>
  <c r="T238"/>
  <c r="T230"/>
  <c r="T189"/>
  <c r="T180" i="3"/>
  <c r="T180" i="2" s="1"/>
  <c r="T181"/>
  <c r="T168"/>
  <c r="T165"/>
  <c r="T155"/>
  <c r="T145"/>
  <c r="T136" i="3"/>
  <c r="T136" i="2" s="1"/>
  <c r="T137"/>
  <c r="T135"/>
  <c r="T277"/>
  <c r="T240"/>
  <c r="T193"/>
  <c r="T185"/>
  <c r="T184"/>
  <c r="T178"/>
  <c r="T167"/>
  <c r="T158" i="3"/>
  <c r="T158" i="2" s="1"/>
  <c r="T159"/>
  <c r="T157"/>
  <c r="T149"/>
  <c r="T139"/>
  <c r="T246" i="3"/>
  <c r="T246" i="2" s="1"/>
  <c r="T247"/>
  <c r="T199"/>
  <c r="T188"/>
  <c r="T164"/>
  <c r="T154"/>
  <c r="T144"/>
  <c r="T134"/>
  <c r="T264"/>
  <c r="T183"/>
  <c r="T166"/>
  <c r="T156"/>
  <c r="T147" i="3"/>
  <c r="T147" i="2" s="1"/>
  <c r="T148"/>
  <c r="T146"/>
  <c r="T138"/>
  <c r="T271"/>
  <c r="T179"/>
  <c r="T132"/>
  <c r="T131"/>
  <c r="T122"/>
  <c r="T112"/>
  <c r="T103" i="3"/>
  <c r="T103" i="2" s="1"/>
  <c r="T104"/>
  <c r="T102"/>
  <c r="T198"/>
  <c r="T163"/>
  <c r="T143"/>
  <c r="T129"/>
  <c r="T119"/>
  <c r="T109"/>
  <c r="T99"/>
  <c r="T256"/>
  <c r="T176"/>
  <c r="T174"/>
  <c r="T125" i="3"/>
  <c r="T125" i="2" s="1"/>
  <c r="T126"/>
  <c r="T124"/>
  <c r="T116"/>
  <c r="T201"/>
  <c r="T186"/>
  <c r="T175"/>
  <c r="T173"/>
  <c r="T162"/>
  <c r="T161"/>
  <c r="T142"/>
  <c r="T141"/>
  <c r="T121"/>
  <c r="T111"/>
  <c r="T101"/>
  <c r="T226"/>
  <c r="T130"/>
  <c r="T107"/>
  <c r="T106"/>
  <c r="T96"/>
  <c r="T92" i="3"/>
  <c r="T92" i="2" s="1"/>
  <c r="T93"/>
  <c r="T91"/>
  <c r="T83"/>
  <c r="T73"/>
  <c r="T63"/>
  <c r="T160"/>
  <c r="T110"/>
  <c r="T85"/>
  <c r="T75"/>
  <c r="T65"/>
  <c r="T153"/>
  <c r="T120"/>
  <c r="T98"/>
  <c r="T95"/>
  <c r="T90"/>
  <c r="T81" i="3"/>
  <c r="T81" i="2" s="1"/>
  <c r="T82"/>
  <c r="T80"/>
  <c r="T72"/>
  <c r="T62"/>
  <c r="T194"/>
  <c r="T150"/>
  <c r="T100"/>
  <c r="T89"/>
  <c r="T151"/>
  <c r="T128"/>
  <c r="T220"/>
  <c r="T133"/>
  <c r="T127"/>
  <c r="T113"/>
  <c r="T251"/>
  <c r="T123"/>
  <c r="T108"/>
  <c r="T105"/>
  <c r="T76"/>
  <c r="T259"/>
  <c r="T171"/>
  <c r="T117"/>
  <c r="T55"/>
  <c r="T45"/>
  <c r="T35"/>
  <c r="T26" i="3"/>
  <c r="T26" i="2" s="1"/>
  <c r="T27"/>
  <c r="T25"/>
  <c r="T17"/>
  <c r="T169" i="3"/>
  <c r="T169" i="2" s="1"/>
  <c r="T170"/>
  <c r="T152"/>
  <c r="T114" i="3"/>
  <c r="T114" i="2" s="1"/>
  <c r="T115"/>
  <c r="T84"/>
  <c r="T64"/>
  <c r="T59" i="3"/>
  <c r="T59" i="2" s="1"/>
  <c r="T60"/>
  <c r="T54"/>
  <c r="T44"/>
  <c r="T34"/>
  <c r="T24"/>
  <c r="T215"/>
  <c r="T94"/>
  <c r="T86"/>
  <c r="T79"/>
  <c r="T69"/>
  <c r="T56"/>
  <c r="T46"/>
  <c r="T37" i="3"/>
  <c r="T37" i="2" s="1"/>
  <c r="T38"/>
  <c r="T36"/>
  <c r="T28"/>
  <c r="T18"/>
  <c r="T140"/>
  <c r="T118"/>
  <c r="T61"/>
  <c r="T32"/>
  <c r="T23"/>
  <c r="T12"/>
  <c r="T58"/>
  <c r="T4" i="3"/>
  <c r="T4" i="2" s="1"/>
  <c r="T5"/>
  <c r="T97"/>
  <c r="T74"/>
  <c r="T66"/>
  <c r="T50"/>
  <c r="T41"/>
  <c r="T31"/>
  <c r="T20"/>
  <c r="T14"/>
  <c r="T11"/>
  <c r="T8"/>
  <c r="T77"/>
  <c r="T68"/>
  <c r="T57"/>
  <c r="T52"/>
  <c r="T47"/>
  <c r="T42"/>
  <c r="T19"/>
  <c r="T13"/>
  <c r="T53"/>
  <c r="T43"/>
  <c r="T88"/>
  <c r="T33"/>
  <c r="T21"/>
  <c r="T10"/>
  <c r="T78"/>
  <c r="T51"/>
  <c r="T22"/>
  <c r="T70" i="3"/>
  <c r="T70" i="2" s="1"/>
  <c r="T71"/>
  <c r="T29"/>
  <c r="T6"/>
  <c r="T30"/>
  <c r="T15" i="3"/>
  <c r="T15" i="2" s="1"/>
  <c r="T16"/>
  <c r="T9"/>
  <c r="T87"/>
  <c r="T48" i="3"/>
  <c r="T48" i="2" s="1"/>
  <c r="T49"/>
  <c r="T7"/>
  <c r="T39"/>
  <c r="T40"/>
  <c r="T67"/>
  <c r="V274"/>
  <c r="V262"/>
  <c r="V250"/>
  <c r="V271"/>
  <c r="V265"/>
  <c r="V255"/>
  <c r="V246" i="3"/>
  <c r="V246" i="2" s="1"/>
  <c r="V247"/>
  <c r="V245"/>
  <c r="V276"/>
  <c r="V260"/>
  <c r="V252"/>
  <c r="V242"/>
  <c r="V272"/>
  <c r="V264"/>
  <c r="V256"/>
  <c r="V248"/>
  <c r="V275"/>
  <c r="V251"/>
  <c r="V244"/>
  <c r="V232"/>
  <c r="V239"/>
  <c r="V229"/>
  <c r="V219"/>
  <c r="V267"/>
  <c r="V259"/>
  <c r="V241"/>
  <c r="V231"/>
  <c r="V277"/>
  <c r="V273"/>
  <c r="V254"/>
  <c r="V240"/>
  <c r="V230"/>
  <c r="V226"/>
  <c r="V278"/>
  <c r="V268" i="3"/>
  <c r="V268" i="2" s="1"/>
  <c r="V269"/>
  <c r="V266"/>
  <c r="V238"/>
  <c r="V233"/>
  <c r="V222"/>
  <c r="V210"/>
  <c r="V257" i="3"/>
  <c r="V257" i="2" s="1"/>
  <c r="V258"/>
  <c r="V215"/>
  <c r="V205"/>
  <c r="V270"/>
  <c r="V228"/>
  <c r="V216"/>
  <c r="V207"/>
  <c r="V201"/>
  <c r="V193"/>
  <c r="V253"/>
  <c r="V224" i="3"/>
  <c r="V224" i="2" s="1"/>
  <c r="V225"/>
  <c r="V221"/>
  <c r="V220"/>
  <c r="V198"/>
  <c r="V188"/>
  <c r="V178"/>
  <c r="V169" i="3"/>
  <c r="V169" i="2" s="1"/>
  <c r="V170"/>
  <c r="V168"/>
  <c r="V263"/>
  <c r="V243"/>
  <c r="V223"/>
  <c r="V211"/>
  <c r="V195"/>
  <c r="V185"/>
  <c r="V175"/>
  <c r="V261"/>
  <c r="V208"/>
  <c r="V206"/>
  <c r="V190"/>
  <c r="V182"/>
  <c r="V176"/>
  <c r="V163"/>
  <c r="V153"/>
  <c r="V143"/>
  <c r="V133"/>
  <c r="V249"/>
  <c r="V189"/>
  <c r="V180" i="3"/>
  <c r="V180" i="2" s="1"/>
  <c r="V181"/>
  <c r="V165"/>
  <c r="V155"/>
  <c r="V145"/>
  <c r="V136" i="3"/>
  <c r="V136" i="2" s="1"/>
  <c r="V137"/>
  <c r="V135"/>
  <c r="V237"/>
  <c r="V200"/>
  <c r="V174"/>
  <c r="V162"/>
  <c r="V152"/>
  <c r="V142"/>
  <c r="V132"/>
  <c r="V234"/>
  <c r="V217"/>
  <c r="V197"/>
  <c r="V177"/>
  <c r="V164"/>
  <c r="V154"/>
  <c r="V144"/>
  <c r="V134"/>
  <c r="V191" i="3"/>
  <c r="V191" i="2" s="1"/>
  <c r="V192"/>
  <c r="V157"/>
  <c r="V150"/>
  <c r="V149"/>
  <c r="V130"/>
  <c r="V120"/>
  <c r="V110"/>
  <c r="V218"/>
  <c r="V202" i="3"/>
  <c r="V202" i="2" s="1"/>
  <c r="V203"/>
  <c r="V179"/>
  <c r="V156"/>
  <c r="V147" i="3"/>
  <c r="V147" i="2" s="1"/>
  <c r="V148"/>
  <c r="V131"/>
  <c r="V127"/>
  <c r="V117"/>
  <c r="V107"/>
  <c r="V97"/>
  <c r="V199"/>
  <c r="V187"/>
  <c r="V122"/>
  <c r="V112"/>
  <c r="V196"/>
  <c r="V129"/>
  <c r="V119"/>
  <c r="V109"/>
  <c r="V186"/>
  <c r="V171"/>
  <c r="V141"/>
  <c r="V140"/>
  <c r="V139"/>
  <c r="V102"/>
  <c r="V100"/>
  <c r="V89"/>
  <c r="V79"/>
  <c r="V70" i="3"/>
  <c r="V70" i="2" s="1"/>
  <c r="V71"/>
  <c r="V69"/>
  <c r="V61"/>
  <c r="V194"/>
  <c r="V121"/>
  <c r="V99"/>
  <c r="V96"/>
  <c r="V92" i="3"/>
  <c r="V92" i="2" s="1"/>
  <c r="V93"/>
  <c r="V91"/>
  <c r="V83"/>
  <c r="V73"/>
  <c r="V63"/>
  <c r="V204"/>
  <c r="V167"/>
  <c r="V161"/>
  <c r="V160"/>
  <c r="V158" i="3"/>
  <c r="V158" i="2" s="1"/>
  <c r="V159"/>
  <c r="V128"/>
  <c r="V105"/>
  <c r="V88"/>
  <c r="V78"/>
  <c r="V68"/>
  <c r="V59" i="3"/>
  <c r="V59" i="2" s="1"/>
  <c r="V60"/>
  <c r="V166"/>
  <c r="V146"/>
  <c r="V123"/>
  <c r="V111"/>
  <c r="V106"/>
  <c r="V101"/>
  <c r="V95"/>
  <c r="V84"/>
  <c r="V209"/>
  <c r="V183"/>
  <c r="V173"/>
  <c r="V172"/>
  <c r="V125" i="3"/>
  <c r="V125" i="2" s="1"/>
  <c r="V126"/>
  <c r="V108"/>
  <c r="V138"/>
  <c r="V184"/>
  <c r="V116"/>
  <c r="V113"/>
  <c r="V94"/>
  <c r="V90"/>
  <c r="V81" i="3"/>
  <c r="V81" i="2" s="1"/>
  <c r="V82"/>
  <c r="V62"/>
  <c r="V53"/>
  <c r="V43"/>
  <c r="V33"/>
  <c r="V23"/>
  <c r="V213" i="3"/>
  <c r="V213" i="2" s="1"/>
  <c r="V214"/>
  <c r="V118"/>
  <c r="V77"/>
  <c r="V74"/>
  <c r="V66"/>
  <c r="V65"/>
  <c r="V52"/>
  <c r="V42"/>
  <c r="V32"/>
  <c r="V22"/>
  <c r="V235" i="3"/>
  <c r="V235" i="2" s="1"/>
  <c r="V236"/>
  <c r="V227"/>
  <c r="V151"/>
  <c r="V103" i="3"/>
  <c r="V103" i="2" s="1"/>
  <c r="V104"/>
  <c r="V64"/>
  <c r="V54"/>
  <c r="V44"/>
  <c r="V34"/>
  <c r="V24"/>
  <c r="V124"/>
  <c r="V80"/>
  <c r="V57"/>
  <c r="V47"/>
  <c r="V26" i="3"/>
  <c r="V26" i="2" s="1"/>
  <c r="V27"/>
  <c r="V18"/>
  <c r="V10"/>
  <c r="V87"/>
  <c r="V40"/>
  <c r="V35"/>
  <c r="V19"/>
  <c r="V12"/>
  <c r="V9"/>
  <c r="V212"/>
  <c r="V58"/>
  <c r="V45"/>
  <c r="V36"/>
  <c r="V67"/>
  <c r="V11"/>
  <c r="V85"/>
  <c r="V37" i="3"/>
  <c r="V37" i="2" s="1"/>
  <c r="V38"/>
  <c r="V31"/>
  <c r="V25"/>
  <c r="V14"/>
  <c r="V114" i="3"/>
  <c r="V114" i="2" s="1"/>
  <c r="V115"/>
  <c r="V98"/>
  <c r="V48" i="3"/>
  <c r="V48" i="2" s="1"/>
  <c r="V49"/>
  <c r="V39"/>
  <c r="V28"/>
  <c r="V50"/>
  <c r="V17"/>
  <c r="V4" i="3"/>
  <c r="V4" i="2" s="1"/>
  <c r="V5"/>
  <c r="V86"/>
  <c r="V56"/>
  <c r="V55"/>
  <c r="V51"/>
  <c r="V21"/>
  <c r="V20"/>
  <c r="V30"/>
  <c r="V76"/>
  <c r="V41"/>
  <c r="V13"/>
  <c r="V8"/>
  <c r="V7"/>
  <c r="V6"/>
  <c r="V29"/>
  <c r="V15" i="3"/>
  <c r="V15" i="2" s="1"/>
  <c r="V16"/>
  <c r="V72"/>
  <c r="V75"/>
  <c r="V46"/>
  <c r="AH278"/>
  <c r="AH270"/>
  <c r="AH266"/>
  <c r="AH257" i="3"/>
  <c r="AH257" i="2" s="1"/>
  <c r="AH258"/>
  <c r="AH254"/>
  <c r="AH244"/>
  <c r="AH275"/>
  <c r="AH261"/>
  <c r="AH251"/>
  <c r="AH272"/>
  <c r="AH264"/>
  <c r="AH256"/>
  <c r="AH248"/>
  <c r="AH276"/>
  <c r="AH260"/>
  <c r="AH252"/>
  <c r="AH242"/>
  <c r="AH267"/>
  <c r="AH259"/>
  <c r="AH238"/>
  <c r="AH273"/>
  <c r="AH249"/>
  <c r="AH233"/>
  <c r="AH224" i="3"/>
  <c r="AH224" i="2" s="1"/>
  <c r="AH225"/>
  <c r="AH223"/>
  <c r="AH215"/>
  <c r="AH271"/>
  <c r="AH255"/>
  <c r="AH246" i="3"/>
  <c r="AH246" i="2" s="1"/>
  <c r="AH247"/>
  <c r="AH237"/>
  <c r="AH227"/>
  <c r="AH253"/>
  <c r="AH213" i="3"/>
  <c r="AH213" i="2" s="1"/>
  <c r="AH214"/>
  <c r="AH277"/>
  <c r="AH222"/>
  <c r="AH211"/>
  <c r="AH232"/>
  <c r="AH209"/>
  <c r="AH274"/>
  <c r="AH197"/>
  <c r="AH265"/>
  <c r="AH221"/>
  <c r="AH217"/>
  <c r="AH207"/>
  <c r="AH206"/>
  <c r="AH202" i="3"/>
  <c r="AH202" i="2" s="1"/>
  <c r="AH203"/>
  <c r="AH194"/>
  <c r="AH184"/>
  <c r="AH174"/>
  <c r="AH230"/>
  <c r="AH229"/>
  <c r="AH212"/>
  <c r="AH199"/>
  <c r="AH189"/>
  <c r="AH180" i="3"/>
  <c r="AH180" i="2" s="1"/>
  <c r="AH181"/>
  <c r="AH179"/>
  <c r="AH171"/>
  <c r="AH263"/>
  <c r="AH245"/>
  <c r="AH241"/>
  <c r="AH240"/>
  <c r="AH239"/>
  <c r="AH226"/>
  <c r="AH210"/>
  <c r="AH198"/>
  <c r="AH235" i="3"/>
  <c r="AH235" i="2" s="1"/>
  <c r="AH236"/>
  <c r="AH201"/>
  <c r="AH187"/>
  <c r="AH176"/>
  <c r="AH158" i="3"/>
  <c r="AH158" i="2" s="1"/>
  <c r="AH159"/>
  <c r="AH157"/>
  <c r="AH149"/>
  <c r="AH139"/>
  <c r="AH250"/>
  <c r="AH228"/>
  <c r="AH218"/>
  <c r="AH200"/>
  <c r="AH193"/>
  <c r="AH182"/>
  <c r="AH161"/>
  <c r="AH151"/>
  <c r="AH141"/>
  <c r="AH131"/>
  <c r="AH268" i="3"/>
  <c r="AH268" i="2" s="1"/>
  <c r="AH269"/>
  <c r="AH243"/>
  <c r="AH219"/>
  <c r="AH175"/>
  <c r="AH166"/>
  <c r="AH156"/>
  <c r="AH147" i="3"/>
  <c r="AH147" i="2" s="1"/>
  <c r="AH148"/>
  <c r="AH146"/>
  <c r="AH138"/>
  <c r="AH220"/>
  <c r="AH208"/>
  <c r="AH191" i="3"/>
  <c r="AH191" i="2" s="1"/>
  <c r="AH192"/>
  <c r="AH188"/>
  <c r="AH160"/>
  <c r="AH150"/>
  <c r="AH140"/>
  <c r="AH216"/>
  <c r="AH186"/>
  <c r="AH177"/>
  <c r="AH173"/>
  <c r="AH163"/>
  <c r="AH155"/>
  <c r="AH143"/>
  <c r="AH125" i="3"/>
  <c r="AH125" i="2" s="1"/>
  <c r="AH126"/>
  <c r="AH124"/>
  <c r="AH116"/>
  <c r="AH106"/>
  <c r="AH234"/>
  <c r="AH185"/>
  <c r="AH121"/>
  <c r="AH111"/>
  <c r="AH101"/>
  <c r="AH204"/>
  <c r="AH172"/>
  <c r="AH169" i="3"/>
  <c r="AH169" i="2" s="1"/>
  <c r="AH170"/>
  <c r="AH162"/>
  <c r="AH154"/>
  <c r="AH142"/>
  <c r="AH135"/>
  <c r="AH128"/>
  <c r="AH118"/>
  <c r="AH183"/>
  <c r="AH167"/>
  <c r="AH153"/>
  <c r="AH123"/>
  <c r="AH114" i="3"/>
  <c r="AH114" i="2" s="1"/>
  <c r="AH115"/>
  <c r="AH113"/>
  <c r="AH105"/>
  <c r="AH152"/>
  <c r="AH134"/>
  <c r="AH122"/>
  <c r="AH107"/>
  <c r="AH102"/>
  <c r="AH85"/>
  <c r="AH75"/>
  <c r="AH65"/>
  <c r="AH127"/>
  <c r="AH110"/>
  <c r="AH100"/>
  <c r="AH97"/>
  <c r="AH94"/>
  <c r="AH87"/>
  <c r="AH77"/>
  <c r="AH67"/>
  <c r="AH132"/>
  <c r="AH84"/>
  <c r="AH74"/>
  <c r="AH64"/>
  <c r="AH195"/>
  <c r="AH164"/>
  <c r="AH120"/>
  <c r="AH92" i="3"/>
  <c r="AH92" i="2" s="1"/>
  <c r="AH93"/>
  <c r="AH89"/>
  <c r="AH190"/>
  <c r="AH178"/>
  <c r="AH165"/>
  <c r="AH96"/>
  <c r="AH168"/>
  <c r="AH119"/>
  <c r="AH108"/>
  <c r="AH205"/>
  <c r="AH145"/>
  <c r="AH144"/>
  <c r="AH133"/>
  <c r="AH112"/>
  <c r="AH95"/>
  <c r="AH90"/>
  <c r="AH76"/>
  <c r="AH109"/>
  <c r="AH98"/>
  <c r="AH68"/>
  <c r="AH62"/>
  <c r="AH57"/>
  <c r="AH48" i="3"/>
  <c r="AH48" i="2" s="1"/>
  <c r="AH49"/>
  <c r="AH47"/>
  <c r="AH39"/>
  <c r="AH29"/>
  <c r="AH19"/>
  <c r="AH129"/>
  <c r="AH56"/>
  <c r="AH46"/>
  <c r="AH37" i="3"/>
  <c r="AH37" i="2" s="1"/>
  <c r="AH38"/>
  <c r="AH36"/>
  <c r="AH28"/>
  <c r="AH18"/>
  <c r="AH130"/>
  <c r="AH91"/>
  <c r="AH69"/>
  <c r="AH58"/>
  <c r="AH50"/>
  <c r="AH40"/>
  <c r="AH30"/>
  <c r="AH20"/>
  <c r="AH196"/>
  <c r="AH88"/>
  <c r="AH86"/>
  <c r="AH262"/>
  <c r="AH83"/>
  <c r="AH79"/>
  <c r="AH70" i="3"/>
  <c r="AH70" i="2" s="1"/>
  <c r="AH71"/>
  <c r="AH73"/>
  <c r="AH72"/>
  <c r="AH52"/>
  <c r="AH42"/>
  <c r="AH15" i="3"/>
  <c r="AH15" i="2" s="1"/>
  <c r="AH16"/>
  <c r="AH14"/>
  <c r="AH6"/>
  <c r="AH231"/>
  <c r="AH103" i="3"/>
  <c r="AH103" i="2" s="1"/>
  <c r="AH104"/>
  <c r="AH26" i="3"/>
  <c r="AH26" i="2" s="1"/>
  <c r="AH27"/>
  <c r="AH25"/>
  <c r="AH13"/>
  <c r="AH10"/>
  <c r="AH7"/>
  <c r="AH136" i="3"/>
  <c r="AH136" i="2" s="1"/>
  <c r="AH137"/>
  <c r="AH80"/>
  <c r="AH78"/>
  <c r="AH55"/>
  <c r="AH41"/>
  <c r="AH31"/>
  <c r="AH81" i="3"/>
  <c r="AH81" i="2" s="1"/>
  <c r="AH82"/>
  <c r="AH54"/>
  <c r="AH44"/>
  <c r="AH11"/>
  <c r="AH9"/>
  <c r="AH99"/>
  <c r="AH33"/>
  <c r="AH21"/>
  <c r="AH17"/>
  <c r="AH12"/>
  <c r="AH35"/>
  <c r="AH23"/>
  <c r="AH66"/>
  <c r="AH45"/>
  <c r="AH43"/>
  <c r="AH51"/>
  <c r="AH32"/>
  <c r="AH24"/>
  <c r="AH34"/>
  <c r="AH63"/>
  <c r="AH61"/>
  <c r="AH53"/>
  <c r="AH8"/>
  <c r="AH22"/>
  <c r="AH59" i="3"/>
  <c r="AH59" i="2" s="1"/>
  <c r="AH60"/>
  <c r="AH117"/>
  <c r="AH4" i="3"/>
  <c r="AH4" i="2" s="1"/>
  <c r="AH5"/>
  <c r="P272"/>
  <c r="P264"/>
  <c r="P256"/>
  <c r="P248"/>
  <c r="P277"/>
  <c r="P268" i="3"/>
  <c r="P268" i="2" s="1"/>
  <c r="P269"/>
  <c r="P267"/>
  <c r="P259"/>
  <c r="P253"/>
  <c r="P243"/>
  <c r="P274"/>
  <c r="P262"/>
  <c r="P250"/>
  <c r="P278"/>
  <c r="P270"/>
  <c r="P266"/>
  <c r="P257" i="3"/>
  <c r="P257" i="2" s="1"/>
  <c r="P258"/>
  <c r="P254"/>
  <c r="P244"/>
  <c r="P273"/>
  <c r="P249"/>
  <c r="P240"/>
  <c r="P230"/>
  <c r="P271"/>
  <c r="P255"/>
  <c r="P246" i="3"/>
  <c r="P246" i="2" s="1"/>
  <c r="P247"/>
  <c r="P237"/>
  <c r="P227"/>
  <c r="P217"/>
  <c r="P239"/>
  <c r="P229"/>
  <c r="P232"/>
  <c r="P228"/>
  <c r="P213" i="3"/>
  <c r="P213" i="2" s="1"/>
  <c r="P214"/>
  <c r="P241"/>
  <c r="P231"/>
  <c r="P220"/>
  <c r="P211"/>
  <c r="P263"/>
  <c r="P242"/>
  <c r="P226"/>
  <c r="P223"/>
  <c r="P202" i="3"/>
  <c r="P202" i="2" s="1"/>
  <c r="P203"/>
  <c r="P222"/>
  <c r="P212"/>
  <c r="P199"/>
  <c r="P275"/>
  <c r="P245"/>
  <c r="P218"/>
  <c r="P208"/>
  <c r="P196"/>
  <c r="P186"/>
  <c r="P176"/>
  <c r="P252"/>
  <c r="P219"/>
  <c r="P215"/>
  <c r="P206"/>
  <c r="P201"/>
  <c r="P193"/>
  <c r="P183"/>
  <c r="P173"/>
  <c r="P276"/>
  <c r="P265"/>
  <c r="P251"/>
  <c r="P235" i="3"/>
  <c r="P235" i="2" s="1"/>
  <c r="P236"/>
  <c r="P233"/>
  <c r="P200"/>
  <c r="P261"/>
  <c r="P224" i="3"/>
  <c r="P224" i="2" s="1"/>
  <c r="P225"/>
  <c r="P184"/>
  <c r="P161"/>
  <c r="P151"/>
  <c r="P141"/>
  <c r="P131"/>
  <c r="P221"/>
  <c r="P197"/>
  <c r="P187"/>
  <c r="P163"/>
  <c r="P153"/>
  <c r="P143"/>
  <c r="P133"/>
  <c r="P260"/>
  <c r="P234"/>
  <c r="P172"/>
  <c r="P160"/>
  <c r="P150"/>
  <c r="P140"/>
  <c r="P209"/>
  <c r="P179"/>
  <c r="P175"/>
  <c r="P171"/>
  <c r="P169" i="3"/>
  <c r="P169" i="2" s="1"/>
  <c r="P170"/>
  <c r="P162"/>
  <c r="P152"/>
  <c r="P142"/>
  <c r="P132"/>
  <c r="P198"/>
  <c r="P190"/>
  <c r="P189"/>
  <c r="P188"/>
  <c r="P128"/>
  <c r="P118"/>
  <c r="P108"/>
  <c r="P238"/>
  <c r="P195"/>
  <c r="P177"/>
  <c r="P174"/>
  <c r="P154"/>
  <c r="P135"/>
  <c r="P123"/>
  <c r="P114" i="3"/>
  <c r="P114" i="2" s="1"/>
  <c r="P115"/>
  <c r="P113"/>
  <c r="P105"/>
  <c r="P95"/>
  <c r="P210"/>
  <c r="P185"/>
  <c r="P167"/>
  <c r="P158" i="3"/>
  <c r="P158" i="2" s="1"/>
  <c r="P159"/>
  <c r="P139"/>
  <c r="P130"/>
  <c r="P120"/>
  <c r="P205"/>
  <c r="P166"/>
  <c r="P146"/>
  <c r="P138"/>
  <c r="P134"/>
  <c r="P127"/>
  <c r="P117"/>
  <c r="P107"/>
  <c r="P216"/>
  <c r="P194"/>
  <c r="P121"/>
  <c r="P103" i="3"/>
  <c r="P103" i="2" s="1"/>
  <c r="P104"/>
  <c r="P98"/>
  <c r="P87"/>
  <c r="P77"/>
  <c r="P67"/>
  <c r="P204"/>
  <c r="P178"/>
  <c r="P165"/>
  <c r="P125" i="3"/>
  <c r="P125" i="2" s="1"/>
  <c r="P126"/>
  <c r="P119"/>
  <c r="P100"/>
  <c r="P97"/>
  <c r="P89"/>
  <c r="P79"/>
  <c r="P70" i="3"/>
  <c r="P70" i="2" s="1"/>
  <c r="P71"/>
  <c r="P69"/>
  <c r="P61"/>
  <c r="P180" i="3"/>
  <c r="P180" i="2" s="1"/>
  <c r="P181"/>
  <c r="P157"/>
  <c r="P112"/>
  <c r="P86"/>
  <c r="P76"/>
  <c r="P66"/>
  <c r="P207"/>
  <c r="P147" i="3"/>
  <c r="P147" i="2" s="1"/>
  <c r="P148"/>
  <c r="P124"/>
  <c r="P122"/>
  <c r="P91"/>
  <c r="P145"/>
  <c r="P116"/>
  <c r="P102"/>
  <c r="P110"/>
  <c r="P109"/>
  <c r="P96"/>
  <c r="P88"/>
  <c r="P149"/>
  <c r="P136" i="3"/>
  <c r="P136" i="2" s="1"/>
  <c r="P137"/>
  <c r="P101"/>
  <c r="P73"/>
  <c r="P65"/>
  <c r="P59" i="3"/>
  <c r="P59" i="2" s="1"/>
  <c r="P60"/>
  <c r="P51"/>
  <c r="P41"/>
  <c r="P31"/>
  <c r="P21"/>
  <c r="P191" i="3"/>
  <c r="P191" i="2" s="1"/>
  <c r="P192"/>
  <c r="P94"/>
  <c r="P92" i="3"/>
  <c r="P92" i="2" s="1"/>
  <c r="P93"/>
  <c r="P72"/>
  <c r="P58"/>
  <c r="P50"/>
  <c r="P40"/>
  <c r="P30"/>
  <c r="P20"/>
  <c r="P99"/>
  <c r="P81" i="3"/>
  <c r="P81" i="2" s="1"/>
  <c r="P82"/>
  <c r="P80"/>
  <c r="P62"/>
  <c r="P52"/>
  <c r="P42"/>
  <c r="P32"/>
  <c r="P22"/>
  <c r="P144"/>
  <c r="P129"/>
  <c r="P164"/>
  <c r="P85"/>
  <c r="P182"/>
  <c r="P168"/>
  <c r="P90"/>
  <c r="P48" i="3"/>
  <c r="P48" i="2" s="1"/>
  <c r="P49"/>
  <c r="P39"/>
  <c r="P35"/>
  <c r="P8"/>
  <c r="P74"/>
  <c r="P63"/>
  <c r="P55"/>
  <c r="P13"/>
  <c r="P10"/>
  <c r="P7"/>
  <c r="P83"/>
  <c r="P56"/>
  <c r="P47"/>
  <c r="P29"/>
  <c r="P17"/>
  <c r="P156"/>
  <c r="P54"/>
  <c r="P44"/>
  <c r="P106"/>
  <c r="P84"/>
  <c r="P33"/>
  <c r="P28"/>
  <c r="P4" i="3"/>
  <c r="P4" i="2" s="1"/>
  <c r="P5"/>
  <c r="P45"/>
  <c r="P18"/>
  <c r="P12"/>
  <c r="P6"/>
  <c r="P68"/>
  <c r="P57"/>
  <c r="P53"/>
  <c r="P34"/>
  <c r="P26" i="3"/>
  <c r="P26" i="2" s="1"/>
  <c r="P27"/>
  <c r="P23"/>
  <c r="P64"/>
  <c r="P37" i="3"/>
  <c r="P37" i="2" s="1"/>
  <c r="P38"/>
  <c r="P24"/>
  <c r="P155"/>
  <c r="P111"/>
  <c r="P43"/>
  <c r="P9"/>
  <c r="P46"/>
  <c r="P19"/>
  <c r="P14"/>
  <c r="P11"/>
  <c r="P25"/>
  <c r="P36"/>
  <c r="P15" i="3"/>
  <c r="P15" i="2" s="1"/>
  <c r="P16"/>
  <c r="P78"/>
  <c r="P75"/>
  <c r="AW275"/>
  <c r="AW261"/>
  <c r="AW251"/>
  <c r="AW241"/>
  <c r="AW272"/>
  <c r="AW264"/>
  <c r="AW256"/>
  <c r="AW248"/>
  <c r="AW277"/>
  <c r="AW268" i="3"/>
  <c r="AW268" i="2" s="1"/>
  <c r="AW269"/>
  <c r="AW267"/>
  <c r="AW259"/>
  <c r="AW253"/>
  <c r="AW243"/>
  <c r="AW273"/>
  <c r="AW263"/>
  <c r="AW249"/>
  <c r="AW242"/>
  <c r="AW233"/>
  <c r="AW240"/>
  <c r="AW230"/>
  <c r="AW220"/>
  <c r="AW210"/>
  <c r="AW278"/>
  <c r="AW270"/>
  <c r="AW266"/>
  <c r="AW257" i="3"/>
  <c r="AW257" i="2" s="1"/>
  <c r="AW258"/>
  <c r="AW254"/>
  <c r="AW232"/>
  <c r="AW222"/>
  <c r="AW271"/>
  <c r="AW265"/>
  <c r="AW245"/>
  <c r="AW207"/>
  <c r="AW252"/>
  <c r="AW239"/>
  <c r="AW234"/>
  <c r="AW229"/>
  <c r="AW227"/>
  <c r="AW262"/>
  <c r="AW250"/>
  <c r="AW215"/>
  <c r="AW206"/>
  <c r="AW221"/>
  <c r="AW209"/>
  <c r="AW194"/>
  <c r="AW246" i="3"/>
  <c r="AW246" i="2" s="1"/>
  <c r="AW247"/>
  <c r="AW237"/>
  <c r="AW231"/>
  <c r="AW217"/>
  <c r="AW212"/>
  <c r="AW211"/>
  <c r="AW205"/>
  <c r="AW199"/>
  <c r="AW189"/>
  <c r="AW180" i="3"/>
  <c r="AW180" i="2" s="1"/>
  <c r="AW181"/>
  <c r="AW179"/>
  <c r="AW171"/>
  <c r="AW274"/>
  <c r="AW238"/>
  <c r="AW235" i="3"/>
  <c r="AW235" i="2" s="1"/>
  <c r="AW236"/>
  <c r="AW218"/>
  <c r="AW213" i="3"/>
  <c r="AW213" i="2" s="1"/>
  <c r="AW214"/>
  <c r="AW208"/>
  <c r="AW196"/>
  <c r="AW186"/>
  <c r="AW176"/>
  <c r="AW219"/>
  <c r="AW195"/>
  <c r="AW224" i="3"/>
  <c r="AW224" i="2" s="1"/>
  <c r="AW225"/>
  <c r="AW188"/>
  <c r="AW174"/>
  <c r="AW164"/>
  <c r="AW154"/>
  <c r="AW144"/>
  <c r="AW134"/>
  <c r="AW244"/>
  <c r="AW198"/>
  <c r="AW190"/>
  <c r="AW183"/>
  <c r="AW177"/>
  <c r="AW166"/>
  <c r="AW156"/>
  <c r="AW147" i="3"/>
  <c r="AW147" i="2" s="1"/>
  <c r="AW148"/>
  <c r="AW146"/>
  <c r="AW138"/>
  <c r="AW223"/>
  <c r="AW216"/>
  <c r="AW197"/>
  <c r="AW193"/>
  <c r="AW187"/>
  <c r="AW163"/>
  <c r="AW153"/>
  <c r="AW143"/>
  <c r="AW133"/>
  <c r="AW228"/>
  <c r="AW204"/>
  <c r="AW182"/>
  <c r="AW165"/>
  <c r="AW155"/>
  <c r="AW145"/>
  <c r="AW136" i="3"/>
  <c r="AW136" i="2" s="1"/>
  <c r="AW137"/>
  <c r="AW135"/>
  <c r="AW184"/>
  <c r="AW169" i="3"/>
  <c r="AW169" i="2" s="1"/>
  <c r="AW170"/>
  <c r="AW121"/>
  <c r="AW111"/>
  <c r="AW101"/>
  <c r="AW226"/>
  <c r="AW191" i="3"/>
  <c r="AW191" i="2" s="1"/>
  <c r="AW192"/>
  <c r="AW167"/>
  <c r="AW162"/>
  <c r="AW142"/>
  <c r="AW128"/>
  <c r="AW118"/>
  <c r="AW108"/>
  <c r="AW98"/>
  <c r="AW201"/>
  <c r="AW200"/>
  <c r="AW161"/>
  <c r="AW160"/>
  <c r="AW141"/>
  <c r="AW140"/>
  <c r="AW123"/>
  <c r="AW114" i="3"/>
  <c r="AW114" i="2" s="1"/>
  <c r="AW115"/>
  <c r="AW113"/>
  <c r="AW260"/>
  <c r="AW158" i="3"/>
  <c r="AW158" i="2" s="1"/>
  <c r="AW159"/>
  <c r="AW139"/>
  <c r="AW120"/>
  <c r="AW110"/>
  <c r="AW168"/>
  <c r="AW129"/>
  <c r="AW90"/>
  <c r="AW81" i="3"/>
  <c r="AW81" i="2" s="1"/>
  <c r="AW82"/>
  <c r="AW80"/>
  <c r="AW72"/>
  <c r="AW62"/>
  <c r="AW255"/>
  <c r="AW172"/>
  <c r="AW99"/>
  <c r="AW96"/>
  <c r="AW84"/>
  <c r="AW74"/>
  <c r="AW64"/>
  <c r="AW185"/>
  <c r="AW152"/>
  <c r="AW125" i="3"/>
  <c r="AW125" i="2" s="1"/>
  <c r="AW126"/>
  <c r="AW119"/>
  <c r="AW106"/>
  <c r="AW105"/>
  <c r="AW89"/>
  <c r="AW79"/>
  <c r="AW70" i="3"/>
  <c r="AW70" i="2" s="1"/>
  <c r="AW71"/>
  <c r="AW69"/>
  <c r="AW61"/>
  <c r="AW130"/>
  <c r="AW116"/>
  <c r="AW100"/>
  <c r="AW85"/>
  <c r="AW276"/>
  <c r="AW149"/>
  <c r="AW103" i="3"/>
  <c r="AW103" i="2" s="1"/>
  <c r="AW104"/>
  <c r="AW92" i="3"/>
  <c r="AW92" i="2" s="1"/>
  <c r="AW93"/>
  <c r="AW151"/>
  <c r="AW132"/>
  <c r="AW77"/>
  <c r="AW202" i="3"/>
  <c r="AW202" i="2" s="1"/>
  <c r="AW203"/>
  <c r="AW97"/>
  <c r="AW94"/>
  <c r="AW86"/>
  <c r="AW54"/>
  <c r="AW44"/>
  <c r="AW34"/>
  <c r="AW24"/>
  <c r="AW15" i="3"/>
  <c r="AW15" i="2" s="1"/>
  <c r="AW16"/>
  <c r="AW117"/>
  <c r="AW109"/>
  <c r="AW102"/>
  <c r="AW91"/>
  <c r="AW83"/>
  <c r="AW66"/>
  <c r="AW53"/>
  <c r="AW43"/>
  <c r="AW33"/>
  <c r="AW23"/>
  <c r="AW131"/>
  <c r="AW95"/>
  <c r="AW73"/>
  <c r="AW65"/>
  <c r="AW59" i="3"/>
  <c r="AW59" i="2" s="1"/>
  <c r="AW60"/>
  <c r="AW55"/>
  <c r="AW45"/>
  <c r="AW35"/>
  <c r="AW26" i="3"/>
  <c r="AW26" i="2" s="1"/>
  <c r="AW27"/>
  <c r="AW25"/>
  <c r="AW17"/>
  <c r="AW157"/>
  <c r="AW122"/>
  <c r="AW173"/>
  <c r="AW78"/>
  <c r="AW67"/>
  <c r="AW107"/>
  <c r="AW68"/>
  <c r="AW58"/>
  <c r="AW19"/>
  <c r="AW11"/>
  <c r="AW124"/>
  <c r="AW88"/>
  <c r="AW36"/>
  <c r="AW12"/>
  <c r="AW9"/>
  <c r="AW175"/>
  <c r="AW50"/>
  <c r="AW46"/>
  <c r="AW41"/>
  <c r="AW31"/>
  <c r="AW20"/>
  <c r="AW4" i="3"/>
  <c r="AW4" i="2" s="1"/>
  <c r="AW5"/>
  <c r="AW29"/>
  <c r="AW22"/>
  <c r="AW8"/>
  <c r="AW150"/>
  <c r="AW76"/>
  <c r="AW63"/>
  <c r="AW56"/>
  <c r="AW40"/>
  <c r="AW18"/>
  <c r="AW7"/>
  <c r="AW6"/>
  <c r="AW57"/>
  <c r="AW52"/>
  <c r="AW47"/>
  <c r="AW42"/>
  <c r="AW14"/>
  <c r="AW13"/>
  <c r="AW87"/>
  <c r="AW51"/>
  <c r="AW112"/>
  <c r="AW75"/>
  <c r="AW37" i="3"/>
  <c r="AW37" i="2" s="1"/>
  <c r="AW38"/>
  <c r="AW178"/>
  <c r="AW32"/>
  <c r="AW30"/>
  <c r="AW28"/>
  <c r="AW21"/>
  <c r="AW127"/>
  <c r="AW10"/>
  <c r="AW39"/>
  <c r="AW49"/>
  <c r="AW48" i="3"/>
  <c r="AW48" i="2" s="1"/>
  <c r="AE277"/>
  <c r="AE268" i="3"/>
  <c r="AE268" i="2" s="1"/>
  <c r="AE269"/>
  <c r="AE267"/>
  <c r="AE259"/>
  <c r="AE253"/>
  <c r="AE243"/>
  <c r="AE274"/>
  <c r="AE262"/>
  <c r="AE250"/>
  <c r="AE271"/>
  <c r="AE265"/>
  <c r="AE255"/>
  <c r="AE246" i="3"/>
  <c r="AE246" i="2" s="1"/>
  <c r="AE247"/>
  <c r="AE245"/>
  <c r="AE275"/>
  <c r="AE261"/>
  <c r="AE251"/>
  <c r="AE272"/>
  <c r="AE264"/>
  <c r="AE256"/>
  <c r="AE248"/>
  <c r="AE237"/>
  <c r="AE232"/>
  <c r="AE222"/>
  <c r="AE213" i="3"/>
  <c r="AE213" i="2" s="1"/>
  <c r="AE214"/>
  <c r="AE212"/>
  <c r="AE276"/>
  <c r="AE263"/>
  <c r="AE260"/>
  <c r="AE252"/>
  <c r="AE235" i="3"/>
  <c r="AE235" i="2" s="1"/>
  <c r="AE236"/>
  <c r="AE234"/>
  <c r="AE226"/>
  <c r="AE238"/>
  <c r="AE233"/>
  <c r="AE224" i="3"/>
  <c r="AE224" i="2" s="1"/>
  <c r="AE225"/>
  <c r="AE209"/>
  <c r="AE249"/>
  <c r="AE210"/>
  <c r="AE254"/>
  <c r="AE241"/>
  <c r="AE231"/>
  <c r="AE228"/>
  <c r="AE215"/>
  <c r="AE208"/>
  <c r="AE244"/>
  <c r="AE227"/>
  <c r="AE218"/>
  <c r="AE217"/>
  <c r="AE196"/>
  <c r="AE278"/>
  <c r="AE230"/>
  <c r="AE229"/>
  <c r="AE205"/>
  <c r="AE201"/>
  <c r="AE193"/>
  <c r="AE183"/>
  <c r="AE173"/>
  <c r="AE273"/>
  <c r="AE198"/>
  <c r="AE188"/>
  <c r="AE178"/>
  <c r="AE169" i="3"/>
  <c r="AE169" i="2" s="1"/>
  <c r="AE170"/>
  <c r="AE216"/>
  <c r="AE197"/>
  <c r="AE200"/>
  <c r="AE186"/>
  <c r="AE179"/>
  <c r="AE175"/>
  <c r="AE171"/>
  <c r="AE166"/>
  <c r="AE156"/>
  <c r="AE147" i="3"/>
  <c r="AE147" i="2" s="1"/>
  <c r="AE148"/>
  <c r="AE146"/>
  <c r="AE138"/>
  <c r="AE270"/>
  <c r="AE219"/>
  <c r="AE202" i="3"/>
  <c r="AE202" i="2" s="1"/>
  <c r="AE203"/>
  <c r="AE191" i="3"/>
  <c r="AE191" i="2" s="1"/>
  <c r="AE192"/>
  <c r="AE174"/>
  <c r="AE160"/>
  <c r="AE150"/>
  <c r="AE140"/>
  <c r="AE242"/>
  <c r="AE211"/>
  <c r="AE184"/>
  <c r="AE165"/>
  <c r="AE155"/>
  <c r="AE145"/>
  <c r="AE136" i="3"/>
  <c r="AE136" i="2" s="1"/>
  <c r="AE137"/>
  <c r="AE135"/>
  <c r="AE221"/>
  <c r="AE204"/>
  <c r="AE187"/>
  <c r="AE158" i="3"/>
  <c r="AE158" i="2" s="1"/>
  <c r="AE159"/>
  <c r="AE157"/>
  <c r="AE149"/>
  <c r="AE139"/>
  <c r="AE266"/>
  <c r="AE185"/>
  <c r="AE172"/>
  <c r="AE162"/>
  <c r="AE154"/>
  <c r="AE142"/>
  <c r="AE123"/>
  <c r="AE114" i="3"/>
  <c r="AE114" i="2" s="1"/>
  <c r="AE115"/>
  <c r="AE113"/>
  <c r="AE105"/>
  <c r="AE239"/>
  <c r="AE223"/>
  <c r="AE207"/>
  <c r="AE167"/>
  <c r="AE161"/>
  <c r="AE141"/>
  <c r="AE130"/>
  <c r="AE120"/>
  <c r="AE110"/>
  <c r="AE100"/>
  <c r="AE194"/>
  <c r="AE182"/>
  <c r="AE180" i="3"/>
  <c r="AE180" i="2" s="1"/>
  <c r="AE181"/>
  <c r="AE153"/>
  <c r="AE134"/>
  <c r="AE127"/>
  <c r="AE117"/>
  <c r="AE152"/>
  <c r="AE122"/>
  <c r="AE112"/>
  <c r="AE103" i="3"/>
  <c r="AE103" i="2" s="1"/>
  <c r="AE104"/>
  <c r="AE102"/>
  <c r="AE163"/>
  <c r="AE133"/>
  <c r="AE128"/>
  <c r="AE84"/>
  <c r="AE74"/>
  <c r="AE64"/>
  <c r="AE206"/>
  <c r="AE109"/>
  <c r="AE99"/>
  <c r="AE96"/>
  <c r="AE86"/>
  <c r="AE76"/>
  <c r="AE66"/>
  <c r="AE190"/>
  <c r="AE118"/>
  <c r="AE92" i="3"/>
  <c r="AE92" i="2" s="1"/>
  <c r="AE93"/>
  <c r="AE91"/>
  <c r="AE83"/>
  <c r="AE73"/>
  <c r="AE63"/>
  <c r="AE129"/>
  <c r="AE88"/>
  <c r="AE189"/>
  <c r="AE131"/>
  <c r="AE116"/>
  <c r="AE97"/>
  <c r="AE240"/>
  <c r="AE144"/>
  <c r="AE125" i="3"/>
  <c r="AE125" i="2" s="1"/>
  <c r="AE126"/>
  <c r="AE124"/>
  <c r="AE195"/>
  <c r="AE164"/>
  <c r="AE89"/>
  <c r="AE80"/>
  <c r="AE77"/>
  <c r="AE61"/>
  <c r="AE56"/>
  <c r="AE46"/>
  <c r="AE37" i="3"/>
  <c r="AE37" i="2" s="1"/>
  <c r="AE38"/>
  <c r="AE36"/>
  <c r="AE28"/>
  <c r="AE18"/>
  <c r="AE108"/>
  <c r="AE101"/>
  <c r="AE79"/>
  <c r="AE55"/>
  <c r="AE45"/>
  <c r="AE35"/>
  <c r="AE26" i="3"/>
  <c r="AE26" i="2" s="1"/>
  <c r="AE27"/>
  <c r="AE25"/>
  <c r="AE17"/>
  <c r="AE168"/>
  <c r="AE143"/>
  <c r="AE111"/>
  <c r="AE85"/>
  <c r="AE81" i="3"/>
  <c r="AE81" i="2" s="1"/>
  <c r="AE82"/>
  <c r="AE68"/>
  <c r="AE57"/>
  <c r="AE48" i="3"/>
  <c r="AE48" i="2" s="1"/>
  <c r="AE49"/>
  <c r="AE47"/>
  <c r="AE39"/>
  <c r="AE29"/>
  <c r="AE19"/>
  <c r="AE199"/>
  <c r="AE132"/>
  <c r="AE107"/>
  <c r="AE106"/>
  <c r="AE94"/>
  <c r="AE220"/>
  <c r="AE176"/>
  <c r="AE119"/>
  <c r="AE75"/>
  <c r="AE72"/>
  <c r="AE78"/>
  <c r="AE67"/>
  <c r="AE51"/>
  <c r="AE41"/>
  <c r="AE13"/>
  <c r="AE4" i="3"/>
  <c r="AE4" i="2" s="1"/>
  <c r="AE5"/>
  <c r="AE65"/>
  <c r="AE62"/>
  <c r="AE12"/>
  <c r="AE9"/>
  <c r="AE151"/>
  <c r="AE121"/>
  <c r="AE95"/>
  <c r="AE42"/>
  <c r="AE32"/>
  <c r="AE21"/>
  <c r="AE34"/>
  <c r="AE22"/>
  <c r="AE257" i="3"/>
  <c r="AE257" i="2" s="1"/>
  <c r="AE258"/>
  <c r="AE40"/>
  <c r="AE87"/>
  <c r="AE59" i="3"/>
  <c r="AE59" i="2" s="1"/>
  <c r="AE60"/>
  <c r="AE24"/>
  <c r="AE177"/>
  <c r="AE44"/>
  <c r="AE43"/>
  <c r="AE7"/>
  <c r="AE15" i="3"/>
  <c r="AE15" i="2" s="1"/>
  <c r="AE16"/>
  <c r="AE14"/>
  <c r="AE8"/>
  <c r="AE98"/>
  <c r="AE58"/>
  <c r="AE52"/>
  <c r="AE33"/>
  <c r="AE31"/>
  <c r="AE11"/>
  <c r="AE23"/>
  <c r="AE6"/>
  <c r="AE54"/>
  <c r="AE10"/>
  <c r="AE69"/>
  <c r="AE70" i="3"/>
  <c r="AE70" i="2" s="1"/>
  <c r="AE71"/>
  <c r="AE50"/>
  <c r="AE30"/>
  <c r="AE53"/>
  <c r="AE20"/>
  <c r="AE90"/>
  <c r="AM277"/>
  <c r="AM268" i="3"/>
  <c r="AM268" i="2" s="1"/>
  <c r="AM269"/>
  <c r="AM267"/>
  <c r="AM259"/>
  <c r="AM253"/>
  <c r="AM243"/>
  <c r="AM274"/>
  <c r="AM262"/>
  <c r="AM250"/>
  <c r="AM271"/>
  <c r="AM265"/>
  <c r="AM255"/>
  <c r="AM246" i="3"/>
  <c r="AM246" i="2" s="1"/>
  <c r="AM247"/>
  <c r="AM245"/>
  <c r="AM275"/>
  <c r="AM261"/>
  <c r="AM251"/>
  <c r="AM237"/>
  <c r="AM244"/>
  <c r="AM232"/>
  <c r="AM222"/>
  <c r="AM213" i="3"/>
  <c r="AM213" i="2" s="1"/>
  <c r="AM214"/>
  <c r="AM212"/>
  <c r="AM273"/>
  <c r="AM249"/>
  <c r="AM241"/>
  <c r="AM235" i="3"/>
  <c r="AM235" i="2" s="1"/>
  <c r="AM236"/>
  <c r="AM234"/>
  <c r="AM226"/>
  <c r="AM278"/>
  <c r="AM266"/>
  <c r="AM231"/>
  <c r="AM219"/>
  <c r="AM216"/>
  <c r="AM209"/>
  <c r="AM270"/>
  <c r="AM215"/>
  <c r="AM263"/>
  <c r="AM240"/>
  <c r="AM230"/>
  <c r="AM227"/>
  <c r="AM221"/>
  <c r="AM218"/>
  <c r="AM208"/>
  <c r="AM205"/>
  <c r="AM196"/>
  <c r="AM257" i="3"/>
  <c r="AM257" i="2" s="1"/>
  <c r="AM258"/>
  <c r="AM254"/>
  <c r="AM228"/>
  <c r="AM224" i="3"/>
  <c r="AM224" i="2" s="1"/>
  <c r="AM225"/>
  <c r="AM223"/>
  <c r="AM210"/>
  <c r="AM201"/>
  <c r="AM193"/>
  <c r="AM183"/>
  <c r="AM173"/>
  <c r="AM276"/>
  <c r="AM256"/>
  <c r="AM220"/>
  <c r="AM198"/>
  <c r="AM188"/>
  <c r="AM178"/>
  <c r="AM169" i="3"/>
  <c r="AM169" i="2" s="1"/>
  <c r="AM170"/>
  <c r="AM233"/>
  <c r="AM207"/>
  <c r="AM197"/>
  <c r="AM239"/>
  <c r="AM204"/>
  <c r="AM195"/>
  <c r="AM174"/>
  <c r="AM168"/>
  <c r="AM166"/>
  <c r="AM156"/>
  <c r="AM147" i="3"/>
  <c r="AM147" i="2" s="1"/>
  <c r="AM148"/>
  <c r="AM146"/>
  <c r="AM138"/>
  <c r="AM217"/>
  <c r="AM177"/>
  <c r="AM160"/>
  <c r="AM150"/>
  <c r="AM140"/>
  <c r="AM238"/>
  <c r="AM190"/>
  <c r="AM187"/>
  <c r="AM167"/>
  <c r="AM165"/>
  <c r="AM155"/>
  <c r="AM145"/>
  <c r="AM136" i="3"/>
  <c r="AM136" i="2" s="1"/>
  <c r="AM137"/>
  <c r="AM135"/>
  <c r="AM260"/>
  <c r="AM202" i="3"/>
  <c r="AM202" i="2" s="1"/>
  <c r="AM203"/>
  <c r="AM199"/>
  <c r="AM182"/>
  <c r="AM176"/>
  <c r="AM158" i="3"/>
  <c r="AM158" i="2" s="1"/>
  <c r="AM159"/>
  <c r="AM157"/>
  <c r="AM149"/>
  <c r="AM139"/>
  <c r="AM229"/>
  <c r="AM151"/>
  <c r="AM133"/>
  <c r="AM123"/>
  <c r="AM114" i="3"/>
  <c r="AM114" i="2" s="1"/>
  <c r="AM115"/>
  <c r="AM113"/>
  <c r="AM105"/>
  <c r="AM189"/>
  <c r="AM175"/>
  <c r="AM164"/>
  <c r="AM144"/>
  <c r="AM132"/>
  <c r="AM130"/>
  <c r="AM120"/>
  <c r="AM110"/>
  <c r="AM100"/>
  <c r="AM186"/>
  <c r="AM131"/>
  <c r="AM127"/>
  <c r="AM117"/>
  <c r="AM264"/>
  <c r="AM252"/>
  <c r="AM248"/>
  <c r="AM185"/>
  <c r="AM172"/>
  <c r="AM171"/>
  <c r="AM163"/>
  <c r="AM143"/>
  <c r="AM122"/>
  <c r="AM112"/>
  <c r="AM103" i="3"/>
  <c r="AM103" i="2" s="1"/>
  <c r="AM104"/>
  <c r="AM102"/>
  <c r="AM191" i="3"/>
  <c r="AM191" i="2" s="1"/>
  <c r="AM192"/>
  <c r="AM180" i="3"/>
  <c r="AM180" i="2" s="1"/>
  <c r="AM181"/>
  <c r="AM162"/>
  <c r="AM161"/>
  <c r="AM154"/>
  <c r="AM124"/>
  <c r="AM116"/>
  <c r="AM111"/>
  <c r="AM84"/>
  <c r="AM74"/>
  <c r="AM64"/>
  <c r="AM152"/>
  <c r="AM134"/>
  <c r="AM129"/>
  <c r="AM108"/>
  <c r="AM86"/>
  <c r="AM76"/>
  <c r="AM66"/>
  <c r="AM211"/>
  <c r="AM194"/>
  <c r="AM179"/>
  <c r="AM121"/>
  <c r="AM107"/>
  <c r="AM92" i="3"/>
  <c r="AM92" i="2" s="1"/>
  <c r="AM93"/>
  <c r="AM91"/>
  <c r="AM83"/>
  <c r="AM73"/>
  <c r="AM63"/>
  <c r="AM272"/>
  <c r="AM184"/>
  <c r="AM141"/>
  <c r="AM109"/>
  <c r="AM94"/>
  <c r="AM153"/>
  <c r="AM99"/>
  <c r="AM95"/>
  <c r="AM206"/>
  <c r="AM200"/>
  <c r="AM128"/>
  <c r="AM125" i="3"/>
  <c r="AM125" i="2" s="1"/>
  <c r="AM126"/>
  <c r="AM87"/>
  <c r="AM78"/>
  <c r="AM96"/>
  <c r="AM85"/>
  <c r="AM79"/>
  <c r="AM75"/>
  <c r="AM56"/>
  <c r="AM46"/>
  <c r="AM37" i="3"/>
  <c r="AM37" i="2" s="1"/>
  <c r="AM38"/>
  <c r="AM36"/>
  <c r="AM28"/>
  <c r="AM18"/>
  <c r="AM106"/>
  <c r="AM70" i="3"/>
  <c r="AM70" i="2" s="1"/>
  <c r="AM71"/>
  <c r="AM62"/>
  <c r="AM55"/>
  <c r="AM45"/>
  <c r="AM35"/>
  <c r="AM26" i="3"/>
  <c r="AM26" i="2" s="1"/>
  <c r="AM27"/>
  <c r="AM25"/>
  <c r="AM17"/>
  <c r="AM97"/>
  <c r="AM61"/>
  <c r="AM57"/>
  <c r="AM48" i="3"/>
  <c r="AM48" i="2" s="1"/>
  <c r="AM49"/>
  <c r="AM47"/>
  <c r="AM39"/>
  <c r="AM29"/>
  <c r="AM19"/>
  <c r="AM98"/>
  <c r="AM142"/>
  <c r="AM101"/>
  <c r="AM89"/>
  <c r="AM88"/>
  <c r="AM81" i="3"/>
  <c r="AM81" i="2" s="1"/>
  <c r="AM82"/>
  <c r="AM119"/>
  <c r="AM34"/>
  <c r="AM21"/>
  <c r="AM13"/>
  <c r="AM4" i="3"/>
  <c r="AM4" i="2" s="1"/>
  <c r="AM5"/>
  <c r="AM67"/>
  <c r="AM53"/>
  <c r="AM44"/>
  <c r="AM23"/>
  <c r="AM77"/>
  <c r="AM30"/>
  <c r="AM24"/>
  <c r="AM58"/>
  <c r="AM52"/>
  <c r="AM42"/>
  <c r="AM72"/>
  <c r="AM54"/>
  <c r="AM43"/>
  <c r="AM31"/>
  <c r="AM20"/>
  <c r="AM80"/>
  <c r="AM68"/>
  <c r="AM33"/>
  <c r="AM11"/>
  <c r="AM10"/>
  <c r="AM242"/>
  <c r="AM90"/>
  <c r="AM65"/>
  <c r="AM40"/>
  <c r="AM32"/>
  <c r="AM12"/>
  <c r="AM6"/>
  <c r="AM59" i="3"/>
  <c r="AM59" i="2" s="1"/>
  <c r="AM60"/>
  <c r="AM51"/>
  <c r="AM118"/>
  <c r="AM7"/>
  <c r="AM50"/>
  <c r="AM15" i="3"/>
  <c r="AM15" i="2" s="1"/>
  <c r="AM16"/>
  <c r="AM9"/>
  <c r="AM22"/>
  <c r="AM8"/>
  <c r="AM69"/>
  <c r="AM14"/>
  <c r="AM41"/>
  <c r="W277"/>
  <c r="W268" i="3"/>
  <c r="W268" i="2" s="1"/>
  <c r="W269"/>
  <c r="W267"/>
  <c r="W259"/>
  <c r="W253"/>
  <c r="W243"/>
  <c r="W274"/>
  <c r="W262"/>
  <c r="W250"/>
  <c r="W271"/>
  <c r="W265"/>
  <c r="W255"/>
  <c r="W246" i="3"/>
  <c r="W246" i="2" s="1"/>
  <c r="W247"/>
  <c r="W245"/>
  <c r="W275"/>
  <c r="W261"/>
  <c r="W251"/>
  <c r="W237"/>
  <c r="W244"/>
  <c r="W232"/>
  <c r="W222"/>
  <c r="W213" i="3"/>
  <c r="W213" i="2" s="1"/>
  <c r="W214"/>
  <c r="W212"/>
  <c r="W273"/>
  <c r="W249"/>
  <c r="W235" i="3"/>
  <c r="W235" i="2" s="1"/>
  <c r="W236"/>
  <c r="W234"/>
  <c r="W226"/>
  <c r="W256"/>
  <c r="W223"/>
  <c r="W220"/>
  <c r="W217"/>
  <c r="W211"/>
  <c r="W209"/>
  <c r="W252"/>
  <c r="W248"/>
  <c r="W239"/>
  <c r="W229"/>
  <c r="W224" i="3"/>
  <c r="W224" i="2" s="1"/>
  <c r="W225"/>
  <c r="W219"/>
  <c r="W216"/>
  <c r="W278"/>
  <c r="W266"/>
  <c r="W238"/>
  <c r="W233"/>
  <c r="W210"/>
  <c r="W208"/>
  <c r="W206"/>
  <c r="W202" i="3"/>
  <c r="W202" i="2" s="1"/>
  <c r="W203"/>
  <c r="W196"/>
  <c r="W270"/>
  <c r="W241"/>
  <c r="W240"/>
  <c r="W228"/>
  <c r="W207"/>
  <c r="W201"/>
  <c r="W193"/>
  <c r="W183"/>
  <c r="W173"/>
  <c r="W272"/>
  <c r="W260"/>
  <c r="W221"/>
  <c r="W205"/>
  <c r="W198"/>
  <c r="W188"/>
  <c r="W178"/>
  <c r="W264"/>
  <c r="W257" i="3"/>
  <c r="W257" i="2" s="1"/>
  <c r="W258"/>
  <c r="W227"/>
  <c r="W215"/>
  <c r="W204"/>
  <c r="W197"/>
  <c r="W195"/>
  <c r="W172"/>
  <c r="W166"/>
  <c r="W156"/>
  <c r="W147" i="3"/>
  <c r="W147" i="2" s="1"/>
  <c r="W148"/>
  <c r="W146"/>
  <c r="W138"/>
  <c r="W276"/>
  <c r="W194"/>
  <c r="W186"/>
  <c r="W179"/>
  <c r="W175"/>
  <c r="W171"/>
  <c r="W168"/>
  <c r="W160"/>
  <c r="W150"/>
  <c r="W140"/>
  <c r="W189"/>
  <c r="W185"/>
  <c r="W180" i="3"/>
  <c r="W180" i="2" s="1"/>
  <c r="W181"/>
  <c r="W169" i="3"/>
  <c r="W169" i="2" s="1"/>
  <c r="W170"/>
  <c r="W165"/>
  <c r="W155"/>
  <c r="W145"/>
  <c r="W136" i="3"/>
  <c r="W136" i="2" s="1"/>
  <c r="W137"/>
  <c r="W135"/>
  <c r="W231"/>
  <c r="W199"/>
  <c r="W191" i="3"/>
  <c r="W191" i="2" s="1"/>
  <c r="W192"/>
  <c r="W184"/>
  <c r="W167"/>
  <c r="W158" i="3"/>
  <c r="W158" i="2" s="1"/>
  <c r="W159"/>
  <c r="W157"/>
  <c r="W149"/>
  <c r="W139"/>
  <c r="W263"/>
  <c r="W151"/>
  <c r="W133"/>
  <c r="W123"/>
  <c r="W114" i="3"/>
  <c r="W114" i="2" s="1"/>
  <c r="W115"/>
  <c r="W113"/>
  <c r="W105"/>
  <c r="W164"/>
  <c r="W144"/>
  <c r="W132"/>
  <c r="W130"/>
  <c r="W120"/>
  <c r="W110"/>
  <c r="W100"/>
  <c r="W254"/>
  <c r="W218"/>
  <c r="W131"/>
  <c r="W127"/>
  <c r="W117"/>
  <c r="W200"/>
  <c r="W190"/>
  <c r="W187"/>
  <c r="W177"/>
  <c r="W174"/>
  <c r="W163"/>
  <c r="W143"/>
  <c r="W122"/>
  <c r="W112"/>
  <c r="W103" i="3"/>
  <c r="W103" i="2" s="1"/>
  <c r="W104"/>
  <c r="W102"/>
  <c r="W230"/>
  <c r="W124"/>
  <c r="W116"/>
  <c r="W111"/>
  <c r="W108"/>
  <c r="W97"/>
  <c r="W94"/>
  <c r="W84"/>
  <c r="W74"/>
  <c r="W64"/>
  <c r="W182"/>
  <c r="W129"/>
  <c r="W106"/>
  <c r="W101"/>
  <c r="W86"/>
  <c r="W76"/>
  <c r="W66"/>
  <c r="W242"/>
  <c r="W176"/>
  <c r="W121"/>
  <c r="W99"/>
  <c r="W96"/>
  <c r="W92" i="3"/>
  <c r="W92" i="2" s="1"/>
  <c r="W93"/>
  <c r="W91"/>
  <c r="W83"/>
  <c r="W73"/>
  <c r="W63"/>
  <c r="W142"/>
  <c r="W90"/>
  <c r="W119"/>
  <c r="W109"/>
  <c r="W107"/>
  <c r="W95"/>
  <c r="W161"/>
  <c r="W162"/>
  <c r="W154"/>
  <c r="W134"/>
  <c r="W118"/>
  <c r="W85"/>
  <c r="W77"/>
  <c r="W89"/>
  <c r="W80"/>
  <c r="W68"/>
  <c r="W56"/>
  <c r="W46"/>
  <c r="W37" i="3"/>
  <c r="W37" i="2" s="1"/>
  <c r="W38"/>
  <c r="W36"/>
  <c r="W28"/>
  <c r="W18"/>
  <c r="W61"/>
  <c r="W55"/>
  <c r="W45"/>
  <c r="W35"/>
  <c r="W26" i="3"/>
  <c r="W26" i="2" s="1"/>
  <c r="W27"/>
  <c r="W25"/>
  <c r="W17"/>
  <c r="W98"/>
  <c r="W78"/>
  <c r="W57"/>
  <c r="W48" i="3"/>
  <c r="W48" i="2" s="1"/>
  <c r="W49"/>
  <c r="W47"/>
  <c r="W39"/>
  <c r="W29"/>
  <c r="W19"/>
  <c r="W128"/>
  <c r="W59" i="3"/>
  <c r="W59" i="2" s="1"/>
  <c r="W60"/>
  <c r="W58"/>
  <c r="W33"/>
  <c r="W24"/>
  <c r="W13"/>
  <c r="W4" i="3"/>
  <c r="W4" i="2" s="1"/>
  <c r="W5"/>
  <c r="W53"/>
  <c r="W30"/>
  <c r="W6"/>
  <c r="W87"/>
  <c r="W54"/>
  <c r="W40"/>
  <c r="W12"/>
  <c r="W9"/>
  <c r="W153"/>
  <c r="W51"/>
  <c r="W41"/>
  <c r="W15" i="3"/>
  <c r="W15" i="2" s="1"/>
  <c r="W16"/>
  <c r="W8"/>
  <c r="W7"/>
  <c r="W67"/>
  <c r="W52"/>
  <c r="W42"/>
  <c r="W11"/>
  <c r="W10"/>
  <c r="W62"/>
  <c r="W43"/>
  <c r="W32"/>
  <c r="W20"/>
  <c r="W79"/>
  <c r="W125" i="3"/>
  <c r="W125" i="2" s="1"/>
  <c r="W126"/>
  <c r="W50"/>
  <c r="W81" i="3"/>
  <c r="W81" i="2" s="1"/>
  <c r="W82"/>
  <c r="W22"/>
  <c r="W34"/>
  <c r="W152"/>
  <c r="W69"/>
  <c r="W65"/>
  <c r="W31"/>
  <c r="W23"/>
  <c r="W14"/>
  <c r="W44"/>
  <c r="W70" i="3"/>
  <c r="W70" i="2" s="1"/>
  <c r="W71"/>
  <c r="W141"/>
  <c r="W21"/>
  <c r="W75"/>
  <c r="W88"/>
  <c r="W72"/>
  <c r="AY273"/>
  <c r="AY263"/>
  <c r="AY249"/>
  <c r="AY278"/>
  <c r="AY270"/>
  <c r="AY266"/>
  <c r="AY257" i="3"/>
  <c r="AY257" i="2" s="1"/>
  <c r="AY258"/>
  <c r="AY254"/>
  <c r="AY244"/>
  <c r="AY275"/>
  <c r="AY261"/>
  <c r="AY251"/>
  <c r="AY271"/>
  <c r="AY265"/>
  <c r="AY255"/>
  <c r="AY246" i="3"/>
  <c r="AY246" i="2" s="1"/>
  <c r="AY247"/>
  <c r="AY245"/>
  <c r="AY274"/>
  <c r="AY262"/>
  <c r="AY250"/>
  <c r="AY243"/>
  <c r="AY231"/>
  <c r="AY272"/>
  <c r="AY267"/>
  <c r="AY264"/>
  <c r="AY259"/>
  <c r="AY256"/>
  <c r="AY248"/>
  <c r="AY242"/>
  <c r="AY238"/>
  <c r="AY228"/>
  <c r="AY218"/>
  <c r="AY240"/>
  <c r="AY230"/>
  <c r="AY277"/>
  <c r="AY260"/>
  <c r="AY235" i="3"/>
  <c r="AY235" i="2" s="1"/>
  <c r="AY236"/>
  <c r="AY220"/>
  <c r="AY217"/>
  <c r="AY268" i="3"/>
  <c r="AY268" i="2" s="1"/>
  <c r="AY269"/>
  <c r="AY252"/>
  <c r="AY227"/>
  <c r="AY219"/>
  <c r="AY216"/>
  <c r="AY210"/>
  <c r="AY204"/>
  <c r="AY229"/>
  <c r="AY206"/>
  <c r="AY202" i="3"/>
  <c r="AY202" i="2" s="1"/>
  <c r="AY203"/>
  <c r="AY200"/>
  <c r="AY191" i="3"/>
  <c r="AY191" i="2" s="1"/>
  <c r="AY192"/>
  <c r="AY190"/>
  <c r="AY233"/>
  <c r="AY209"/>
  <c r="AY197"/>
  <c r="AY187"/>
  <c r="AY177"/>
  <c r="AY167"/>
  <c r="AY237"/>
  <c r="AY234"/>
  <c r="AY232"/>
  <c r="AY222"/>
  <c r="AY221"/>
  <c r="AY211"/>
  <c r="AY194"/>
  <c r="AY184"/>
  <c r="AY174"/>
  <c r="AY226"/>
  <c r="AY201"/>
  <c r="AY205"/>
  <c r="AY175"/>
  <c r="AY162"/>
  <c r="AY152"/>
  <c r="AY142"/>
  <c r="AY132"/>
  <c r="AY239"/>
  <c r="AY199"/>
  <c r="AY188"/>
  <c r="AY164"/>
  <c r="AY154"/>
  <c r="AY144"/>
  <c r="AY134"/>
  <c r="AY208"/>
  <c r="AY207"/>
  <c r="AY198"/>
  <c r="AY173"/>
  <c r="AY168"/>
  <c r="AY161"/>
  <c r="AY151"/>
  <c r="AY141"/>
  <c r="AY131"/>
  <c r="AY276"/>
  <c r="AY196"/>
  <c r="AY193"/>
  <c r="AY176"/>
  <c r="AY163"/>
  <c r="AY153"/>
  <c r="AY143"/>
  <c r="AY133"/>
  <c r="AY253"/>
  <c r="AY241"/>
  <c r="AY185"/>
  <c r="AY172"/>
  <c r="AY130"/>
  <c r="AY129"/>
  <c r="AY119"/>
  <c r="AY109"/>
  <c r="AY183"/>
  <c r="AY180" i="3"/>
  <c r="AY180" i="2" s="1"/>
  <c r="AY181"/>
  <c r="AY169" i="3"/>
  <c r="AY169" i="2" s="1"/>
  <c r="AY170"/>
  <c r="AY155"/>
  <c r="AY125" i="3"/>
  <c r="AY125" i="2" s="1"/>
  <c r="AY126"/>
  <c r="AY124"/>
  <c r="AY116"/>
  <c r="AY106"/>
  <c r="AY96"/>
  <c r="AY215"/>
  <c r="AY213" i="3"/>
  <c r="AY213" i="2" s="1"/>
  <c r="AY214"/>
  <c r="AY212"/>
  <c r="AY182"/>
  <c r="AY121"/>
  <c r="AY111"/>
  <c r="AY224" i="3"/>
  <c r="AY224" i="2" s="1"/>
  <c r="AY225"/>
  <c r="AY223"/>
  <c r="AY195"/>
  <c r="AY179"/>
  <c r="AY160"/>
  <c r="AY140"/>
  <c r="AY135"/>
  <c r="AY128"/>
  <c r="AY118"/>
  <c r="AY108"/>
  <c r="AY178"/>
  <c r="AY88"/>
  <c r="AY78"/>
  <c r="AY68"/>
  <c r="AY59" i="3"/>
  <c r="AY59" i="2" s="1"/>
  <c r="AY60"/>
  <c r="AY189"/>
  <c r="AY166"/>
  <c r="AY158" i="3"/>
  <c r="AY158" i="2" s="1"/>
  <c r="AY159"/>
  <c r="AY120"/>
  <c r="AY90"/>
  <c r="AY81" i="3"/>
  <c r="AY81" i="2" s="1"/>
  <c r="AY82"/>
  <c r="AY80"/>
  <c r="AY72"/>
  <c r="AY62"/>
  <c r="AY127"/>
  <c r="AY113"/>
  <c r="AY107"/>
  <c r="AY102"/>
  <c r="AY101"/>
  <c r="AY87"/>
  <c r="AY77"/>
  <c r="AY67"/>
  <c r="AY136" i="3"/>
  <c r="AY136" i="2" s="1"/>
  <c r="AY137"/>
  <c r="AY123"/>
  <c r="AY95"/>
  <c r="AY91"/>
  <c r="AY86"/>
  <c r="AY138"/>
  <c r="AY100"/>
  <c r="AY122"/>
  <c r="AY112"/>
  <c r="AY98"/>
  <c r="AY147" i="3"/>
  <c r="AY147" i="2" s="1"/>
  <c r="AY148"/>
  <c r="AY99"/>
  <c r="AY94"/>
  <c r="AY145"/>
  <c r="AY114" i="3"/>
  <c r="AY114" i="2" s="1"/>
  <c r="AY115"/>
  <c r="AY84"/>
  <c r="AY69"/>
  <c r="AY52"/>
  <c r="AY42"/>
  <c r="AY32"/>
  <c r="AY22"/>
  <c r="AY171"/>
  <c r="AY157"/>
  <c r="AY149"/>
  <c r="AY103" i="3"/>
  <c r="AY103" i="2" s="1"/>
  <c r="AY104"/>
  <c r="AY89"/>
  <c r="AY51"/>
  <c r="AY41"/>
  <c r="AY31"/>
  <c r="AY21"/>
  <c r="AY186"/>
  <c r="AY146"/>
  <c r="AY117"/>
  <c r="AY83"/>
  <c r="AY66"/>
  <c r="AY53"/>
  <c r="AY43"/>
  <c r="AY33"/>
  <c r="AY23"/>
  <c r="AY105"/>
  <c r="AY74"/>
  <c r="AY73"/>
  <c r="AY110"/>
  <c r="AY34"/>
  <c r="AY28"/>
  <c r="AY25"/>
  <c r="AY20"/>
  <c r="AY9"/>
  <c r="AY156"/>
  <c r="AY92" i="3"/>
  <c r="AY92" i="2" s="1"/>
  <c r="AY93"/>
  <c r="AY64"/>
  <c r="AY58"/>
  <c r="AY40"/>
  <c r="AY35"/>
  <c r="AY24"/>
  <c r="AY6"/>
  <c r="AY165"/>
  <c r="AY61"/>
  <c r="AY54"/>
  <c r="AY45"/>
  <c r="AY36"/>
  <c r="AY26" i="3"/>
  <c r="AY26" i="2" s="1"/>
  <c r="AY27"/>
  <c r="AY97"/>
  <c r="AY44"/>
  <c r="AY15" i="3"/>
  <c r="AY15" i="2" s="1"/>
  <c r="AY16"/>
  <c r="AY4" i="3"/>
  <c r="AY4" i="2" s="1"/>
  <c r="AY5"/>
  <c r="AY79"/>
  <c r="AY55"/>
  <c r="AY50"/>
  <c r="AY29"/>
  <c r="AY17"/>
  <c r="AY30"/>
  <c r="AY11"/>
  <c r="AY7"/>
  <c r="AY48" i="3"/>
  <c r="AY48" i="2" s="1"/>
  <c r="AY49"/>
  <c r="AY19"/>
  <c r="AY14"/>
  <c r="AY13"/>
  <c r="AY56"/>
  <c r="AY8"/>
  <c r="AY75"/>
  <c r="AY65"/>
  <c r="AY57"/>
  <c r="AY37" i="3"/>
  <c r="AY37" i="2" s="1"/>
  <c r="AY38"/>
  <c r="AY150"/>
  <c r="AY85"/>
  <c r="AY63"/>
  <c r="AY39"/>
  <c r="AY70" i="3"/>
  <c r="AY70" i="2" s="1"/>
  <c r="AY71"/>
  <c r="AY139"/>
  <c r="AY12"/>
  <c r="AY76"/>
  <c r="AY18"/>
  <c r="AY10"/>
  <c r="AY47"/>
  <c r="AY46"/>
  <c r="BD272"/>
  <c r="BD264"/>
  <c r="BD256"/>
  <c r="BD248"/>
  <c r="BD277"/>
  <c r="BD268" i="3"/>
  <c r="BD268" i="2" s="1"/>
  <c r="BD269"/>
  <c r="BD267"/>
  <c r="BD259"/>
  <c r="BD253"/>
  <c r="BD243"/>
  <c r="BD274"/>
  <c r="BD262"/>
  <c r="BD250"/>
  <c r="BD278"/>
  <c r="BD270"/>
  <c r="BD266"/>
  <c r="BD257" i="3"/>
  <c r="BD257" i="2" s="1"/>
  <c r="BD258"/>
  <c r="BD254"/>
  <c r="BD244"/>
  <c r="BD276"/>
  <c r="BD265"/>
  <c r="BD263"/>
  <c r="BD260"/>
  <c r="BD252"/>
  <c r="BD245"/>
  <c r="BD240"/>
  <c r="BD230"/>
  <c r="BD275"/>
  <c r="BD251"/>
  <c r="BD237"/>
  <c r="BD227"/>
  <c r="BD217"/>
  <c r="BD242"/>
  <c r="BD239"/>
  <c r="BD229"/>
  <c r="BD246" i="3"/>
  <c r="BD246" i="2" s="1"/>
  <c r="BD247"/>
  <c r="BD238"/>
  <c r="BD233"/>
  <c r="BD210"/>
  <c r="BD271"/>
  <c r="BD235" i="3"/>
  <c r="BD235" i="2" s="1"/>
  <c r="BD236"/>
  <c r="BD221"/>
  <c r="BD218"/>
  <c r="BD212"/>
  <c r="BD273"/>
  <c r="BD231"/>
  <c r="BD224" i="3"/>
  <c r="BD224" i="2" s="1"/>
  <c r="BD225"/>
  <c r="BD222"/>
  <c r="BD213" i="3"/>
  <c r="BD213" i="2" s="1"/>
  <c r="BD214"/>
  <c r="BD202" i="3"/>
  <c r="BD202" i="2" s="1"/>
  <c r="BD203"/>
  <c r="BD255"/>
  <c r="BD215"/>
  <c r="BD199"/>
  <c r="BD228"/>
  <c r="BD219"/>
  <c r="BD196"/>
  <c r="BD186"/>
  <c r="BD176"/>
  <c r="BD223"/>
  <c r="BD207"/>
  <c r="BD204"/>
  <c r="BD201"/>
  <c r="BD193"/>
  <c r="BD183"/>
  <c r="BD173"/>
  <c r="BD249"/>
  <c r="BD241"/>
  <c r="BD209"/>
  <c r="BD200"/>
  <c r="BD187"/>
  <c r="BD161"/>
  <c r="BD151"/>
  <c r="BD141"/>
  <c r="BD131"/>
  <c r="BD220"/>
  <c r="BD191" i="3"/>
  <c r="BD191" i="2" s="1"/>
  <c r="BD192"/>
  <c r="BD182"/>
  <c r="BD167"/>
  <c r="BD163"/>
  <c r="BD153"/>
  <c r="BD143"/>
  <c r="BD133"/>
  <c r="BD261"/>
  <c r="BD234"/>
  <c r="BD205"/>
  <c r="BD179"/>
  <c r="BD175"/>
  <c r="BD171"/>
  <c r="BD160"/>
  <c r="BD150"/>
  <c r="BD140"/>
  <c r="BD130"/>
  <c r="BD208"/>
  <c r="BD198"/>
  <c r="BD188"/>
  <c r="BD174"/>
  <c r="BD162"/>
  <c r="BD152"/>
  <c r="BD142"/>
  <c r="BD132"/>
  <c r="BD177"/>
  <c r="BD168"/>
  <c r="BD165"/>
  <c r="BD145"/>
  <c r="BD136" i="3"/>
  <c r="BD136" i="2" s="1"/>
  <c r="BD137"/>
  <c r="BD128"/>
  <c r="BD118"/>
  <c r="BD108"/>
  <c r="BD185"/>
  <c r="BD157"/>
  <c r="BD149"/>
  <c r="BD123"/>
  <c r="BD114" i="3"/>
  <c r="BD114" i="2" s="1"/>
  <c r="BD115"/>
  <c r="BD113"/>
  <c r="BD105"/>
  <c r="BD95"/>
  <c r="BD211"/>
  <c r="BD206"/>
  <c r="BD197"/>
  <c r="BD194"/>
  <c r="BD184"/>
  <c r="BD172"/>
  <c r="BD169" i="3"/>
  <c r="BD169" i="2" s="1"/>
  <c r="BD170"/>
  <c r="BD164"/>
  <c r="BD156"/>
  <c r="BD147" i="3"/>
  <c r="BD147" i="2" s="1"/>
  <c r="BD148"/>
  <c r="BD144"/>
  <c r="BD120"/>
  <c r="BD226"/>
  <c r="BD216"/>
  <c r="BD180" i="3"/>
  <c r="BD180" i="2" s="1"/>
  <c r="BD181"/>
  <c r="BD155"/>
  <c r="BD127"/>
  <c r="BD117"/>
  <c r="BD107"/>
  <c r="BD110"/>
  <c r="BD99"/>
  <c r="BD96"/>
  <c r="BD87"/>
  <c r="BD77"/>
  <c r="BD67"/>
  <c r="BD232"/>
  <c r="BD146"/>
  <c r="BD138"/>
  <c r="BD122"/>
  <c r="BD109"/>
  <c r="BD89"/>
  <c r="BD79"/>
  <c r="BD70" i="3"/>
  <c r="BD70" i="2" s="1"/>
  <c r="BD71"/>
  <c r="BD69"/>
  <c r="BD61"/>
  <c r="BD129"/>
  <c r="BD98"/>
  <c r="BD86"/>
  <c r="BD76"/>
  <c r="BD66"/>
  <c r="BD88"/>
  <c r="BD94"/>
  <c r="BD154"/>
  <c r="BD139"/>
  <c r="BD134"/>
  <c r="BD125" i="3"/>
  <c r="BD125" i="2" s="1"/>
  <c r="BD126"/>
  <c r="BD102"/>
  <c r="BD80"/>
  <c r="BD74"/>
  <c r="BD195"/>
  <c r="BD101"/>
  <c r="BD51"/>
  <c r="BD41"/>
  <c r="BD31"/>
  <c r="BD21"/>
  <c r="BD135"/>
  <c r="BD116"/>
  <c r="BD97"/>
  <c r="BD92" i="3"/>
  <c r="BD92" i="2" s="1"/>
  <c r="BD93"/>
  <c r="BD63"/>
  <c r="BD58"/>
  <c r="BD50"/>
  <c r="BD40"/>
  <c r="BD30"/>
  <c r="BD20"/>
  <c r="BD124"/>
  <c r="BD121"/>
  <c r="BD68"/>
  <c r="BD52"/>
  <c r="BD42"/>
  <c r="BD32"/>
  <c r="BD22"/>
  <c r="BD189"/>
  <c r="BD178"/>
  <c r="BD83"/>
  <c r="BD111"/>
  <c r="BD103" i="3"/>
  <c r="BD103" i="2" s="1"/>
  <c r="BD104"/>
  <c r="BD100"/>
  <c r="BD91"/>
  <c r="BD84"/>
  <c r="BD75"/>
  <c r="BD73"/>
  <c r="BD65"/>
  <c r="BD55"/>
  <c r="BD45"/>
  <c r="BD8"/>
  <c r="BD43"/>
  <c r="BD33"/>
  <c r="BD18"/>
  <c r="BD190"/>
  <c r="BD119"/>
  <c r="BD85"/>
  <c r="BD62"/>
  <c r="BD57"/>
  <c r="BD48" i="3"/>
  <c r="BD48" i="2" s="1"/>
  <c r="BD49"/>
  <c r="BD44"/>
  <c r="BD34"/>
  <c r="BD14"/>
  <c r="BD11"/>
  <c r="BD54"/>
  <c r="BD12"/>
  <c r="BD39"/>
  <c r="BD28"/>
  <c r="BD112"/>
  <c r="BD106"/>
  <c r="BD35"/>
  <c r="BD29"/>
  <c r="BD166"/>
  <c r="BD64"/>
  <c r="BD72"/>
  <c r="BD47"/>
  <c r="BD19"/>
  <c r="BD17"/>
  <c r="BD15" i="3"/>
  <c r="BD15" i="2" s="1"/>
  <c r="BD16"/>
  <c r="BD6"/>
  <c r="BD90"/>
  <c r="BD81" i="3"/>
  <c r="BD81" i="2" s="1"/>
  <c r="BD82"/>
  <c r="BD13"/>
  <c r="BD7"/>
  <c r="BD53"/>
  <c r="BD46"/>
  <c r="BD36"/>
  <c r="BD4" i="3"/>
  <c r="BD4" i="2" s="1"/>
  <c r="BD5"/>
  <c r="BD37" i="3"/>
  <c r="BD37" i="2" s="1"/>
  <c r="BD38"/>
  <c r="BD78"/>
  <c r="BD10"/>
  <c r="BD23"/>
  <c r="BD59" i="3"/>
  <c r="BD59" i="2" s="1"/>
  <c r="BD60"/>
  <c r="BD25"/>
  <c r="BD158" i="3"/>
  <c r="BD158" i="2" s="1"/>
  <c r="BD159"/>
  <c r="BD26" i="3"/>
  <c r="BD26" i="2" s="1"/>
  <c r="BD27"/>
  <c r="BD9"/>
  <c r="BD56"/>
  <c r="BD24"/>
  <c r="N274"/>
  <c r="N262"/>
  <c r="N250"/>
  <c r="N271"/>
  <c r="N265"/>
  <c r="N255"/>
  <c r="N246" i="3"/>
  <c r="N246" i="2" s="1"/>
  <c r="N247"/>
  <c r="N245"/>
  <c r="N276"/>
  <c r="N260"/>
  <c r="N252"/>
  <c r="N242"/>
  <c r="N272"/>
  <c r="N264"/>
  <c r="N256"/>
  <c r="N248"/>
  <c r="N232"/>
  <c r="N278"/>
  <c r="N270"/>
  <c r="N266"/>
  <c r="N261"/>
  <c r="N257" i="3"/>
  <c r="N257" i="2" s="1"/>
  <c r="N258"/>
  <c r="N254"/>
  <c r="N239"/>
  <c r="N229"/>
  <c r="N219"/>
  <c r="N277"/>
  <c r="N268" i="3"/>
  <c r="N268" i="2" s="1"/>
  <c r="N269"/>
  <c r="N253"/>
  <c r="N241"/>
  <c r="N231"/>
  <c r="N235" i="3"/>
  <c r="N235" i="2" s="1"/>
  <c r="N236"/>
  <c r="N227"/>
  <c r="N220"/>
  <c r="N217"/>
  <c r="N211"/>
  <c r="N267"/>
  <c r="N263"/>
  <c r="N226"/>
  <c r="N216"/>
  <c r="N259"/>
  <c r="N251"/>
  <c r="N240"/>
  <c r="N230"/>
  <c r="N224" i="3"/>
  <c r="N224" i="2" s="1"/>
  <c r="N225"/>
  <c r="N222"/>
  <c r="N210"/>
  <c r="N205"/>
  <c r="N275"/>
  <c r="N215"/>
  <c r="N213" i="3"/>
  <c r="N213" i="2" s="1"/>
  <c r="N214"/>
  <c r="N208"/>
  <c r="N206"/>
  <c r="N202" i="3"/>
  <c r="N202" i="2" s="1"/>
  <c r="N203"/>
  <c r="N201"/>
  <c r="N193"/>
  <c r="N243"/>
  <c r="N198"/>
  <c r="N188"/>
  <c r="N178"/>
  <c r="N169" i="3"/>
  <c r="N169" i="2" s="1"/>
  <c r="N170"/>
  <c r="N168"/>
  <c r="N207"/>
  <c r="N195"/>
  <c r="N185"/>
  <c r="N175"/>
  <c r="N237"/>
  <c r="N228"/>
  <c r="N221"/>
  <c r="N204"/>
  <c r="N212"/>
  <c r="N199"/>
  <c r="N187"/>
  <c r="N173"/>
  <c r="N163"/>
  <c r="N153"/>
  <c r="N143"/>
  <c r="N133"/>
  <c r="N234"/>
  <c r="N190"/>
  <c r="N182"/>
  <c r="N176"/>
  <c r="N165"/>
  <c r="N155"/>
  <c r="N145"/>
  <c r="N136" i="3"/>
  <c r="N136" i="2" s="1"/>
  <c r="N137"/>
  <c r="N135"/>
  <c r="N223"/>
  <c r="N196"/>
  <c r="N186"/>
  <c r="N179"/>
  <c r="N171"/>
  <c r="N162"/>
  <c r="N152"/>
  <c r="N142"/>
  <c r="N132"/>
  <c r="N233"/>
  <c r="N218"/>
  <c r="N174"/>
  <c r="N164"/>
  <c r="N154"/>
  <c r="N144"/>
  <c r="N134"/>
  <c r="N238"/>
  <c r="N197"/>
  <c r="N177"/>
  <c r="N161"/>
  <c r="N141"/>
  <c r="N130"/>
  <c r="N120"/>
  <c r="N110"/>
  <c r="N200"/>
  <c r="N167"/>
  <c r="N160"/>
  <c r="N158" i="3"/>
  <c r="N158" i="2" s="1"/>
  <c r="N159"/>
  <c r="N140"/>
  <c r="N139"/>
  <c r="N127"/>
  <c r="N117"/>
  <c r="N107"/>
  <c r="N97"/>
  <c r="N184"/>
  <c r="N172"/>
  <c r="N166"/>
  <c r="N146"/>
  <c r="N138"/>
  <c r="N122"/>
  <c r="N112"/>
  <c r="N244"/>
  <c r="N180" i="3"/>
  <c r="N180" i="2" s="1"/>
  <c r="N181"/>
  <c r="N151"/>
  <c r="N129"/>
  <c r="N119"/>
  <c r="N109"/>
  <c r="N125" i="3"/>
  <c r="N125" i="2" s="1"/>
  <c r="N126"/>
  <c r="N89"/>
  <c r="N79"/>
  <c r="N70" i="3"/>
  <c r="N70" i="2" s="1"/>
  <c r="N71"/>
  <c r="N69"/>
  <c r="N61"/>
  <c r="N249"/>
  <c r="N157"/>
  <c r="N118"/>
  <c r="N113"/>
  <c r="N108"/>
  <c r="N92" i="3"/>
  <c r="N92" i="2" s="1"/>
  <c r="N93"/>
  <c r="N91"/>
  <c r="N83"/>
  <c r="N73"/>
  <c r="N63"/>
  <c r="N209"/>
  <c r="N156"/>
  <c r="N150"/>
  <c r="N149"/>
  <c r="N124"/>
  <c r="N116"/>
  <c r="N111"/>
  <c r="N102"/>
  <c r="N99"/>
  <c r="N96"/>
  <c r="N88"/>
  <c r="N78"/>
  <c r="N68"/>
  <c r="N59" i="3"/>
  <c r="N59" i="2" s="1"/>
  <c r="N60"/>
  <c r="N147" i="3"/>
  <c r="N147" i="2" s="1"/>
  <c r="N148"/>
  <c r="N128"/>
  <c r="N114" i="3"/>
  <c r="N114" i="2" s="1"/>
  <c r="N115"/>
  <c r="N98"/>
  <c r="N86"/>
  <c r="N131"/>
  <c r="N123"/>
  <c r="N121"/>
  <c r="N105"/>
  <c r="N100"/>
  <c r="N194"/>
  <c r="N87"/>
  <c r="N189"/>
  <c r="N84"/>
  <c r="N64"/>
  <c r="N53"/>
  <c r="N43"/>
  <c r="N33"/>
  <c r="N23"/>
  <c r="N80"/>
  <c r="N62"/>
  <c r="N52"/>
  <c r="N42"/>
  <c r="N32"/>
  <c r="N22"/>
  <c r="N273"/>
  <c r="N76"/>
  <c r="N54"/>
  <c r="N44"/>
  <c r="N34"/>
  <c r="N24"/>
  <c r="N85"/>
  <c r="N90"/>
  <c r="N95"/>
  <c r="N72"/>
  <c r="N37" i="3"/>
  <c r="N37" i="2" s="1"/>
  <c r="N38"/>
  <c r="N29"/>
  <c r="N21"/>
  <c r="N10"/>
  <c r="N101"/>
  <c r="N67"/>
  <c r="N56"/>
  <c r="N51"/>
  <c r="N47"/>
  <c r="N17"/>
  <c r="N6"/>
  <c r="N183"/>
  <c r="N75"/>
  <c r="N39"/>
  <c r="N18"/>
  <c r="N12"/>
  <c r="N9"/>
  <c r="N106"/>
  <c r="N74"/>
  <c r="N28"/>
  <c r="N4" i="3"/>
  <c r="N4" i="2" s="1"/>
  <c r="N5"/>
  <c r="N66"/>
  <c r="N65"/>
  <c r="N81" i="3"/>
  <c r="N81" i="2" s="1"/>
  <c r="N82"/>
  <c r="N55"/>
  <c r="N50"/>
  <c r="N35"/>
  <c r="N30"/>
  <c r="N11"/>
  <c r="N191" i="3"/>
  <c r="N191" i="2" s="1"/>
  <c r="N192"/>
  <c r="N103" i="3"/>
  <c r="N103" i="2" s="1"/>
  <c r="N104"/>
  <c r="N57"/>
  <c r="N26" i="3"/>
  <c r="N26" i="2" s="1"/>
  <c r="N27"/>
  <c r="N20"/>
  <c r="N14"/>
  <c r="N13"/>
  <c r="N7"/>
  <c r="N94"/>
  <c r="N58"/>
  <c r="N40"/>
  <c r="N36"/>
  <c r="N25"/>
  <c r="N15" i="3"/>
  <c r="N15" i="2" s="1"/>
  <c r="N16"/>
  <c r="N8"/>
  <c r="N46"/>
  <c r="N19"/>
  <c r="N48" i="3"/>
  <c r="N48" i="2" s="1"/>
  <c r="N49"/>
  <c r="N41"/>
  <c r="N77"/>
  <c r="N31"/>
  <c r="N45"/>
  <c r="BE275"/>
  <c r="BE261"/>
  <c r="BE251"/>
  <c r="BE241"/>
  <c r="BE272"/>
  <c r="BE264"/>
  <c r="BE256"/>
  <c r="BE248"/>
  <c r="BE277"/>
  <c r="BE268" i="3"/>
  <c r="BE268" i="2" s="1"/>
  <c r="BE269"/>
  <c r="BE267"/>
  <c r="BE259"/>
  <c r="BE253"/>
  <c r="BE243"/>
  <c r="BE273"/>
  <c r="BE263"/>
  <c r="BE249"/>
  <c r="BE233"/>
  <c r="BE276"/>
  <c r="BE265"/>
  <c r="BE260"/>
  <c r="BE252"/>
  <c r="BE245"/>
  <c r="BE240"/>
  <c r="BE230"/>
  <c r="BE220"/>
  <c r="BE210"/>
  <c r="BE232"/>
  <c r="BE222"/>
  <c r="BE270"/>
  <c r="BE227"/>
  <c r="BE219"/>
  <c r="BE216"/>
  <c r="BE207"/>
  <c r="BE226"/>
  <c r="BE223"/>
  <c r="BE215"/>
  <c r="BE271"/>
  <c r="BE235" i="3"/>
  <c r="BE235" i="2" s="1"/>
  <c r="BE236"/>
  <c r="BE221"/>
  <c r="BE218"/>
  <c r="BE212"/>
  <c r="BE206"/>
  <c r="BE208"/>
  <c r="BE205"/>
  <c r="BE194"/>
  <c r="BE255"/>
  <c r="BE250"/>
  <c r="BE224" i="3"/>
  <c r="BE224" i="2" s="1"/>
  <c r="BE225"/>
  <c r="BE199"/>
  <c r="BE189"/>
  <c r="BE180" i="3"/>
  <c r="BE180" i="2" s="1"/>
  <c r="BE181"/>
  <c r="BE179"/>
  <c r="BE171"/>
  <c r="BE266"/>
  <c r="BE228"/>
  <c r="BE196"/>
  <c r="BE186"/>
  <c r="BE176"/>
  <c r="BE257" i="3"/>
  <c r="BE257" i="2" s="1"/>
  <c r="BE258"/>
  <c r="BE244"/>
  <c r="BE237"/>
  <c r="BE234"/>
  <c r="BE217"/>
  <c r="BE211"/>
  <c r="BE202" i="3"/>
  <c r="BE202" i="2" s="1"/>
  <c r="BE203"/>
  <c r="BE195"/>
  <c r="BE262"/>
  <c r="BE204"/>
  <c r="BE193"/>
  <c r="BE183"/>
  <c r="BE177"/>
  <c r="BE168"/>
  <c r="BE164"/>
  <c r="BE154"/>
  <c r="BE144"/>
  <c r="BE134"/>
  <c r="BE213" i="3"/>
  <c r="BE213" i="2" s="1"/>
  <c r="BE214"/>
  <c r="BE172"/>
  <c r="BE166"/>
  <c r="BE156"/>
  <c r="BE147" i="3"/>
  <c r="BE147" i="2" s="1"/>
  <c r="BE148"/>
  <c r="BE146"/>
  <c r="BE138"/>
  <c r="BE231"/>
  <c r="BE229"/>
  <c r="BE201"/>
  <c r="BE191" i="3"/>
  <c r="BE191" i="2" s="1"/>
  <c r="BE192"/>
  <c r="BE182"/>
  <c r="BE167"/>
  <c r="BE163"/>
  <c r="BE153"/>
  <c r="BE143"/>
  <c r="BE133"/>
  <c r="BE242"/>
  <c r="BE200"/>
  <c r="BE185"/>
  <c r="BE178"/>
  <c r="BE169" i="3"/>
  <c r="BE169" i="2" s="1"/>
  <c r="BE170"/>
  <c r="BE165"/>
  <c r="BE155"/>
  <c r="BE145"/>
  <c r="BE136" i="3"/>
  <c r="BE136" i="2" s="1"/>
  <c r="BE137"/>
  <c r="BE135"/>
  <c r="BE246" i="3"/>
  <c r="BE246" i="2" s="1"/>
  <c r="BE247"/>
  <c r="BE187"/>
  <c r="BE175"/>
  <c r="BE174"/>
  <c r="BE152"/>
  <c r="BE121"/>
  <c r="BE111"/>
  <c r="BE101"/>
  <c r="BE173"/>
  <c r="BE151"/>
  <c r="BE150"/>
  <c r="BE128"/>
  <c r="BE118"/>
  <c r="BE108"/>
  <c r="BE98"/>
  <c r="BE198"/>
  <c r="BE157"/>
  <c r="BE149"/>
  <c r="BE132"/>
  <c r="BE123"/>
  <c r="BE114" i="3"/>
  <c r="BE114" i="2" s="1"/>
  <c r="BE115"/>
  <c r="BE113"/>
  <c r="BE239"/>
  <c r="BE197"/>
  <c r="BE184"/>
  <c r="BE131"/>
  <c r="BE130"/>
  <c r="BE120"/>
  <c r="BE110"/>
  <c r="BE190"/>
  <c r="BE117"/>
  <c r="BE112"/>
  <c r="BE106"/>
  <c r="BE105"/>
  <c r="BE90"/>
  <c r="BE81" i="3"/>
  <c r="BE81" i="2" s="1"/>
  <c r="BE82"/>
  <c r="BE80"/>
  <c r="BE72"/>
  <c r="BE62"/>
  <c r="BE274"/>
  <c r="BE142"/>
  <c r="BE141"/>
  <c r="BE139"/>
  <c r="BE124"/>
  <c r="BE116"/>
  <c r="BE103" i="3"/>
  <c r="BE103" i="2" s="1"/>
  <c r="BE104"/>
  <c r="BE84"/>
  <c r="BE74"/>
  <c r="BE64"/>
  <c r="BE122"/>
  <c r="BE109"/>
  <c r="BE95"/>
  <c r="BE89"/>
  <c r="BE79"/>
  <c r="BE70" i="3"/>
  <c r="BE70" i="2" s="1"/>
  <c r="BE71"/>
  <c r="BE69"/>
  <c r="BE61"/>
  <c r="BE160"/>
  <c r="BE140"/>
  <c r="BE129"/>
  <c r="BE127"/>
  <c r="BE88"/>
  <c r="BE162"/>
  <c r="BE119"/>
  <c r="BE158" i="3"/>
  <c r="BE158" i="2" s="1"/>
  <c r="BE159"/>
  <c r="BE97"/>
  <c r="BE83"/>
  <c r="BE75"/>
  <c r="BE125" i="3"/>
  <c r="BE125" i="2" s="1"/>
  <c r="BE126"/>
  <c r="BE99"/>
  <c r="BE78"/>
  <c r="BE66"/>
  <c r="BE54"/>
  <c r="BE44"/>
  <c r="BE34"/>
  <c r="BE24"/>
  <c r="BE15" i="3"/>
  <c r="BE15" i="2" s="1"/>
  <c r="BE16"/>
  <c r="BE107"/>
  <c r="BE87"/>
  <c r="BE53"/>
  <c r="BE43"/>
  <c r="BE33"/>
  <c r="BE23"/>
  <c r="BE278"/>
  <c r="BE102"/>
  <c r="BE91"/>
  <c r="BE55"/>
  <c r="BE45"/>
  <c r="BE35"/>
  <c r="BE26" i="3"/>
  <c r="BE26" i="2" s="1"/>
  <c r="BE27"/>
  <c r="BE25"/>
  <c r="BE17"/>
  <c r="BE238"/>
  <c r="BE92" i="3"/>
  <c r="BE92" i="2" s="1"/>
  <c r="BE93"/>
  <c r="BE254"/>
  <c r="BE51"/>
  <c r="BE41"/>
  <c r="BE36"/>
  <c r="BE11"/>
  <c r="BE68"/>
  <c r="BE65"/>
  <c r="BE56"/>
  <c r="BE47"/>
  <c r="BE39"/>
  <c r="BE29"/>
  <c r="BE22"/>
  <c r="BE4" i="3"/>
  <c r="BE4" i="2" s="1"/>
  <c r="BE5"/>
  <c r="BE73"/>
  <c r="BE52"/>
  <c r="BE18"/>
  <c r="BE8"/>
  <c r="BE188"/>
  <c r="BE67"/>
  <c r="BE58"/>
  <c r="BE48" i="3"/>
  <c r="BE48" i="2" s="1"/>
  <c r="BE49"/>
  <c r="BE42"/>
  <c r="BE37" i="3"/>
  <c r="BE37" i="2" s="1"/>
  <c r="BE38"/>
  <c r="BE31"/>
  <c r="BE14"/>
  <c r="BE13"/>
  <c r="BE9"/>
  <c r="BE209"/>
  <c r="BE20"/>
  <c r="BE12"/>
  <c r="BE161"/>
  <c r="BE94"/>
  <c r="BE59" i="3"/>
  <c r="BE59" i="2" s="1"/>
  <c r="BE60"/>
  <c r="BE40"/>
  <c r="BE21"/>
  <c r="BE46"/>
  <c r="BE50"/>
  <c r="BE19"/>
  <c r="BE6"/>
  <c r="BE100"/>
  <c r="BE85"/>
  <c r="BE63"/>
  <c r="BE57"/>
  <c r="BE32"/>
  <c r="BE7"/>
  <c r="BE96"/>
  <c r="BE76"/>
  <c r="BE30"/>
  <c r="BE86"/>
  <c r="BE77"/>
  <c r="BE28"/>
  <c r="BE10"/>
  <c r="G277"/>
  <c r="G268" i="3"/>
  <c r="G268" i="2" s="1"/>
  <c r="G269"/>
  <c r="G267"/>
  <c r="G259"/>
  <c r="G253"/>
  <c r="G243"/>
  <c r="G274"/>
  <c r="G262"/>
  <c r="G250"/>
  <c r="G271"/>
  <c r="G265"/>
  <c r="G255"/>
  <c r="G246" i="3"/>
  <c r="G246" i="2" s="1"/>
  <c r="G247"/>
  <c r="G245"/>
  <c r="G275"/>
  <c r="G261"/>
  <c r="G251"/>
  <c r="G237"/>
  <c r="G244"/>
  <c r="G232"/>
  <c r="G222"/>
  <c r="G213" i="3"/>
  <c r="G213" i="2" s="1"/>
  <c r="G214"/>
  <c r="G212"/>
  <c r="G273"/>
  <c r="G249"/>
  <c r="G235" i="3"/>
  <c r="G235" i="2" s="1"/>
  <c r="G236"/>
  <c r="G234"/>
  <c r="G226"/>
  <c r="G270"/>
  <c r="G239"/>
  <c r="G209"/>
  <c r="G264"/>
  <c r="G260"/>
  <c r="G220"/>
  <c r="G217"/>
  <c r="G211"/>
  <c r="G256"/>
  <c r="G227"/>
  <c r="G208"/>
  <c r="G272"/>
  <c r="G266"/>
  <c r="G263"/>
  <c r="G252"/>
  <c r="G230"/>
  <c r="G196"/>
  <c r="G242"/>
  <c r="G233"/>
  <c r="G202" i="3"/>
  <c r="G202" i="2" s="1"/>
  <c r="G203"/>
  <c r="G201"/>
  <c r="G193"/>
  <c r="G183"/>
  <c r="G173"/>
  <c r="G254"/>
  <c r="G241"/>
  <c r="G238"/>
  <c r="G228"/>
  <c r="G224" i="3"/>
  <c r="G224" i="2" s="1"/>
  <c r="G225"/>
  <c r="G223"/>
  <c r="G221"/>
  <c r="G206"/>
  <c r="G198"/>
  <c r="G188"/>
  <c r="G178"/>
  <c r="G278"/>
  <c r="G248"/>
  <c r="G219"/>
  <c r="G215"/>
  <c r="G207"/>
  <c r="G197"/>
  <c r="G194"/>
  <c r="G174"/>
  <c r="G166"/>
  <c r="G156"/>
  <c r="G147" i="3"/>
  <c r="G147" i="2" s="1"/>
  <c r="G148"/>
  <c r="G146"/>
  <c r="G138"/>
  <c r="G231"/>
  <c r="G229"/>
  <c r="G210"/>
  <c r="G177"/>
  <c r="G160"/>
  <c r="G150"/>
  <c r="G140"/>
  <c r="G218"/>
  <c r="G204"/>
  <c r="G191" i="3"/>
  <c r="G191" i="2" s="1"/>
  <c r="G192"/>
  <c r="G187"/>
  <c r="G165"/>
  <c r="G155"/>
  <c r="G145"/>
  <c r="G136" i="3"/>
  <c r="G136" i="2" s="1"/>
  <c r="G137"/>
  <c r="G135"/>
  <c r="G205"/>
  <c r="G199"/>
  <c r="G190"/>
  <c r="G182"/>
  <c r="G176"/>
  <c r="G169" i="3"/>
  <c r="G169" i="2" s="1"/>
  <c r="G170"/>
  <c r="G167"/>
  <c r="G158" i="3"/>
  <c r="G158" i="2" s="1"/>
  <c r="G159"/>
  <c r="G157"/>
  <c r="G149"/>
  <c r="G139"/>
  <c r="G184"/>
  <c r="G151"/>
  <c r="G133"/>
  <c r="G123"/>
  <c r="G114" i="3"/>
  <c r="G114" i="2" s="1"/>
  <c r="G115"/>
  <c r="G113"/>
  <c r="G105"/>
  <c r="G180" i="3"/>
  <c r="G180" i="2" s="1"/>
  <c r="G181"/>
  <c r="G164"/>
  <c r="G144"/>
  <c r="G132"/>
  <c r="G130"/>
  <c r="G120"/>
  <c r="G110"/>
  <c r="G100"/>
  <c r="G168"/>
  <c r="G131"/>
  <c r="G127"/>
  <c r="G117"/>
  <c r="G276"/>
  <c r="G179"/>
  <c r="G163"/>
  <c r="G143"/>
  <c r="G122"/>
  <c r="G112"/>
  <c r="G103" i="3"/>
  <c r="G103" i="2" s="1"/>
  <c r="G104"/>
  <c r="G102"/>
  <c r="G162"/>
  <c r="G161"/>
  <c r="G154"/>
  <c r="G124"/>
  <c r="G116"/>
  <c r="G111"/>
  <c r="G106"/>
  <c r="G101"/>
  <c r="G98"/>
  <c r="G95"/>
  <c r="G94"/>
  <c r="G84"/>
  <c r="G74"/>
  <c r="G64"/>
  <c r="G240"/>
  <c r="G200"/>
  <c r="G189"/>
  <c r="G172"/>
  <c r="G152"/>
  <c r="G134"/>
  <c r="G129"/>
  <c r="G97"/>
  <c r="G86"/>
  <c r="G76"/>
  <c r="G66"/>
  <c r="G185"/>
  <c r="G121"/>
  <c r="G109"/>
  <c r="G92" i="3"/>
  <c r="G92" i="2" s="1"/>
  <c r="G93"/>
  <c r="G91"/>
  <c r="G83"/>
  <c r="G73"/>
  <c r="G63"/>
  <c r="G89"/>
  <c r="G257" i="3"/>
  <c r="G257" i="2" s="1"/>
  <c r="G258"/>
  <c r="G171"/>
  <c r="G88"/>
  <c r="G186"/>
  <c r="G142"/>
  <c r="G128"/>
  <c r="G125" i="3"/>
  <c r="G125" i="2" s="1"/>
  <c r="G126"/>
  <c r="G216"/>
  <c r="G99"/>
  <c r="G75"/>
  <c r="G153"/>
  <c r="G118"/>
  <c r="G87"/>
  <c r="G81" i="3"/>
  <c r="G81" i="2" s="1"/>
  <c r="G82"/>
  <c r="G67"/>
  <c r="G56"/>
  <c r="G46"/>
  <c r="G37" i="3"/>
  <c r="G37" i="2" s="1"/>
  <c r="G38"/>
  <c r="G36"/>
  <c r="G28"/>
  <c r="G18"/>
  <c r="G90"/>
  <c r="G77"/>
  <c r="G55"/>
  <c r="G45"/>
  <c r="G35"/>
  <c r="G26" i="3"/>
  <c r="G26" i="2" s="1"/>
  <c r="G27"/>
  <c r="G25"/>
  <c r="G17"/>
  <c r="G72"/>
  <c r="G69"/>
  <c r="G57"/>
  <c r="G48" i="3"/>
  <c r="G48" i="2" s="1"/>
  <c r="G49"/>
  <c r="G47"/>
  <c r="G39"/>
  <c r="G29"/>
  <c r="G19"/>
  <c r="G68"/>
  <c r="G78"/>
  <c r="G32"/>
  <c r="G23"/>
  <c r="G13"/>
  <c r="G4" i="3"/>
  <c r="G4" i="2" s="1"/>
  <c r="G5"/>
  <c r="G175"/>
  <c r="G65"/>
  <c r="G62"/>
  <c r="G54"/>
  <c r="G40"/>
  <c r="G24"/>
  <c r="G10"/>
  <c r="G7"/>
  <c r="G85"/>
  <c r="G58"/>
  <c r="G119"/>
  <c r="G108"/>
  <c r="G79"/>
  <c r="G14"/>
  <c r="G141"/>
  <c r="G51"/>
  <c r="G41"/>
  <c r="G30"/>
  <c r="G195"/>
  <c r="G52"/>
  <c r="G42"/>
  <c r="G31"/>
  <c r="G34"/>
  <c r="G33"/>
  <c r="G15" i="3"/>
  <c r="G15" i="2" s="1"/>
  <c r="G16"/>
  <c r="G8"/>
  <c r="G107"/>
  <c r="G70" i="3"/>
  <c r="G70" i="2" s="1"/>
  <c r="G71"/>
  <c r="G9"/>
  <c r="G61"/>
  <c r="G44"/>
  <c r="G43"/>
  <c r="G59" i="3"/>
  <c r="G59" i="2" s="1"/>
  <c r="G60"/>
  <c r="G12"/>
  <c r="G11"/>
  <c r="G53"/>
  <c r="G96"/>
  <c r="G50"/>
  <c r="G22"/>
  <c r="G6"/>
  <c r="G80"/>
  <c r="G21"/>
  <c r="G20"/>
  <c r="AK271"/>
  <c r="AK265"/>
  <c r="AK255"/>
  <c r="AK246" i="3"/>
  <c r="AK246" i="2" s="1"/>
  <c r="AK247"/>
  <c r="AK245"/>
  <c r="AK276"/>
  <c r="AK260"/>
  <c r="AK252"/>
  <c r="AK242"/>
  <c r="AK273"/>
  <c r="AK263"/>
  <c r="AK249"/>
  <c r="AK277"/>
  <c r="AK268" i="3"/>
  <c r="AK268" i="2" s="1"/>
  <c r="AK269"/>
  <c r="AK267"/>
  <c r="AK259"/>
  <c r="AK253"/>
  <c r="AK243"/>
  <c r="AK239"/>
  <c r="AK229"/>
  <c r="AK274"/>
  <c r="AK262"/>
  <c r="AK250"/>
  <c r="AK241"/>
  <c r="AK235" i="3"/>
  <c r="AK235" i="2" s="1"/>
  <c r="AK236"/>
  <c r="AK234"/>
  <c r="AK226"/>
  <c r="AK216"/>
  <c r="AK272"/>
  <c r="AK264"/>
  <c r="AK256"/>
  <c r="AK248"/>
  <c r="AK238"/>
  <c r="AK228"/>
  <c r="AK270"/>
  <c r="AK215"/>
  <c r="AK223"/>
  <c r="AK212"/>
  <c r="AK251"/>
  <c r="AK233"/>
  <c r="AK213" i="3"/>
  <c r="AK213" i="2" s="1"/>
  <c r="AK214"/>
  <c r="AK257" i="3"/>
  <c r="AK257" i="2" s="1"/>
  <c r="AK258"/>
  <c r="AK220"/>
  <c r="AK210"/>
  <c r="AK198"/>
  <c r="AK244"/>
  <c r="AK211"/>
  <c r="AK208"/>
  <c r="AK204"/>
  <c r="AK195"/>
  <c r="AK185"/>
  <c r="AK175"/>
  <c r="AK278"/>
  <c r="AK221"/>
  <c r="AK217"/>
  <c r="AK200"/>
  <c r="AK191" i="3"/>
  <c r="AK191" i="2" s="1"/>
  <c r="AK192"/>
  <c r="AK190"/>
  <c r="AK182"/>
  <c r="AK172"/>
  <c r="AK275"/>
  <c r="AK266"/>
  <c r="AK237"/>
  <c r="AK232"/>
  <c r="AK199"/>
  <c r="AK231"/>
  <c r="AK222"/>
  <c r="AK188"/>
  <c r="AK177"/>
  <c r="AK160"/>
  <c r="AK150"/>
  <c r="AK140"/>
  <c r="AK261"/>
  <c r="AK227"/>
  <c r="AK201"/>
  <c r="AK194"/>
  <c r="AK183"/>
  <c r="AK162"/>
  <c r="AK152"/>
  <c r="AK142"/>
  <c r="AK132"/>
  <c r="AK230"/>
  <c r="AK218"/>
  <c r="AK205"/>
  <c r="AK176"/>
  <c r="AK158" i="3"/>
  <c r="AK158" i="2" s="1"/>
  <c r="AK159"/>
  <c r="AK157"/>
  <c r="AK149"/>
  <c r="AK139"/>
  <c r="AK254"/>
  <c r="AK240"/>
  <c r="AK224" i="3"/>
  <c r="AK224" i="2" s="1"/>
  <c r="AK225"/>
  <c r="AK219"/>
  <c r="AK209"/>
  <c r="AK207"/>
  <c r="AK193"/>
  <c r="AK189"/>
  <c r="AK180" i="3"/>
  <c r="AK180" i="2" s="1"/>
  <c r="AK181"/>
  <c r="AK161"/>
  <c r="AK151"/>
  <c r="AK141"/>
  <c r="AK131"/>
  <c r="AK187"/>
  <c r="AK178"/>
  <c r="AK174"/>
  <c r="AK168"/>
  <c r="AK164"/>
  <c r="AK156"/>
  <c r="AK147" i="3"/>
  <c r="AK147" i="2" s="1"/>
  <c r="AK148"/>
  <c r="AK144"/>
  <c r="AK127"/>
  <c r="AK117"/>
  <c r="AK107"/>
  <c r="AK186"/>
  <c r="AK122"/>
  <c r="AK112"/>
  <c r="AK103" i="3"/>
  <c r="AK103" i="2" s="1"/>
  <c r="AK104"/>
  <c r="AK102"/>
  <c r="AK94"/>
  <c r="AK173"/>
  <c r="AK171"/>
  <c r="AK163"/>
  <c r="AK155"/>
  <c r="AK143"/>
  <c r="AK129"/>
  <c r="AK119"/>
  <c r="AK184"/>
  <c r="AK154"/>
  <c r="AK125" i="3"/>
  <c r="AK125" i="2" s="1"/>
  <c r="AK126"/>
  <c r="AK124"/>
  <c r="AK116"/>
  <c r="AK106"/>
  <c r="AK153"/>
  <c r="AK135"/>
  <c r="AK123"/>
  <c r="AK114" i="3"/>
  <c r="AK114" i="2" s="1"/>
  <c r="AK115"/>
  <c r="AK108"/>
  <c r="AK86"/>
  <c r="AK76"/>
  <c r="AK66"/>
  <c r="AK179"/>
  <c r="AK128"/>
  <c r="AK101"/>
  <c r="AK98"/>
  <c r="AK95"/>
  <c r="AK88"/>
  <c r="AK78"/>
  <c r="AK68"/>
  <c r="AK59" i="3"/>
  <c r="AK59" i="2" s="1"/>
  <c r="AK60"/>
  <c r="AK206"/>
  <c r="AK202" i="3"/>
  <c r="AK202" i="2" s="1"/>
  <c r="AK203"/>
  <c r="AK133"/>
  <c r="AK85"/>
  <c r="AK75"/>
  <c r="AK65"/>
  <c r="AK99"/>
  <c r="AK90"/>
  <c r="AK146"/>
  <c r="AK145"/>
  <c r="AK134"/>
  <c r="AK120"/>
  <c r="AK100"/>
  <c r="AK196"/>
  <c r="AK169" i="3"/>
  <c r="AK169" i="2" s="1"/>
  <c r="AK170"/>
  <c r="AK105"/>
  <c r="AK110"/>
  <c r="AK109"/>
  <c r="AK91"/>
  <c r="AK77"/>
  <c r="AK167"/>
  <c r="AK138"/>
  <c r="AK81" i="3"/>
  <c r="AK81" i="2" s="1"/>
  <c r="AK82"/>
  <c r="AK69"/>
  <c r="AK63"/>
  <c r="AK58"/>
  <c r="AK50"/>
  <c r="AK40"/>
  <c r="AK30"/>
  <c r="AK20"/>
  <c r="AK136" i="3"/>
  <c r="AK136" i="2" s="1"/>
  <c r="AK137"/>
  <c r="AK121"/>
  <c r="AK113"/>
  <c r="AK92" i="3"/>
  <c r="AK92" i="2" s="1"/>
  <c r="AK93"/>
  <c r="AK57"/>
  <c r="AK48" i="3"/>
  <c r="AK48" i="2" s="1"/>
  <c r="AK49"/>
  <c r="AK47"/>
  <c r="AK39"/>
  <c r="AK29"/>
  <c r="AK19"/>
  <c r="AK197"/>
  <c r="AK165"/>
  <c r="AK51"/>
  <c r="AK41"/>
  <c r="AK31"/>
  <c r="AK21"/>
  <c r="AK130"/>
  <c r="AK89"/>
  <c r="AK87"/>
  <c r="AK83"/>
  <c r="AK53"/>
  <c r="AK43"/>
  <c r="AK7"/>
  <c r="AK35"/>
  <c r="AK24"/>
  <c r="AK14"/>
  <c r="AK11"/>
  <c r="AK8"/>
  <c r="AK84"/>
  <c r="AK72"/>
  <c r="AK54"/>
  <c r="AK45"/>
  <c r="AK36"/>
  <c r="AK26" i="3"/>
  <c r="AK26" i="2" s="1"/>
  <c r="AK27"/>
  <c r="AK15" i="3"/>
  <c r="AK15" i="2" s="1"/>
  <c r="AK16"/>
  <c r="AK96"/>
  <c r="AK6"/>
  <c r="AK4" i="3"/>
  <c r="AK4" i="2" s="1"/>
  <c r="AK5"/>
  <c r="AK32"/>
  <c r="AK28"/>
  <c r="AK70" i="3"/>
  <c r="AK70" i="2" s="1"/>
  <c r="AK71"/>
  <c r="AK55"/>
  <c r="AK17"/>
  <c r="AK13"/>
  <c r="AK12"/>
  <c r="AK97"/>
  <c r="AK74"/>
  <c r="AK61"/>
  <c r="AK25"/>
  <c r="AK79"/>
  <c r="AK67"/>
  <c r="AK62"/>
  <c r="AK46"/>
  <c r="AK80"/>
  <c r="AK44"/>
  <c r="AK42"/>
  <c r="AK18"/>
  <c r="AK56"/>
  <c r="AK22"/>
  <c r="AK166"/>
  <c r="AK64"/>
  <c r="AK52"/>
  <c r="AK111"/>
  <c r="AK9"/>
  <c r="AK118"/>
  <c r="AK34"/>
  <c r="AK23"/>
  <c r="AK10"/>
  <c r="AK33"/>
  <c r="AK37" i="3"/>
  <c r="AK37" i="2" s="1"/>
  <c r="AK38"/>
  <c r="AK73"/>
  <c r="R278"/>
  <c r="R270"/>
  <c r="R266"/>
  <c r="R257" i="3"/>
  <c r="R257" i="2" s="1"/>
  <c r="R258"/>
  <c r="R254"/>
  <c r="R244"/>
  <c r="R275"/>
  <c r="R261"/>
  <c r="R251"/>
  <c r="R272"/>
  <c r="R264"/>
  <c r="R256"/>
  <c r="R248"/>
  <c r="R276"/>
  <c r="R260"/>
  <c r="R252"/>
  <c r="R242"/>
  <c r="R267"/>
  <c r="R259"/>
  <c r="R238"/>
  <c r="R273"/>
  <c r="R249"/>
  <c r="R233"/>
  <c r="R224" i="3"/>
  <c r="R224" i="2" s="1"/>
  <c r="R225"/>
  <c r="R223"/>
  <c r="R215"/>
  <c r="R271"/>
  <c r="R255"/>
  <c r="R246" i="3"/>
  <c r="R246" i="2" s="1"/>
  <c r="R247"/>
  <c r="R237"/>
  <c r="R227"/>
  <c r="R243"/>
  <c r="R262"/>
  <c r="R250"/>
  <c r="R228"/>
  <c r="R213" i="3"/>
  <c r="R213" i="2" s="1"/>
  <c r="R214"/>
  <c r="R253"/>
  <c r="R235" i="3"/>
  <c r="R235" i="2" s="1"/>
  <c r="R236"/>
  <c r="R220"/>
  <c r="R217"/>
  <c r="R209"/>
  <c r="R221"/>
  <c r="R197"/>
  <c r="R263"/>
  <c r="R212"/>
  <c r="R204"/>
  <c r="R194"/>
  <c r="R184"/>
  <c r="R174"/>
  <c r="R277"/>
  <c r="R222"/>
  <c r="R218"/>
  <c r="R199"/>
  <c r="R189"/>
  <c r="R180" i="3"/>
  <c r="R180" i="2" s="1"/>
  <c r="R181"/>
  <c r="R179"/>
  <c r="R171"/>
  <c r="R232"/>
  <c r="R226"/>
  <c r="R210"/>
  <c r="R207"/>
  <c r="R198"/>
  <c r="R201"/>
  <c r="R193"/>
  <c r="R185"/>
  <c r="R178"/>
  <c r="R167"/>
  <c r="R158" i="3"/>
  <c r="R158" i="2" s="1"/>
  <c r="R159"/>
  <c r="R157"/>
  <c r="R149"/>
  <c r="R139"/>
  <c r="R268" i="3"/>
  <c r="R268" i="2" s="1"/>
  <c r="R269"/>
  <c r="R216"/>
  <c r="R205"/>
  <c r="R200"/>
  <c r="R173"/>
  <c r="R161"/>
  <c r="R151"/>
  <c r="R141"/>
  <c r="R131"/>
  <c r="R265"/>
  <c r="R202" i="3"/>
  <c r="R202" i="2" s="1"/>
  <c r="R203"/>
  <c r="R191" i="3"/>
  <c r="R191" i="2" s="1"/>
  <c r="R192"/>
  <c r="R183"/>
  <c r="R177"/>
  <c r="R166"/>
  <c r="R156"/>
  <c r="R147" i="3"/>
  <c r="R147" i="2" s="1"/>
  <c r="R148"/>
  <c r="R146"/>
  <c r="R138"/>
  <c r="R274"/>
  <c r="R239"/>
  <c r="R206"/>
  <c r="R186"/>
  <c r="R172"/>
  <c r="R160"/>
  <c r="R150"/>
  <c r="R140"/>
  <c r="R163"/>
  <c r="R155"/>
  <c r="R143"/>
  <c r="R125" i="3"/>
  <c r="R125" i="2" s="1"/>
  <c r="R126"/>
  <c r="R124"/>
  <c r="R116"/>
  <c r="R106"/>
  <c r="R196"/>
  <c r="R190"/>
  <c r="R188"/>
  <c r="R187"/>
  <c r="R176"/>
  <c r="R121"/>
  <c r="R111"/>
  <c r="R101"/>
  <c r="R208"/>
  <c r="R195"/>
  <c r="R175"/>
  <c r="R162"/>
  <c r="R154"/>
  <c r="R142"/>
  <c r="R135"/>
  <c r="R128"/>
  <c r="R118"/>
  <c r="R231"/>
  <c r="R219"/>
  <c r="R153"/>
  <c r="R123"/>
  <c r="R114" i="3"/>
  <c r="R114" i="2" s="1"/>
  <c r="R115"/>
  <c r="R113"/>
  <c r="R105"/>
  <c r="R241"/>
  <c r="R182"/>
  <c r="R145"/>
  <c r="R136" i="3"/>
  <c r="R136" i="2" s="1"/>
  <c r="R137"/>
  <c r="R122"/>
  <c r="R110"/>
  <c r="R85"/>
  <c r="R75"/>
  <c r="R65"/>
  <c r="R168"/>
  <c r="R144"/>
  <c r="R127"/>
  <c r="R103" i="3"/>
  <c r="R103" i="2" s="1"/>
  <c r="R104"/>
  <c r="R87"/>
  <c r="R77"/>
  <c r="R67"/>
  <c r="R245"/>
  <c r="R240"/>
  <c r="R229"/>
  <c r="R169" i="3"/>
  <c r="R169" i="2" s="1"/>
  <c r="R170"/>
  <c r="R165"/>
  <c r="R109"/>
  <c r="R94"/>
  <c r="R84"/>
  <c r="R74"/>
  <c r="R64"/>
  <c r="R119"/>
  <c r="R117"/>
  <c r="R97"/>
  <c r="R96"/>
  <c r="R88"/>
  <c r="R164"/>
  <c r="R134"/>
  <c r="R129"/>
  <c r="R234"/>
  <c r="R130"/>
  <c r="R107"/>
  <c r="R102"/>
  <c r="R83"/>
  <c r="R80"/>
  <c r="R108"/>
  <c r="R66"/>
  <c r="R57"/>
  <c r="R48" i="3"/>
  <c r="R48" i="2" s="1"/>
  <c r="R49"/>
  <c r="R47"/>
  <c r="R39"/>
  <c r="R29"/>
  <c r="R19"/>
  <c r="R95"/>
  <c r="R86"/>
  <c r="R79"/>
  <c r="R78"/>
  <c r="R69"/>
  <c r="R56"/>
  <c r="R46"/>
  <c r="R37" i="3"/>
  <c r="R37" i="2" s="1"/>
  <c r="R38"/>
  <c r="R36"/>
  <c r="R28"/>
  <c r="R18"/>
  <c r="R112"/>
  <c r="R92" i="3"/>
  <c r="R92" i="2" s="1"/>
  <c r="R93"/>
  <c r="R70" i="3"/>
  <c r="R70" i="2" s="1"/>
  <c r="R71"/>
  <c r="R58"/>
  <c r="R50"/>
  <c r="R40"/>
  <c r="R30"/>
  <c r="R20"/>
  <c r="R99"/>
  <c r="R91"/>
  <c r="R81" i="3"/>
  <c r="R81" i="2" s="1"/>
  <c r="R82"/>
  <c r="R152"/>
  <c r="R133"/>
  <c r="R63"/>
  <c r="R62"/>
  <c r="R55"/>
  <c r="R51"/>
  <c r="R45"/>
  <c r="R41"/>
  <c r="R15" i="3"/>
  <c r="R15" i="2" s="1"/>
  <c r="R16"/>
  <c r="R14"/>
  <c r="R6"/>
  <c r="R31"/>
  <c r="R100"/>
  <c r="R98"/>
  <c r="R59" i="3"/>
  <c r="R59" i="2" s="1"/>
  <c r="R60"/>
  <c r="R53"/>
  <c r="R43"/>
  <c r="R26" i="3"/>
  <c r="R26" i="2" s="1"/>
  <c r="R27"/>
  <c r="R25"/>
  <c r="R230"/>
  <c r="R54"/>
  <c r="R44"/>
  <c r="R32"/>
  <c r="R90"/>
  <c r="R76"/>
  <c r="R73"/>
  <c r="R34"/>
  <c r="R22"/>
  <c r="R17"/>
  <c r="R4" i="3"/>
  <c r="R4" i="2" s="1"/>
  <c r="R5"/>
  <c r="R11"/>
  <c r="R211"/>
  <c r="R132"/>
  <c r="R52"/>
  <c r="R35"/>
  <c r="R21"/>
  <c r="R89"/>
  <c r="R68"/>
  <c r="R33"/>
  <c r="R23"/>
  <c r="R13"/>
  <c r="R12"/>
  <c r="R7"/>
  <c r="R61"/>
  <c r="R8"/>
  <c r="R72"/>
  <c r="R42"/>
  <c r="R9"/>
  <c r="R120"/>
  <c r="R24"/>
  <c r="R10"/>
  <c r="O277"/>
  <c r="O268" i="3"/>
  <c r="O268" i="2" s="1"/>
  <c r="O269"/>
  <c r="O267"/>
  <c r="O259"/>
  <c r="O253"/>
  <c r="O243"/>
  <c r="O274"/>
  <c r="O262"/>
  <c r="O250"/>
  <c r="O271"/>
  <c r="O265"/>
  <c r="O255"/>
  <c r="O246" i="3"/>
  <c r="O246" i="2" s="1"/>
  <c r="O247"/>
  <c r="O245"/>
  <c r="O275"/>
  <c r="O261"/>
  <c r="O251"/>
  <c r="O272"/>
  <c r="O264"/>
  <c r="O256"/>
  <c r="O248"/>
  <c r="O237"/>
  <c r="O232"/>
  <c r="O222"/>
  <c r="O213" i="3"/>
  <c r="O213" i="2" s="1"/>
  <c r="O214"/>
  <c r="O212"/>
  <c r="O276"/>
  <c r="O263"/>
  <c r="O260"/>
  <c r="O252"/>
  <c r="O235" i="3"/>
  <c r="O235" i="2" s="1"/>
  <c r="O236"/>
  <c r="O234"/>
  <c r="O226"/>
  <c r="O278"/>
  <c r="O266"/>
  <c r="O209"/>
  <c r="O270"/>
  <c r="O244"/>
  <c r="O242"/>
  <c r="O223"/>
  <c r="O219"/>
  <c r="O216"/>
  <c r="O208"/>
  <c r="O273"/>
  <c r="O218"/>
  <c r="O196"/>
  <c r="O227"/>
  <c r="O215"/>
  <c r="O206"/>
  <c r="O202" i="3"/>
  <c r="O202" i="2" s="1"/>
  <c r="O203"/>
  <c r="O201"/>
  <c r="O193"/>
  <c r="O183"/>
  <c r="O173"/>
  <c r="O230"/>
  <c r="O229"/>
  <c r="O198"/>
  <c r="O188"/>
  <c r="O178"/>
  <c r="O249"/>
  <c r="O240"/>
  <c r="O239"/>
  <c r="O238"/>
  <c r="O224" i="3"/>
  <c r="O224" i="2" s="1"/>
  <c r="O225"/>
  <c r="O220"/>
  <c r="O197"/>
  <c r="O205"/>
  <c r="O200"/>
  <c r="O191" i="3"/>
  <c r="O191" i="2" s="1"/>
  <c r="O192"/>
  <c r="O177"/>
  <c r="O166"/>
  <c r="O156"/>
  <c r="O147" i="3"/>
  <c r="O147" i="2" s="1"/>
  <c r="O148"/>
  <c r="O146"/>
  <c r="O138"/>
  <c r="O257" i="3"/>
  <c r="O257" i="2" s="1"/>
  <c r="O258"/>
  <c r="O172"/>
  <c r="O160"/>
  <c r="O150"/>
  <c r="O140"/>
  <c r="O254"/>
  <c r="O231"/>
  <c r="O210"/>
  <c r="O195"/>
  <c r="O190"/>
  <c r="O182"/>
  <c r="O176"/>
  <c r="O168"/>
  <c r="O165"/>
  <c r="O155"/>
  <c r="O145"/>
  <c r="O136" i="3"/>
  <c r="O136" i="2" s="1"/>
  <c r="O137"/>
  <c r="O135"/>
  <c r="O228"/>
  <c r="O207"/>
  <c r="O194"/>
  <c r="O189"/>
  <c r="O185"/>
  <c r="O180" i="3"/>
  <c r="O180" i="2" s="1"/>
  <c r="O181"/>
  <c r="O167"/>
  <c r="O158" i="3"/>
  <c r="O158" i="2" s="1"/>
  <c r="O159"/>
  <c r="O157"/>
  <c r="O149"/>
  <c r="O139"/>
  <c r="O233"/>
  <c r="O217"/>
  <c r="O187"/>
  <c r="O175"/>
  <c r="O174"/>
  <c r="O162"/>
  <c r="O154"/>
  <c r="O142"/>
  <c r="O123"/>
  <c r="O114" i="3"/>
  <c r="O114" i="2" s="1"/>
  <c r="O115"/>
  <c r="O113"/>
  <c r="O105"/>
  <c r="O199"/>
  <c r="O186"/>
  <c r="O161"/>
  <c r="O141"/>
  <c r="O130"/>
  <c r="O120"/>
  <c r="O110"/>
  <c r="O100"/>
  <c r="O171"/>
  <c r="O169" i="3"/>
  <c r="O169" i="2" s="1"/>
  <c r="O170"/>
  <c r="O153"/>
  <c r="O134"/>
  <c r="O127"/>
  <c r="O117"/>
  <c r="O184"/>
  <c r="O152"/>
  <c r="O122"/>
  <c r="O112"/>
  <c r="O103" i="3"/>
  <c r="O103" i="2" s="1"/>
  <c r="O104"/>
  <c r="O102"/>
  <c r="O211"/>
  <c r="O144"/>
  <c r="O128"/>
  <c r="O109"/>
  <c r="O94"/>
  <c r="O84"/>
  <c r="O74"/>
  <c r="O64"/>
  <c r="O221"/>
  <c r="O86"/>
  <c r="O76"/>
  <c r="O66"/>
  <c r="O164"/>
  <c r="O151"/>
  <c r="O118"/>
  <c r="O108"/>
  <c r="O92" i="3"/>
  <c r="O92" i="2" s="1"/>
  <c r="O93"/>
  <c r="O91"/>
  <c r="O83"/>
  <c r="O73"/>
  <c r="O63"/>
  <c r="O241"/>
  <c r="O204"/>
  <c r="O179"/>
  <c r="O125" i="3"/>
  <c r="O125" i="2" s="1"/>
  <c r="O126"/>
  <c r="O124"/>
  <c r="O97"/>
  <c r="O87"/>
  <c r="O132"/>
  <c r="O111"/>
  <c r="O107"/>
  <c r="O106"/>
  <c r="O101"/>
  <c r="O119"/>
  <c r="O81" i="3"/>
  <c r="O81" i="2" s="1"/>
  <c r="O82"/>
  <c r="O79"/>
  <c r="O163"/>
  <c r="O129"/>
  <c r="O121"/>
  <c r="O96"/>
  <c r="O78"/>
  <c r="O56"/>
  <c r="O46"/>
  <c r="O37" i="3"/>
  <c r="O37" i="2" s="1"/>
  <c r="O38"/>
  <c r="O36"/>
  <c r="O28"/>
  <c r="O18"/>
  <c r="O143"/>
  <c r="O75"/>
  <c r="O68"/>
  <c r="O55"/>
  <c r="O45"/>
  <c r="O35"/>
  <c r="O26" i="3"/>
  <c r="O26" i="2" s="1"/>
  <c r="O27"/>
  <c r="O25"/>
  <c r="O17"/>
  <c r="O133"/>
  <c r="O116"/>
  <c r="O90"/>
  <c r="O88"/>
  <c r="O85"/>
  <c r="O67"/>
  <c r="O57"/>
  <c r="O48" i="3"/>
  <c r="O48" i="2" s="1"/>
  <c r="O49"/>
  <c r="O47"/>
  <c r="O39"/>
  <c r="O29"/>
  <c r="O19"/>
  <c r="O70" i="3"/>
  <c r="O70" i="2" s="1"/>
  <c r="O71"/>
  <c r="O65"/>
  <c r="O54"/>
  <c r="O44"/>
  <c r="O30"/>
  <c r="O13"/>
  <c r="O4" i="3"/>
  <c r="O4" i="2" s="1"/>
  <c r="O5"/>
  <c r="O98"/>
  <c r="O42"/>
  <c r="O32"/>
  <c r="O21"/>
  <c r="O99"/>
  <c r="O51"/>
  <c r="O43"/>
  <c r="O33"/>
  <c r="O6"/>
  <c r="O59" i="3"/>
  <c r="O59" i="2" s="1"/>
  <c r="O60"/>
  <c r="O31"/>
  <c r="O20"/>
  <c r="O62"/>
  <c r="O61"/>
  <c r="O34"/>
  <c r="O89"/>
  <c r="O40"/>
  <c r="O23"/>
  <c r="O15" i="3"/>
  <c r="O15" i="2" s="1"/>
  <c r="O16"/>
  <c r="O9"/>
  <c r="O8"/>
  <c r="O7"/>
  <c r="O53"/>
  <c r="O22"/>
  <c r="O80"/>
  <c r="O24"/>
  <c r="O72"/>
  <c r="O69"/>
  <c r="O14"/>
  <c r="O77"/>
  <c r="O52"/>
  <c r="O95"/>
  <c r="O10"/>
  <c r="O131"/>
  <c r="O11"/>
  <c r="O41"/>
  <c r="O58"/>
  <c r="O50"/>
  <c r="O12"/>
  <c r="BC277"/>
  <c r="BC268" i="3"/>
  <c r="BC268" i="2" s="1"/>
  <c r="BC269"/>
  <c r="BC267"/>
  <c r="BC259"/>
  <c r="BC253"/>
  <c r="BC243"/>
  <c r="BC274"/>
  <c r="BC262"/>
  <c r="BC250"/>
  <c r="BC271"/>
  <c r="BC265"/>
  <c r="BC255"/>
  <c r="BC246" i="3"/>
  <c r="BC246" i="2" s="1"/>
  <c r="BC247"/>
  <c r="BC245"/>
  <c r="BC275"/>
  <c r="BC261"/>
  <c r="BC251"/>
  <c r="BC237"/>
  <c r="BC244"/>
  <c r="BC241"/>
  <c r="BC232"/>
  <c r="BC222"/>
  <c r="BC213" i="3"/>
  <c r="BC213" i="2" s="1"/>
  <c r="BC214"/>
  <c r="BC212"/>
  <c r="BC273"/>
  <c r="BC249"/>
  <c r="BC235" i="3"/>
  <c r="BC235" i="2" s="1"/>
  <c r="BC236"/>
  <c r="BC234"/>
  <c r="BC226"/>
  <c r="BC263"/>
  <c r="BC223"/>
  <c r="BC215"/>
  <c r="BC209"/>
  <c r="BC256"/>
  <c r="BC231"/>
  <c r="BC224" i="3"/>
  <c r="BC224" i="2" s="1"/>
  <c r="BC225"/>
  <c r="BC254"/>
  <c r="BC208"/>
  <c r="BC270"/>
  <c r="BC260"/>
  <c r="BC228"/>
  <c r="BC219"/>
  <c r="BC196"/>
  <c r="BC272"/>
  <c r="BC266"/>
  <c r="BC252"/>
  <c r="BC207"/>
  <c r="BC204"/>
  <c r="BC201"/>
  <c r="BC193"/>
  <c r="BC183"/>
  <c r="BC173"/>
  <c r="BC242"/>
  <c r="BC230"/>
  <c r="BC229"/>
  <c r="BC220"/>
  <c r="BC216"/>
  <c r="BC210"/>
  <c r="BC198"/>
  <c r="BC188"/>
  <c r="BC178"/>
  <c r="BC169" i="3"/>
  <c r="BC169" i="2" s="1"/>
  <c r="BC170"/>
  <c r="BC276"/>
  <c r="BC240"/>
  <c r="BC239"/>
  <c r="BC238"/>
  <c r="BC197"/>
  <c r="BC264"/>
  <c r="BC218"/>
  <c r="BC211"/>
  <c r="BC195"/>
  <c r="BC172"/>
  <c r="BC166"/>
  <c r="BC156"/>
  <c r="BC147" i="3"/>
  <c r="BC147" i="2" s="1"/>
  <c r="BC148"/>
  <c r="BC146"/>
  <c r="BC138"/>
  <c r="BC205"/>
  <c r="BC186"/>
  <c r="BC179"/>
  <c r="BC175"/>
  <c r="BC171"/>
  <c r="BC160"/>
  <c r="BC150"/>
  <c r="BC140"/>
  <c r="BC130"/>
  <c r="BC278"/>
  <c r="BC189"/>
  <c r="BC185"/>
  <c r="BC180" i="3"/>
  <c r="BC180" i="2" s="1"/>
  <c r="BC181"/>
  <c r="BC165"/>
  <c r="BC155"/>
  <c r="BC145"/>
  <c r="BC136" i="3"/>
  <c r="BC136" i="2" s="1"/>
  <c r="BC137"/>
  <c r="BC135"/>
  <c r="BC248"/>
  <c r="BC206"/>
  <c r="BC199"/>
  <c r="BC190"/>
  <c r="BC184"/>
  <c r="BC158" i="3"/>
  <c r="BC158" i="2" s="1"/>
  <c r="BC159"/>
  <c r="BC157"/>
  <c r="BC149"/>
  <c r="BC139"/>
  <c r="BC202" i="3"/>
  <c r="BC202" i="2" s="1"/>
  <c r="BC203"/>
  <c r="BC176"/>
  <c r="BC151"/>
  <c r="BC133"/>
  <c r="BC123"/>
  <c r="BC114" i="3"/>
  <c r="BC114" i="2" s="1"/>
  <c r="BC115"/>
  <c r="BC113"/>
  <c r="BC105"/>
  <c r="BC194"/>
  <c r="BC164"/>
  <c r="BC144"/>
  <c r="BC132"/>
  <c r="BC120"/>
  <c r="BC110"/>
  <c r="BC100"/>
  <c r="BC221"/>
  <c r="BC131"/>
  <c r="BC127"/>
  <c r="BC117"/>
  <c r="BC227"/>
  <c r="BC200"/>
  <c r="BC191" i="3"/>
  <c r="BC191" i="2" s="1"/>
  <c r="BC192"/>
  <c r="BC182"/>
  <c r="BC163"/>
  <c r="BC143"/>
  <c r="BC122"/>
  <c r="BC112"/>
  <c r="BC103" i="3"/>
  <c r="BC103" i="2" s="1"/>
  <c r="BC104"/>
  <c r="BC102"/>
  <c r="BC124"/>
  <c r="BC116"/>
  <c r="BC111"/>
  <c r="BC84"/>
  <c r="BC74"/>
  <c r="BC64"/>
  <c r="BC174"/>
  <c r="BC168"/>
  <c r="BC167"/>
  <c r="BC129"/>
  <c r="BC98"/>
  <c r="BC95"/>
  <c r="BC86"/>
  <c r="BC76"/>
  <c r="BC66"/>
  <c r="BC187"/>
  <c r="BC121"/>
  <c r="BC92" i="3"/>
  <c r="BC92" i="2" s="1"/>
  <c r="BC93"/>
  <c r="BC91"/>
  <c r="BC83"/>
  <c r="BC73"/>
  <c r="BC63"/>
  <c r="BC94"/>
  <c r="BC81" i="3"/>
  <c r="BC81" i="2" s="1"/>
  <c r="BC82"/>
  <c r="BC152"/>
  <c r="BC118"/>
  <c r="BC87"/>
  <c r="BC177"/>
  <c r="BC142"/>
  <c r="BC108"/>
  <c r="BC107"/>
  <c r="BC106"/>
  <c r="BC101"/>
  <c r="BC88"/>
  <c r="BC257" i="3"/>
  <c r="BC257" i="2" s="1"/>
  <c r="BC258"/>
  <c r="BC85"/>
  <c r="BC79"/>
  <c r="BC65"/>
  <c r="BC59" i="3"/>
  <c r="BC59" i="2" s="1"/>
  <c r="BC60"/>
  <c r="BC56"/>
  <c r="BC46"/>
  <c r="BC37" i="3"/>
  <c r="BC37" i="2" s="1"/>
  <c r="BC38"/>
  <c r="BC36"/>
  <c r="BC28"/>
  <c r="BC18"/>
  <c r="BC233"/>
  <c r="BC153"/>
  <c r="BC141"/>
  <c r="BC72"/>
  <c r="BC69"/>
  <c r="BC55"/>
  <c r="BC45"/>
  <c r="BC35"/>
  <c r="BC26" i="3"/>
  <c r="BC26" i="2" s="1"/>
  <c r="BC27"/>
  <c r="BC25"/>
  <c r="BC17"/>
  <c r="BC162"/>
  <c r="BC90"/>
  <c r="BC77"/>
  <c r="BC70" i="3"/>
  <c r="BC70" i="2" s="1"/>
  <c r="BC71"/>
  <c r="BC62"/>
  <c r="BC57"/>
  <c r="BC48" i="3"/>
  <c r="BC48" i="2" s="1"/>
  <c r="BC49"/>
  <c r="BC47"/>
  <c r="BC39"/>
  <c r="BC29"/>
  <c r="BC19"/>
  <c r="BC125" i="3"/>
  <c r="BC125" i="2" s="1"/>
  <c r="BC126"/>
  <c r="BC75"/>
  <c r="BC96"/>
  <c r="BC78"/>
  <c r="BC50"/>
  <c r="BC40"/>
  <c r="BC31"/>
  <c r="BC22"/>
  <c r="BC15" i="3"/>
  <c r="BC15" i="2" s="1"/>
  <c r="BC16"/>
  <c r="BC13"/>
  <c r="BC4" i="3"/>
  <c r="BC4" i="2" s="1"/>
  <c r="BC5"/>
  <c r="BC119"/>
  <c r="BC52"/>
  <c r="BC44"/>
  <c r="BC34"/>
  <c r="BC14"/>
  <c r="BC11"/>
  <c r="BC8"/>
  <c r="BC53"/>
  <c r="BC30"/>
  <c r="BC23"/>
  <c r="BC89"/>
  <c r="BC43"/>
  <c r="BC20"/>
  <c r="BC97"/>
  <c r="BC32"/>
  <c r="BC154"/>
  <c r="BC61"/>
  <c r="BC109"/>
  <c r="BC6"/>
  <c r="BC128"/>
  <c r="BC12"/>
  <c r="BC7"/>
  <c r="BC99"/>
  <c r="BC54"/>
  <c r="BC161"/>
  <c r="BC68"/>
  <c r="BC67"/>
  <c r="BC41"/>
  <c r="BC24"/>
  <c r="BC80"/>
  <c r="BC21"/>
  <c r="BC10"/>
  <c r="BC9"/>
  <c r="BC217"/>
  <c r="BC42"/>
  <c r="BC134"/>
  <c r="BC33"/>
  <c r="BC58"/>
  <c r="BC51"/>
  <c r="Q275"/>
  <c r="Q261"/>
  <c r="Q251"/>
  <c r="Q272"/>
  <c r="Q264"/>
  <c r="Q256"/>
  <c r="Q248"/>
  <c r="Q277"/>
  <c r="Q268" i="3"/>
  <c r="Q268" i="2" s="1"/>
  <c r="Q269"/>
  <c r="Q267"/>
  <c r="Q259"/>
  <c r="Q253"/>
  <c r="Q243"/>
  <c r="Q273"/>
  <c r="Q263"/>
  <c r="Q249"/>
  <c r="Q242"/>
  <c r="Q233"/>
  <c r="Q240"/>
  <c r="Q230"/>
  <c r="Q220"/>
  <c r="Q210"/>
  <c r="Q278"/>
  <c r="Q270"/>
  <c r="Q266"/>
  <c r="Q257" i="3"/>
  <c r="Q257" i="2" s="1"/>
  <c r="Q258"/>
  <c r="Q254"/>
  <c r="Q232"/>
  <c r="Q252"/>
  <c r="Q238"/>
  <c r="Q237"/>
  <c r="Q221"/>
  <c r="Q218"/>
  <c r="Q212"/>
  <c r="Q207"/>
  <c r="Q276"/>
  <c r="Q255"/>
  <c r="Q235" i="3"/>
  <c r="Q235" i="2" s="1"/>
  <c r="Q236"/>
  <c r="Q227"/>
  <c r="Q217"/>
  <c r="Q274"/>
  <c r="Q244"/>
  <c r="Q241"/>
  <c r="Q231"/>
  <c r="Q211"/>
  <c r="Q206"/>
  <c r="Q260"/>
  <c r="Q209"/>
  <c r="Q204"/>
  <c r="Q194"/>
  <c r="Q222"/>
  <c r="Q213" i="3"/>
  <c r="Q213" i="2" s="1"/>
  <c r="Q214"/>
  <c r="Q199"/>
  <c r="Q189"/>
  <c r="Q180" i="3"/>
  <c r="Q180" i="2" s="1"/>
  <c r="Q181"/>
  <c r="Q179"/>
  <c r="Q171"/>
  <c r="Q250"/>
  <c r="Q246" i="3"/>
  <c r="Q246" i="2" s="1"/>
  <c r="Q247"/>
  <c r="Q245"/>
  <c r="Q208"/>
  <c r="Q202" i="3"/>
  <c r="Q202" i="2" s="1"/>
  <c r="Q203"/>
  <c r="Q196"/>
  <c r="Q186"/>
  <c r="Q176"/>
  <c r="Q271"/>
  <c r="Q234"/>
  <c r="Q216"/>
  <c r="Q205"/>
  <c r="Q215"/>
  <c r="Q188"/>
  <c r="Q174"/>
  <c r="Q164"/>
  <c r="Q154"/>
  <c r="Q144"/>
  <c r="Q134"/>
  <c r="Q265"/>
  <c r="Q198"/>
  <c r="Q191" i="3"/>
  <c r="Q191" i="2" s="1"/>
  <c r="Q192"/>
  <c r="Q183"/>
  <c r="Q177"/>
  <c r="Q166"/>
  <c r="Q156"/>
  <c r="Q147" i="3"/>
  <c r="Q147" i="2" s="1"/>
  <c r="Q148"/>
  <c r="Q146"/>
  <c r="Q138"/>
  <c r="Q229"/>
  <c r="Q197"/>
  <c r="Q187"/>
  <c r="Q163"/>
  <c r="Q153"/>
  <c r="Q143"/>
  <c r="Q133"/>
  <c r="Q262"/>
  <c r="Q195"/>
  <c r="Q190"/>
  <c r="Q182"/>
  <c r="Q168"/>
  <c r="Q165"/>
  <c r="Q155"/>
  <c r="Q145"/>
  <c r="Q136" i="3"/>
  <c r="Q136" i="2" s="1"/>
  <c r="Q137"/>
  <c r="Q135"/>
  <c r="Q178"/>
  <c r="Q121"/>
  <c r="Q111"/>
  <c r="Q101"/>
  <c r="Q175"/>
  <c r="Q162"/>
  <c r="Q142"/>
  <c r="Q128"/>
  <c r="Q118"/>
  <c r="Q108"/>
  <c r="Q98"/>
  <c r="Q219"/>
  <c r="Q201"/>
  <c r="Q200"/>
  <c r="Q193"/>
  <c r="Q173"/>
  <c r="Q161"/>
  <c r="Q160"/>
  <c r="Q141"/>
  <c r="Q140"/>
  <c r="Q123"/>
  <c r="Q114" i="3"/>
  <c r="Q114" i="2" s="1"/>
  <c r="Q115"/>
  <c r="Q113"/>
  <c r="Q185"/>
  <c r="Q172"/>
  <c r="Q169" i="3"/>
  <c r="Q169" i="2" s="1"/>
  <c r="Q170"/>
  <c r="Q167"/>
  <c r="Q158" i="3"/>
  <c r="Q158" i="2" s="1"/>
  <c r="Q159"/>
  <c r="Q139"/>
  <c r="Q130"/>
  <c r="Q120"/>
  <c r="Q110"/>
  <c r="Q239"/>
  <c r="Q228"/>
  <c r="Q184"/>
  <c r="Q129"/>
  <c r="Q95"/>
  <c r="Q90"/>
  <c r="Q81" i="3"/>
  <c r="Q81" i="2" s="1"/>
  <c r="Q82"/>
  <c r="Q80"/>
  <c r="Q72"/>
  <c r="Q62"/>
  <c r="Q109"/>
  <c r="Q94"/>
  <c r="Q84"/>
  <c r="Q74"/>
  <c r="Q64"/>
  <c r="Q152"/>
  <c r="Q125" i="3"/>
  <c r="Q125" i="2" s="1"/>
  <c r="Q126"/>
  <c r="Q119"/>
  <c r="Q100"/>
  <c r="Q97"/>
  <c r="Q89"/>
  <c r="Q79"/>
  <c r="Q70" i="3"/>
  <c r="Q70" i="2" s="1"/>
  <c r="Q71"/>
  <c r="Q69"/>
  <c r="Q61"/>
  <c r="Q226"/>
  <c r="Q223"/>
  <c r="Q151"/>
  <c r="Q117"/>
  <c r="Q96"/>
  <c r="Q88"/>
  <c r="Q112"/>
  <c r="Q87"/>
  <c r="Q224" i="3"/>
  <c r="Q224" i="2" s="1"/>
  <c r="Q225"/>
  <c r="Q103" i="3"/>
  <c r="Q103" i="2" s="1"/>
  <c r="Q104"/>
  <c r="Q99"/>
  <c r="Q131"/>
  <c r="Q106"/>
  <c r="Q157"/>
  <c r="Q132"/>
  <c r="Q77"/>
  <c r="Q54"/>
  <c r="Q44"/>
  <c r="Q34"/>
  <c r="Q24"/>
  <c r="Q107"/>
  <c r="Q63"/>
  <c r="Q53"/>
  <c r="Q43"/>
  <c r="Q33"/>
  <c r="Q23"/>
  <c r="Q102"/>
  <c r="Q91"/>
  <c r="Q83"/>
  <c r="Q75"/>
  <c r="Q68"/>
  <c r="Q55"/>
  <c r="Q45"/>
  <c r="Q35"/>
  <c r="Q26" i="3"/>
  <c r="Q26" i="2" s="1"/>
  <c r="Q27"/>
  <c r="Q25"/>
  <c r="Q17"/>
  <c r="Q124"/>
  <c r="Q85"/>
  <c r="Q76"/>
  <c r="Q50"/>
  <c r="Q40"/>
  <c r="Q31"/>
  <c r="Q22"/>
  <c r="Q11"/>
  <c r="Q59" i="3"/>
  <c r="Q59" i="2" s="1"/>
  <c r="Q60"/>
  <c r="Q46"/>
  <c r="Q41"/>
  <c r="Q37" i="3"/>
  <c r="Q37" i="2" s="1"/>
  <c r="Q38"/>
  <c r="Q28"/>
  <c r="Q15" i="3"/>
  <c r="Q15" i="2" s="1"/>
  <c r="Q16"/>
  <c r="Q116"/>
  <c r="Q67"/>
  <c r="Q42"/>
  <c r="Q32"/>
  <c r="Q21"/>
  <c r="Q13"/>
  <c r="Q10"/>
  <c r="Q7"/>
  <c r="Q150"/>
  <c r="Q122"/>
  <c r="Q92" i="3"/>
  <c r="Q92" i="2" s="1"/>
  <c r="Q93"/>
  <c r="Q58"/>
  <c r="Q48" i="3"/>
  <c r="Q48" i="2" s="1"/>
  <c r="Q49"/>
  <c r="Q39"/>
  <c r="Q127"/>
  <c r="Q20"/>
  <c r="Q6"/>
  <c r="Q86"/>
  <c r="Q78"/>
  <c r="Q56"/>
  <c r="Q52"/>
  <c r="Q51"/>
  <c r="Q19"/>
  <c r="Q149"/>
  <c r="Q30"/>
  <c r="Q29"/>
  <c r="Q12"/>
  <c r="Q57"/>
  <c r="Q8"/>
  <c r="Q73"/>
  <c r="Q66"/>
  <c r="Q9"/>
  <c r="Q4" i="3"/>
  <c r="Q4" i="2" s="1"/>
  <c r="Q5"/>
  <c r="Q36"/>
  <c r="Q105"/>
  <c r="Q18"/>
  <c r="Q47"/>
  <c r="Q65"/>
  <c r="Q14"/>
  <c r="Y275"/>
  <c r="Y261"/>
  <c r="Y251"/>
  <c r="Y272"/>
  <c r="Y264"/>
  <c r="Y256"/>
  <c r="Y248"/>
  <c r="Y277"/>
  <c r="Y268" i="3"/>
  <c r="Y268" i="2" s="1"/>
  <c r="Y269"/>
  <c r="Y267"/>
  <c r="Y259"/>
  <c r="Y253"/>
  <c r="Y243"/>
  <c r="Y273"/>
  <c r="Y263"/>
  <c r="Y249"/>
  <c r="Y233"/>
  <c r="Y276"/>
  <c r="Y265"/>
  <c r="Y260"/>
  <c r="Y252"/>
  <c r="Y245"/>
  <c r="Y240"/>
  <c r="Y230"/>
  <c r="Y220"/>
  <c r="Y210"/>
  <c r="Y232"/>
  <c r="Y222"/>
  <c r="Y241"/>
  <c r="Y231"/>
  <c r="Y227"/>
  <c r="Y213" i="3"/>
  <c r="Y213" i="2" s="1"/>
  <c r="Y214"/>
  <c r="Y207"/>
  <c r="Y254"/>
  <c r="Y226"/>
  <c r="Y223"/>
  <c r="Y211"/>
  <c r="Y262"/>
  <c r="Y250"/>
  <c r="Y239"/>
  <c r="Y234"/>
  <c r="Y229"/>
  <c r="Y206"/>
  <c r="Y278"/>
  <c r="Y237"/>
  <c r="Y208"/>
  <c r="Y194"/>
  <c r="Y238"/>
  <c r="Y235" i="3"/>
  <c r="Y235" i="2" s="1"/>
  <c r="Y236"/>
  <c r="Y216"/>
  <c r="Y202" i="3"/>
  <c r="Y202" i="2" s="1"/>
  <c r="Y203"/>
  <c r="Y199"/>
  <c r="Y189"/>
  <c r="Y180" i="3"/>
  <c r="Y180" i="2" s="1"/>
  <c r="Y181"/>
  <c r="Y179"/>
  <c r="Y171"/>
  <c r="Y270"/>
  <c r="Y255"/>
  <c r="Y224" i="3"/>
  <c r="Y224" i="2" s="1"/>
  <c r="Y225"/>
  <c r="Y196"/>
  <c r="Y186"/>
  <c r="Y176"/>
  <c r="Y274"/>
  <c r="Y246" i="3"/>
  <c r="Y246" i="2" s="1"/>
  <c r="Y247"/>
  <c r="Y212"/>
  <c r="Y195"/>
  <c r="Y266"/>
  <c r="Y244"/>
  <c r="Y218"/>
  <c r="Y209"/>
  <c r="Y183"/>
  <c r="Y177"/>
  <c r="Y164"/>
  <c r="Y154"/>
  <c r="Y144"/>
  <c r="Y134"/>
  <c r="Y271"/>
  <c r="Y242"/>
  <c r="Y172"/>
  <c r="Y166"/>
  <c r="Y156"/>
  <c r="Y147" i="3"/>
  <c r="Y147" i="2" s="1"/>
  <c r="Y148"/>
  <c r="Y146"/>
  <c r="Y138"/>
  <c r="Y257" i="3"/>
  <c r="Y257" i="2" s="1"/>
  <c r="Y258"/>
  <c r="Y215"/>
  <c r="Y204"/>
  <c r="Y201"/>
  <c r="Y190"/>
  <c r="Y182"/>
  <c r="Y163"/>
  <c r="Y153"/>
  <c r="Y143"/>
  <c r="Y133"/>
  <c r="Y205"/>
  <c r="Y200"/>
  <c r="Y185"/>
  <c r="Y178"/>
  <c r="Y169" i="3"/>
  <c r="Y169" i="2" s="1"/>
  <c r="Y170"/>
  <c r="Y165"/>
  <c r="Y155"/>
  <c r="Y145"/>
  <c r="Y136" i="3"/>
  <c r="Y136" i="2" s="1"/>
  <c r="Y137"/>
  <c r="Y135"/>
  <c r="Y228"/>
  <c r="Y152"/>
  <c r="Y121"/>
  <c r="Y111"/>
  <c r="Y101"/>
  <c r="Y217"/>
  <c r="Y151"/>
  <c r="Y150"/>
  <c r="Y128"/>
  <c r="Y118"/>
  <c r="Y108"/>
  <c r="Y98"/>
  <c r="Y198"/>
  <c r="Y191" i="3"/>
  <c r="Y191" i="2" s="1"/>
  <c r="Y192"/>
  <c r="Y168"/>
  <c r="Y157"/>
  <c r="Y149"/>
  <c r="Y132"/>
  <c r="Y123"/>
  <c r="Y114" i="3"/>
  <c r="Y114" i="2" s="1"/>
  <c r="Y115"/>
  <c r="Y113"/>
  <c r="Y197"/>
  <c r="Y188"/>
  <c r="Y131"/>
  <c r="Y130"/>
  <c r="Y120"/>
  <c r="Y110"/>
  <c r="Y173"/>
  <c r="Y117"/>
  <c r="Y112"/>
  <c r="Y90"/>
  <c r="Y81" i="3"/>
  <c r="Y81" i="2" s="1"/>
  <c r="Y82"/>
  <c r="Y80"/>
  <c r="Y72"/>
  <c r="Y62"/>
  <c r="Y142"/>
  <c r="Y141"/>
  <c r="Y139"/>
  <c r="Y124"/>
  <c r="Y116"/>
  <c r="Y107"/>
  <c r="Y102"/>
  <c r="Y100"/>
  <c r="Y97"/>
  <c r="Y94"/>
  <c r="Y84"/>
  <c r="Y74"/>
  <c r="Y64"/>
  <c r="Y221"/>
  <c r="Y184"/>
  <c r="Y174"/>
  <c r="Y122"/>
  <c r="Y89"/>
  <c r="Y79"/>
  <c r="Y70" i="3"/>
  <c r="Y70" i="2" s="1"/>
  <c r="Y71"/>
  <c r="Y69"/>
  <c r="Y61"/>
  <c r="Y162"/>
  <c r="Y105"/>
  <c r="Y103" i="3"/>
  <c r="Y103" i="2" s="1"/>
  <c r="Y104"/>
  <c r="Y219"/>
  <c r="Y193"/>
  <c r="Y175"/>
  <c r="Y106"/>
  <c r="Y99"/>
  <c r="Y91"/>
  <c r="Y86"/>
  <c r="Y78"/>
  <c r="Y187"/>
  <c r="Y87"/>
  <c r="Y83"/>
  <c r="Y63"/>
  <c r="Y54"/>
  <c r="Y44"/>
  <c r="Y34"/>
  <c r="Y24"/>
  <c r="Y125" i="3"/>
  <c r="Y125" i="2" s="1"/>
  <c r="Y126"/>
  <c r="Y96"/>
  <c r="Y67"/>
  <c r="Y53"/>
  <c r="Y43"/>
  <c r="Y33"/>
  <c r="Y23"/>
  <c r="Y161"/>
  <c r="Y127"/>
  <c r="Y119"/>
  <c r="Y55"/>
  <c r="Y45"/>
  <c r="Y35"/>
  <c r="Y26" i="3"/>
  <c r="Y26" i="2" s="1"/>
  <c r="Y27"/>
  <c r="Y25"/>
  <c r="Y17"/>
  <c r="Y140"/>
  <c r="Y129"/>
  <c r="Y68"/>
  <c r="Y160"/>
  <c r="Y77"/>
  <c r="Y28"/>
  <c r="Y20"/>
  <c r="Y11"/>
  <c r="Y73"/>
  <c r="Y57"/>
  <c r="Y13"/>
  <c r="Y10"/>
  <c r="Y7"/>
  <c r="Y48" i="3"/>
  <c r="Y48" i="2" s="1"/>
  <c r="Y49"/>
  <c r="Y30"/>
  <c r="Y19"/>
  <c r="Y95"/>
  <c r="Y75"/>
  <c r="Y56"/>
  <c r="Y46"/>
  <c r="Y18"/>
  <c r="Y6"/>
  <c r="Y92" i="3"/>
  <c r="Y92" i="2" s="1"/>
  <c r="Y93"/>
  <c r="Y59" i="3"/>
  <c r="Y59" i="2" s="1"/>
  <c r="Y60"/>
  <c r="Y51"/>
  <c r="Y41"/>
  <c r="Y36"/>
  <c r="Y8"/>
  <c r="Y66"/>
  <c r="Y37" i="3"/>
  <c r="Y37" i="2" s="1"/>
  <c r="Y38"/>
  <c r="Y31"/>
  <c r="Y12"/>
  <c r="Y76"/>
  <c r="Y47"/>
  <c r="Y9"/>
  <c r="Y158" i="3"/>
  <c r="Y158" i="2" s="1"/>
  <c r="Y159"/>
  <c r="Y167"/>
  <c r="Y85"/>
  <c r="Y52"/>
  <c r="Y50"/>
  <c r="Y4" i="3"/>
  <c r="Y4" i="2" s="1"/>
  <c r="Y5"/>
  <c r="Y29"/>
  <c r="Y22"/>
  <c r="Y88"/>
  <c r="Y15" i="3"/>
  <c r="Y15" i="2" s="1"/>
  <c r="Y16"/>
  <c r="Y109"/>
  <c r="Y58"/>
  <c r="Y39"/>
  <c r="Y14"/>
  <c r="Y42"/>
  <c r="Y65"/>
  <c r="Y40"/>
  <c r="Y32"/>
  <c r="Y21"/>
  <c r="AL2"/>
  <c r="BB2"/>
  <c r="AG2"/>
  <c r="BF2"/>
  <c r="Z2"/>
  <c r="AJ2"/>
  <c r="AO2"/>
  <c r="AB2"/>
  <c r="H2"/>
  <c r="AZ2"/>
  <c r="BM2"/>
  <c r="AU2"/>
  <c r="BH2"/>
  <c r="AA2"/>
  <c r="BL2"/>
  <c r="AF2"/>
  <c r="AT2"/>
  <c r="F2"/>
  <c r="AN2"/>
  <c r="BJ2"/>
  <c r="K2"/>
  <c r="M2"/>
  <c r="AD2"/>
  <c r="AV2"/>
  <c r="U2"/>
  <c r="BA2"/>
  <c r="BG2"/>
  <c r="BI2"/>
  <c r="X2"/>
  <c r="AI2"/>
  <c r="AQ2"/>
  <c r="AS2"/>
  <c r="BK2"/>
  <c r="AP2"/>
  <c r="AR2"/>
  <c r="AX2"/>
  <c r="S2"/>
  <c r="J2"/>
  <c r="AC2"/>
  <c r="I2"/>
  <c r="L2"/>
  <c r="T2"/>
  <c r="V2"/>
  <c r="AH2"/>
  <c r="P2"/>
  <c r="AW2"/>
  <c r="AE2"/>
  <c r="AM2"/>
  <c r="W2"/>
  <c r="AY2"/>
  <c r="BD2"/>
  <c r="N2"/>
  <c r="BE2"/>
  <c r="G2"/>
  <c r="AK2"/>
  <c r="R2"/>
  <c r="O2"/>
  <c r="BC2"/>
  <c r="Q2"/>
  <c r="Y2"/>
</calcChain>
</file>

<file path=xl/sharedStrings.xml><?xml version="1.0" encoding="utf-8"?>
<sst xmlns="http://schemas.openxmlformats.org/spreadsheetml/2006/main" count="31" uniqueCount="31">
  <si>
    <t>**重要提示**</t>
  </si>
  <si>
    <t>本文件、本文件所含信息以及任何基于此的衍生信息仅限SHANGHAI UNIVERSITY的JIARUI YANG使用。</t>
  </si>
  <si>
    <t>~~~~~~~~~~~~~~~~~~~~~~~~~~~~~~~~~~~~~~~~~~~~~~~~~~~~~~~~~~~~~~~~~~~~~~~~~~~~~~~~~~~~~~~~~~~~~~~~~~~~~~~~~~~~~~~~~~~~~~~~~~~~~~~~~~~~~~~~~~~~~~~~~~~~~~~</t>
  </si>
  <si>
    <t>**参考**</t>
  </si>
  <si>
    <t xml:space="preserve">     彭博行业(BI)Excel输出生成的电子数据表可作为参考表格，用于不同的模型和其他表格。</t>
  </si>
  <si>
    <t xml:space="preserve">     暂不支持自动建造模型或从BI输出表格中拖放，但将BI输出作为参考表格用于其他电子数</t>
  </si>
  <si>
    <t xml:space="preserve">   据表，功能强大，简便易用，能帮助您实现各种分析目的。</t>
  </si>
  <si>
    <t xml:space="preserve">   --BI Excel输出表格通常包含2个数据标签(有些BI模型，比如BI行情显示部分的模型，只能生</t>
  </si>
  <si>
    <t xml:space="preserve">   成1个数据标签“工作表1”)：</t>
  </si>
  <si>
    <t xml:space="preserve">     1) BI数据：此标签界面简洁，数据与BI控制面板同步。 </t>
  </si>
  <si>
    <t xml:space="preserve">          列示表格可作为参考表格，用于不同的模型和其他衍生电子数据表。</t>
  </si>
  <si>
    <t xml:space="preserve">     2) 参考数据：此标签下存储着所有的原始数据并包含数据加工。通常会有两个独立的表格：</t>
  </si>
  <si>
    <t xml:space="preserve">          上表包括出错处理、公式等等，下表包含输出的任何/所有实时API信息。 </t>
  </si>
  <si>
    <t xml:space="preserve">          实际API(BDP/BDH)公式的构建也是在下表中，因此如果想查看/运用相应API详情，可参</t>
  </si>
  <si>
    <t xml:space="preserve">          看此处。</t>
  </si>
  <si>
    <t xml:space="preserve">          注：有些时候，可能没有下表(如果所选数据无一来自实时API链接)。</t>
  </si>
  <si>
    <t xml:space="preserve">   --不同标签的表格中包含有共同的数据列：</t>
  </si>
  <si>
    <t xml:space="preserve">     1) 简介:此行标签与您在BI上看到的行标签相同。</t>
  </si>
  <si>
    <t xml:space="preserve">     2) 代码：与此行对应的公司/指数代码(代码用于 </t>
  </si>
  <si>
    <t xml:space="preserve">          此行BDP/BDH公式，如适用)</t>
  </si>
  <si>
    <t xml:space="preserve">     3) 栏目代码：此calcrout代码用于构建此行BDP/BDH公式(如适用)。</t>
  </si>
  <si>
    <t xml:space="preserve">     4) 栏目助记符：此calcrout助记符与用于构建此行BDP/BDH公式(如适用)的栏目代码相对应。</t>
  </si>
  <si>
    <t xml:space="preserve">     5) 数据状态：此特定行的数据状态，包括“动态”、“静态”、“合计”、“平均”、“中值”或“标题”。</t>
  </si>
  <si>
    <t xml:space="preserve">           如果是“动态”，那么一旦有新数据进入数据库，即可自动更新至表格，无需再次输出。</t>
  </si>
  <si>
    <t xml:space="preserve">           如果是“静态”，即此行不存在实时链接，新数据只能通过再次运行BI并输出。</t>
  </si>
  <si>
    <t xml:space="preserve">           如果是“合计”、“平均”、“中值”或“公式”，有些公式组件的数据或许能自动更新，但如果要</t>
  </si>
  <si>
    <t xml:space="preserve">           确保表格中的数据都是最新的，必须再次运行BI并输出。</t>
  </si>
  <si>
    <t>~~~~~~~~~~~~~~~~~~~~~~~~~~~~~~~~~~~~~~~~~~~~~~~~~~~~~~~~~~~~~~~~~~~~~~~~~~~~~~~~~~~~~~~~~~~~~~~~~~~~~~~~~~~~~~~~~~~~~~~~~~~~~~~~~~~~~~~~~~~~~~~~~~~~~~~~~~~~~~~~</t>
  </si>
  <si>
    <t>**帮助**</t>
  </si>
  <si>
    <t xml:space="preserve">     如果您在BI Excel输出过程中或对输出结果有任何疑问，请在彭博终端上运行BI&lt;GO&gt;功能，</t>
  </si>
  <si>
    <t xml:space="preserve">   然后按&lt;HELP&gt;键两次。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</si>
</sst>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blp_column_header" xfId="26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7" builtinId="28" customBuiltin="1"/>
    <cellStyle name="输出" xfId="39" builtinId="21" customBuiltin="1"/>
    <cellStyle name="输入" xfId="35" builtinId="20" customBuiltin="1"/>
    <cellStyle name="注释" xfId="38" builtinId="10" customBuiltin="1"/>
  </cellStyles>
  <dxfs count="0"/>
  <tableStyles count="0" defaultTableStyle="TableStyleMedium2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#N/A Authorization</v>
        <stp/>
        <stp>##V3_BDHV12</stp>
        <stp>BXP US Equity</stp>
        <stp>BE592</stp>
        <stp>-60CQ</stp>
        <stp>2018/3/31</stp>
        <stp>[office reits companeis.xlsx]ReferenceData!R436C6</stp>
        <stp>Per=CQ</stp>
        <stp>Dts=H</stp>
        <stp>Dir=H</stp>
        <stp>Points=60</stp>
        <stp>Sort=R</stp>
        <stp>Days=A</stp>
        <stp>Fill=B</stp>
        <stp>BE997=1GY</stp>
        <stp>FX=USD</stp>
        <tr r="F436" s="3"/>
      </tp>
      <tp t="s">
        <v>#N/A Authorization</v>
        <stp/>
        <stp>##V3_BDHV12</stp>
        <stp>CXP US Equity</stp>
        <stp>BE592</stp>
        <stp>-60CQ</stp>
        <stp>2018/3/31</stp>
        <stp>[office reits companeis.xlsx]ReferenceData!R438C6</stp>
        <stp>Per=CQ</stp>
        <stp>Dts=H</stp>
        <stp>Dir=H</stp>
        <stp>Points=60</stp>
        <stp>Sort=R</stp>
        <stp>Days=A</stp>
        <stp>Fill=B</stp>
        <stp>BE997=1GY</stp>
        <stp>FX=USD</stp>
        <tr r="F438" s="3"/>
      </tp>
      <tp t="s">
        <v>#N/A Authorization</v>
        <stp/>
        <stp>##V3_BDHV12</stp>
        <stp>KRC US Equity</stp>
        <stp>BE592</stp>
        <stp>-60CQ</stp>
        <stp>2018/3/31</stp>
        <stp>[office reits companeis.xlsx]ReferenceData!R441C6</stp>
        <stp>Per=CQ</stp>
        <stp>Dts=H</stp>
        <stp>Dir=H</stp>
        <stp>Points=60</stp>
        <stp>Sort=R</stp>
        <stp>Days=A</stp>
        <stp>Fill=B</stp>
        <stp>BE997=1GY</stp>
        <stp>FX=USD</stp>
        <tr r="F441" s="3"/>
      </tp>
      <tp t="s">
        <v>#N/A Authorization</v>
        <stp/>
        <stp>##V3_BDHV12</stp>
        <stp>BXP US Equity</stp>
        <stp>RR253</stp>
        <stp>-60CQ</stp>
        <stp>2018/3/31</stp>
        <stp>[BI_OFCRN_1.xlsx]ReferenceData!R578C3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78" s="3"/>
      </tp>
      <tp t="s">
        <v>#N/A Authorization</v>
        <stp/>
        <stp>##V3_BDHV12</stp>
        <stp>BXP US Equity</stp>
        <stp>BS658</stp>
        <stp>-60CQ</stp>
        <stp>2018/3/31</stp>
        <stp>[BI_OFCRN_1.xlsx]ReferenceData!R582C3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82" s="3"/>
      </tp>
      <tp t="s">
        <v>#N/A Authorization</v>
        <stp/>
        <stp>##V3_BDHV12</stp>
        <stp>BXP US Equity</stp>
        <stp>BS189</stp>
        <stp>-60CQ</stp>
        <stp>2018/3/31</stp>
        <stp>[BI_OFCRN_1.xlsx]ReferenceData!R580C3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80" s="3"/>
      </tp>
      <tp t="s">
        <v>#N/A Authorization</v>
        <stp/>
        <stp>##V3_BDHV12</stp>
        <stp>HIW US Equity</stp>
        <stp>BE592</stp>
        <stp>-60CQ</stp>
        <stp>2018/3/31</stp>
        <stp>[office reits companeis.xlsx]ReferenceData!R440C6</stp>
        <stp>Per=CQ</stp>
        <stp>Dts=H</stp>
        <stp>Dir=H</stp>
        <stp>Points=60</stp>
        <stp>Sort=R</stp>
        <stp>Days=A</stp>
        <stp>Fill=B</stp>
        <stp>BE997=1GY</stp>
        <stp>FX=USD</stp>
        <tr r="F440" s="3"/>
      </tp>
      <tp t="s">
        <v>#N/A Authorization</v>
        <stp/>
        <stp>##V3_BDHV12</stp>
        <stp>SLG US Equity</stp>
        <stp>BE592</stp>
        <stp>-60CQ</stp>
        <stp>2018/3/31</stp>
        <stp>[office reits companeis.xlsx]ReferenceData!R444C6</stp>
        <stp>Per=CQ</stp>
        <stp>Dts=H</stp>
        <stp>Dir=H</stp>
        <stp>Points=60</stp>
        <stp>Sort=R</stp>
        <stp>Days=A</stp>
        <stp>Fill=B</stp>
        <stp>BE997=1GY</stp>
        <stp>FX=USD</stp>
        <tr r="F444" s="3"/>
      </tp>
      <tp t="s">
        <v>#N/A Authorization</v>
        <stp/>
        <stp>##V3_BDHV12</stp>
        <stp>CLI US Equity</stp>
        <stp>BE592</stp>
        <stp>-60CQ</stp>
        <stp>2018/3/31</stp>
        <stp>[office reits companeis.xlsx]ReferenceData!R442C6</stp>
        <stp>Per=CQ</stp>
        <stp>Dts=H</stp>
        <stp>Dir=H</stp>
        <stp>Points=60</stp>
        <stp>Sort=R</stp>
        <stp>Days=A</stp>
        <stp>Fill=B</stp>
        <stp>BE997=1GY</stp>
        <stp>FX=USD</stp>
        <tr r="F442" s="3"/>
      </tp>
      <tp t="s">
        <v>#N/A Authorization</v>
        <stp/>
        <stp>##V3_BDHV12</stp>
        <stp>VNO US Equity</stp>
        <stp>BE592</stp>
        <stp>-60CQ</stp>
        <stp>2018/3/31</stp>
        <stp>[office reits companeis.xlsx]ReferenceData!R445C6</stp>
        <stp>Per=CQ</stp>
        <stp>Dts=H</stp>
        <stp>Dir=H</stp>
        <stp>Points=60</stp>
        <stp>Sort=R</stp>
        <stp>Days=A</stp>
        <stp>Fill=B</stp>
        <stp>BE997=1GY</stp>
        <stp>FX=USD</stp>
        <tr r="F445" s="3"/>
      </tp>
      <tp t="s">
        <v>#N/A Authorization</v>
        <stp/>
        <stp>##V3_BDHV12</stp>
        <stp>OFC US Equity</stp>
        <stp>BE592</stp>
        <stp>-60CQ</stp>
        <stp>2018/3/31</stp>
        <stp>[office reits companeis.xlsx]ReferenceData!R439C6</stp>
        <stp>Per=CQ</stp>
        <stp>Dts=H</stp>
        <stp>Dir=H</stp>
        <stp>Points=60</stp>
        <stp>Sort=R</stp>
        <stp>Days=A</stp>
        <stp>Fill=B</stp>
        <stp>BE997=1GY</stp>
        <stp>FX=USD</stp>
        <tr r="F439" s="3"/>
      </tp>
      <tp t="s">
        <v>#N/A Authorization</v>
        <stp/>
        <stp>##V3_BDHV12</stp>
        <stp>BDN US Equity</stp>
        <stp>BE592</stp>
        <stp>-60CQ</stp>
        <stp>2018/3/31</stp>
        <stp>[office reits companeis.xlsx]ReferenceData!R437C6</stp>
        <stp>Per=CQ</stp>
        <stp>Dts=H</stp>
        <stp>Dir=H</stp>
        <stp>Points=60</stp>
        <stp>Sort=R</stp>
        <stp>Days=A</stp>
        <stp>Fill=B</stp>
        <stp>BE997=1GY</stp>
        <stp>FX=USD</stp>
        <tr r="F437" s="3"/>
      </tp>
      <tp t="s">
        <v>#N/A Authorization</v>
        <stp/>
        <stp>##V3_BDHV12</stp>
        <stp>PDM US Equity</stp>
        <stp>BE592</stp>
        <stp>-60CQ</stp>
        <stp>2018/3/31</stp>
        <stp>[office reits companeis.xlsx]ReferenceData!R443C6</stp>
        <stp>Per=CQ</stp>
        <stp>Dts=H</stp>
        <stp>Dir=H</stp>
        <stp>Points=60</stp>
        <stp>Sort=R</stp>
        <stp>Days=A</stp>
        <stp>Fill=B</stp>
        <stp>BE997=1GY</stp>
        <stp>FX=USD</stp>
        <tr r="F443" s="3"/>
      </tp>
    </main>
    <main first="bloomberg.rtd">
      <tp t="s">
        <v>#N/A Authorization</v>
        <stp/>
        <stp>##V3_BDHV12</stp>
        <stp>CLI US Equity</stp>
        <stp>F1178</stp>
        <stp>-60CQ</stp>
        <stp>2018/3/31</stp>
        <stp>[office reits companeis.xlsx]ReferenceData!R492C6</stp>
        <stp>Per=CQ</stp>
        <stp>Dts=H</stp>
        <stp>Dir=H</stp>
        <stp>Points=60</stp>
        <stp>Sort=R</stp>
        <stp>Days=A</stp>
        <stp>Fill=B</stp>
        <stp>FX=USD</stp>
        <tr r="F492" s="3"/>
      </tp>
      <tp t="s">
        <v>#N/A Authorization</v>
        <stp/>
        <stp>##V3_BDHV12</stp>
        <stp>CLI US Equity</stp>
        <stp>F1023</stp>
        <stp>-60CQ</stp>
        <stp>2018/3/31</stp>
        <stp>[office reits companeis.xlsx]ReferenceData!R532C6</stp>
        <stp>Per=CQ</stp>
        <stp>Dts=H</stp>
        <stp>Dir=H</stp>
        <stp>Points=60</stp>
        <stp>Sort=R</stp>
        <stp>Days=A</stp>
        <stp>Fill=B</stp>
        <stp>FX=USD</stp>
        <tr r="F532" s="3"/>
      </tp>
      <tp t="s">
        <v>#N/A Authorization</v>
        <stp/>
        <stp>##V3_BDHV12</stp>
        <stp>CXP US Equity</stp>
        <stp>F1178</stp>
        <stp>-60CQ</stp>
        <stp>2018/3/31</stp>
        <stp>[office reits companeis.xlsx]ReferenceData!R488C6</stp>
        <stp>Per=CQ</stp>
        <stp>Dts=H</stp>
        <stp>Dir=H</stp>
        <stp>Points=60</stp>
        <stp>Sort=R</stp>
        <stp>Days=A</stp>
        <stp>Fill=B</stp>
        <stp>FX=USD</stp>
        <tr r="F488" s="3"/>
      </tp>
      <tp t="s">
        <v>#N/A Authorization</v>
        <stp/>
        <stp>##V3_BDHV12</stp>
        <stp>CXP US Equity</stp>
        <stp>F1023</stp>
        <stp>-60CQ</stp>
        <stp>2018/3/31</stp>
        <stp>[office reits companeis.xlsx]ReferenceData!R528C6</stp>
        <stp>Per=CQ</stp>
        <stp>Dts=H</stp>
        <stp>Dir=H</stp>
        <stp>Points=60</stp>
        <stp>Sort=R</stp>
        <stp>Days=A</stp>
        <stp>Fill=B</stp>
        <stp>FX=USD</stp>
        <tr r="F528" s="3"/>
      </tp>
      <tp t="s">
        <v>#N/A Authorization</v>
        <stp/>
        <stp>##V3_BDHV12</stp>
        <stp>BDN US Equity</stp>
        <stp>F1023</stp>
        <stp>-60CQ</stp>
        <stp>2018/3/31</stp>
        <stp>[office reits companeis.xlsx]ReferenceData!R527C6</stp>
        <stp>Per=CQ</stp>
        <stp>Dts=H</stp>
        <stp>Dir=H</stp>
        <stp>Points=60</stp>
        <stp>Sort=R</stp>
        <stp>Days=A</stp>
        <stp>Fill=B</stp>
        <stp>FX=USD</stp>
        <tr r="F527" s="3"/>
      </tp>
      <tp t="s">
        <v>#N/A Authorization</v>
        <stp/>
        <stp>##V3_BDHV12</stp>
        <stp>BDN US Equity</stp>
        <stp>F1178</stp>
        <stp>-60CQ</stp>
        <stp>2018/3/31</stp>
        <stp>[office reits companeis.xlsx]ReferenceData!R487C6</stp>
        <stp>Per=CQ</stp>
        <stp>Dts=H</stp>
        <stp>Dir=H</stp>
        <stp>Points=60</stp>
        <stp>Sort=R</stp>
        <stp>Days=A</stp>
        <stp>Fill=B</stp>
        <stp>FX=USD</stp>
        <tr r="F487" s="3"/>
      </tp>
      <tp t="s">
        <v>#N/A Authorization</v>
        <stp/>
        <stp>##V3_BDHV12</stp>
        <stp>BXP US Equity</stp>
        <stp>F1178</stp>
        <stp>-60CQ</stp>
        <stp>2018/3/31</stp>
        <stp>[office reits companeis.xlsx]ReferenceData!R486C6</stp>
        <stp>Per=CQ</stp>
        <stp>Dts=H</stp>
        <stp>Dir=H</stp>
        <stp>Points=60</stp>
        <stp>Sort=R</stp>
        <stp>Days=A</stp>
        <stp>Fill=B</stp>
        <stp>FX=USD</stp>
        <tr r="F486" s="3"/>
      </tp>
      <tp t="s">
        <v>#N/A Authorization</v>
        <stp/>
        <stp>##V3_BDHV12</stp>
        <stp>BXP US Equity</stp>
        <stp>F1023</stp>
        <stp>-60CQ</stp>
        <stp>2018/3/31</stp>
        <stp>[office reits companeis.xlsx]ReferenceData!R526C6</stp>
        <stp>Per=CQ</stp>
        <stp>Dts=H</stp>
        <stp>Dir=H</stp>
        <stp>Points=60</stp>
        <stp>Sort=R</stp>
        <stp>Days=A</stp>
        <stp>Fill=B</stp>
        <stp>FX=USD</stp>
        <tr r="F526" s="3"/>
      </tp>
      <tp t="s">
        <v>#N/A Authorization</v>
        <stp/>
        <stp>##V3_BDHV12</stp>
        <stp>OFC US Equity</stp>
        <stp>F1023</stp>
        <stp>-60CQ</stp>
        <stp>2018/3/31</stp>
        <stp>[office reits companeis.xlsx]ReferenceData!R529C6</stp>
        <stp>Per=CQ</stp>
        <stp>Dts=H</stp>
        <stp>Dir=H</stp>
        <stp>Points=60</stp>
        <stp>Sort=R</stp>
        <stp>Days=A</stp>
        <stp>Fill=B</stp>
        <stp>FX=USD</stp>
        <tr r="F529" s="3"/>
      </tp>
      <tp t="s">
        <v>#N/A Authorization</v>
        <stp/>
        <stp>##V3_BDHV12</stp>
        <stp>OFC US Equity</stp>
        <stp>F1178</stp>
        <stp>-60CQ</stp>
        <stp>2018/3/31</stp>
        <stp>[office reits companeis.xlsx]ReferenceData!R489C6</stp>
        <stp>Per=CQ</stp>
        <stp>Dts=H</stp>
        <stp>Dir=H</stp>
        <stp>Points=60</stp>
        <stp>Sort=R</stp>
        <stp>Days=A</stp>
        <stp>Fill=B</stp>
        <stp>FX=USD</stp>
        <tr r="F489" s="3"/>
      </tp>
      <tp t="s">
        <v>#N/A Authorization</v>
        <stp/>
        <stp>##V3_BDHV12</stp>
        <stp>KRC US Equity</stp>
        <stp>F1023</stp>
        <stp>-60CQ</stp>
        <stp>2018/3/31</stp>
        <stp>[office reits companeis.xlsx]ReferenceData!R531C6</stp>
        <stp>Per=CQ</stp>
        <stp>Dts=H</stp>
        <stp>Dir=H</stp>
        <stp>Points=60</stp>
        <stp>Sort=R</stp>
        <stp>Days=A</stp>
        <stp>Fill=B</stp>
        <stp>FX=USD</stp>
        <tr r="F531" s="3"/>
      </tp>
      <tp t="s">
        <v>#N/A Authorization</v>
        <stp/>
        <stp>##V3_BDHV12</stp>
        <stp>KRC US Equity</stp>
        <stp>F1178</stp>
        <stp>-60CQ</stp>
        <stp>2018/3/31</stp>
        <stp>[office reits companeis.xlsx]ReferenceData!R491C6</stp>
        <stp>Per=CQ</stp>
        <stp>Dts=H</stp>
        <stp>Dir=H</stp>
        <stp>Points=60</stp>
        <stp>Sort=R</stp>
        <stp>Days=A</stp>
        <stp>Fill=B</stp>
        <stp>FX=USD</stp>
        <tr r="F491" s="3"/>
      </tp>
      <tp t="s">
        <v>#N/A Authorization</v>
        <stp/>
        <stp>##V3_BDHV12</stp>
        <stp>HIW US Equity</stp>
        <stp>F1178</stp>
        <stp>-60CQ</stp>
        <stp>2018/3/31</stp>
        <stp>[office reits companeis.xlsx]ReferenceData!R490C6</stp>
        <stp>Per=CQ</stp>
        <stp>Dts=H</stp>
        <stp>Dir=H</stp>
        <stp>Points=60</stp>
        <stp>Sort=R</stp>
        <stp>Days=A</stp>
        <stp>Fill=B</stp>
        <stp>FX=USD</stp>
        <tr r="F490" s="3"/>
      </tp>
      <tp t="s">
        <v>#N/A Authorization</v>
        <stp/>
        <stp>##V3_BDHV12</stp>
        <stp>HIW US Equity</stp>
        <stp>F1023</stp>
        <stp>-60CQ</stp>
        <stp>2018/3/31</stp>
        <stp>[office reits companeis.xlsx]ReferenceData!R530C6</stp>
        <stp>Per=CQ</stp>
        <stp>Dts=H</stp>
        <stp>Dir=H</stp>
        <stp>Points=60</stp>
        <stp>Sort=R</stp>
        <stp>Days=A</stp>
        <stp>Fill=B</stp>
        <stp>FX=USD</stp>
        <tr r="F530" s="3"/>
      </tp>
      <tp t="s">
        <v>#N/A Authorization</v>
        <stp/>
        <stp>##V3_BDHV12</stp>
        <stp>VNO US Equity</stp>
        <stp>F1178</stp>
        <stp>-60CQ</stp>
        <stp>2018/3/31</stp>
        <stp>[office reits companeis.xlsx]ReferenceData!R495C6</stp>
        <stp>Per=CQ</stp>
        <stp>Dts=H</stp>
        <stp>Dir=H</stp>
        <stp>Points=60</stp>
        <stp>Sort=R</stp>
        <stp>Days=A</stp>
        <stp>Fill=B</stp>
        <stp>FX=USD</stp>
        <tr r="F495" s="3"/>
      </tp>
      <tp t="s">
        <v>#N/A Authorization</v>
        <stp/>
        <stp>##V3_BDHV12</stp>
        <stp>VNO US Equity</stp>
        <stp>F1023</stp>
        <stp>-60CQ</stp>
        <stp>2018/3/31</stp>
        <stp>[office reits companeis.xlsx]ReferenceData!R535C6</stp>
        <stp>Per=CQ</stp>
        <stp>Dts=H</stp>
        <stp>Dir=H</stp>
        <stp>Points=60</stp>
        <stp>Sort=R</stp>
        <stp>Days=A</stp>
        <stp>Fill=B</stp>
        <stp>FX=USD</stp>
        <tr r="F535" s="3"/>
      </tp>
      <tp t="s">
        <v>#N/A Authorization</v>
        <stp/>
        <stp>##V3_BDHV12</stp>
        <stp>SLG US Equity</stp>
        <stp>F1178</stp>
        <stp>-60CQ</stp>
        <stp>2018/3/31</stp>
        <stp>[office reits companeis.xlsx]ReferenceData!R494C6</stp>
        <stp>Per=CQ</stp>
        <stp>Dts=H</stp>
        <stp>Dir=H</stp>
        <stp>Points=60</stp>
        <stp>Sort=R</stp>
        <stp>Days=A</stp>
        <stp>Fill=B</stp>
        <stp>FX=USD</stp>
        <tr r="F494" s="3"/>
      </tp>
      <tp t="s">
        <v>#N/A Authorization</v>
        <stp/>
        <stp>##V3_BDHV12</stp>
        <stp>SLG US Equity</stp>
        <stp>F1023</stp>
        <stp>-60CQ</stp>
        <stp>2018/3/31</stp>
        <stp>[office reits companeis.xlsx]ReferenceData!R534C6</stp>
        <stp>Per=CQ</stp>
        <stp>Dts=H</stp>
        <stp>Dir=H</stp>
        <stp>Points=60</stp>
        <stp>Sort=R</stp>
        <stp>Days=A</stp>
        <stp>Fill=B</stp>
        <stp>FX=USD</stp>
        <tr r="F534" s="3"/>
      </tp>
      <tp t="s">
        <v>#N/A Authorization</v>
        <stp/>
        <stp>##V3_BDHV12</stp>
        <stp>PDM US Equity</stp>
        <stp>F1023</stp>
        <stp>-60CQ</stp>
        <stp>2018/3/31</stp>
        <stp>[office reits companeis.xlsx]ReferenceData!R533C6</stp>
        <stp>Per=CQ</stp>
        <stp>Dts=H</stp>
        <stp>Dir=H</stp>
        <stp>Points=60</stp>
        <stp>Sort=R</stp>
        <stp>Days=A</stp>
        <stp>Fill=B</stp>
        <stp>FX=USD</stp>
        <tr r="F533" s="3"/>
      </tp>
      <tp t="s">
        <v>#N/A Authorization</v>
        <stp/>
        <stp>##V3_BDHV12</stp>
        <stp>PDM US Equity</stp>
        <stp>F1178</stp>
        <stp>-60CQ</stp>
        <stp>2018/3/31</stp>
        <stp>[office reits companeis.xlsx]ReferenceData!R493C6</stp>
        <stp>Per=CQ</stp>
        <stp>Dts=H</stp>
        <stp>Dir=H</stp>
        <stp>Points=60</stp>
        <stp>Sort=R</stp>
        <stp>Days=A</stp>
        <stp>Fill=B</stp>
        <stp>FX=USD</stp>
        <tr r="F493" s="3"/>
      </tp>
      <tp t="s">
        <v>#N/A Authorization</v>
        <stp/>
        <stp>##V3_BDHV12</stp>
        <stp>CLI US Equity</stp>
        <stp>F0578</stp>
        <stp>-60CQ</stp>
        <stp>2018/3/31</stp>
        <stp>[office reits companeis.xlsx]ReferenceData!R412C6</stp>
        <stp>Per=CQ</stp>
        <stp>Dts=H</stp>
        <stp>Dir=H</stp>
        <stp>Points=60</stp>
        <stp>Sort=R</stp>
        <stp>Days=A</stp>
        <stp>Fill=B</stp>
        <stp>FX=USD</stp>
        <tr r="F412" s="3"/>
      </tp>
      <tp t="s">
        <v>#N/A Authorization</v>
        <stp/>
        <stp>##V3_BDHV12</stp>
        <stp>CXP US Equity</stp>
        <stp>F0578</stp>
        <stp>-60CQ</stp>
        <stp>2018/3/31</stp>
        <stp>[office reits companeis.xlsx]ReferenceData!R408C6</stp>
        <stp>Per=CQ</stp>
        <stp>Dts=H</stp>
        <stp>Dir=H</stp>
        <stp>Points=60</stp>
        <stp>Sort=R</stp>
        <stp>Days=A</stp>
        <stp>Fill=B</stp>
        <stp>FX=USD</stp>
        <tr r="F408" s="3"/>
      </tp>
      <tp t="s">
        <v>#N/A Authorization</v>
        <stp/>
        <stp>##V3_BDHV12</stp>
        <stp>BDN US Equity</stp>
        <stp>F0578</stp>
        <stp>-60CQ</stp>
        <stp>2018/3/31</stp>
        <stp>[office reits companeis.xlsx]ReferenceData!R407C6</stp>
        <stp>Per=CQ</stp>
        <stp>Dts=H</stp>
        <stp>Dir=H</stp>
        <stp>Points=60</stp>
        <stp>Sort=R</stp>
        <stp>Days=A</stp>
        <stp>Fill=B</stp>
        <stp>FX=USD</stp>
        <tr r="F407" s="3"/>
      </tp>
      <tp t="s">
        <v>#N/A Authorization</v>
        <stp/>
        <stp>##V3_BDHV12</stp>
        <stp>BXP US Equity</stp>
        <stp>F0578</stp>
        <stp>-60CQ</stp>
        <stp>2018/3/31</stp>
        <stp>[office reits companeis.xlsx]ReferenceData!R406C6</stp>
        <stp>Per=CQ</stp>
        <stp>Dts=H</stp>
        <stp>Dir=H</stp>
        <stp>Points=60</stp>
        <stp>Sort=R</stp>
        <stp>Days=A</stp>
        <stp>Fill=B</stp>
        <stp>FX=USD</stp>
        <tr r="F406" s="3"/>
      </tp>
      <tp t="s">
        <v>#N/A Authorization</v>
        <stp/>
        <stp>##V3_BDHV12</stp>
        <stp>KRC US Equity</stp>
        <stp>F0578</stp>
        <stp>-60CQ</stp>
        <stp>2018/3/31</stp>
        <stp>[office reits companeis.xlsx]ReferenceData!R411C6</stp>
        <stp>Per=CQ</stp>
        <stp>Dts=H</stp>
        <stp>Dir=H</stp>
        <stp>Points=60</stp>
        <stp>Sort=R</stp>
        <stp>Days=A</stp>
        <stp>Fill=B</stp>
        <stp>FX=USD</stp>
        <tr r="F411" s="3"/>
      </tp>
      <tp t="s">
        <v>#N/A Authorization</v>
        <stp/>
        <stp>##V3_BDHV12</stp>
        <stp>HIW US Equity</stp>
        <stp>F0578</stp>
        <stp>-60CQ</stp>
        <stp>2018/3/31</stp>
        <stp>[office reits companeis.xlsx]ReferenceData!R410C6</stp>
        <stp>Per=CQ</stp>
        <stp>Dts=H</stp>
        <stp>Dir=H</stp>
        <stp>Points=60</stp>
        <stp>Sort=R</stp>
        <stp>Days=A</stp>
        <stp>Fill=B</stp>
        <stp>FX=USD</stp>
        <tr r="F410" s="3"/>
      </tp>
      <tp t="s">
        <v>#N/A Authorization</v>
        <stp/>
        <stp>##V3_BDHV12</stp>
        <stp>OFC US Equity</stp>
        <stp>F0578</stp>
        <stp>-60CQ</stp>
        <stp>2018/3/31</stp>
        <stp>[office reits companeis.xlsx]ReferenceData!R409C6</stp>
        <stp>Per=CQ</stp>
        <stp>Dts=H</stp>
        <stp>Dir=H</stp>
        <stp>Points=60</stp>
        <stp>Sort=R</stp>
        <stp>Days=A</stp>
        <stp>Fill=B</stp>
        <stp>FX=USD</stp>
        <tr r="F409" s="3"/>
      </tp>
      <tp t="s">
        <v>#N/A Authorization</v>
        <stp/>
        <stp>##V3_BDHV12</stp>
        <stp>SLG US Equity</stp>
        <stp>F0578</stp>
        <stp>-60CQ</stp>
        <stp>2018/3/31</stp>
        <stp>[office reits companeis.xlsx]ReferenceData!R414C6</stp>
        <stp>Per=CQ</stp>
        <stp>Dts=H</stp>
        <stp>Dir=H</stp>
        <stp>Points=60</stp>
        <stp>Sort=R</stp>
        <stp>Days=A</stp>
        <stp>Fill=B</stp>
        <stp>FX=USD</stp>
        <tr r="F414" s="3"/>
      </tp>
      <tp t="s">
        <v>#N/A Authorization</v>
        <stp/>
        <stp>##V3_BDHV12</stp>
        <stp>PDM US Equity</stp>
        <stp>F0578</stp>
        <stp>-60CQ</stp>
        <stp>2018/3/31</stp>
        <stp>[office reits companeis.xlsx]ReferenceData!R413C6</stp>
        <stp>Per=CQ</stp>
        <stp>Dts=H</stp>
        <stp>Dir=H</stp>
        <stp>Points=60</stp>
        <stp>Sort=R</stp>
        <stp>Days=A</stp>
        <stp>Fill=B</stp>
        <stp>FX=USD</stp>
        <tr r="F413" s="3"/>
      </tp>
      <tp t="s">
        <v>#N/A Authorization</v>
        <stp/>
        <stp>##V3_BDHV12</stp>
        <stp>VNO US Equity</stp>
        <stp>F0578</stp>
        <stp>-60CQ</stp>
        <stp>2018/3/31</stp>
        <stp>[office reits companeis.xlsx]ReferenceData!R415C6</stp>
        <stp>Per=CQ</stp>
        <stp>Dts=H</stp>
        <stp>Dir=H</stp>
        <stp>Points=60</stp>
        <stp>Sort=R</stp>
        <stp>Days=A</stp>
        <stp>Fill=B</stp>
        <stp>FX=USD</stp>
        <tr r="F415" s="3"/>
      </tp>
      <tp t="s">
        <v>#N/A Authorization</v>
        <stp/>
        <stp>##V3_BDHV12</stp>
        <stp>BXP US Equity</stp>
        <stp>RR253</stp>
        <stp>-60CQ</stp>
        <stp>2018/3/31</stp>
        <stp>[office reits companeis.xlsx]ReferenceData!R586C3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86" s="3"/>
      </tp>
      <tp t="s">
        <v>#N/A Authorization</v>
        <stp/>
        <stp>##V3_BDHV12</stp>
        <stp>BXP US Equity</stp>
        <stp>BS658</stp>
        <stp>-60CQ</stp>
        <stp>2018/3/31</stp>
        <stp>[office reits companeis.xlsx]ReferenceData!R590C3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90" s="3"/>
      </tp>
      <tp t="s">
        <v>#N/A Authorization</v>
        <stp/>
        <stp>##V3_BDHV12</stp>
        <stp>BXP US Equity</stp>
        <stp>BS189</stp>
        <stp>-60CQ</stp>
        <stp>2018/3/31</stp>
        <stp>[office reits companeis.xlsx]ReferenceData!R588C3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88" s="3"/>
      </tp>
    </main>
    <main first="bloomberg.ccyreader">
      <tp>
        <v>0</v>
        <stp/>
        <stp>#track</stp>
        <stp>DBG</stp>
        <stp>BIHITX</stp>
        <stp>1.0</stp>
        <stp>RepeatHit</stp>
        <tr r="A288" s="3"/>
      </tp>
    </main>
    <main first="bloomberg.rtd">
      <tp t="s">
        <v>#N/A Authorization</v>
        <stp/>
        <stp>##V3_BDHV12</stp>
        <stp>HIW US Equity</stp>
        <stp>IS972</stp>
        <stp>-60CQ</stp>
        <stp>2018/3/31</stp>
        <stp>[office reits companeis.xlsx]ReferenceData!R390C6</stp>
        <stp>Per=CQ</stp>
        <stp>Dts=H</stp>
        <stp>Dir=H</stp>
        <stp>Points=60</stp>
        <stp>Sort=R</stp>
        <stp>Days=A</stp>
        <stp>Fill=B</stp>
        <stp>FX=USD</stp>
        <tr r="F390" s="3"/>
      </tp>
      <tp t="s">
        <v>#N/A Authorization</v>
        <stp/>
        <stp>##V3_BDHV12</stp>
        <stp>CLI US Equity</stp>
        <stp>IS010</stp>
        <stp>-60CQ</stp>
        <stp>2018/3/31</stp>
        <stp>[office reits companeis.xlsx]ReferenceData!R362C6</stp>
        <stp>Per=CQ</stp>
        <stp>Dts=H</stp>
        <stp>Dir=H</stp>
        <stp>Points=60</stp>
        <stp>Sort=R</stp>
        <stp>Days=A</stp>
        <stp>Fill=B</stp>
        <stp>FX=USD</stp>
        <tr r="F362" s="3"/>
      </tp>
      <tp t="s">
        <v>#N/A Authorization</v>
        <stp/>
        <stp>##V3_BDHV12</stp>
        <stp>BDN US Equity</stp>
        <stp>BS189</stp>
        <stp>-60CQ</stp>
        <stp>2018/3/31</stp>
        <stp>[office reits companeis.xlsx]ReferenceData!R300C6</stp>
        <stp>Per=CQ</stp>
        <stp>Dts=H</stp>
        <stp>Dir=H</stp>
        <stp>Points=60</stp>
        <stp>Sort=R</stp>
        <stp>Days=A</stp>
        <stp>Fill=B</stp>
        <stp>FX=USD</stp>
        <tr r="F300" s="3"/>
      </tp>
      <tp t="s">
        <v>#N/A Authorization</v>
        <stp/>
        <stp>##V3_BDHV12</stp>
        <stp>CLI US Equity</stp>
        <stp>IS030</stp>
        <stp>-60CQ</stp>
        <stp>2018/3/31</stp>
        <stp>[office reits companeis.xlsx]ReferenceData!R332C6</stp>
        <stp>Per=CQ</stp>
        <stp>Dts=H</stp>
        <stp>Dir=H</stp>
        <stp>Points=60</stp>
        <stp>Sort=R</stp>
        <stp>Days=A</stp>
        <stp>Fill=B</stp>
        <stp>FX=USD</stp>
        <tr r="F332" s="3"/>
      </tp>
      <tp t="s">
        <v>#N/A Authorization</v>
        <stp/>
        <stp>##V3_BDHV12</stp>
        <stp>CXP US Equity</stp>
        <stp>IS030</stp>
        <stp>-60CQ</stp>
        <stp>2018/3/31</stp>
        <stp>[office reits companeis.xlsx]ReferenceData!R328C6</stp>
        <stp>Per=CQ</stp>
        <stp>Dts=H</stp>
        <stp>Dir=H</stp>
        <stp>Points=60</stp>
        <stp>Sort=R</stp>
        <stp>Days=A</stp>
        <stp>Fill=B</stp>
        <stp>FX=USD</stp>
        <tr r="F328" s="3"/>
      </tp>
      <tp t="s">
        <v>#N/A Authorization</v>
        <stp/>
        <stp>##V3_BDHV12</stp>
        <stp>CXP US Equity</stp>
        <stp>IS010</stp>
        <stp>-60CQ</stp>
        <stp>2018/3/31</stp>
        <stp>[office reits companeis.xlsx]ReferenceData!R358C6</stp>
        <stp>Per=CQ</stp>
        <stp>Dts=H</stp>
        <stp>Dir=H</stp>
        <stp>Points=60</stp>
        <stp>Sort=R</stp>
        <stp>Days=A</stp>
        <stp>Fill=B</stp>
        <stp>FX=USD</stp>
        <tr r="F358" s="3"/>
      </tp>
      <tp t="s">
        <v>#N/A Authorization</v>
        <stp/>
        <stp>##V3_BDHV12</stp>
        <stp>BDN US Equity</stp>
        <stp>IS010</stp>
        <stp>-60CQ</stp>
        <stp>2018/3/31</stp>
        <stp>[office reits companeis.xlsx]ReferenceData!R357C6</stp>
        <stp>Per=CQ</stp>
        <stp>Dts=H</stp>
        <stp>Dir=H</stp>
        <stp>Points=60</stp>
        <stp>Sort=R</stp>
        <stp>Days=A</stp>
        <stp>Fill=B</stp>
        <stp>FX=USD</stp>
        <tr r="F357" s="3"/>
      </tp>
      <tp t="s">
        <v>#N/A Authorization</v>
        <stp/>
        <stp>##V3_BDHV12</stp>
        <stp>CLI US Equity</stp>
        <stp>BS189</stp>
        <stp>-60CQ</stp>
        <stp>2018/3/31</stp>
        <stp>[office reits companeis.xlsx]ReferenceData!R315C6</stp>
        <stp>Per=CQ</stp>
        <stp>Dts=H</stp>
        <stp>Dir=H</stp>
        <stp>Points=60</stp>
        <stp>Sort=R</stp>
        <stp>Days=A</stp>
        <stp>Fill=B</stp>
        <stp>FX=USD</stp>
        <tr r="F315" s="3"/>
      </tp>
      <tp t="s">
        <v>#N/A Authorization</v>
        <stp/>
        <stp>##V3_BDHV12</stp>
        <stp>BDN US Equity</stp>
        <stp>IS030</stp>
        <stp>-60CQ</stp>
        <stp>2018/3/31</stp>
        <stp>[office reits companeis.xlsx]ReferenceData!R327C6</stp>
        <stp>Per=CQ</stp>
        <stp>Dts=H</stp>
        <stp>Dir=H</stp>
        <stp>Points=60</stp>
        <stp>Sort=R</stp>
        <stp>Days=A</stp>
        <stp>Fill=B</stp>
        <stp>FX=USD</stp>
        <tr r="F327" s="3"/>
      </tp>
      <tp t="s">
        <v>#N/A Authorization</v>
        <stp/>
        <stp>##V3_BDHV12</stp>
        <stp>CXP US Equity</stp>
        <stp>BS189</stp>
        <stp>-60CQ</stp>
        <stp>2018/3/31</stp>
        <stp>[office reits companeis.xlsx]ReferenceData!R303C6</stp>
        <stp>Per=CQ</stp>
        <stp>Dts=H</stp>
        <stp>Dir=H</stp>
        <stp>Points=60</stp>
        <stp>Sort=R</stp>
        <stp>Days=A</stp>
        <stp>Fill=B</stp>
        <stp>FX=USD</stp>
        <tr r="F303" s="3"/>
      </tp>
      <tp t="s">
        <v>#N/A Authorization</v>
        <stp/>
        <stp>##V3_BDHV12</stp>
        <stp>BXP US Equity</stp>
        <stp>IS030</stp>
        <stp>-60CQ</stp>
        <stp>2018/3/31</stp>
        <stp>[office reits companeis.xlsx]ReferenceData!R326C6</stp>
        <stp>Per=CQ</stp>
        <stp>Dts=H</stp>
        <stp>Dir=H</stp>
        <stp>Points=60</stp>
        <stp>Sort=R</stp>
        <stp>Days=A</stp>
        <stp>Fill=B</stp>
        <stp>FX=USD</stp>
        <tr r="F326" s="3"/>
      </tp>
      <tp t="s">
        <v>#N/A Authorization</v>
        <stp/>
        <stp>##V3_BDHV12</stp>
        <stp>BXP US Equity</stp>
        <stp>BS189</stp>
        <stp>-60CQ</stp>
        <stp>2018/3/31</stp>
        <stp>[office reits companeis.xlsx]ReferenceData!R297C6</stp>
        <stp>Per=CQ</stp>
        <stp>Dts=H</stp>
        <stp>Dir=H</stp>
        <stp>Points=60</stp>
        <stp>Sort=R</stp>
        <stp>Days=A</stp>
        <stp>Fill=B</stp>
        <stp>FX=USD</stp>
        <tr r="F297" s="3"/>
      </tp>
      <tp t="s">
        <v>#N/A Authorization</v>
        <stp/>
        <stp>##V3_BDHV12</stp>
        <stp>KRC US Equity</stp>
        <stp>IS972</stp>
        <stp>-60CQ</stp>
        <stp>2018/3/31</stp>
        <stp>[office reits companeis.xlsx]ReferenceData!R391C6</stp>
        <stp>Per=CQ</stp>
        <stp>Dts=H</stp>
        <stp>Dir=H</stp>
        <stp>Points=60</stp>
        <stp>Sort=R</stp>
        <stp>Days=A</stp>
        <stp>Fill=B</stp>
        <stp>FX=USD</stp>
        <tr r="F391" s="3"/>
      </tp>
      <tp t="s">
        <v>#N/A Authorization</v>
        <stp/>
        <stp>##V3_BDHV12</stp>
        <stp>BXP US Equity</stp>
        <stp>IS010</stp>
        <stp>-60CQ</stp>
        <stp>2018/3/31</stp>
        <stp>[office reits companeis.xlsx]ReferenceData!R356C6</stp>
        <stp>Per=CQ</stp>
        <stp>Dts=H</stp>
        <stp>Dir=H</stp>
        <stp>Points=60</stp>
        <stp>Sort=R</stp>
        <stp>Days=A</stp>
        <stp>Fill=B</stp>
        <stp>FX=USD</stp>
        <tr r="F356" s="3"/>
      </tp>
      <tp t="s">
        <v>#N/A Authorization</v>
        <stp/>
        <stp>##V3_BDHV12</stp>
        <stp>CLI US Equity</stp>
        <stp>BS658</stp>
        <stp>-60CQ</stp>
        <stp>2018/3/31</stp>
        <stp>[office reits companeis.xlsx]ReferenceData!R316C6</stp>
        <stp>Per=CQ</stp>
        <stp>Dts=H</stp>
        <stp>Dir=H</stp>
        <stp>Points=60</stp>
        <stp>Sort=R</stp>
        <stp>Days=A</stp>
        <stp>Fill=B</stp>
        <stp>FX=USD</stp>
        <tr r="F316" s="3"/>
      </tp>
      <tp t="s">
        <v>#N/A Authorization</v>
        <stp/>
        <stp>##V3_BDHV12</stp>
        <stp>BXP US Equity</stp>
        <stp>BS658</stp>
        <stp>-60CQ</stp>
        <stp>2018/3/31</stp>
        <stp>[office reits companeis.xlsx]ReferenceData!R298C6</stp>
        <stp>Per=CQ</stp>
        <stp>Dts=H</stp>
        <stp>Dir=H</stp>
        <stp>Points=60</stp>
        <stp>Sort=R</stp>
        <stp>Days=A</stp>
        <stp>Fill=B</stp>
        <stp>FX=USD</stp>
        <tr r="F298" s="3"/>
      </tp>
      <tp t="s">
        <v>#N/A Authorization</v>
        <stp/>
        <stp>##V3_BDHV12</stp>
        <stp>CXP US Equity</stp>
        <stp>BS658</stp>
        <stp>-60CQ</stp>
        <stp>2018/3/31</stp>
        <stp>[office reits companeis.xlsx]ReferenceData!R304C6</stp>
        <stp>Per=CQ</stp>
        <stp>Dts=H</stp>
        <stp>Dir=H</stp>
        <stp>Points=60</stp>
        <stp>Sort=R</stp>
        <stp>Days=A</stp>
        <stp>Fill=B</stp>
        <stp>FX=USD</stp>
        <tr r="F304" s="3"/>
      </tp>
      <tp t="s">
        <v>#N/A Authorization</v>
        <stp/>
        <stp>##V3_BDHV12</stp>
        <stp>BDN US Equity</stp>
        <stp>BS658</stp>
        <stp>-60CQ</stp>
        <stp>2018/3/31</stp>
        <stp>[office reits companeis.xlsx]ReferenceData!R301C6</stp>
        <stp>Per=CQ</stp>
        <stp>Dts=H</stp>
        <stp>Dir=H</stp>
        <stp>Points=60</stp>
        <stp>Sort=R</stp>
        <stp>Days=A</stp>
        <stp>Fill=B</stp>
        <stp>FX=USD</stp>
        <tr r="F301" s="3"/>
      </tp>
      <tp t="s">
        <v>#N/A Authorization</v>
        <stp/>
        <stp>##V3_BDHV12</stp>
        <stp>OFC US Equity</stp>
        <stp>IS972</stp>
        <stp>-60CQ</stp>
        <stp>2018/3/31</stp>
        <stp>[office reits companeis.xlsx]ReferenceData!R389C6</stp>
        <stp>Per=CQ</stp>
        <stp>Dts=H</stp>
        <stp>Dir=H</stp>
        <stp>Points=60</stp>
        <stp>Sort=R</stp>
        <stp>Days=A</stp>
        <stp>Fill=B</stp>
        <stp>FX=USD</stp>
        <tr r="F389" s="3"/>
      </tp>
      <tp t="s">
        <v>#N/A Authorization</v>
        <stp/>
        <stp>##V3_BDHV12</stp>
        <stp>OFC US Equity</stp>
        <stp>BS658</stp>
        <stp>-60CQ</stp>
        <stp>2018/3/31</stp>
        <stp>[office reits companeis.xlsx]ReferenceData!R307C6</stp>
        <stp>Per=CQ</stp>
        <stp>Dts=H</stp>
        <stp>Dir=H</stp>
        <stp>Points=60</stp>
        <stp>Sort=R</stp>
        <stp>Days=A</stp>
        <stp>Fill=B</stp>
        <stp>FX=USD</stp>
        <tr r="F307" s="3"/>
      </tp>
      <tp t="s">
        <v>#N/A Authorization</v>
        <stp/>
        <stp>##V3_BDHV12</stp>
        <stp>HIW US Equity</stp>
        <stp>BS189</stp>
        <stp>-60CQ</stp>
        <stp>2018/3/31</stp>
        <stp>[office reits companeis.xlsx]ReferenceData!R309C6</stp>
        <stp>Per=CQ</stp>
        <stp>Dts=H</stp>
        <stp>Dir=H</stp>
        <stp>Points=60</stp>
        <stp>Sort=R</stp>
        <stp>Days=A</stp>
        <stp>Fill=B</stp>
        <stp>FX=USD</stp>
        <tr r="F309" s="3"/>
      </tp>
      <tp t="s">
        <v>#N/A Authorization</v>
        <stp/>
        <stp>##V3_BDHV12</stp>
        <stp>HIW US Equity</stp>
        <stp>IS030</stp>
        <stp>-60CQ</stp>
        <stp>2018/3/31</stp>
        <stp>[office reits companeis.xlsx]ReferenceData!R330C6</stp>
        <stp>Per=CQ</stp>
        <stp>Dts=H</stp>
        <stp>Dir=H</stp>
        <stp>Points=60</stp>
        <stp>Sort=R</stp>
        <stp>Days=A</stp>
        <stp>Fill=B</stp>
        <stp>FX=USD</stp>
        <tr r="F330" s="3"/>
      </tp>
      <tp t="s">
        <v>#N/A Authorization</v>
        <stp/>
        <stp>##V3_BDHV12</stp>
        <stp>HIW US Equity</stp>
        <stp>IS010</stp>
        <stp>-60CQ</stp>
        <stp>2018/3/31</stp>
        <stp>[office reits companeis.xlsx]ReferenceData!R360C6</stp>
        <stp>Per=CQ</stp>
        <stp>Dts=H</stp>
        <stp>Dir=H</stp>
        <stp>Points=60</stp>
        <stp>Sort=R</stp>
        <stp>Days=A</stp>
        <stp>Fill=B</stp>
        <stp>FX=USD</stp>
        <tr r="F360" s="3"/>
      </tp>
      <tp t="s">
        <v>#N/A Authorization</v>
        <stp/>
        <stp>##V3_BDHV12</stp>
        <stp>BDN US Equity</stp>
        <stp>IS972</stp>
        <stp>-60CQ</stp>
        <stp>2018/3/31</stp>
        <stp>[office reits companeis.xlsx]ReferenceData!R387C6</stp>
        <stp>Per=CQ</stp>
        <stp>Dts=H</stp>
        <stp>Dir=H</stp>
        <stp>Points=60</stp>
        <stp>Sort=R</stp>
        <stp>Days=A</stp>
        <stp>Fill=B</stp>
        <stp>FX=USD</stp>
        <tr r="F387" s="3"/>
      </tp>
      <tp t="s">
        <v>#N/A Authorization</v>
        <stp/>
        <stp>##V3_BDHV12</stp>
        <stp>KRC US Equity</stp>
        <stp>IS030</stp>
        <stp>-60CQ</stp>
        <stp>2018/3/31</stp>
        <stp>[office reits companeis.xlsx]ReferenceData!R331C6</stp>
        <stp>Per=CQ</stp>
        <stp>Dts=H</stp>
        <stp>Dir=H</stp>
        <stp>Points=60</stp>
        <stp>Sort=R</stp>
        <stp>Days=A</stp>
        <stp>Fill=B</stp>
        <stp>FX=USD</stp>
        <tr r="F331" s="3"/>
      </tp>
      <tp t="s">
        <v>#N/A Authorization</v>
        <stp/>
        <stp>##V3_BDHV12</stp>
        <stp>BXP US Equity</stp>
        <stp>IS972</stp>
        <stp>-60CQ</stp>
        <stp>2018/3/31</stp>
        <stp>[office reits companeis.xlsx]ReferenceData!R386C6</stp>
        <stp>Per=CQ</stp>
        <stp>Dts=H</stp>
        <stp>Dir=H</stp>
        <stp>Points=60</stp>
        <stp>Sort=R</stp>
        <stp>Days=A</stp>
        <stp>Fill=B</stp>
        <stp>FX=USD</stp>
        <tr r="F386" s="3"/>
      </tp>
      <tp t="s">
        <v>#N/A Authorization</v>
        <stp/>
        <stp>##V3_BDHV12</stp>
        <stp>KRC US Equity</stp>
        <stp>IS010</stp>
        <stp>-60CQ</stp>
        <stp>2018/3/31</stp>
        <stp>[office reits companeis.xlsx]ReferenceData!R361C6</stp>
        <stp>Per=CQ</stp>
        <stp>Dts=H</stp>
        <stp>Dir=H</stp>
        <stp>Points=60</stp>
        <stp>Sort=R</stp>
        <stp>Days=A</stp>
        <stp>Fill=B</stp>
        <stp>FX=USD</stp>
        <tr r="F361" s="3"/>
      </tp>
      <tp t="s">
        <v>#N/A Authorization</v>
        <stp/>
        <stp>##V3_BDHV12</stp>
        <stp>CLI US Equity</stp>
        <stp>IS972</stp>
        <stp>-60CQ</stp>
        <stp>2018/3/31</stp>
        <stp>[office reits companeis.xlsx]ReferenceData!R392C6</stp>
        <stp>Per=CQ</stp>
        <stp>Dts=H</stp>
        <stp>Dir=H</stp>
        <stp>Points=60</stp>
        <stp>Sort=R</stp>
        <stp>Days=A</stp>
        <stp>Fill=B</stp>
        <stp>FX=USD</stp>
        <tr r="F392" s="3"/>
      </tp>
      <tp t="s">
        <v>#N/A Authorization</v>
        <stp/>
        <stp>##V3_BDHV12</stp>
        <stp>CXP US Equity</stp>
        <stp>IS972</stp>
        <stp>-60CQ</stp>
        <stp>2018/3/31</stp>
        <stp>[office reits companeis.xlsx]ReferenceData!R388C6</stp>
        <stp>Per=CQ</stp>
        <stp>Dts=H</stp>
        <stp>Dir=H</stp>
        <stp>Points=60</stp>
        <stp>Sort=R</stp>
        <stp>Days=A</stp>
        <stp>Fill=B</stp>
        <stp>FX=USD</stp>
        <tr r="F388" s="3"/>
      </tp>
      <tp t="s">
        <v>#N/A Authorization</v>
        <stp/>
        <stp>##V3_BDHV12</stp>
        <stp>KRC US Equity</stp>
        <stp>BS189</stp>
        <stp>-60CQ</stp>
        <stp>2018/3/31</stp>
        <stp>[office reits companeis.xlsx]ReferenceData!R312C6</stp>
        <stp>Per=CQ</stp>
        <stp>Dts=H</stp>
        <stp>Dir=H</stp>
        <stp>Points=60</stp>
        <stp>Sort=R</stp>
        <stp>Days=A</stp>
        <stp>Fill=B</stp>
        <stp>FX=USD</stp>
        <tr r="F312" s="3"/>
      </tp>
      <tp t="s">
        <v>#N/A Authorization</v>
        <stp/>
        <stp>##V3_BDHV12</stp>
        <stp>KRC US Equity</stp>
        <stp>BS658</stp>
        <stp>-60CQ</stp>
        <stp>2018/3/31</stp>
        <stp>[office reits companeis.xlsx]ReferenceData!R313C6</stp>
        <stp>Per=CQ</stp>
        <stp>Dts=H</stp>
        <stp>Dir=H</stp>
        <stp>Points=60</stp>
        <stp>Sort=R</stp>
        <stp>Days=A</stp>
        <stp>Fill=B</stp>
        <stp>FX=USD</stp>
        <tr r="F313" s="3"/>
      </tp>
      <tp t="s">
        <v>#N/A Authorization</v>
        <stp/>
        <stp>##V3_BDHV12</stp>
        <stp>OFC US Equity</stp>
        <stp>IS010</stp>
        <stp>-60CQ</stp>
        <stp>2018/3/31</stp>
        <stp>[office reits companeis.xlsx]ReferenceData!R359C6</stp>
        <stp>Per=CQ</stp>
        <stp>Dts=H</stp>
        <stp>Dir=H</stp>
        <stp>Points=60</stp>
        <stp>Sort=R</stp>
        <stp>Days=A</stp>
        <stp>Fill=B</stp>
        <stp>FX=USD</stp>
        <tr r="F359" s="3"/>
      </tp>
      <tp t="s">
        <v>#N/A Authorization</v>
        <stp/>
        <stp>##V3_BDHV12</stp>
        <stp>OFC US Equity</stp>
        <stp>IS030</stp>
        <stp>-60CQ</stp>
        <stp>2018/3/31</stp>
        <stp>[office reits companeis.xlsx]ReferenceData!R329C6</stp>
        <stp>Per=CQ</stp>
        <stp>Dts=H</stp>
        <stp>Dir=H</stp>
        <stp>Points=60</stp>
        <stp>Sort=R</stp>
        <stp>Days=A</stp>
        <stp>Fill=B</stp>
        <stp>FX=USD</stp>
        <tr r="F329" s="3"/>
      </tp>
      <tp t="s">
        <v>#N/A Authorization</v>
        <stp/>
        <stp>##V3_BDHV12</stp>
        <stp>OFC US Equity</stp>
        <stp>BS189</stp>
        <stp>-60CQ</stp>
        <stp>2018/3/31</stp>
        <stp>[office reits companeis.xlsx]ReferenceData!R306C6</stp>
        <stp>Per=CQ</stp>
        <stp>Dts=H</stp>
        <stp>Dir=H</stp>
        <stp>Points=60</stp>
        <stp>Sort=R</stp>
        <stp>Days=A</stp>
        <stp>Fill=B</stp>
        <stp>FX=USD</stp>
        <tr r="F306" s="3"/>
      </tp>
      <tp t="s">
        <v>#N/A Authorization</v>
        <stp/>
        <stp>##V3_BDHV12</stp>
        <stp>HIW US Equity</stp>
        <stp>BS658</stp>
        <stp>-60CQ</stp>
        <stp>2018/3/31</stp>
        <stp>[office reits companeis.xlsx]ReferenceData!R310C6</stp>
        <stp>Per=CQ</stp>
        <stp>Dts=H</stp>
        <stp>Dir=H</stp>
        <stp>Points=60</stp>
        <stp>Sort=R</stp>
        <stp>Days=A</stp>
        <stp>Fill=B</stp>
        <stp>FX=USD</stp>
        <tr r="F310" s="3"/>
      </tp>
      <tp t="s">
        <v>#N/A Authorization</v>
        <stp/>
        <stp>##V3_BDHV12</stp>
        <stp>PDM US Equity</stp>
        <stp>BS189</stp>
        <stp>-60CQ</stp>
        <stp>2018/3/31</stp>
        <stp>[office reits companeis.xlsx]ReferenceData!R318C6</stp>
        <stp>Per=CQ</stp>
        <stp>Dts=H</stp>
        <stp>Dir=H</stp>
        <stp>Points=60</stp>
        <stp>Sort=R</stp>
        <stp>Days=A</stp>
        <stp>Fill=B</stp>
        <stp>FX=USD</stp>
        <tr r="F318" s="3"/>
      </tp>
      <tp t="s">
        <v>#N/A Authorization</v>
        <stp/>
        <stp>##V3_BDHV12</stp>
        <stp>PDM US Equity</stp>
        <stp>IS010</stp>
        <stp>-60CQ</stp>
        <stp>2018/3/31</stp>
        <stp>[office reits companeis.xlsx]ReferenceData!R363C6</stp>
        <stp>Per=CQ</stp>
        <stp>Dts=H</stp>
        <stp>Dir=H</stp>
        <stp>Points=60</stp>
        <stp>Sort=R</stp>
        <stp>Days=A</stp>
        <stp>Fill=B</stp>
        <stp>FX=USD</stp>
        <tr r="F363" s="3"/>
      </tp>
      <tp t="s">
        <v>#N/A Authorization</v>
        <stp/>
        <stp>##V3_BDHV12</stp>
        <stp>PDM US Equity</stp>
        <stp>IS030</stp>
        <stp>-60CQ</stp>
        <stp>2018/3/31</stp>
        <stp>[office reits companeis.xlsx]ReferenceData!R333C6</stp>
        <stp>Per=CQ</stp>
        <stp>Dts=H</stp>
        <stp>Dir=H</stp>
        <stp>Points=60</stp>
        <stp>Sort=R</stp>
        <stp>Days=A</stp>
        <stp>Fill=B</stp>
        <stp>FX=USD</stp>
        <tr r="F333" s="3"/>
      </tp>
      <tp t="s">
        <v>#N/A Authorization</v>
        <stp/>
        <stp>##V3_BDHV12</stp>
        <stp>VNO US Equity</stp>
        <stp>BS658</stp>
        <stp>-60CQ</stp>
        <stp>2018/3/31</stp>
        <stp>[office reits companeis.xlsx]ReferenceData!R325C6</stp>
        <stp>Per=CQ</stp>
        <stp>Dts=H</stp>
        <stp>Dir=H</stp>
        <stp>Points=60</stp>
        <stp>Sort=R</stp>
        <stp>Days=A</stp>
        <stp>Fill=B</stp>
        <stp>FX=USD</stp>
        <tr r="F325" s="3"/>
      </tp>
      <tp t="s">
        <v>#N/A Authorization</v>
        <stp/>
        <stp>##V3_BDHV12</stp>
        <stp>SLG US Equity</stp>
        <stp>IS010</stp>
        <stp>-60CQ</stp>
        <stp>2018/3/31</stp>
        <stp>[office reits companeis.xlsx]ReferenceData!R364C6</stp>
        <stp>Per=CQ</stp>
        <stp>Dts=H</stp>
        <stp>Dir=H</stp>
        <stp>Points=60</stp>
        <stp>Sort=R</stp>
        <stp>Days=A</stp>
        <stp>Fill=B</stp>
        <stp>FX=USD</stp>
        <tr r="F364" s="3"/>
      </tp>
      <tp t="s">
        <v>#N/A Authorization</v>
        <stp/>
        <stp>##V3_BDHV12</stp>
        <stp>SLG US Equity</stp>
        <stp>IS030</stp>
        <stp>-60CQ</stp>
        <stp>2018/3/31</stp>
        <stp>[office reits companeis.xlsx]ReferenceData!R334C6</stp>
        <stp>Per=CQ</stp>
        <stp>Dts=H</stp>
        <stp>Dir=H</stp>
        <stp>Points=60</stp>
        <stp>Sort=R</stp>
        <stp>Days=A</stp>
        <stp>Fill=B</stp>
        <stp>FX=USD</stp>
        <tr r="F334" s="3"/>
      </tp>
      <tp t="s">
        <v>#N/A Authorization</v>
        <stp/>
        <stp>##V3_BDHV12</stp>
        <stp>SLG US Equity</stp>
        <stp>BS189</stp>
        <stp>-60CQ</stp>
        <stp>2018/3/31</stp>
        <stp>[office reits companeis.xlsx]ReferenceData!R321C6</stp>
        <stp>Per=CQ</stp>
        <stp>Dts=H</stp>
        <stp>Dir=H</stp>
        <stp>Points=60</stp>
        <stp>Sort=R</stp>
        <stp>Days=A</stp>
        <stp>Fill=B</stp>
        <stp>FX=USD</stp>
        <tr r="F321" s="3"/>
      </tp>
      <tp t="s">
        <v>#N/A Authorization</v>
        <stp/>
        <stp>##V3_BDHV12</stp>
        <stp>SLG US Equity</stp>
        <stp>BS658</stp>
        <stp>-60CQ</stp>
        <stp>2018/3/31</stp>
        <stp>[office reits companeis.xlsx]ReferenceData!R322C6</stp>
        <stp>Per=CQ</stp>
        <stp>Dts=H</stp>
        <stp>Dir=H</stp>
        <stp>Points=60</stp>
        <stp>Sort=R</stp>
        <stp>Days=A</stp>
        <stp>Fill=B</stp>
        <stp>FX=USD</stp>
        <tr r="F322" s="3"/>
      </tp>
      <tp t="s">
        <v>#N/A Authorization</v>
        <stp/>
        <stp>##V3_BDHV12</stp>
        <stp>VNO US Equity</stp>
        <stp>BS189</stp>
        <stp>-60CQ</stp>
        <stp>2018/3/31</stp>
        <stp>[office reits companeis.xlsx]ReferenceData!R324C6</stp>
        <stp>Per=CQ</stp>
        <stp>Dts=H</stp>
        <stp>Dir=H</stp>
        <stp>Points=60</stp>
        <stp>Sort=R</stp>
        <stp>Days=A</stp>
        <stp>Fill=B</stp>
        <stp>FX=USD</stp>
        <tr r="F324" s="3"/>
      </tp>
      <tp t="s">
        <v>#N/A Authorization</v>
        <stp/>
        <stp>##V3_BDHV12</stp>
        <stp>PDM US Equity</stp>
        <stp>BS658</stp>
        <stp>-60CQ</stp>
        <stp>2018/3/31</stp>
        <stp>[office reits companeis.xlsx]ReferenceData!R319C6</stp>
        <stp>Per=CQ</stp>
        <stp>Dts=H</stp>
        <stp>Dir=H</stp>
        <stp>Points=60</stp>
        <stp>Sort=R</stp>
        <stp>Days=A</stp>
        <stp>Fill=B</stp>
        <stp>FX=USD</stp>
        <tr r="F319" s="3"/>
      </tp>
      <tp t="s">
        <v>#N/A Authorization</v>
        <stp/>
        <stp>##V3_BDHV12</stp>
        <stp>VNO US Equity</stp>
        <stp>IS010</stp>
        <stp>-60CQ</stp>
        <stp>2018/3/31</stp>
        <stp>[office reits companeis.xlsx]ReferenceData!R365C6</stp>
        <stp>Per=CQ</stp>
        <stp>Dts=H</stp>
        <stp>Dir=H</stp>
        <stp>Points=60</stp>
        <stp>Sort=R</stp>
        <stp>Days=A</stp>
        <stp>Fill=B</stp>
        <stp>FX=USD</stp>
        <tr r="F365" s="3"/>
      </tp>
      <tp t="s">
        <v>#N/A Authorization</v>
        <stp/>
        <stp>##V3_BDHV12</stp>
        <stp>VNO US Equity</stp>
        <stp>IS030</stp>
        <stp>-60CQ</stp>
        <stp>2018/3/31</stp>
        <stp>[office reits companeis.xlsx]ReferenceData!R335C6</stp>
        <stp>Per=CQ</stp>
        <stp>Dts=H</stp>
        <stp>Dir=H</stp>
        <stp>Points=60</stp>
        <stp>Sort=R</stp>
        <stp>Days=A</stp>
        <stp>Fill=B</stp>
        <stp>FX=USD</stp>
        <tr r="F335" s="3"/>
      </tp>
      <tp t="s">
        <v>#N/A Authorization</v>
        <stp/>
        <stp>##V3_BDHV12</stp>
        <stp>PDM US Equity</stp>
        <stp>IS972</stp>
        <stp>-60CQ</stp>
        <stp>2018/3/31</stp>
        <stp>[office reits companeis.xlsx]ReferenceData!R393C6</stp>
        <stp>Per=CQ</stp>
        <stp>Dts=H</stp>
        <stp>Dir=H</stp>
        <stp>Points=60</stp>
        <stp>Sort=R</stp>
        <stp>Days=A</stp>
        <stp>Fill=B</stp>
        <stp>FX=USD</stp>
        <tr r="F393" s="3"/>
      </tp>
      <tp t="s">
        <v>#N/A Authorization</v>
        <stp/>
        <stp>##V3_BDHV12</stp>
        <stp>SLG US Equity</stp>
        <stp>IS972</stp>
        <stp>-60CQ</stp>
        <stp>2018/3/31</stp>
        <stp>[office reits companeis.xlsx]ReferenceData!R394C6</stp>
        <stp>Per=CQ</stp>
        <stp>Dts=H</stp>
        <stp>Dir=H</stp>
        <stp>Points=60</stp>
        <stp>Sort=R</stp>
        <stp>Days=A</stp>
        <stp>Fill=B</stp>
        <stp>FX=USD</stp>
        <tr r="F394" s="3"/>
      </tp>
      <tp t="s">
        <v>#N/A Authorization</v>
        <stp/>
        <stp>##V3_BDHV12</stp>
        <stp>VNO US Equity</stp>
        <stp>IS972</stp>
        <stp>-60CQ</stp>
        <stp>2018/3/31</stp>
        <stp>[office reits companeis.xlsx]ReferenceData!R395C6</stp>
        <stp>Per=CQ</stp>
        <stp>Dts=H</stp>
        <stp>Dir=H</stp>
        <stp>Points=60</stp>
        <stp>Sort=R</stp>
        <stp>Days=A</stp>
        <stp>Fill=B</stp>
        <stp>FX=USD</stp>
        <tr r="F395" s="3"/>
      </tp>
      <tp t="s">
        <v>#N/A Authorization</v>
        <stp/>
        <stp>##V3_BDHV12</stp>
        <stp>CLI US Equity</stp>
        <stp>RR554</stp>
        <stp>-60CQ</stp>
        <stp>2018/3/31</stp>
        <stp>[office reits companeis.xlsx]ReferenceData!R482C6</stp>
        <stp>Per=CQ</stp>
        <stp>Dts=H</stp>
        <stp>Dir=H</stp>
        <stp>Points=60</stp>
        <stp>Sort=R</stp>
        <stp>Days=A</stp>
        <stp>Fill=B</stp>
        <stp>FX=USD</stp>
        <tr r="F482" s="3"/>
      </tp>
      <tp t="s">
        <v>#N/A Authorization</v>
        <stp/>
        <stp>##V3_BDHV12</stp>
        <stp>CLI US Equity</stp>
        <stp>RR551</stp>
        <stp>-60CQ</stp>
        <stp>2018/3/31</stp>
        <stp>[office reits companeis.xlsx]ReferenceData!R432C6</stp>
        <stp>Per=CQ</stp>
        <stp>Dts=H</stp>
        <stp>Dir=H</stp>
        <stp>Points=60</stp>
        <stp>Sort=R</stp>
        <stp>Days=A</stp>
        <stp>Fill=B</stp>
        <stp>FX=USD</stp>
        <tr r="F432" s="3"/>
      </tp>
      <tp t="s">
        <v>#N/A Authorization</v>
        <stp/>
        <stp>##V3_BDHV12</stp>
        <stp>BDN US Equity</stp>
        <stp>RR253</stp>
        <stp>-60CQ</stp>
        <stp>2018/3/31</stp>
        <stp>[office reits companeis.xlsx]ReferenceData!R299C6</stp>
        <stp>Per=CQ</stp>
        <stp>Dts=H</stp>
        <stp>Dir=H</stp>
        <stp>Points=60</stp>
        <stp>Sort=R</stp>
        <stp>Days=A</stp>
        <stp>Fill=B</stp>
        <stp>FX=USD</stp>
        <tr r="F299" s="3"/>
      </tp>
      <tp t="s">
        <v>#N/A Authorization</v>
        <stp/>
        <stp>##V3_BDHV12</stp>
        <stp>CLI US Equity</stp>
        <stp>RR253</stp>
        <stp>-60CQ</stp>
        <stp>2018/3/31</stp>
        <stp>[office reits companeis.xlsx]ReferenceData!R314C6</stp>
        <stp>Per=CQ</stp>
        <stp>Dts=H</stp>
        <stp>Dir=H</stp>
        <stp>Points=60</stp>
        <stp>Sort=R</stp>
        <stp>Days=A</stp>
        <stp>Fill=B</stp>
        <stp>FX=USD</stp>
        <tr r="F314" s="3"/>
      </tp>
      <tp t="s">
        <v>#N/A Authorization</v>
        <stp/>
        <stp>##V3_BDHV12</stp>
        <stp>CLI US Equity</stp>
        <stp>RR553</stp>
        <stp>-60CQ</stp>
        <stp>2018/3/31</stp>
        <stp>[office reits companeis.xlsx]ReferenceData!R472C6</stp>
        <stp>Per=CQ</stp>
        <stp>Dts=H</stp>
        <stp>Dir=H</stp>
        <stp>Points=60</stp>
        <stp>Sort=R</stp>
        <stp>Days=A</stp>
        <stp>Fill=B</stp>
        <stp>FX=USD</stp>
        <tr r="F472" s="3"/>
      </tp>
      <tp t="s">
        <v>#N/A Authorization</v>
        <stp/>
        <stp>##V3_BDHV12</stp>
        <stp>BXP US Equity</stp>
        <stp>RR253</stp>
        <stp>-60CQ</stp>
        <stp>2018/3/31</stp>
        <stp>[office reits companeis.xlsx]ReferenceData!R296C6</stp>
        <stp>Per=CQ</stp>
        <stp>Dts=H</stp>
        <stp>Dir=H</stp>
        <stp>Points=60</stp>
        <stp>Sort=R</stp>
        <stp>Days=A</stp>
        <stp>Fill=B</stp>
        <stp>FX=USD</stp>
        <tr r="F296" s="3"/>
      </tp>
      <tp t="s">
        <v>#N/A Authorization</v>
        <stp/>
        <stp>##V3_BDHV12</stp>
        <stp>CXP US Equity</stp>
        <stp>RR554</stp>
        <stp>-60CQ</stp>
        <stp>2018/3/31</stp>
        <stp>[office reits companeis.xlsx]ReferenceData!R478C6</stp>
        <stp>Per=CQ</stp>
        <stp>Dts=H</stp>
        <stp>Dir=H</stp>
        <stp>Points=60</stp>
        <stp>Sort=R</stp>
        <stp>Days=A</stp>
        <stp>Fill=B</stp>
        <stp>FX=USD</stp>
        <tr r="F478" s="3"/>
      </tp>
      <tp t="s">
        <v>#N/A Authorization</v>
        <stp/>
        <stp>##V3_BDHV12</stp>
        <stp>CXP US Equity</stp>
        <stp>RR553</stp>
        <stp>-60CQ</stp>
        <stp>2018/3/31</stp>
        <stp>[office reits companeis.xlsx]ReferenceData!R468C6</stp>
        <stp>Per=CQ</stp>
        <stp>Dts=H</stp>
        <stp>Dir=H</stp>
        <stp>Points=60</stp>
        <stp>Sort=R</stp>
        <stp>Days=A</stp>
        <stp>Fill=B</stp>
        <stp>FX=USD</stp>
        <tr r="F468" s="3"/>
      </tp>
      <tp t="s">
        <v>#N/A Authorization</v>
        <stp/>
        <stp>##V3_BDHV12</stp>
        <stp>CXP US Equity</stp>
        <stp>RR551</stp>
        <stp>-60CQ</stp>
        <stp>2018/3/31</stp>
        <stp>[office reits companeis.xlsx]ReferenceData!R428C6</stp>
        <stp>Per=CQ</stp>
        <stp>Dts=H</stp>
        <stp>Dir=H</stp>
        <stp>Points=60</stp>
        <stp>Sort=R</stp>
        <stp>Days=A</stp>
        <stp>Fill=B</stp>
        <stp>FX=USD</stp>
        <tr r="F428" s="3"/>
      </tp>
      <tp t="s">
        <v>#N/A Authorization</v>
        <stp/>
        <stp>##V3_BDHV12</stp>
        <stp>CXP US Equity</stp>
        <stp>RR253</stp>
        <stp>-60CQ</stp>
        <stp>2018/3/31</stp>
        <stp>[office reits companeis.xlsx]ReferenceData!R302C6</stp>
        <stp>Per=CQ</stp>
        <stp>Dts=H</stp>
        <stp>Dir=H</stp>
        <stp>Points=60</stp>
        <stp>Sort=R</stp>
        <stp>Days=A</stp>
        <stp>Fill=B</stp>
        <stp>FX=USD</stp>
        <tr r="F302" s="3"/>
      </tp>
      <tp t="s">
        <v>#N/A Authorization</v>
        <stp/>
        <stp>##V3_BDHV12</stp>
        <stp>BDN US Equity</stp>
        <stp>RR551</stp>
        <stp>-60CQ</stp>
        <stp>2018/3/31</stp>
        <stp>[office reits companeis.xlsx]ReferenceData!R427C6</stp>
        <stp>Per=CQ</stp>
        <stp>Dts=H</stp>
        <stp>Dir=H</stp>
        <stp>Points=60</stp>
        <stp>Sort=R</stp>
        <stp>Days=A</stp>
        <stp>Fill=B</stp>
        <stp>FX=USD</stp>
        <tr r="F427" s="3"/>
      </tp>
      <tp t="s">
        <v>#N/A Authorization</v>
        <stp/>
        <stp>##V3_BDHV12</stp>
        <stp>BDN US Equity</stp>
        <stp>RR554</stp>
        <stp>-60CQ</stp>
        <stp>2018/3/31</stp>
        <stp>[office reits companeis.xlsx]ReferenceData!R477C6</stp>
        <stp>Per=CQ</stp>
        <stp>Dts=H</stp>
        <stp>Dir=H</stp>
        <stp>Points=60</stp>
        <stp>Sort=R</stp>
        <stp>Days=A</stp>
        <stp>Fill=B</stp>
        <stp>FX=USD</stp>
        <tr r="F477" s="3"/>
      </tp>
      <tp t="s">
        <v>#N/A Authorization</v>
        <stp/>
        <stp>##V3_BDHV12</stp>
        <stp>BDN US Equity</stp>
        <stp>RR553</stp>
        <stp>-60CQ</stp>
        <stp>2018/3/31</stp>
        <stp>[office reits companeis.xlsx]ReferenceData!R467C6</stp>
        <stp>Per=CQ</stp>
        <stp>Dts=H</stp>
        <stp>Dir=H</stp>
        <stp>Points=60</stp>
        <stp>Sort=R</stp>
        <stp>Days=A</stp>
        <stp>Fill=B</stp>
        <stp>FX=USD</stp>
        <tr r="F467" s="3"/>
      </tp>
      <tp t="s">
        <v>#N/A Authorization</v>
        <stp/>
        <stp>##V3_BDHV12</stp>
        <stp>BXP US Equity</stp>
        <stp>RR554</stp>
        <stp>-60CQ</stp>
        <stp>2018/3/31</stp>
        <stp>[office reits companeis.xlsx]ReferenceData!R476C6</stp>
        <stp>Per=CQ</stp>
        <stp>Dts=H</stp>
        <stp>Dir=H</stp>
        <stp>Points=60</stp>
        <stp>Sort=R</stp>
        <stp>Days=A</stp>
        <stp>Fill=B</stp>
        <stp>FX=USD</stp>
        <tr r="F476" s="3"/>
      </tp>
      <tp t="s">
        <v>#N/A Authorization</v>
        <stp/>
        <stp>##V3_BDHV12</stp>
        <stp>BXP US Equity</stp>
        <stp>RR553</stp>
        <stp>-60CQ</stp>
        <stp>2018/3/31</stp>
        <stp>[office reits companeis.xlsx]ReferenceData!R466C6</stp>
        <stp>Per=CQ</stp>
        <stp>Dts=H</stp>
        <stp>Dir=H</stp>
        <stp>Points=60</stp>
        <stp>Sort=R</stp>
        <stp>Days=A</stp>
        <stp>Fill=B</stp>
        <stp>FX=USD</stp>
        <tr r="F466" s="3"/>
      </tp>
      <tp t="s">
        <v>#N/A Authorization</v>
        <stp/>
        <stp>##V3_BDHV12</stp>
        <stp>BXP US Equity</stp>
        <stp>RR551</stp>
        <stp>-60CQ</stp>
        <stp>2018/3/31</stp>
        <stp>[office reits companeis.xlsx]ReferenceData!R426C6</stp>
        <stp>Per=CQ</stp>
        <stp>Dts=H</stp>
        <stp>Dir=H</stp>
        <stp>Points=60</stp>
        <stp>Sort=R</stp>
        <stp>Days=A</stp>
        <stp>Fill=B</stp>
        <stp>FX=USD</stp>
        <tr r="F426" s="3"/>
      </tp>
      <tp t="s">
        <v>#N/A Authorization</v>
        <stp/>
        <stp>##V3_BDHV12</stp>
        <stp>CLI US Equity</stp>
        <stp>RR009</stp>
        <stp>-60CQ</stp>
        <stp>2018/3/31</stp>
        <stp>[office reits companeis.xlsx]ReferenceData!R382C6</stp>
        <stp>Per=CQ</stp>
        <stp>Dts=H</stp>
        <stp>Dir=H</stp>
        <stp>Points=60</stp>
        <stp>Sort=R</stp>
        <stp>Days=A</stp>
        <stp>Fill=B</stp>
        <stp>FX=USD</stp>
        <tr r="F382" s="3"/>
      </tp>
      <tp t="s">
        <v>#N/A Authorization</v>
        <stp/>
        <stp>##V3_BDHV12</stp>
        <stp>CXP US Equity</stp>
        <stp>RR009</stp>
        <stp>-60CQ</stp>
        <stp>2018/3/31</stp>
        <stp>[office reits companeis.xlsx]ReferenceData!R378C6</stp>
        <stp>Per=CQ</stp>
        <stp>Dts=H</stp>
        <stp>Dir=H</stp>
        <stp>Points=60</stp>
        <stp>Sort=R</stp>
        <stp>Days=A</stp>
        <stp>Fill=B</stp>
        <stp>FX=USD</stp>
        <tr r="F378" s="3"/>
      </tp>
      <tp t="s">
        <v>#N/A Authorization</v>
        <stp/>
        <stp>##V3_BDHV12</stp>
        <stp>BDN US Equity</stp>
        <stp>RR009</stp>
        <stp>-60CQ</stp>
        <stp>2018/3/31</stp>
        <stp>[office reits companeis.xlsx]ReferenceData!R377C6</stp>
        <stp>Per=CQ</stp>
        <stp>Dts=H</stp>
        <stp>Dir=H</stp>
        <stp>Points=60</stp>
        <stp>Sort=R</stp>
        <stp>Days=A</stp>
        <stp>Fill=B</stp>
        <stp>FX=USD</stp>
        <tr r="F377" s="3"/>
      </tp>
      <tp t="s">
        <v>#N/A Authorization</v>
        <stp/>
        <stp>##V3_BDHV12</stp>
        <stp>BXP US Equity</stp>
        <stp>RR009</stp>
        <stp>-60CQ</stp>
        <stp>2018/3/31</stp>
        <stp>[office reits companeis.xlsx]ReferenceData!R376C6</stp>
        <stp>Per=CQ</stp>
        <stp>Dts=H</stp>
        <stp>Dir=H</stp>
        <stp>Points=60</stp>
        <stp>Sort=R</stp>
        <stp>Days=A</stp>
        <stp>Fill=B</stp>
        <stp>FX=USD</stp>
        <tr r="F376" s="3"/>
      </tp>
      <tp t="s">
        <v>#N/A Authorization</v>
        <stp/>
        <stp>##V3_BDHV12</stp>
        <stp>BDN US Equity</stp>
        <stp>RR106</stp>
        <stp>-60CQ</stp>
        <stp>2018/3/31</stp>
        <stp>[office reits companeis.xlsx]ReferenceData!R557C6</stp>
        <stp>Per=CQ</stp>
        <stp>Dts=H</stp>
        <stp>Dir=H</stp>
        <stp>Points=60</stp>
        <stp>Sort=R</stp>
        <stp>Days=A</stp>
        <stp>Fill=B</stp>
        <stp>FX=USD</stp>
        <tr r="F557" s="3"/>
      </tp>
      <tp t="s">
        <v>#N/A Authorization</v>
        <stp/>
        <stp>##V3_BDHV12</stp>
        <stp>BDN US Equity</stp>
        <stp>RR033</stp>
        <stp>-60CQ</stp>
        <stp>2018/3/31</stp>
        <stp>[office reits companeis.xlsx]ReferenceData!R417C6</stp>
        <stp>Per=CQ</stp>
        <stp>Dts=H</stp>
        <stp>Dir=H</stp>
        <stp>Points=60</stp>
        <stp>Sort=R</stp>
        <stp>Days=A</stp>
        <stp>Fill=B</stp>
        <stp>FX=USD</stp>
        <tr r="F417" s="3"/>
      </tp>
      <tp t="s">
        <v>#N/A Authorization</v>
        <stp/>
        <stp>##V3_BDHV12</stp>
        <stp>CLI US Equity</stp>
        <stp>RR059</stp>
        <stp>-60CQ</stp>
        <stp>2018/3/31</stp>
        <stp>[office reits companeis.xlsx]ReferenceData!R522C6</stp>
        <stp>Per=CQ</stp>
        <stp>Dts=H</stp>
        <stp>Dir=H</stp>
        <stp>Points=60</stp>
        <stp>Sort=R</stp>
        <stp>Days=A</stp>
        <stp>Fill=B</stp>
        <stp>FX=USD</stp>
        <tr r="F522" s="3"/>
      </tp>
      <tp t="s">
        <v>#N/A Authorization</v>
        <stp/>
        <stp>##V3_BDHV12</stp>
        <stp>CLI US Equity</stp>
        <stp>RR008</stp>
        <stp>-60CQ</stp>
        <stp>2018/3/31</stp>
        <stp>[office reits companeis.xlsx]ReferenceData!R552C6</stp>
        <stp>Per=CQ</stp>
        <stp>Dts=H</stp>
        <stp>Dir=H</stp>
        <stp>Points=60</stp>
        <stp>Sort=R</stp>
        <stp>Days=A</stp>
        <stp>Fill=B</stp>
        <stp>FX=USD</stp>
        <tr r="F552" s="3"/>
      </tp>
      <tp t="s">
        <v>#N/A Authorization</v>
        <stp/>
        <stp>##V3_BDHV12</stp>
        <stp>BXP US Equity</stp>
        <stp>RR033</stp>
        <stp>-60CQ</stp>
        <stp>2018/3/31</stp>
        <stp>[office reits companeis.xlsx]ReferenceData!R416C6</stp>
        <stp>Per=CQ</stp>
        <stp>Dts=H</stp>
        <stp>Dir=H</stp>
        <stp>Points=60</stp>
        <stp>Sort=R</stp>
        <stp>Days=A</stp>
        <stp>Fill=B</stp>
        <stp>FX=USD</stp>
        <tr r="F416" s="3"/>
      </tp>
      <tp t="s">
        <v>#N/A Authorization</v>
        <stp/>
        <stp>##V3_BDHV12</stp>
        <stp>CXP US Equity</stp>
        <stp>RR008</stp>
        <stp>-60CQ</stp>
        <stp>2018/3/31</stp>
        <stp>[office reits companeis.xlsx]ReferenceData!R548C6</stp>
        <stp>Per=CQ</stp>
        <stp>Dts=H</stp>
        <stp>Dir=H</stp>
        <stp>Points=60</stp>
        <stp>Sort=R</stp>
        <stp>Days=A</stp>
        <stp>Fill=B</stp>
        <stp>FX=USD</stp>
        <tr r="F548" s="3"/>
      </tp>
      <tp t="s">
        <v>#N/A Authorization</v>
        <stp/>
        <stp>##V3_BDHV12</stp>
        <stp>CXP US Equity</stp>
        <stp>RR059</stp>
        <stp>-60CQ</stp>
        <stp>2018/3/31</stp>
        <stp>[office reits companeis.xlsx]ReferenceData!R518C6</stp>
        <stp>Per=CQ</stp>
        <stp>Dts=H</stp>
        <stp>Dir=H</stp>
        <stp>Points=60</stp>
        <stp>Sort=R</stp>
        <stp>Days=A</stp>
        <stp>Fill=B</stp>
        <stp>FX=USD</stp>
        <tr r="F518" s="3"/>
      </tp>
      <tp t="s">
        <v>#N/A Authorization</v>
        <stp/>
        <stp>##V3_BDHV12</stp>
        <stp>BXP US Equity</stp>
        <stp>RR106</stp>
        <stp>-60CQ</stp>
        <stp>2018/3/31</stp>
        <stp>[office reits companeis.xlsx]ReferenceData!R556C6</stp>
        <stp>Per=CQ</stp>
        <stp>Dts=H</stp>
        <stp>Dir=H</stp>
        <stp>Points=60</stp>
        <stp>Sort=R</stp>
        <stp>Days=A</stp>
        <stp>Fill=B</stp>
        <stp>FX=USD</stp>
        <tr r="F556" s="3"/>
      </tp>
      <tp t="s">
        <v>#N/A Authorization</v>
        <stp/>
        <stp>##V3_BDHV12</stp>
        <stp>BDN US Equity</stp>
        <stp>RR059</stp>
        <stp>-60CQ</stp>
        <stp>2018/3/31</stp>
        <stp>[office reits companeis.xlsx]ReferenceData!R517C6</stp>
        <stp>Per=CQ</stp>
        <stp>Dts=H</stp>
        <stp>Dir=H</stp>
        <stp>Points=60</stp>
        <stp>Sort=R</stp>
        <stp>Days=A</stp>
        <stp>Fill=B</stp>
        <stp>FX=USD</stp>
        <tr r="F517" s="3"/>
      </tp>
      <tp t="s">
        <v>#N/A Authorization</v>
        <stp/>
        <stp>##V3_BDHV12</stp>
        <stp>BDN US Equity</stp>
        <stp>RR008</stp>
        <stp>-60CQ</stp>
        <stp>2018/3/31</stp>
        <stp>[office reits companeis.xlsx]ReferenceData!R547C6</stp>
        <stp>Per=CQ</stp>
        <stp>Dts=H</stp>
        <stp>Dir=H</stp>
        <stp>Points=60</stp>
        <stp>Sort=R</stp>
        <stp>Days=A</stp>
        <stp>Fill=B</stp>
        <stp>FX=USD</stp>
        <tr r="F547" s="3"/>
      </tp>
      <tp t="s">
        <v>#N/A Authorization</v>
        <stp/>
        <stp>##V3_BDHV12</stp>
        <stp>CLI US Equity</stp>
        <stp>RR106</stp>
        <stp>-60CQ</stp>
        <stp>2018/3/31</stp>
        <stp>[office reits companeis.xlsx]ReferenceData!R562C6</stp>
        <stp>Per=CQ</stp>
        <stp>Dts=H</stp>
        <stp>Dir=H</stp>
        <stp>Points=60</stp>
        <stp>Sort=R</stp>
        <stp>Days=A</stp>
        <stp>Fill=B</stp>
        <stp>FX=USD</stp>
        <tr r="F562" s="3"/>
      </tp>
      <tp t="s">
        <v>#N/A Authorization</v>
        <stp/>
        <stp>##V3_BDHV12</stp>
        <stp>CLI US Equity</stp>
        <stp>RR033</stp>
        <stp>-60CQ</stp>
        <stp>2018/3/31</stp>
        <stp>[office reits companeis.xlsx]ReferenceData!R422C6</stp>
        <stp>Per=CQ</stp>
        <stp>Dts=H</stp>
        <stp>Dir=H</stp>
        <stp>Points=60</stp>
        <stp>Sort=R</stp>
        <stp>Days=A</stp>
        <stp>Fill=B</stp>
        <stp>FX=USD</stp>
        <tr r="F422" s="3"/>
      </tp>
      <tp t="s">
        <v>#N/A Authorization</v>
        <stp/>
        <stp>##V3_BDHV12</stp>
        <stp>CXP US Equity</stp>
        <stp>RR033</stp>
        <stp>-60CQ</stp>
        <stp>2018/3/31</stp>
        <stp>[office reits companeis.xlsx]ReferenceData!R418C6</stp>
        <stp>Per=CQ</stp>
        <stp>Dts=H</stp>
        <stp>Dir=H</stp>
        <stp>Points=60</stp>
        <stp>Sort=R</stp>
        <stp>Days=A</stp>
        <stp>Fill=B</stp>
        <stp>FX=USD</stp>
        <tr r="F418" s="3"/>
      </tp>
      <tp t="s">
        <v>#N/A Authorization</v>
        <stp/>
        <stp>##V3_BDHV12</stp>
        <stp>BXP US Equity</stp>
        <stp>RR008</stp>
        <stp>-60CQ</stp>
        <stp>2018/3/31</stp>
        <stp>[office reits companeis.xlsx]ReferenceData!R546C6</stp>
        <stp>Per=CQ</stp>
        <stp>Dts=H</stp>
        <stp>Dir=H</stp>
        <stp>Points=60</stp>
        <stp>Sort=R</stp>
        <stp>Days=A</stp>
        <stp>Fill=B</stp>
        <stp>FX=USD</stp>
        <tr r="F546" s="3"/>
      </tp>
      <tp t="s">
        <v>#N/A Authorization</v>
        <stp/>
        <stp>##V3_BDHV12</stp>
        <stp>BXP US Equity</stp>
        <stp>RR059</stp>
        <stp>-60CQ</stp>
        <stp>2018/3/31</stp>
        <stp>[office reits companeis.xlsx]ReferenceData!R516C6</stp>
        <stp>Per=CQ</stp>
        <stp>Dts=H</stp>
        <stp>Dir=H</stp>
        <stp>Points=60</stp>
        <stp>Sort=R</stp>
        <stp>Days=A</stp>
        <stp>Fill=B</stp>
        <stp>FX=USD</stp>
        <tr r="F516" s="3"/>
      </tp>
      <tp t="s">
        <v>#N/A Authorization</v>
        <stp/>
        <stp>##V3_BDHV12</stp>
        <stp>CXP US Equity</stp>
        <stp>RR106</stp>
        <stp>-60CQ</stp>
        <stp>2018/3/31</stp>
        <stp>[office reits companeis.xlsx]ReferenceData!R558C6</stp>
        <stp>Per=CQ</stp>
        <stp>Dts=H</stp>
        <stp>Dir=H</stp>
        <stp>Points=60</stp>
        <stp>Sort=R</stp>
        <stp>Days=A</stp>
        <stp>Fill=B</stp>
        <stp>FX=USD</stp>
        <tr r="F558" s="3"/>
      </tp>
      <tp t="s">
        <v>#N/A Authorization</v>
        <stp/>
        <stp>##V3_BDHV12</stp>
        <stp>BDN US Equity</stp>
        <stp>RR502</stp>
        <stp>-60CQ</stp>
        <stp>2018/3/31</stp>
        <stp>[office reits companeis.xlsx]ReferenceData!R367C6</stp>
        <stp>Per=CQ</stp>
        <stp>Dts=H</stp>
        <stp>Dir=H</stp>
        <stp>Points=60</stp>
        <stp>Sort=R</stp>
        <stp>Days=A</stp>
        <stp>Fill=B</stp>
        <stp>FX=USD</stp>
        <tr r="F367" s="3"/>
      </tp>
      <tp t="s">
        <v>#N/A Authorization</v>
        <stp/>
        <stp>##V3_BDHV12</stp>
        <stp>CLI US Equity</stp>
        <stp>RR263</stp>
        <stp>-60CQ</stp>
        <stp>2018/3/31</stp>
        <stp>[office reits companeis.xlsx]ReferenceData!R502C6</stp>
        <stp>Per=CQ</stp>
        <stp>Dts=H</stp>
        <stp>Dir=H</stp>
        <stp>Points=60</stp>
        <stp>Sort=R</stp>
        <stp>Days=A</stp>
        <stp>Fill=B</stp>
        <stp>FX=USD</stp>
        <tr r="F502" s="3"/>
      </tp>
      <tp t="s">
        <v>#N/A Authorization</v>
        <stp/>
        <stp>##V3_BDHV12</stp>
        <stp>BDN US Equity</stp>
        <stp>RR263</stp>
        <stp>-60CQ</stp>
        <stp>2018/3/31</stp>
        <stp>[office reits companeis.xlsx]ReferenceData!R497C6</stp>
        <stp>Per=CQ</stp>
        <stp>Dts=H</stp>
        <stp>Dir=H</stp>
        <stp>Points=60</stp>
        <stp>Sort=R</stp>
        <stp>Days=A</stp>
        <stp>Fill=B</stp>
        <stp>FX=USD</stp>
        <tr r="F497" s="3"/>
      </tp>
      <tp t="s">
        <v>#N/A Authorization</v>
        <stp/>
        <stp>##V3_BDHV12</stp>
        <stp>CLI US Equity</stp>
        <stp>RR253</stp>
        <stp>-60CQ</stp>
        <stp>2018/3/31</stp>
        <stp>[office reits companeis.xlsx]ReferenceData!R542C6</stp>
        <stp>Per=CQ</stp>
        <stp>Dts=H</stp>
        <stp>Dir=H</stp>
        <stp>Points=60</stp>
        <stp>Sort=R</stp>
        <stp>Days=A</stp>
        <stp>Fill=B</stp>
        <stp>FX=USD</stp>
        <tr r="F542" s="3"/>
      </tp>
      <tp t="s">
        <v>#N/A Authorization</v>
        <stp/>
        <stp>##V3_BDHV12</stp>
        <stp>BXP US Equity</stp>
        <stp>RR263</stp>
        <stp>-60CQ</stp>
        <stp>2018/3/31</stp>
        <stp>[office reits companeis.xlsx]ReferenceData!R496C6</stp>
        <stp>Per=CQ</stp>
        <stp>Dts=H</stp>
        <stp>Dir=H</stp>
        <stp>Points=60</stp>
        <stp>Sort=R</stp>
        <stp>Days=A</stp>
        <stp>Fill=B</stp>
        <stp>FX=USD</stp>
        <tr r="F496" s="3"/>
      </tp>
      <tp t="s">
        <v>#N/A Authorization</v>
        <stp/>
        <stp>##V3_BDHV12</stp>
        <stp>BXP US Equity</stp>
        <stp>RR502</stp>
        <stp>-60CQ</stp>
        <stp>2018/3/31</stp>
        <stp>[office reits companeis.xlsx]ReferenceData!R366C6</stp>
        <stp>Per=CQ</stp>
        <stp>Dts=H</stp>
        <stp>Dir=H</stp>
        <stp>Points=60</stp>
        <stp>Sort=R</stp>
        <stp>Days=A</stp>
        <stp>Fill=B</stp>
        <stp>FX=USD</stp>
        <tr r="F366" s="3"/>
      </tp>
      <tp t="s">
        <v>#N/A Authorization</v>
        <stp/>
        <stp>##V3_BDHV12</stp>
        <stp>CXP US Equity</stp>
        <stp>RR253</stp>
        <stp>-60CQ</stp>
        <stp>2018/3/31</stp>
        <stp>[office reits companeis.xlsx]ReferenceData!R538C6</stp>
        <stp>Per=CQ</stp>
        <stp>Dts=H</stp>
        <stp>Dir=H</stp>
        <stp>Points=60</stp>
        <stp>Sort=R</stp>
        <stp>Days=A</stp>
        <stp>Fill=B</stp>
        <stp>FX=USD</stp>
        <tr r="F538" s="3"/>
      </tp>
      <tp t="s">
        <v>#N/A Authorization</v>
        <stp/>
        <stp>##V3_BDHV12</stp>
        <stp>BDN US Equity</stp>
        <stp>RR253</stp>
        <stp>-60CQ</stp>
        <stp>2018/3/31</stp>
        <stp>[office reits companeis.xlsx]ReferenceData!R537C6</stp>
        <stp>Per=CQ</stp>
        <stp>Dts=H</stp>
        <stp>Dir=H</stp>
        <stp>Points=60</stp>
        <stp>Sort=R</stp>
        <stp>Days=A</stp>
        <stp>Fill=B</stp>
        <stp>FX=USD</stp>
        <tr r="F537" s="3"/>
      </tp>
      <tp t="s">
        <v>#N/A Authorization</v>
        <stp/>
        <stp>##V3_BDHV12</stp>
        <stp>CLI US Equity</stp>
        <stp>RR502</stp>
        <stp>-60CQ</stp>
        <stp>2018/3/31</stp>
        <stp>[office reits companeis.xlsx]ReferenceData!R372C6</stp>
        <stp>Per=CQ</stp>
        <stp>Dts=H</stp>
        <stp>Dir=H</stp>
        <stp>Points=60</stp>
        <stp>Sort=R</stp>
        <stp>Days=A</stp>
        <stp>Fill=B</stp>
        <stp>FX=USD</stp>
        <tr r="F372" s="3"/>
      </tp>
      <tp t="s">
        <v>#N/A Authorization</v>
        <stp/>
        <stp>##V3_BDHV12</stp>
        <stp>CXP US Equity</stp>
        <stp>RR263</stp>
        <stp>-60CQ</stp>
        <stp>2018/3/31</stp>
        <stp>[office reits companeis.xlsx]ReferenceData!R498C6</stp>
        <stp>Per=CQ</stp>
        <stp>Dts=H</stp>
        <stp>Dir=H</stp>
        <stp>Points=60</stp>
        <stp>Sort=R</stp>
        <stp>Days=A</stp>
        <stp>Fill=B</stp>
        <stp>FX=USD</stp>
        <tr r="F498" s="3"/>
      </tp>
      <tp t="s">
        <v>#N/A Authorization</v>
        <stp/>
        <stp>##V3_BDHV12</stp>
        <stp>BXP US Equity</stp>
        <stp>RR253</stp>
        <stp>-60CQ</stp>
        <stp>2018/3/31</stp>
        <stp>[office reits companeis.xlsx]ReferenceData!R536C6</stp>
        <stp>Per=CQ</stp>
        <stp>Dts=H</stp>
        <stp>Dir=H</stp>
        <stp>Points=60</stp>
        <stp>Sort=R</stp>
        <stp>Days=A</stp>
        <stp>Fill=B</stp>
        <stp>FX=USD</stp>
        <tr r="F536" s="3"/>
      </tp>
      <tp t="s">
        <v>#N/A Authorization</v>
        <stp/>
        <stp>##V3_BDHV12</stp>
        <stp>CXP US Equity</stp>
        <stp>RR502</stp>
        <stp>-60CQ</stp>
        <stp>2018/3/31</stp>
        <stp>[office reits companeis.xlsx]ReferenceData!R368C6</stp>
        <stp>Per=CQ</stp>
        <stp>Dts=H</stp>
        <stp>Dir=H</stp>
        <stp>Points=60</stp>
        <stp>Sort=R</stp>
        <stp>Days=A</stp>
        <stp>Fill=B</stp>
        <stp>FX=USD</stp>
        <tr r="F368" s="3"/>
      </tp>
      <tp t="s">
        <v>#N/A Authorization</v>
        <stp/>
        <stp>##V3_BDHV12</stp>
        <stp>OFC US Equity</stp>
        <stp>RR008</stp>
        <stp>-60CQ</stp>
        <stp>2018/3/31</stp>
        <stp>[office reits companeis.xlsx]ReferenceData!R549C6</stp>
        <stp>Per=CQ</stp>
        <stp>Dts=H</stp>
        <stp>Dir=H</stp>
        <stp>Points=60</stp>
        <stp>Sort=R</stp>
        <stp>Days=A</stp>
        <stp>Fill=B</stp>
        <stp>FX=USD</stp>
        <tr r="F549" s="3"/>
      </tp>
      <tp t="s">
        <v>#N/A Authorization</v>
        <stp/>
        <stp>##V3_BDHV12</stp>
        <stp>OFC US Equity</stp>
        <stp>RR059</stp>
        <stp>-60CQ</stp>
        <stp>2018/3/31</stp>
        <stp>[office reits companeis.xlsx]ReferenceData!R519C6</stp>
        <stp>Per=CQ</stp>
        <stp>Dts=H</stp>
        <stp>Dir=H</stp>
        <stp>Points=60</stp>
        <stp>Sort=R</stp>
        <stp>Days=A</stp>
        <stp>Fill=B</stp>
        <stp>FX=USD</stp>
        <tr r="F519" s="3"/>
      </tp>
      <tp t="s">
        <v>#N/A Authorization</v>
        <stp/>
        <stp>##V3_BDHV12</stp>
        <stp>KRC US Equity</stp>
        <stp>RR553</stp>
        <stp>-60CQ</stp>
        <stp>2018/3/31</stp>
        <stp>[office reits companeis.xlsx]ReferenceData!R471C6</stp>
        <stp>Per=CQ</stp>
        <stp>Dts=H</stp>
        <stp>Dir=H</stp>
        <stp>Points=60</stp>
        <stp>Sort=R</stp>
        <stp>Days=A</stp>
        <stp>Fill=B</stp>
        <stp>FX=USD</stp>
        <tr r="F471" s="3"/>
      </tp>
      <tp t="s">
        <v>#N/A Authorization</v>
        <stp/>
        <stp>##V3_BDHV12</stp>
        <stp>KRC US Equity</stp>
        <stp>RR253</stp>
        <stp>-60CQ</stp>
        <stp>2018/3/31</stp>
        <stp>[office reits companeis.xlsx]ReferenceData!R311C6</stp>
        <stp>Per=CQ</stp>
        <stp>Dts=H</stp>
        <stp>Dir=H</stp>
        <stp>Points=60</stp>
        <stp>Sort=R</stp>
        <stp>Days=A</stp>
        <stp>Fill=B</stp>
        <stp>FX=USD</stp>
        <tr r="F311" s="3"/>
      </tp>
      <tp t="s">
        <v>#N/A Authorization</v>
        <stp/>
        <stp>##V3_BDHV12</stp>
        <stp>KRC US Equity</stp>
        <stp>RR551</stp>
        <stp>-60CQ</stp>
        <stp>2018/3/31</stp>
        <stp>[office reits companeis.xlsx]ReferenceData!R431C6</stp>
        <stp>Per=CQ</stp>
        <stp>Dts=H</stp>
        <stp>Dir=H</stp>
        <stp>Points=60</stp>
        <stp>Sort=R</stp>
        <stp>Days=A</stp>
        <stp>Fill=B</stp>
        <stp>FX=USD</stp>
        <tr r="F431" s="3"/>
      </tp>
      <tp t="s">
        <v>#N/A Authorization</v>
        <stp/>
        <stp>##V3_BDHV12</stp>
        <stp>KRC US Equity</stp>
        <stp>RR554</stp>
        <stp>-60CQ</stp>
        <stp>2018/3/31</stp>
        <stp>[office reits companeis.xlsx]ReferenceData!R481C6</stp>
        <stp>Per=CQ</stp>
        <stp>Dts=H</stp>
        <stp>Dir=H</stp>
        <stp>Points=60</stp>
        <stp>Sort=R</stp>
        <stp>Days=A</stp>
        <stp>Fill=B</stp>
        <stp>FX=USD</stp>
        <tr r="F481" s="3"/>
      </tp>
      <tp t="s">
        <v>#N/A Authorization</v>
        <stp/>
        <stp>##V3_BDHV12</stp>
        <stp>OFC US Equity</stp>
        <stp>RR106</stp>
        <stp>-60CQ</stp>
        <stp>2018/3/31</stp>
        <stp>[office reits companeis.xlsx]ReferenceData!R559C6</stp>
        <stp>Per=CQ</stp>
        <stp>Dts=H</stp>
        <stp>Dir=H</stp>
        <stp>Points=60</stp>
        <stp>Sort=R</stp>
        <stp>Days=A</stp>
        <stp>Fill=B</stp>
        <stp>FX=USD</stp>
        <tr r="F559" s="3"/>
      </tp>
      <tp t="s">
        <v>#N/A Authorization</v>
        <stp/>
        <stp>##V3_BDHV12</stp>
        <stp>HIW US Equity</stp>
        <stp>RR009</stp>
        <stp>-60CQ</stp>
        <stp>2018/3/31</stp>
        <stp>[office reits companeis.xlsx]ReferenceData!R380C6</stp>
        <stp>Per=CQ</stp>
        <stp>Dts=H</stp>
        <stp>Dir=H</stp>
        <stp>Points=60</stp>
        <stp>Sort=R</stp>
        <stp>Days=A</stp>
        <stp>Fill=B</stp>
        <stp>FX=USD</stp>
        <tr r="F380" s="3"/>
      </tp>
      <tp t="s">
        <v>#N/A Authorization</v>
        <stp/>
        <stp>##V3_BDHV12</stp>
        <stp>OFC US Equity</stp>
        <stp>RR033</stp>
        <stp>-60CQ</stp>
        <stp>2018/3/31</stp>
        <stp>[office reits companeis.xlsx]ReferenceData!R419C6</stp>
        <stp>Per=CQ</stp>
        <stp>Dts=H</stp>
        <stp>Dir=H</stp>
        <stp>Points=60</stp>
        <stp>Sort=R</stp>
        <stp>Days=A</stp>
        <stp>Fill=B</stp>
        <stp>FX=USD</stp>
        <tr r="F419" s="3"/>
      </tp>
      <tp t="s">
        <v>#N/A Authorization</v>
        <stp/>
        <stp>##V3_BDHV12</stp>
        <stp>OFC US Equity</stp>
        <stp>RR253</stp>
        <stp>-60CQ</stp>
        <stp>2018/3/31</stp>
        <stp>[office reits companeis.xlsx]ReferenceData!R539C6</stp>
        <stp>Per=CQ</stp>
        <stp>Dts=H</stp>
        <stp>Dir=H</stp>
        <stp>Points=60</stp>
        <stp>Sort=R</stp>
        <stp>Days=A</stp>
        <stp>Fill=B</stp>
        <stp>FX=USD</stp>
        <tr r="F539" s="3"/>
      </tp>
      <tp t="s">
        <v>#N/A Authorization</v>
        <stp/>
        <stp>##V3_BDHV12</stp>
        <stp>KRC US Equity</stp>
        <stp>RR009</stp>
        <stp>-60CQ</stp>
        <stp>2018/3/31</stp>
        <stp>[office reits companeis.xlsx]ReferenceData!R381C6</stp>
        <stp>Per=CQ</stp>
        <stp>Dts=H</stp>
        <stp>Dir=H</stp>
        <stp>Points=60</stp>
        <stp>Sort=R</stp>
        <stp>Days=A</stp>
        <stp>Fill=B</stp>
        <stp>FX=USD</stp>
        <tr r="F381" s="3"/>
      </tp>
      <tp t="s">
        <v>#N/A Authorization</v>
        <stp/>
        <stp>##V3_BDHV12</stp>
        <stp>OFC US Equity</stp>
        <stp>RR502</stp>
        <stp>-60CQ</stp>
        <stp>2018/3/31</stp>
        <stp>[office reits companeis.xlsx]ReferenceData!R369C6</stp>
        <stp>Per=CQ</stp>
        <stp>Dts=H</stp>
        <stp>Dir=H</stp>
        <stp>Points=60</stp>
        <stp>Sort=R</stp>
        <stp>Days=A</stp>
        <stp>Fill=B</stp>
        <stp>FX=USD</stp>
        <tr r="F369" s="3"/>
      </tp>
      <tp t="s">
        <v>#N/A Authorization</v>
        <stp/>
        <stp>##V3_BDHV12</stp>
        <stp>HIW US Equity</stp>
        <stp>RR554</stp>
        <stp>-60CQ</stp>
        <stp>2018/3/31</stp>
        <stp>[office reits companeis.xlsx]ReferenceData!R480C6</stp>
        <stp>Per=CQ</stp>
        <stp>Dts=H</stp>
        <stp>Dir=H</stp>
        <stp>Points=60</stp>
        <stp>Sort=R</stp>
        <stp>Days=A</stp>
        <stp>Fill=B</stp>
        <stp>FX=USD</stp>
        <tr r="F480" s="3"/>
      </tp>
      <tp t="s">
        <v>#N/A Authorization</v>
        <stp/>
        <stp>##V3_BDHV12</stp>
        <stp>HIW US Equity</stp>
        <stp>RR553</stp>
        <stp>-60CQ</stp>
        <stp>2018/3/31</stp>
        <stp>[office reits companeis.xlsx]ReferenceData!R470C6</stp>
        <stp>Per=CQ</stp>
        <stp>Dts=H</stp>
        <stp>Dir=H</stp>
        <stp>Points=60</stp>
        <stp>Sort=R</stp>
        <stp>Days=A</stp>
        <stp>Fill=B</stp>
        <stp>FX=USD</stp>
        <tr r="F470" s="3"/>
      </tp>
      <tp t="s">
        <v>#N/A Authorization</v>
        <stp/>
        <stp>##V3_BDHV12</stp>
        <stp>OFC US Equity</stp>
        <stp>RR263</stp>
        <stp>-60CQ</stp>
        <stp>2018/3/31</stp>
        <stp>[office reits companeis.xlsx]ReferenceData!R499C6</stp>
        <stp>Per=CQ</stp>
        <stp>Dts=H</stp>
        <stp>Dir=H</stp>
        <stp>Points=60</stp>
        <stp>Sort=R</stp>
        <stp>Days=A</stp>
        <stp>Fill=B</stp>
        <stp>FX=USD</stp>
        <tr r="F499" s="3"/>
      </tp>
      <tp t="s">
        <v>#N/A Authorization</v>
        <stp/>
        <stp>##V3_BDHV12</stp>
        <stp>HIW US Equity</stp>
        <stp>RR551</stp>
        <stp>-60CQ</stp>
        <stp>2018/3/31</stp>
        <stp>[office reits companeis.xlsx]ReferenceData!R430C6</stp>
        <stp>Per=CQ</stp>
        <stp>Dts=H</stp>
        <stp>Dir=H</stp>
        <stp>Points=60</stp>
        <stp>Sort=R</stp>
        <stp>Days=A</stp>
        <stp>Fill=B</stp>
        <stp>FX=USD</stp>
        <tr r="F430" s="3"/>
      </tp>
      <tp t="s">
        <v>#N/A Authorization</v>
        <stp/>
        <stp>##V3_BDHV12</stp>
        <stp>HIW US Equity</stp>
        <stp>RR253</stp>
        <stp>-60CQ</stp>
        <stp>2018/3/31</stp>
        <stp>[office reits companeis.xlsx]ReferenceData!R308C6</stp>
        <stp>Per=CQ</stp>
        <stp>Dts=H</stp>
        <stp>Dir=H</stp>
        <stp>Points=60</stp>
        <stp>Sort=R</stp>
        <stp>Days=A</stp>
        <stp>Fill=B</stp>
        <stp>FX=USD</stp>
        <tr r="F308" s="3"/>
      </tp>
      <tp t="s">
        <v>#N/A Authorization</v>
        <stp/>
        <stp>##V3_BDHV12</stp>
        <stp>OFC US Equity</stp>
        <stp>RR253</stp>
        <stp>-60CQ</stp>
        <stp>2018/3/31</stp>
        <stp>[office reits companeis.xlsx]ReferenceData!R305C6</stp>
        <stp>Per=CQ</stp>
        <stp>Dts=H</stp>
        <stp>Dir=H</stp>
        <stp>Points=60</stp>
        <stp>Sort=R</stp>
        <stp>Days=A</stp>
        <stp>Fill=B</stp>
        <stp>FX=USD</stp>
        <tr r="F305" s="3"/>
      </tp>
      <tp t="s">
        <v>#N/A Authorization</v>
        <stp/>
        <stp>##V3_BDHV12</stp>
        <stp>OFC US Equity</stp>
        <stp>RR551</stp>
        <stp>-60CQ</stp>
        <stp>2018/3/31</stp>
        <stp>[office reits companeis.xlsx]ReferenceData!R429C6</stp>
        <stp>Per=CQ</stp>
        <stp>Dts=H</stp>
        <stp>Dir=H</stp>
        <stp>Points=60</stp>
        <stp>Sort=R</stp>
        <stp>Days=A</stp>
        <stp>Fill=B</stp>
        <stp>FX=USD</stp>
        <tr r="F429" s="3"/>
      </tp>
      <tp t="s">
        <v>#N/A Authorization</v>
        <stp/>
        <stp>##V3_BDHV12</stp>
        <stp>OFC US Equity</stp>
        <stp>RR554</stp>
        <stp>-60CQ</stp>
        <stp>2018/3/31</stp>
        <stp>[office reits companeis.xlsx]ReferenceData!R479C6</stp>
        <stp>Per=CQ</stp>
        <stp>Dts=H</stp>
        <stp>Dir=H</stp>
        <stp>Points=60</stp>
        <stp>Sort=R</stp>
        <stp>Days=A</stp>
        <stp>Fill=B</stp>
        <stp>FX=USD</stp>
        <tr r="F479" s="3"/>
      </tp>
      <tp t="s">
        <v>#N/A Authorization</v>
        <stp/>
        <stp>##V3_BDHV12</stp>
        <stp>OFC US Equity</stp>
        <stp>RR553</stp>
        <stp>-60CQ</stp>
        <stp>2018/3/31</stp>
        <stp>[office reits companeis.xlsx]ReferenceData!R469C6</stp>
        <stp>Per=CQ</stp>
        <stp>Dts=H</stp>
        <stp>Dir=H</stp>
        <stp>Points=60</stp>
        <stp>Sort=R</stp>
        <stp>Days=A</stp>
        <stp>Fill=B</stp>
        <stp>FX=USD</stp>
        <tr r="F469" s="3"/>
      </tp>
      <tp t="s">
        <v>#N/A Authorization</v>
        <stp/>
        <stp>##V3_BDHV12</stp>
        <stp>HIW US Equity</stp>
        <stp>RR502</stp>
        <stp>-60CQ</stp>
        <stp>2018/3/31</stp>
        <stp>[office reits companeis.xlsx]ReferenceData!R370C6</stp>
        <stp>Per=CQ</stp>
        <stp>Dts=H</stp>
        <stp>Dir=H</stp>
        <stp>Points=60</stp>
        <stp>Sort=R</stp>
        <stp>Days=A</stp>
        <stp>Fill=B</stp>
        <stp>FX=USD</stp>
        <tr r="F370" s="3"/>
      </tp>
      <tp t="s">
        <v>#N/A Authorization</v>
        <stp/>
        <stp>##V3_BDHV12</stp>
        <stp>KRC US Equity</stp>
        <stp>RR008</stp>
        <stp>-60CQ</stp>
        <stp>2018/3/31</stp>
        <stp>[office reits companeis.xlsx]ReferenceData!R551C6</stp>
        <stp>Per=CQ</stp>
        <stp>Dts=H</stp>
        <stp>Dir=H</stp>
        <stp>Points=60</stp>
        <stp>Sort=R</stp>
        <stp>Days=A</stp>
        <stp>Fill=B</stp>
        <stp>FX=USD</stp>
        <tr r="F551" s="3"/>
      </tp>
      <tp t="s">
        <v>#N/A Authorization</v>
        <stp/>
        <stp>##V3_BDHV12</stp>
        <stp>KRC US Equity</stp>
        <stp>RR059</stp>
        <stp>-60CQ</stp>
        <stp>2018/3/31</stp>
        <stp>[office reits companeis.xlsx]ReferenceData!R521C6</stp>
        <stp>Per=CQ</stp>
        <stp>Dts=H</stp>
        <stp>Dir=H</stp>
        <stp>Points=60</stp>
        <stp>Sort=R</stp>
        <stp>Days=A</stp>
        <stp>Fill=B</stp>
        <stp>FX=USD</stp>
        <tr r="F521" s="3"/>
      </tp>
      <tp t="s">
        <v>#N/A Authorization</v>
        <stp/>
        <stp>##V3_BDHV12</stp>
        <stp>HIW US Equity</stp>
        <stp>RR253</stp>
        <stp>-60CQ</stp>
        <stp>2018/3/31</stp>
        <stp>[office reits companeis.xlsx]ReferenceData!R540C6</stp>
        <stp>Per=CQ</stp>
        <stp>Dts=H</stp>
        <stp>Dir=H</stp>
        <stp>Points=60</stp>
        <stp>Sort=R</stp>
        <stp>Days=A</stp>
        <stp>Fill=B</stp>
        <stp>FX=USD</stp>
        <tr r="F540" s="3"/>
      </tp>
      <tp t="s">
        <v>#N/A Authorization</v>
        <stp/>
        <stp>##V3_BDHV12</stp>
        <stp>HIW US Equity</stp>
        <stp>RR263</stp>
        <stp>-60CQ</stp>
        <stp>2018/3/31</stp>
        <stp>[office reits companeis.xlsx]ReferenceData!R500C6</stp>
        <stp>Per=CQ</stp>
        <stp>Dts=H</stp>
        <stp>Dir=H</stp>
        <stp>Points=60</stp>
        <stp>Sort=R</stp>
        <stp>Days=A</stp>
        <stp>Fill=B</stp>
        <stp>FX=USD</stp>
        <tr r="F500" s="3"/>
      </tp>
      <tp t="s">
        <v>#N/A Authorization</v>
        <stp/>
        <stp>##V3_BDHV12</stp>
        <stp>KRC US Equity</stp>
        <stp>RR033</stp>
        <stp>-60CQ</stp>
        <stp>2018/3/31</stp>
        <stp>[office reits companeis.xlsx]ReferenceData!R421C6</stp>
        <stp>Per=CQ</stp>
        <stp>Dts=H</stp>
        <stp>Dir=H</stp>
        <stp>Points=60</stp>
        <stp>Sort=R</stp>
        <stp>Days=A</stp>
        <stp>Fill=B</stp>
        <stp>FX=USD</stp>
        <tr r="F421" s="3"/>
      </tp>
      <tp t="s">
        <v>#N/A Authorization</v>
        <stp/>
        <stp>##V3_BDHV12</stp>
        <stp>KRC US Equity</stp>
        <stp>RR106</stp>
        <stp>-60CQ</stp>
        <stp>2018/3/31</stp>
        <stp>[office reits companeis.xlsx]ReferenceData!R561C6</stp>
        <stp>Per=CQ</stp>
        <stp>Dts=H</stp>
        <stp>Dir=H</stp>
        <stp>Points=60</stp>
        <stp>Sort=R</stp>
        <stp>Days=A</stp>
        <stp>Fill=B</stp>
        <stp>FX=USD</stp>
        <tr r="F561" s="3"/>
      </tp>
      <tp t="s">
        <v>#N/A Authorization</v>
        <stp/>
        <stp>##V3_BDHV12</stp>
        <stp>OFC US Equity</stp>
        <stp>RR009</stp>
        <stp>-60CQ</stp>
        <stp>2018/3/31</stp>
        <stp>[office reits companeis.xlsx]ReferenceData!R379C6</stp>
        <stp>Per=CQ</stp>
        <stp>Dts=H</stp>
        <stp>Dir=H</stp>
        <stp>Points=60</stp>
        <stp>Sort=R</stp>
        <stp>Days=A</stp>
        <stp>Fill=B</stp>
        <stp>FX=USD</stp>
        <tr r="F379" s="3"/>
      </tp>
      <tp t="s">
        <v>#N/A Authorization</v>
        <stp/>
        <stp>##V3_BDHV12</stp>
        <stp>HIW US Equity</stp>
        <stp>RR033</stp>
        <stp>-60CQ</stp>
        <stp>2018/3/31</stp>
        <stp>[office reits companeis.xlsx]ReferenceData!R420C6</stp>
        <stp>Per=CQ</stp>
        <stp>Dts=H</stp>
        <stp>Dir=H</stp>
        <stp>Points=60</stp>
        <stp>Sort=R</stp>
        <stp>Days=A</stp>
        <stp>Fill=B</stp>
        <stp>FX=USD</stp>
        <tr r="F420" s="3"/>
      </tp>
      <tp t="s">
        <v>#N/A Authorization</v>
        <stp/>
        <stp>##V3_BDHV12</stp>
        <stp>HIW US Equity</stp>
        <stp>RR106</stp>
        <stp>-60CQ</stp>
        <stp>2018/3/31</stp>
        <stp>[office reits companeis.xlsx]ReferenceData!R560C6</stp>
        <stp>Per=CQ</stp>
        <stp>Dts=H</stp>
        <stp>Dir=H</stp>
        <stp>Points=60</stp>
        <stp>Sort=R</stp>
        <stp>Days=A</stp>
        <stp>Fill=B</stp>
        <stp>FX=USD</stp>
        <tr r="F560" s="3"/>
      </tp>
      <tp t="s">
        <v>#N/A Authorization</v>
        <stp/>
        <stp>##V3_BDHV12</stp>
        <stp>KRC US Equity</stp>
        <stp>RR253</stp>
        <stp>-60CQ</stp>
        <stp>2018/3/31</stp>
        <stp>[office reits companeis.xlsx]ReferenceData!R541C6</stp>
        <stp>Per=CQ</stp>
        <stp>Dts=H</stp>
        <stp>Dir=H</stp>
        <stp>Points=60</stp>
        <stp>Sort=R</stp>
        <stp>Days=A</stp>
        <stp>Fill=B</stp>
        <stp>FX=USD</stp>
        <tr r="F541" s="3"/>
      </tp>
      <tp t="s">
        <v>#N/A Authorization</v>
        <stp/>
        <stp>##V3_BDHV12</stp>
        <stp>KRC US Equity</stp>
        <stp>RR263</stp>
        <stp>-60CQ</stp>
        <stp>2018/3/31</stp>
        <stp>[office reits companeis.xlsx]ReferenceData!R501C6</stp>
        <stp>Per=CQ</stp>
        <stp>Dts=H</stp>
        <stp>Dir=H</stp>
        <stp>Points=60</stp>
        <stp>Sort=R</stp>
        <stp>Days=A</stp>
        <stp>Fill=B</stp>
        <stp>FX=USD</stp>
        <tr r="F501" s="3"/>
      </tp>
      <tp t="s">
        <v>#N/A Authorization</v>
        <stp/>
        <stp>##V3_BDHV12</stp>
        <stp>HIW US Equity</stp>
        <stp>RR059</stp>
        <stp>-60CQ</stp>
        <stp>2018/3/31</stp>
        <stp>[office reits companeis.xlsx]ReferenceData!R520C6</stp>
        <stp>Per=CQ</stp>
        <stp>Dts=H</stp>
        <stp>Dir=H</stp>
        <stp>Points=60</stp>
        <stp>Sort=R</stp>
        <stp>Days=A</stp>
        <stp>Fill=B</stp>
        <stp>FX=USD</stp>
        <tr r="F520" s="3"/>
      </tp>
      <tp t="s">
        <v>#N/A Authorization</v>
        <stp/>
        <stp>##V3_BDHV12</stp>
        <stp>HIW US Equity</stp>
        <stp>RR008</stp>
        <stp>-60CQ</stp>
        <stp>2018/3/31</stp>
        <stp>[office reits companeis.xlsx]ReferenceData!R550C6</stp>
        <stp>Per=CQ</stp>
        <stp>Dts=H</stp>
        <stp>Dir=H</stp>
        <stp>Points=60</stp>
        <stp>Sort=R</stp>
        <stp>Days=A</stp>
        <stp>Fill=B</stp>
        <stp>FX=USD</stp>
        <tr r="F550" s="3"/>
      </tp>
      <tp t="s">
        <v>#N/A Authorization</v>
        <stp/>
        <stp>##V3_BDHV12</stp>
        <stp>KRC US Equity</stp>
        <stp>RR502</stp>
        <stp>-60CQ</stp>
        <stp>2018/3/31</stp>
        <stp>[office reits companeis.xlsx]ReferenceData!R371C6</stp>
        <stp>Per=CQ</stp>
        <stp>Dts=H</stp>
        <stp>Dir=H</stp>
        <stp>Points=60</stp>
        <stp>Sort=R</stp>
        <stp>Days=A</stp>
        <stp>Fill=B</stp>
        <stp>FX=USD</stp>
        <tr r="F371" s="3"/>
      </tp>
      <tp t="s">
        <v>#N/A Authorization</v>
        <stp/>
        <stp>##V3_BDHV12</stp>
        <stp>SLG US Equity</stp>
        <stp>RR554</stp>
        <stp>-60CQ</stp>
        <stp>2018/3/31</stp>
        <stp>[office reits companeis.xlsx]ReferenceData!R484C6</stp>
        <stp>Per=CQ</stp>
        <stp>Dts=H</stp>
        <stp>Dir=H</stp>
        <stp>Points=60</stp>
        <stp>Sort=R</stp>
        <stp>Days=A</stp>
        <stp>Fill=B</stp>
        <stp>FX=USD</stp>
        <tr r="F484" s="3"/>
      </tp>
      <tp t="s">
        <v>#N/A Authorization</v>
        <stp/>
        <stp>##V3_BDHV12</stp>
        <stp>SLG US Equity</stp>
        <stp>RR551</stp>
        <stp>-60CQ</stp>
        <stp>2018/3/31</stp>
        <stp>[office reits companeis.xlsx]ReferenceData!R434C6</stp>
        <stp>Per=CQ</stp>
        <stp>Dts=H</stp>
        <stp>Dir=H</stp>
        <stp>Points=60</stp>
        <stp>Sort=R</stp>
        <stp>Days=A</stp>
        <stp>Fill=B</stp>
        <stp>FX=USD</stp>
        <tr r="F434" s="3"/>
      </tp>
      <tp t="s">
        <v>#N/A Authorization</v>
        <stp/>
        <stp>##V3_BDHV12</stp>
        <stp>SLG US Equity</stp>
        <stp>RR253</stp>
        <stp>-60CQ</stp>
        <stp>2018/3/31</stp>
        <stp>[office reits companeis.xlsx]ReferenceData!R320C6</stp>
        <stp>Per=CQ</stp>
        <stp>Dts=H</stp>
        <stp>Dir=H</stp>
        <stp>Points=60</stp>
        <stp>Sort=R</stp>
        <stp>Days=A</stp>
        <stp>Fill=B</stp>
        <stp>FX=USD</stp>
        <tr r="F320" s="3"/>
      </tp>
      <tp t="s">
        <v>#N/A Authorization</v>
        <stp/>
        <stp>##V3_BDHV12</stp>
        <stp>VNO US Equity</stp>
        <stp>RR106</stp>
        <stp>-60CQ</stp>
        <stp>2018/3/31</stp>
        <stp>[office reits companeis.xlsx]ReferenceData!R565C6</stp>
        <stp>Per=CQ</stp>
        <stp>Dts=H</stp>
        <stp>Dir=H</stp>
        <stp>Points=60</stp>
        <stp>Sort=R</stp>
        <stp>Days=A</stp>
        <stp>Fill=B</stp>
        <stp>FX=USD</stp>
        <tr r="F565" s="3"/>
      </tp>
      <tp t="s">
        <v>#N/A Authorization</v>
        <stp/>
        <stp>##V3_BDHV12</stp>
        <stp>SLG US Equity</stp>
        <stp>RR553</stp>
        <stp>-60CQ</stp>
        <stp>2018/3/31</stp>
        <stp>[office reits companeis.xlsx]ReferenceData!R474C6</stp>
        <stp>Per=CQ</stp>
        <stp>Dts=H</stp>
        <stp>Dir=H</stp>
        <stp>Points=60</stp>
        <stp>Sort=R</stp>
        <stp>Days=A</stp>
        <stp>Fill=B</stp>
        <stp>FX=USD</stp>
        <tr r="F474" s="3"/>
      </tp>
      <tp t="s">
        <v>#N/A Authorization</v>
        <stp/>
        <stp>##V3_BDHV12</stp>
        <stp>VNO US Equity</stp>
        <stp>RR033</stp>
        <stp>-60CQ</stp>
        <stp>2018/3/31</stp>
        <stp>[office reits companeis.xlsx]ReferenceData!R425C6</stp>
        <stp>Per=CQ</stp>
        <stp>Dts=H</stp>
        <stp>Dir=H</stp>
        <stp>Points=60</stp>
        <stp>Sort=R</stp>
        <stp>Days=A</stp>
        <stp>Fill=B</stp>
        <stp>FX=USD</stp>
        <tr r="F425" s="3"/>
      </tp>
      <tp t="s">
        <v>#N/A Authorization</v>
        <stp/>
        <stp>##V3_BDHV12</stp>
        <stp>VNO US Equity</stp>
        <stp>RR008</stp>
        <stp>-60CQ</stp>
        <stp>2018/3/31</stp>
        <stp>[office reits companeis.xlsx]ReferenceData!R555C6</stp>
        <stp>Per=CQ</stp>
        <stp>Dts=H</stp>
        <stp>Dir=H</stp>
        <stp>Points=60</stp>
        <stp>Sort=R</stp>
        <stp>Days=A</stp>
        <stp>Fill=B</stp>
        <stp>FX=USD</stp>
        <tr r="F555" s="3"/>
      </tp>
      <tp t="s">
        <v>#N/A Authorization</v>
        <stp/>
        <stp>##V3_BDHV12</stp>
        <stp>VNO US Equity</stp>
        <stp>RR059</stp>
        <stp>-60CQ</stp>
        <stp>2018/3/31</stp>
        <stp>[office reits companeis.xlsx]ReferenceData!R525C6</stp>
        <stp>Per=CQ</stp>
        <stp>Dts=H</stp>
        <stp>Dir=H</stp>
        <stp>Points=60</stp>
        <stp>Sort=R</stp>
        <stp>Days=A</stp>
        <stp>Fill=B</stp>
        <stp>FX=USD</stp>
        <tr r="F525" s="3"/>
      </tp>
      <tp t="s">
        <v>#N/A Authorization</v>
        <stp/>
        <stp>##V3_BDHV12</stp>
        <stp>PDM US Equity</stp>
        <stp>RR009</stp>
        <stp>-60CQ</stp>
        <stp>2018/3/31</stp>
        <stp>[office reits companeis.xlsx]ReferenceData!R383C6</stp>
        <stp>Per=CQ</stp>
        <stp>Dts=H</stp>
        <stp>Dir=H</stp>
        <stp>Points=60</stp>
        <stp>Sort=R</stp>
        <stp>Days=A</stp>
        <stp>Fill=B</stp>
        <stp>FX=USD</stp>
        <tr r="F383" s="3"/>
      </tp>
      <tp t="s">
        <v>#N/A Authorization</v>
        <stp/>
        <stp>##V3_BDHV12</stp>
        <stp>SLG US Equity</stp>
        <stp>RR009</stp>
        <stp>-60CQ</stp>
        <stp>2018/3/31</stp>
        <stp>[office reits companeis.xlsx]ReferenceData!R384C6</stp>
        <stp>Per=CQ</stp>
        <stp>Dts=H</stp>
        <stp>Dir=H</stp>
        <stp>Points=60</stp>
        <stp>Sort=R</stp>
        <stp>Days=A</stp>
        <stp>Fill=B</stp>
        <stp>FX=USD</stp>
        <tr r="F384" s="3"/>
      </tp>
      <tp t="s">
        <v>#N/A Authorization</v>
        <stp/>
        <stp>##V3_BDHV12</stp>
        <stp>VNO US Equity</stp>
        <stp>RR502</stp>
        <stp>-60CQ</stp>
        <stp>2018/3/31</stp>
        <stp>[office reits companeis.xlsx]ReferenceData!R375C6</stp>
        <stp>Per=CQ</stp>
        <stp>Dts=H</stp>
        <stp>Dir=H</stp>
        <stp>Points=60</stp>
        <stp>Sort=R</stp>
        <stp>Days=A</stp>
        <stp>Fill=B</stp>
        <stp>FX=USD</stp>
        <tr r="F375" s="3"/>
      </tp>
      <tp t="s">
        <v>#N/A Authorization</v>
        <stp/>
        <stp>##V3_BDHV12</stp>
        <stp>PDM US Equity</stp>
        <stp>RR551</stp>
        <stp>-60CQ</stp>
        <stp>2018/3/31</stp>
        <stp>[office reits companeis.xlsx]ReferenceData!R433C6</stp>
        <stp>Per=CQ</stp>
        <stp>Dts=H</stp>
        <stp>Dir=H</stp>
        <stp>Points=60</stp>
        <stp>Sort=R</stp>
        <stp>Days=A</stp>
        <stp>Fill=B</stp>
        <stp>FX=USD</stp>
        <tr r="F433" s="3"/>
      </tp>
      <tp t="s">
        <v>#N/A Authorization</v>
        <stp/>
        <stp>##V3_BDHV12</stp>
        <stp>PDM US Equity</stp>
        <stp>RR253</stp>
        <stp>-60CQ</stp>
        <stp>2018/3/31</stp>
        <stp>[office reits companeis.xlsx]ReferenceData!R317C6</stp>
        <stp>Per=CQ</stp>
        <stp>Dts=H</stp>
        <stp>Dir=H</stp>
        <stp>Points=60</stp>
        <stp>Sort=R</stp>
        <stp>Days=A</stp>
        <stp>Fill=B</stp>
        <stp>FX=USD</stp>
        <tr r="F317" s="3"/>
      </tp>
      <tp t="s">
        <v>#N/A Authorization</v>
        <stp/>
        <stp>##V3_BDHV12</stp>
        <stp>PDM US Equity</stp>
        <stp>RR553</stp>
        <stp>-60CQ</stp>
        <stp>2018/3/31</stp>
        <stp>[office reits companeis.xlsx]ReferenceData!R473C6</stp>
        <stp>Per=CQ</stp>
        <stp>Dts=H</stp>
        <stp>Dir=H</stp>
        <stp>Points=60</stp>
        <stp>Sort=R</stp>
        <stp>Days=A</stp>
        <stp>Fill=B</stp>
        <stp>FX=USD</stp>
        <tr r="F473" s="3"/>
      </tp>
      <tp t="s">
        <v>#N/A Authorization</v>
        <stp/>
        <stp>##V3_BDHV12</stp>
        <stp>VNO US Equity</stp>
        <stp>RR263</stp>
        <stp>-60CQ</stp>
        <stp>2018/3/31</stp>
        <stp>[office reits companeis.xlsx]ReferenceData!R505C6</stp>
        <stp>Per=CQ</stp>
        <stp>Dts=H</stp>
        <stp>Dir=H</stp>
        <stp>Points=60</stp>
        <stp>Sort=R</stp>
        <stp>Days=A</stp>
        <stp>Fill=B</stp>
        <stp>FX=USD</stp>
        <tr r="F505" s="3"/>
      </tp>
      <tp t="s">
        <v>#N/A Authorization</v>
        <stp/>
        <stp>##V3_BDHV12</stp>
        <stp>PDM US Equity</stp>
        <stp>RR554</stp>
        <stp>-60CQ</stp>
        <stp>2018/3/31</stp>
        <stp>[office reits companeis.xlsx]ReferenceData!R483C6</stp>
        <stp>Per=CQ</stp>
        <stp>Dts=H</stp>
        <stp>Dir=H</stp>
        <stp>Points=60</stp>
        <stp>Sort=R</stp>
        <stp>Days=A</stp>
        <stp>Fill=B</stp>
        <stp>FX=USD</stp>
        <tr r="F483" s="3"/>
      </tp>
      <tp t="s">
        <v>#N/A Authorization</v>
        <stp/>
        <stp>##V3_BDHV12</stp>
        <stp>VNO US Equity</stp>
        <stp>RR253</stp>
        <stp>-60CQ</stp>
        <stp>2018/3/31</stp>
        <stp>[office reits companeis.xlsx]ReferenceData!R545C6</stp>
        <stp>Per=CQ</stp>
        <stp>Dts=H</stp>
        <stp>Dir=H</stp>
        <stp>Points=60</stp>
        <stp>Sort=R</stp>
        <stp>Days=A</stp>
        <stp>Fill=B</stp>
        <stp>FX=USD</stp>
        <tr r="F545" s="3"/>
      </tp>
      <tp t="s">
        <v>#N/A Authorization</v>
        <stp/>
        <stp>##V3_BDHV12</stp>
        <stp>PDM US Equity</stp>
        <stp>RR502</stp>
        <stp>-60CQ</stp>
        <stp>2018/3/31</stp>
        <stp>[office reits companeis.xlsx]ReferenceData!R373C6</stp>
        <stp>Per=CQ</stp>
        <stp>Dts=H</stp>
        <stp>Dir=H</stp>
        <stp>Points=60</stp>
        <stp>Sort=R</stp>
        <stp>Days=A</stp>
        <stp>Fill=B</stp>
        <stp>FX=USD</stp>
        <tr r="F373" s="3"/>
      </tp>
      <tp t="s">
        <v>#N/A Authorization</v>
        <stp/>
        <stp>##V3_BDHV12</stp>
        <stp>SLG US Equity</stp>
        <stp>RR059</stp>
        <stp>-60CQ</stp>
        <stp>2018/3/31</stp>
        <stp>[office reits companeis.xlsx]ReferenceData!R524C6</stp>
        <stp>Per=CQ</stp>
        <stp>Dts=H</stp>
        <stp>Dir=H</stp>
        <stp>Points=60</stp>
        <stp>Sort=R</stp>
        <stp>Days=A</stp>
        <stp>Fill=B</stp>
        <stp>FX=USD</stp>
        <tr r="F524" s="3"/>
      </tp>
      <tp t="s">
        <v>#N/A Authorization</v>
        <stp/>
        <stp>##V3_BDHV12</stp>
        <stp>SLG US Equity</stp>
        <stp>RR008</stp>
        <stp>-60CQ</stp>
        <stp>2018/3/31</stp>
        <stp>[office reits companeis.xlsx]ReferenceData!R554C6</stp>
        <stp>Per=CQ</stp>
        <stp>Dts=H</stp>
        <stp>Dir=H</stp>
        <stp>Points=60</stp>
        <stp>Sort=R</stp>
        <stp>Days=A</stp>
        <stp>Fill=B</stp>
        <stp>FX=USD</stp>
        <tr r="F554" s="3"/>
      </tp>
      <tp t="s">
        <v>#N/A Authorization</v>
        <stp/>
        <stp>##V3_BDHV12</stp>
        <stp>PDM US Equity</stp>
        <stp>RR263</stp>
        <stp>-60CQ</stp>
        <stp>2018/3/31</stp>
        <stp>[office reits companeis.xlsx]ReferenceData!R503C6</stp>
        <stp>Per=CQ</stp>
        <stp>Dts=H</stp>
        <stp>Dir=H</stp>
        <stp>Points=60</stp>
        <stp>Sort=R</stp>
        <stp>Days=A</stp>
        <stp>Fill=B</stp>
        <stp>FX=USD</stp>
        <tr r="F503" s="3"/>
      </tp>
      <tp t="s">
        <v>#N/A Authorization</v>
        <stp/>
        <stp>##V3_BDHV12</stp>
        <stp>VNO US Equity</stp>
        <stp>RR554</stp>
        <stp>-60CQ</stp>
        <stp>2018/3/31</stp>
        <stp>[office reits companeis.xlsx]ReferenceData!R485C6</stp>
        <stp>Per=CQ</stp>
        <stp>Dts=H</stp>
        <stp>Dir=H</stp>
        <stp>Points=60</stp>
        <stp>Sort=R</stp>
        <stp>Days=A</stp>
        <stp>Fill=B</stp>
        <stp>FX=USD</stp>
        <tr r="F485" s="3"/>
      </tp>
      <tp t="s">
        <v>#N/A Authorization</v>
        <stp/>
        <stp>##V3_BDHV12</stp>
        <stp>PDM US Equity</stp>
        <stp>RR253</stp>
        <stp>-60CQ</stp>
        <stp>2018/3/31</stp>
        <stp>[office reits companeis.xlsx]ReferenceData!R543C6</stp>
        <stp>Per=CQ</stp>
        <stp>Dts=H</stp>
        <stp>Dir=H</stp>
        <stp>Points=60</stp>
        <stp>Sort=R</stp>
        <stp>Days=A</stp>
        <stp>Fill=B</stp>
        <stp>FX=USD</stp>
        <tr r="F543" s="3"/>
      </tp>
      <tp t="s">
        <v>#N/A Authorization</v>
        <stp/>
        <stp>##V3_BDHV12</stp>
        <stp>SLG US Equity</stp>
        <stp>RR106</stp>
        <stp>-60CQ</stp>
        <stp>2018/3/31</stp>
        <stp>[office reits companeis.xlsx]ReferenceData!R564C6</stp>
        <stp>Per=CQ</stp>
        <stp>Dts=H</stp>
        <stp>Dir=H</stp>
        <stp>Points=60</stp>
        <stp>Sort=R</stp>
        <stp>Days=A</stp>
        <stp>Fill=B</stp>
        <stp>FX=USD</stp>
        <tr r="F564" s="3"/>
      </tp>
      <tp t="s">
        <v>#N/A Authorization</v>
        <stp/>
        <stp>##V3_BDHV12</stp>
        <stp>VNO US Equity</stp>
        <stp>RR551</stp>
        <stp>-60CQ</stp>
        <stp>2018/3/31</stp>
        <stp>[office reits companeis.xlsx]ReferenceData!R435C6</stp>
        <stp>Per=CQ</stp>
        <stp>Dts=H</stp>
        <stp>Dir=H</stp>
        <stp>Points=60</stp>
        <stp>Sort=R</stp>
        <stp>Days=A</stp>
        <stp>Fill=B</stp>
        <stp>FX=USD</stp>
        <tr r="F435" s="3"/>
      </tp>
      <tp t="s">
        <v>#N/A Authorization</v>
        <stp/>
        <stp>##V3_BDHV12</stp>
        <stp>VNO US Equity</stp>
        <stp>RR253</stp>
        <stp>-60CQ</stp>
        <stp>2018/3/31</stp>
        <stp>[office reits companeis.xlsx]ReferenceData!R323C6</stp>
        <stp>Per=CQ</stp>
        <stp>Dts=H</stp>
        <stp>Dir=H</stp>
        <stp>Points=60</stp>
        <stp>Sort=R</stp>
        <stp>Days=A</stp>
        <stp>Fill=B</stp>
        <stp>FX=USD</stp>
        <tr r="F323" s="3"/>
      </tp>
      <tp t="s">
        <v>#N/A Authorization</v>
        <stp/>
        <stp>##V3_BDHV12</stp>
        <stp>VNO US Equity</stp>
        <stp>RR553</stp>
        <stp>-60CQ</stp>
        <stp>2018/3/31</stp>
        <stp>[office reits companeis.xlsx]ReferenceData!R475C6</stp>
        <stp>Per=CQ</stp>
        <stp>Dts=H</stp>
        <stp>Dir=H</stp>
        <stp>Points=60</stp>
        <stp>Sort=R</stp>
        <stp>Days=A</stp>
        <stp>Fill=B</stp>
        <stp>FX=USD</stp>
        <tr r="F475" s="3"/>
      </tp>
      <tp t="s">
        <v>#N/A Authorization</v>
        <stp/>
        <stp>##V3_BDHV12</stp>
        <stp>SLG US Equity</stp>
        <stp>RR033</stp>
        <stp>-60CQ</stp>
        <stp>2018/3/31</stp>
        <stp>[office reits companeis.xlsx]ReferenceData!R424C6</stp>
        <stp>Per=CQ</stp>
        <stp>Dts=H</stp>
        <stp>Dir=H</stp>
        <stp>Points=60</stp>
        <stp>Sort=R</stp>
        <stp>Days=A</stp>
        <stp>Fill=B</stp>
        <stp>FX=USD</stp>
        <tr r="F424" s="3"/>
      </tp>
      <tp t="s">
        <v>#N/A Authorization</v>
        <stp/>
        <stp>##V3_BDHV12</stp>
        <stp>PDM US Equity</stp>
        <stp>RR106</stp>
        <stp>-60CQ</stp>
        <stp>2018/3/31</stp>
        <stp>[office reits companeis.xlsx]ReferenceData!R563C6</stp>
        <stp>Per=CQ</stp>
        <stp>Dts=H</stp>
        <stp>Dir=H</stp>
        <stp>Points=60</stp>
        <stp>Sort=R</stp>
        <stp>Days=A</stp>
        <stp>Fill=B</stp>
        <stp>FX=USD</stp>
        <tr r="F563" s="3"/>
      </tp>
      <tp t="s">
        <v>#N/A Authorization</v>
        <stp/>
        <stp>##V3_BDHV12</stp>
        <stp>PDM US Equity</stp>
        <stp>RR033</stp>
        <stp>-60CQ</stp>
        <stp>2018/3/31</stp>
        <stp>[office reits companeis.xlsx]ReferenceData!R423C6</stp>
        <stp>Per=CQ</stp>
        <stp>Dts=H</stp>
        <stp>Dir=H</stp>
        <stp>Points=60</stp>
        <stp>Sort=R</stp>
        <stp>Days=A</stp>
        <stp>Fill=B</stp>
        <stp>FX=USD</stp>
        <tr r="F423" s="3"/>
      </tp>
      <tp t="s">
        <v>#N/A Authorization</v>
        <stp/>
        <stp>##V3_BDHV12</stp>
        <stp>SLG US Equity</stp>
        <stp>RR263</stp>
        <stp>-60CQ</stp>
        <stp>2018/3/31</stp>
        <stp>[office reits companeis.xlsx]ReferenceData!R504C6</stp>
        <stp>Per=CQ</stp>
        <stp>Dts=H</stp>
        <stp>Dir=H</stp>
        <stp>Points=60</stp>
        <stp>Sort=R</stp>
        <stp>Days=A</stp>
        <stp>Fill=B</stp>
        <stp>FX=USD</stp>
        <tr r="F504" s="3"/>
      </tp>
      <tp t="s">
        <v>#N/A Authorization</v>
        <stp/>
        <stp>##V3_BDHV12</stp>
        <stp>SLG US Equity</stp>
        <stp>RR253</stp>
        <stp>-60CQ</stp>
        <stp>2018/3/31</stp>
        <stp>[office reits companeis.xlsx]ReferenceData!R544C6</stp>
        <stp>Per=CQ</stp>
        <stp>Dts=H</stp>
        <stp>Dir=H</stp>
        <stp>Points=60</stp>
        <stp>Sort=R</stp>
        <stp>Days=A</stp>
        <stp>Fill=B</stp>
        <stp>FX=USD</stp>
        <tr r="F544" s="3"/>
      </tp>
      <tp t="s">
        <v>#N/A Authorization</v>
        <stp/>
        <stp>##V3_BDHV12</stp>
        <stp>PDM US Equity</stp>
        <stp>RR059</stp>
        <stp>-60CQ</stp>
        <stp>2018/3/31</stp>
        <stp>[office reits companeis.xlsx]ReferenceData!R523C6</stp>
        <stp>Per=CQ</stp>
        <stp>Dts=H</stp>
        <stp>Dir=H</stp>
        <stp>Points=60</stp>
        <stp>Sort=R</stp>
        <stp>Days=A</stp>
        <stp>Fill=B</stp>
        <stp>FX=USD</stp>
        <tr r="F523" s="3"/>
      </tp>
      <tp t="s">
        <v>#N/A Authorization</v>
        <stp/>
        <stp>##V3_BDHV12</stp>
        <stp>PDM US Equity</stp>
        <stp>RR008</stp>
        <stp>-60CQ</stp>
        <stp>2018/3/31</stp>
        <stp>[office reits companeis.xlsx]ReferenceData!R553C6</stp>
        <stp>Per=CQ</stp>
        <stp>Dts=H</stp>
        <stp>Dir=H</stp>
        <stp>Points=60</stp>
        <stp>Sort=R</stp>
        <stp>Days=A</stp>
        <stp>Fill=B</stp>
        <stp>FX=USD</stp>
        <tr r="F553" s="3"/>
      </tp>
      <tp t="s">
        <v>#N/A Authorization</v>
        <stp/>
        <stp>##V3_BDHV12</stp>
        <stp>VNO US Equity</stp>
        <stp>RR009</stp>
        <stp>-60CQ</stp>
        <stp>2018/3/31</stp>
        <stp>[office reits companeis.xlsx]ReferenceData!R385C6</stp>
        <stp>Per=CQ</stp>
        <stp>Dts=H</stp>
        <stp>Dir=H</stp>
        <stp>Points=60</stp>
        <stp>Sort=R</stp>
        <stp>Days=A</stp>
        <stp>Fill=B</stp>
        <stp>FX=USD</stp>
        <tr r="F385" s="3"/>
      </tp>
      <tp t="s">
        <v>#N/A Authorization</v>
        <stp/>
        <stp>##V3_BDHV12</stp>
        <stp>SLG US Equity</stp>
        <stp>RR502</stp>
        <stp>-60CQ</stp>
        <stp>2018/3/31</stp>
        <stp>[office reits companeis.xlsx]ReferenceData!R374C6</stp>
        <stp>Per=CQ</stp>
        <stp>Dts=H</stp>
        <stp>Dir=H</stp>
        <stp>Points=60</stp>
        <stp>Sort=R</stp>
        <stp>Days=A</stp>
        <stp>Fill=B</stp>
        <stp>FX=USD</stp>
        <tr r="F374" s="3"/>
      </tp>
      <tp t="s">
        <v>#N/A Authorization</v>
        <stp/>
        <stp>##V3_BDHV12</stp>
        <stp>OFC US Equity</stp>
        <stp>RX902</stp>
        <stp>-60CQ</stp>
        <stp>2018/3/31</stp>
        <stp>[office reits companeis.xlsx]ReferenceData!R459C6</stp>
        <stp>Per=CQ</stp>
        <stp>Dts=H</stp>
        <stp>Dir=H</stp>
        <stp>Points=60</stp>
        <stp>Sort=R</stp>
        <stp>Days=A</stp>
        <stp>Fill=B</stp>
        <stp>FX=USD</stp>
        <tr r="F459" s="3"/>
      </tp>
      <tp t="s">
        <v>#N/A Authorization</v>
        <stp/>
        <stp>##V3_BDHV12</stp>
        <stp>OFC US Equity</stp>
        <stp>RX951</stp>
        <stp>-60CQ</stp>
        <stp>2018/3/31</stp>
        <stp>[office reits companeis.xlsx]ReferenceData!R509C6</stp>
        <stp>Per=CQ</stp>
        <stp>Dts=H</stp>
        <stp>Dir=H</stp>
        <stp>Points=60</stp>
        <stp>Sort=R</stp>
        <stp>Days=A</stp>
        <stp>Fill=B</stp>
        <stp>FX=USD</stp>
        <tr r="F509" s="3"/>
      </tp>
      <tp t="s">
        <v>#N/A Authorization</v>
        <stp/>
        <stp>##V3_BDHV12</stp>
        <stp>KRC US Equity</stp>
        <stp>RX902</stp>
        <stp>-60CQ</stp>
        <stp>2018/3/31</stp>
        <stp>[office reits companeis.xlsx]ReferenceData!R461C6</stp>
        <stp>Per=CQ</stp>
        <stp>Dts=H</stp>
        <stp>Dir=H</stp>
        <stp>Points=60</stp>
        <stp>Sort=R</stp>
        <stp>Days=A</stp>
        <stp>Fill=B</stp>
        <stp>FX=USD</stp>
        <tr r="F461" s="3"/>
      </tp>
      <tp t="s">
        <v>#N/A Authorization</v>
        <stp/>
        <stp>##V3_BDHV12</stp>
        <stp>KRC US Equity</stp>
        <stp>RX951</stp>
        <stp>-60CQ</stp>
        <stp>2018/3/31</stp>
        <stp>[office reits companeis.xlsx]ReferenceData!R511C6</stp>
        <stp>Per=CQ</stp>
        <stp>Dts=H</stp>
        <stp>Dir=H</stp>
        <stp>Points=60</stp>
        <stp>Sort=R</stp>
        <stp>Days=A</stp>
        <stp>Fill=B</stp>
        <stp>FX=USD</stp>
        <tr r="F511" s="3"/>
      </tp>
      <tp t="s">
        <v>#N/A Authorization</v>
        <stp/>
        <stp>##V3_BDHV12</stp>
        <stp>BDN US Equity</stp>
        <stp>RX225</stp>
        <stp>-60CQ</stp>
        <stp>2018/3/31</stp>
        <stp>[office reits companeis.xlsx]ReferenceData!R447C6</stp>
        <stp>Per=CQ</stp>
        <stp>Dts=H</stp>
        <stp>Dir=H</stp>
        <stp>Points=60</stp>
        <stp>Sort=R</stp>
        <stp>Days=A</stp>
        <stp>Fill=B</stp>
        <stp>FX=USD</stp>
        <tr r="F447" s="3"/>
      </tp>
      <tp t="s">
        <v>#N/A Authorization</v>
        <stp/>
        <stp>##V3_BDHV12</stp>
        <stp>HIW US Equity</stp>
        <stp>RX951</stp>
        <stp>-60CQ</stp>
        <stp>2018/3/31</stp>
        <stp>[office reits companeis.xlsx]ReferenceData!R510C6</stp>
        <stp>Per=CQ</stp>
        <stp>Dts=H</stp>
        <stp>Dir=H</stp>
        <stp>Points=60</stp>
        <stp>Sort=R</stp>
        <stp>Days=A</stp>
        <stp>Fill=B</stp>
        <stp>FX=USD</stp>
        <tr r="F510" s="3"/>
      </tp>
      <tp t="s">
        <v>#N/A Authorization</v>
        <stp/>
        <stp>##V3_BDHV12</stp>
        <stp>BXP US Equity</stp>
        <stp>RX225</stp>
        <stp>-60CQ</stp>
        <stp>2018/3/31</stp>
        <stp>[office reits companeis.xlsx]ReferenceData!R446C6</stp>
        <stp>Per=CQ</stp>
        <stp>Dts=H</stp>
        <stp>Dir=H</stp>
        <stp>Points=60</stp>
        <stp>Sort=R</stp>
        <stp>Days=A</stp>
        <stp>Fill=B</stp>
        <stp>FX=USD</stp>
        <tr r="F446" s="3"/>
      </tp>
      <tp t="s">
        <v>#N/A Authorization</v>
        <stp/>
        <stp>##V3_BDHV12</stp>
        <stp>CLI US Equity</stp>
        <stp>RX225</stp>
        <stp>-60CQ</stp>
        <stp>2018/3/31</stp>
        <stp>[office reits companeis.xlsx]ReferenceData!R452C6</stp>
        <stp>Per=CQ</stp>
        <stp>Dts=H</stp>
        <stp>Dir=H</stp>
        <stp>Points=60</stp>
        <stp>Sort=R</stp>
        <stp>Days=A</stp>
        <stp>Fill=B</stp>
        <stp>FX=USD</stp>
        <tr r="F452" s="3"/>
      </tp>
      <tp t="s">
        <v>#N/A Authorization</v>
        <stp/>
        <stp>##V3_BDHV12</stp>
        <stp>HIW US Equity</stp>
        <stp>RX902</stp>
        <stp>-60CQ</stp>
        <stp>2018/3/31</stp>
        <stp>[office reits companeis.xlsx]ReferenceData!R460C6</stp>
        <stp>Per=CQ</stp>
        <stp>Dts=H</stp>
        <stp>Dir=H</stp>
        <stp>Points=60</stp>
        <stp>Sort=R</stp>
        <stp>Days=A</stp>
        <stp>Fill=B</stp>
        <stp>FX=USD</stp>
        <tr r="F460" s="3"/>
      </tp>
      <tp t="s">
        <v>#N/A Authorization</v>
        <stp/>
        <stp>##V3_BDHV12</stp>
        <stp>CXP US Equity</stp>
        <stp>RX225</stp>
        <stp>-60CQ</stp>
        <stp>2018/3/31</stp>
        <stp>[office reits companeis.xlsx]ReferenceData!R448C6</stp>
        <stp>Per=CQ</stp>
        <stp>Dts=H</stp>
        <stp>Dir=H</stp>
        <stp>Points=60</stp>
        <stp>Sort=R</stp>
        <stp>Days=A</stp>
        <stp>Fill=B</stp>
        <stp>FX=USD</stp>
        <tr r="F448" s="3"/>
      </tp>
      <tp t="s">
        <v>#N/A Authorization</v>
        <stp/>
        <stp>##V3_BDHV12</stp>
        <stp>OFC US Equity</stp>
        <stp>RX225</stp>
        <stp>-60CQ</stp>
        <stp>2018/3/31</stp>
        <stp>[office reits companeis.xlsx]ReferenceData!R449C6</stp>
        <stp>Per=CQ</stp>
        <stp>Dts=H</stp>
        <stp>Dir=H</stp>
        <stp>Points=60</stp>
        <stp>Sort=R</stp>
        <stp>Days=A</stp>
        <stp>Fill=B</stp>
        <stp>FX=USD</stp>
        <tr r="F449" s="3"/>
      </tp>
      <tp t="s">
        <v>#N/A Authorization</v>
        <stp/>
        <stp>##V3_BDHV12</stp>
        <stp>BDN US Equity</stp>
        <stp>RX951</stp>
        <stp>-60CQ</stp>
        <stp>2018/3/31</stp>
        <stp>[office reits companeis.xlsx]ReferenceData!R507C6</stp>
        <stp>Per=CQ</stp>
        <stp>Dts=H</stp>
        <stp>Dir=H</stp>
        <stp>Points=60</stp>
        <stp>Sort=R</stp>
        <stp>Days=A</stp>
        <stp>Fill=B</stp>
        <stp>FX=USD</stp>
        <tr r="F507" s="3"/>
      </tp>
      <tp t="s">
        <v>#N/A Authorization</v>
        <stp/>
        <stp>##V3_BDHV12</stp>
        <stp>CLI US Equity</stp>
        <stp>RX902</stp>
        <stp>-60CQ</stp>
        <stp>2018/3/31</stp>
        <stp>[office reits companeis.xlsx]ReferenceData!R462C6</stp>
        <stp>Per=CQ</stp>
        <stp>Dts=H</stp>
        <stp>Dir=H</stp>
        <stp>Points=60</stp>
        <stp>Sort=R</stp>
        <stp>Days=A</stp>
        <stp>Fill=B</stp>
        <stp>FX=USD</stp>
        <tr r="F462" s="3"/>
      </tp>
      <tp t="s">
        <v>#N/A Authorization</v>
        <stp/>
        <stp>##V3_BDHV12</stp>
        <stp>HIW US Equity</stp>
        <stp>RX225</stp>
        <stp>-60CQ</stp>
        <stp>2018/3/31</stp>
        <stp>[office reits companeis.xlsx]ReferenceData!R450C6</stp>
        <stp>Per=CQ</stp>
        <stp>Dts=H</stp>
        <stp>Dir=H</stp>
        <stp>Points=60</stp>
        <stp>Sort=R</stp>
        <stp>Days=A</stp>
        <stp>Fill=B</stp>
        <stp>FX=USD</stp>
        <tr r="F450" s="3"/>
      </tp>
      <tp t="s">
        <v>#N/A Authorization</v>
        <stp/>
        <stp>##V3_BDHV12</stp>
        <stp>BXP US Equity</stp>
        <stp>RX951</stp>
        <stp>-60CQ</stp>
        <stp>2018/3/31</stp>
        <stp>[office reits companeis.xlsx]ReferenceData!R506C6</stp>
        <stp>Per=CQ</stp>
        <stp>Dts=H</stp>
        <stp>Dir=H</stp>
        <stp>Points=60</stp>
        <stp>Sort=R</stp>
        <stp>Days=A</stp>
        <stp>Fill=B</stp>
        <stp>FX=USD</stp>
        <tr r="F506" s="3"/>
      </tp>
      <tp t="s">
        <v>#N/A Authorization</v>
        <stp/>
        <stp>##V3_BDHV12</stp>
        <stp>CXP US Equity</stp>
        <stp>RX902</stp>
        <stp>-60CQ</stp>
        <stp>2018/3/31</stp>
        <stp>[office reits companeis.xlsx]ReferenceData!R458C6</stp>
        <stp>Per=CQ</stp>
        <stp>Dts=H</stp>
        <stp>Dir=H</stp>
        <stp>Points=60</stp>
        <stp>Sort=R</stp>
        <stp>Days=A</stp>
        <stp>Fill=B</stp>
        <stp>FX=USD</stp>
        <tr r="F458" s="3"/>
      </tp>
      <tp t="s">
        <v>#N/A Authorization</v>
        <stp/>
        <stp>##V3_BDHV12</stp>
        <stp>BDN US Equity</stp>
        <stp>RX902</stp>
        <stp>-60CQ</stp>
        <stp>2018/3/31</stp>
        <stp>[office reits companeis.xlsx]ReferenceData!R457C6</stp>
        <stp>Per=CQ</stp>
        <stp>Dts=H</stp>
        <stp>Dir=H</stp>
        <stp>Points=60</stp>
        <stp>Sort=R</stp>
        <stp>Days=A</stp>
        <stp>Fill=B</stp>
        <stp>FX=USD</stp>
        <tr r="F457" s="3"/>
      </tp>
      <tp t="s">
        <v>#N/A Authorization</v>
        <stp/>
        <stp>##V3_BDHV12</stp>
        <stp>CLI US Equity</stp>
        <stp>RX951</stp>
        <stp>-60CQ</stp>
        <stp>2018/3/31</stp>
        <stp>[office reits companeis.xlsx]ReferenceData!R512C6</stp>
        <stp>Per=CQ</stp>
        <stp>Dts=H</stp>
        <stp>Dir=H</stp>
        <stp>Points=60</stp>
        <stp>Sort=R</stp>
        <stp>Days=A</stp>
        <stp>Fill=B</stp>
        <stp>FX=USD</stp>
        <tr r="F512" s="3"/>
      </tp>
      <tp t="s">
        <v>#N/A Authorization</v>
        <stp/>
        <stp>##V3_BDHV12</stp>
        <stp>BXP US Equity</stp>
        <stp>RX902</stp>
        <stp>-60CQ</stp>
        <stp>2018/3/31</stp>
        <stp>[office reits companeis.xlsx]ReferenceData!R456C6</stp>
        <stp>Per=CQ</stp>
        <stp>Dts=H</stp>
        <stp>Dir=H</stp>
        <stp>Points=60</stp>
        <stp>Sort=R</stp>
        <stp>Days=A</stp>
        <stp>Fill=B</stp>
        <stp>FX=USD</stp>
        <tr r="F456" s="3"/>
      </tp>
      <tp t="s">
        <v>#N/A Authorization</v>
        <stp/>
        <stp>##V3_BDHV12</stp>
        <stp>CXP US Equity</stp>
        <stp>RX951</stp>
        <stp>-60CQ</stp>
        <stp>2018/3/31</stp>
        <stp>[office reits companeis.xlsx]ReferenceData!R508C6</stp>
        <stp>Per=CQ</stp>
        <stp>Dts=H</stp>
        <stp>Dir=H</stp>
        <stp>Points=60</stp>
        <stp>Sort=R</stp>
        <stp>Days=A</stp>
        <stp>Fill=B</stp>
        <stp>FX=USD</stp>
        <tr r="F508" s="3"/>
      </tp>
      <tp t="s">
        <v>#N/A Authorization</v>
        <stp/>
        <stp>##V3_BDHV12</stp>
        <stp>KRC US Equity</stp>
        <stp>RX225</stp>
        <stp>-60CQ</stp>
        <stp>2018/3/31</stp>
        <stp>[office reits companeis.xlsx]ReferenceData!R451C6</stp>
        <stp>Per=CQ</stp>
        <stp>Dts=H</stp>
        <stp>Dir=H</stp>
        <stp>Points=60</stp>
        <stp>Sort=R</stp>
        <stp>Days=A</stp>
        <stp>Fill=B</stp>
        <stp>FX=USD</stp>
        <tr r="F451" s="3"/>
      </tp>
      <tp t="s">
        <v>#N/A Authorization</v>
        <stp/>
        <stp>##V3_BDHV12</stp>
        <stp>VNO US Equity</stp>
        <stp>RX225</stp>
        <stp>-60CQ</stp>
        <stp>2018/3/31</stp>
        <stp>[office reits companeis.xlsx]ReferenceData!R455C6</stp>
        <stp>Per=CQ</stp>
        <stp>Dts=H</stp>
        <stp>Dir=H</stp>
        <stp>Points=60</stp>
        <stp>Sort=R</stp>
        <stp>Days=A</stp>
        <stp>Fill=B</stp>
        <stp>FX=USD</stp>
        <tr r="F455" s="3"/>
      </tp>
      <tp t="s">
        <v>#N/A Authorization</v>
        <stp/>
        <stp>##V3_BDHV12</stp>
        <stp>PDM US Equity</stp>
        <stp>RX225</stp>
        <stp>-60CQ</stp>
        <stp>2018/3/31</stp>
        <stp>[office reits companeis.xlsx]ReferenceData!R453C6</stp>
        <stp>Per=CQ</stp>
        <stp>Dts=H</stp>
        <stp>Dir=H</stp>
        <stp>Points=60</stp>
        <stp>Sort=R</stp>
        <stp>Days=A</stp>
        <stp>Fill=B</stp>
        <stp>FX=USD</stp>
        <tr r="F453" s="3"/>
      </tp>
      <tp t="s">
        <v>#N/A Authorization</v>
        <stp/>
        <stp>##V3_BDHV12</stp>
        <stp>SLG US Equity</stp>
        <stp>RX225</stp>
        <stp>-60CQ</stp>
        <stp>2018/3/31</stp>
        <stp>[office reits companeis.xlsx]ReferenceData!R454C6</stp>
        <stp>Per=CQ</stp>
        <stp>Dts=H</stp>
        <stp>Dir=H</stp>
        <stp>Points=60</stp>
        <stp>Sort=R</stp>
        <stp>Days=A</stp>
        <stp>Fill=B</stp>
        <stp>FX=USD</stp>
        <tr r="F454" s="3"/>
      </tp>
      <tp t="s">
        <v>#N/A Authorization</v>
        <stp/>
        <stp>##V3_BDHV12</stp>
        <stp>VNO US Equity</stp>
        <stp>RX951</stp>
        <stp>-60CQ</stp>
        <stp>2018/3/31</stp>
        <stp>[office reits companeis.xlsx]ReferenceData!R515C6</stp>
        <stp>Per=CQ</stp>
        <stp>Dts=H</stp>
        <stp>Dir=H</stp>
        <stp>Points=60</stp>
        <stp>Sort=R</stp>
        <stp>Days=A</stp>
        <stp>Fill=B</stp>
        <stp>FX=USD</stp>
        <tr r="F515" s="3"/>
      </tp>
      <tp t="s">
        <v>#N/A Authorization</v>
        <stp/>
        <stp>##V3_BDHV12</stp>
        <stp>VNO US Equity</stp>
        <stp>RX902</stp>
        <stp>-60CQ</stp>
        <stp>2018/3/31</stp>
        <stp>[office reits companeis.xlsx]ReferenceData!R465C6</stp>
        <stp>Per=CQ</stp>
        <stp>Dts=H</stp>
        <stp>Dir=H</stp>
        <stp>Points=60</stp>
        <stp>Sort=R</stp>
        <stp>Days=A</stp>
        <stp>Fill=B</stp>
        <stp>FX=USD</stp>
        <tr r="F465" s="3"/>
      </tp>
      <tp t="s">
        <v>#N/A Authorization</v>
        <stp/>
        <stp>##V3_BDHV12</stp>
        <stp>SLG US Equity</stp>
        <stp>RX902</stp>
        <stp>-60CQ</stp>
        <stp>2018/3/31</stp>
        <stp>[office reits companeis.xlsx]ReferenceData!R464C6</stp>
        <stp>Per=CQ</stp>
        <stp>Dts=H</stp>
        <stp>Dir=H</stp>
        <stp>Points=60</stp>
        <stp>Sort=R</stp>
        <stp>Days=A</stp>
        <stp>Fill=B</stp>
        <stp>FX=USD</stp>
        <tr r="F464" s="3"/>
      </tp>
      <tp t="s">
        <v>#N/A Authorization</v>
        <stp/>
        <stp>##V3_BDHV12</stp>
        <stp>SLG US Equity</stp>
        <stp>RX951</stp>
        <stp>-60CQ</stp>
        <stp>2018/3/31</stp>
        <stp>[office reits companeis.xlsx]ReferenceData!R514C6</stp>
        <stp>Per=CQ</stp>
        <stp>Dts=H</stp>
        <stp>Dir=H</stp>
        <stp>Points=60</stp>
        <stp>Sort=R</stp>
        <stp>Days=A</stp>
        <stp>Fill=B</stp>
        <stp>FX=USD</stp>
        <tr r="F514" s="3"/>
      </tp>
      <tp t="s">
        <v>#N/A Authorization</v>
        <stp/>
        <stp>##V3_BDHV12</stp>
        <stp>PDM US Equity</stp>
        <stp>RX951</stp>
        <stp>-60CQ</stp>
        <stp>2018/3/31</stp>
        <stp>[office reits companeis.xlsx]ReferenceData!R513C6</stp>
        <stp>Per=CQ</stp>
        <stp>Dts=H</stp>
        <stp>Dir=H</stp>
        <stp>Points=60</stp>
        <stp>Sort=R</stp>
        <stp>Days=A</stp>
        <stp>Fill=B</stp>
        <stp>FX=USD</stp>
        <tr r="F513" s="3"/>
      </tp>
      <tp t="s">
        <v>#N/A Authorization</v>
        <stp/>
        <stp>##V3_BDHV12</stp>
        <stp>PDM US Equity</stp>
        <stp>RX902</stp>
        <stp>-60CQ</stp>
        <stp>2018/3/31</stp>
        <stp>[office reits companeis.xlsx]ReferenceData!R463C6</stp>
        <stp>Per=CQ</stp>
        <stp>Dts=H</stp>
        <stp>Dir=H</stp>
        <stp>Points=60</stp>
        <stp>Sort=R</stp>
        <stp>Days=A</stp>
        <stp>Fill=B</stp>
        <stp>FX=USD</stp>
        <tr r="F463" s="3"/>
      </tp>
      <tp t="s">
        <v>#N/A Authorization</v>
        <stp/>
        <stp>##V3_BDHV12</stp>
        <stp>CXP US Equity</stp>
        <stp>CF039</stp>
        <stp>-60CQ</stp>
        <stp>2018/3/31</stp>
        <stp>[office reits companeis.xlsx]ReferenceData!R398C6</stp>
        <stp>Per=CQ</stp>
        <stp>Dts=H</stp>
        <stp>Dir=H</stp>
        <stp>Points=60</stp>
        <stp>Sort=R</stp>
        <stp>Days=A</stp>
        <stp>Fill=B</stp>
        <stp>FX=USD</stp>
        <tr r="F398" s="3"/>
      </tp>
      <tp t="s">
        <v>#N/A Authorization</v>
        <stp/>
        <stp>##V3_BDHV12</stp>
        <stp>BDN US Equity</stp>
        <stp>CF039</stp>
        <stp>-60CQ</stp>
        <stp>2018/3/31</stp>
        <stp>[office reits companeis.xlsx]ReferenceData!R397C6</stp>
        <stp>Per=CQ</stp>
        <stp>Dts=H</stp>
        <stp>Dir=H</stp>
        <stp>Points=60</stp>
        <stp>Sort=R</stp>
        <stp>Days=A</stp>
        <stp>Fill=B</stp>
        <stp>FX=USD</stp>
        <tr r="F397" s="3"/>
      </tp>
      <tp t="s">
        <v>#N/A Authorization</v>
        <stp/>
        <stp>##V3_BDHV12</stp>
        <stp>BXP US Equity</stp>
        <stp>CF039</stp>
        <stp>-60CQ</stp>
        <stp>2018/3/31</stp>
        <stp>[office reits companeis.xlsx]ReferenceData!R396C6</stp>
        <stp>Per=CQ</stp>
        <stp>Dts=H</stp>
        <stp>Dir=H</stp>
        <stp>Points=60</stp>
        <stp>Sort=R</stp>
        <stp>Days=A</stp>
        <stp>Fill=B</stp>
        <stp>FX=USD</stp>
        <tr r="F396" s="3"/>
      </tp>
      <tp t="s">
        <v>#N/A Authorization</v>
        <stp/>
        <stp>##V3_BDHV12</stp>
        <stp>CLI US Equity</stp>
        <stp>CF039</stp>
        <stp>-60CQ</stp>
        <stp>2018/3/31</stp>
        <stp>[office reits companeis.xlsx]ReferenceData!R402C6</stp>
        <stp>Per=CQ</stp>
        <stp>Dts=H</stp>
        <stp>Dir=H</stp>
        <stp>Points=60</stp>
        <stp>Sort=R</stp>
        <stp>Days=A</stp>
        <stp>Fill=B</stp>
        <stp>FX=USD</stp>
        <tr r="F402" s="3"/>
      </tp>
      <tp t="s">
        <v>#N/A Authorization</v>
        <stp/>
        <stp>##V3_BDHV12</stp>
        <stp>KRC US Equity</stp>
        <stp>CF039</stp>
        <stp>-60CQ</stp>
        <stp>2018/3/31</stp>
        <stp>[office reits companeis.xlsx]ReferenceData!R401C6</stp>
        <stp>Per=CQ</stp>
        <stp>Dts=H</stp>
        <stp>Dir=H</stp>
        <stp>Points=60</stp>
        <stp>Sort=R</stp>
        <stp>Days=A</stp>
        <stp>Fill=B</stp>
        <stp>FX=USD</stp>
        <tr r="F401" s="3"/>
      </tp>
      <tp t="s">
        <v>#N/A Authorization</v>
        <stp/>
        <stp>##V3_BDHV12</stp>
        <stp>HIW US Equity</stp>
        <stp>CF039</stp>
        <stp>-60CQ</stp>
        <stp>2018/3/31</stp>
        <stp>[office reits companeis.xlsx]ReferenceData!R400C6</stp>
        <stp>Per=CQ</stp>
        <stp>Dts=H</stp>
        <stp>Dir=H</stp>
        <stp>Points=60</stp>
        <stp>Sort=R</stp>
        <stp>Days=A</stp>
        <stp>Fill=B</stp>
        <stp>FX=USD</stp>
        <tr r="F400" s="3"/>
      </tp>
      <tp t="s">
        <v>#N/A Authorization</v>
        <stp/>
        <stp>##V3_BDHV12</stp>
        <stp>OFC US Equity</stp>
        <stp>CF039</stp>
        <stp>-60CQ</stp>
        <stp>2018/3/31</stp>
        <stp>[office reits companeis.xlsx]ReferenceData!R399C6</stp>
        <stp>Per=CQ</stp>
        <stp>Dts=H</stp>
        <stp>Dir=H</stp>
        <stp>Points=60</stp>
        <stp>Sort=R</stp>
        <stp>Days=A</stp>
        <stp>Fill=B</stp>
        <stp>FX=USD</stp>
        <tr r="F399" s="3"/>
      </tp>
      <tp t="s">
        <v>#N/A Authorization</v>
        <stp/>
        <stp>##V3_BDHV12</stp>
        <stp>VNO US Equity</stp>
        <stp>CF039</stp>
        <stp>-60CQ</stp>
        <stp>2018/3/31</stp>
        <stp>[office reits companeis.xlsx]ReferenceData!R405C6</stp>
        <stp>Per=CQ</stp>
        <stp>Dts=H</stp>
        <stp>Dir=H</stp>
        <stp>Points=60</stp>
        <stp>Sort=R</stp>
        <stp>Days=A</stp>
        <stp>Fill=B</stp>
        <stp>FX=USD</stp>
        <tr r="F405" s="3"/>
      </tp>
      <tp t="s">
        <v>#N/A Authorization</v>
        <stp/>
        <stp>##V3_BDHV12</stp>
        <stp>SLG US Equity</stp>
        <stp>CF039</stp>
        <stp>-60CQ</stp>
        <stp>2018/3/31</stp>
        <stp>[office reits companeis.xlsx]ReferenceData!R404C6</stp>
        <stp>Per=CQ</stp>
        <stp>Dts=H</stp>
        <stp>Dir=H</stp>
        <stp>Points=60</stp>
        <stp>Sort=R</stp>
        <stp>Days=A</stp>
        <stp>Fill=B</stp>
        <stp>FX=USD</stp>
        <tr r="F404" s="3"/>
      </tp>
      <tp t="s">
        <v>#N/A Authorization</v>
        <stp/>
        <stp>##V3_BDHV12</stp>
        <stp>PDM US Equity</stp>
        <stp>CF039</stp>
        <stp>-60CQ</stp>
        <stp>2018/3/31</stp>
        <stp>[office reits companeis.xlsx]ReferenceData!R403C6</stp>
        <stp>Per=CQ</stp>
        <stp>Dts=H</stp>
        <stp>Dir=H</stp>
        <stp>Points=60</stp>
        <stp>Sort=R</stp>
        <stp>Days=A</stp>
        <stp>Fill=B</stp>
        <stp>FX=USD</stp>
        <tr r="F403" s="3"/>
      </tp>
      <tp t="s">
        <v>#N/A Authorization</v>
        <stp/>
        <stp>##V3_BDHV12</stp>
        <stp>CLI US Equity</stp>
        <stp>IM281</stp>
        <stp>-60CQ</stp>
        <stp>2018/3/31</stp>
        <stp>[office reits companeis.xlsx]ReferenceData!R352C6</stp>
        <stp>Per=CQ</stp>
        <stp>Dts=H</stp>
        <stp>Dir=H</stp>
        <stp>Points=60</stp>
        <stp>Sort=R</stp>
        <stp>Days=A</stp>
        <stp>Fill=B</stp>
        <stp>FX=USD</stp>
        <tr r="F352" s="3"/>
      </tp>
      <tp t="s">
        <v>#N/A Authorization</v>
        <stp/>
        <stp>##V3_BDHV12</stp>
        <stp>CLI US Equity</stp>
        <stp>IM275</stp>
        <stp>-60CQ</stp>
        <stp>2018/3/31</stp>
        <stp>[office reits companeis.xlsx]ReferenceData!R342C6</stp>
        <stp>Per=CQ</stp>
        <stp>Dts=H</stp>
        <stp>Dir=H</stp>
        <stp>Points=60</stp>
        <stp>Sort=R</stp>
        <stp>Days=A</stp>
        <stp>Fill=B</stp>
        <stp>FX=USD</stp>
        <tr r="F342" s="3"/>
      </tp>
      <tp t="s">
        <v>#N/A Authorization</v>
        <stp/>
        <stp>##V3_BDHV12</stp>
        <stp>CXP US Equity</stp>
        <stp>IM281</stp>
        <stp>-60CQ</stp>
        <stp>2018/3/31</stp>
        <stp>[office reits companeis.xlsx]ReferenceData!R348C6</stp>
        <stp>Per=CQ</stp>
        <stp>Dts=H</stp>
        <stp>Dir=H</stp>
        <stp>Points=60</stp>
        <stp>Sort=R</stp>
        <stp>Days=A</stp>
        <stp>Fill=B</stp>
        <stp>FX=USD</stp>
        <tr r="F348" s="3"/>
      </tp>
      <tp t="s">
        <v>#N/A Authorization</v>
        <stp/>
        <stp>##V3_BDHV12</stp>
        <stp>CXP US Equity</stp>
        <stp>IM275</stp>
        <stp>-60CQ</stp>
        <stp>2018/3/31</stp>
        <stp>[office reits companeis.xlsx]ReferenceData!R338C6</stp>
        <stp>Per=CQ</stp>
        <stp>Dts=H</stp>
        <stp>Dir=H</stp>
        <stp>Points=60</stp>
        <stp>Sort=R</stp>
        <stp>Days=A</stp>
        <stp>Fill=B</stp>
        <stp>FX=USD</stp>
        <tr r="F338" s="3"/>
      </tp>
      <tp t="s">
        <v>#N/A Authorization</v>
        <stp/>
        <stp>##V3_BDHV12</stp>
        <stp>BDN US Equity</stp>
        <stp>IM275</stp>
        <stp>-60CQ</stp>
        <stp>2018/3/31</stp>
        <stp>[office reits companeis.xlsx]ReferenceData!R337C6</stp>
        <stp>Per=CQ</stp>
        <stp>Dts=H</stp>
        <stp>Dir=H</stp>
        <stp>Points=60</stp>
        <stp>Sort=R</stp>
        <stp>Days=A</stp>
        <stp>Fill=B</stp>
        <stp>FX=USD</stp>
        <tr r="F337" s="3"/>
      </tp>
      <tp t="s">
        <v>#N/A Authorization</v>
        <stp/>
        <stp>##V3_BDHV12</stp>
        <stp>BDN US Equity</stp>
        <stp>IM281</stp>
        <stp>-60CQ</stp>
        <stp>2018/3/31</stp>
        <stp>[office reits companeis.xlsx]ReferenceData!R347C6</stp>
        <stp>Per=CQ</stp>
        <stp>Dts=H</stp>
        <stp>Dir=H</stp>
        <stp>Points=60</stp>
        <stp>Sort=R</stp>
        <stp>Days=A</stp>
        <stp>Fill=B</stp>
        <stp>FX=USD</stp>
        <tr r="F347" s="3"/>
      </tp>
      <tp t="s">
        <v>#N/A Authorization</v>
        <stp/>
        <stp>##V3_BDHV12</stp>
        <stp>BXP US Equity</stp>
        <stp>IM281</stp>
        <stp>-60CQ</stp>
        <stp>2018/3/31</stp>
        <stp>[office reits companeis.xlsx]ReferenceData!R346C6</stp>
        <stp>Per=CQ</stp>
        <stp>Dts=H</stp>
        <stp>Dir=H</stp>
        <stp>Points=60</stp>
        <stp>Sort=R</stp>
        <stp>Days=A</stp>
        <stp>Fill=B</stp>
        <stp>FX=USD</stp>
        <tr r="F346" s="3"/>
      </tp>
      <tp t="s">
        <v>#N/A Authorization</v>
        <stp/>
        <stp>##V3_BDHV12</stp>
        <stp>BXP US Equity</stp>
        <stp>IM275</stp>
        <stp>-60CQ</stp>
        <stp>2018/3/31</stp>
        <stp>[office reits companeis.xlsx]ReferenceData!R336C6</stp>
        <stp>Per=CQ</stp>
        <stp>Dts=H</stp>
        <stp>Dir=H</stp>
        <stp>Points=60</stp>
        <stp>Sort=R</stp>
        <stp>Days=A</stp>
        <stp>Fill=B</stp>
        <stp>FX=USD</stp>
        <tr r="F336" s="3"/>
      </tp>
      <tp t="s">
        <v>#N/A Authorization</v>
        <stp/>
        <stp>##V3_BDHV12</stp>
        <stp>KRC US Equity</stp>
        <stp>IM275</stp>
        <stp>-60CQ</stp>
        <stp>2018/3/31</stp>
        <stp>[office reits companeis.xlsx]ReferenceData!R341C6</stp>
        <stp>Per=CQ</stp>
        <stp>Dts=H</stp>
        <stp>Dir=H</stp>
        <stp>Points=60</stp>
        <stp>Sort=R</stp>
        <stp>Days=A</stp>
        <stp>Fill=B</stp>
        <stp>FX=USD</stp>
        <tr r="F341" s="3"/>
      </tp>
      <tp t="s">
        <v>#N/A Authorization</v>
        <stp/>
        <stp>##V3_BDHV12</stp>
        <stp>KRC US Equity</stp>
        <stp>IM281</stp>
        <stp>-60CQ</stp>
        <stp>2018/3/31</stp>
        <stp>[office reits companeis.xlsx]ReferenceData!R351C6</stp>
        <stp>Per=CQ</stp>
        <stp>Dts=H</stp>
        <stp>Dir=H</stp>
        <stp>Points=60</stp>
        <stp>Sort=R</stp>
        <stp>Days=A</stp>
        <stp>Fill=B</stp>
        <stp>FX=USD</stp>
        <tr r="F351" s="3"/>
      </tp>
      <tp t="s">
        <v>#N/A Authorization</v>
        <stp/>
        <stp>##V3_BDHV12</stp>
        <stp>HIW US Equity</stp>
        <stp>IM281</stp>
        <stp>-60CQ</stp>
        <stp>2018/3/31</stp>
        <stp>[office reits companeis.xlsx]ReferenceData!R350C6</stp>
        <stp>Per=CQ</stp>
        <stp>Dts=H</stp>
        <stp>Dir=H</stp>
        <stp>Points=60</stp>
        <stp>Sort=R</stp>
        <stp>Days=A</stp>
        <stp>Fill=B</stp>
        <stp>FX=USD</stp>
        <tr r="F350" s="3"/>
      </tp>
      <tp t="s">
        <v>#N/A Authorization</v>
        <stp/>
        <stp>##V3_BDHV12</stp>
        <stp>HIW US Equity</stp>
        <stp>IM275</stp>
        <stp>-60CQ</stp>
        <stp>2018/3/31</stp>
        <stp>[office reits companeis.xlsx]ReferenceData!R340C6</stp>
        <stp>Per=CQ</stp>
        <stp>Dts=H</stp>
        <stp>Dir=H</stp>
        <stp>Points=60</stp>
        <stp>Sort=R</stp>
        <stp>Days=A</stp>
        <stp>Fill=B</stp>
        <stp>FX=USD</stp>
        <tr r="F340" s="3"/>
      </tp>
      <tp t="s">
        <v>#N/A Authorization</v>
        <stp/>
        <stp>##V3_BDHV12</stp>
        <stp>OFC US Equity</stp>
        <stp>IM275</stp>
        <stp>-60CQ</stp>
        <stp>2018/3/31</stp>
        <stp>[office reits companeis.xlsx]ReferenceData!R339C6</stp>
        <stp>Per=CQ</stp>
        <stp>Dts=H</stp>
        <stp>Dir=H</stp>
        <stp>Points=60</stp>
        <stp>Sort=R</stp>
        <stp>Days=A</stp>
        <stp>Fill=B</stp>
        <stp>FX=USD</stp>
        <tr r="F339" s="3"/>
      </tp>
      <tp t="s">
        <v>#N/A Authorization</v>
        <stp/>
        <stp>##V3_BDHV12</stp>
        <stp>OFC US Equity</stp>
        <stp>IM281</stp>
        <stp>-60CQ</stp>
        <stp>2018/3/31</stp>
        <stp>[office reits companeis.xlsx]ReferenceData!R349C6</stp>
        <stp>Per=CQ</stp>
        <stp>Dts=H</stp>
        <stp>Dir=H</stp>
        <stp>Points=60</stp>
        <stp>Sort=R</stp>
        <stp>Days=A</stp>
        <stp>Fill=B</stp>
        <stp>FX=USD</stp>
        <tr r="F349" s="3"/>
      </tp>
      <tp t="s">
        <v>#N/A Authorization</v>
        <stp/>
        <stp>##V3_BDHV12</stp>
        <stp>SLG US Equity</stp>
        <stp>IM281</stp>
        <stp>-60CQ</stp>
        <stp>2018/3/31</stp>
        <stp>[office reits companeis.xlsx]ReferenceData!R354C6</stp>
        <stp>Per=CQ</stp>
        <stp>Dts=H</stp>
        <stp>Dir=H</stp>
        <stp>Points=60</stp>
        <stp>Sort=R</stp>
        <stp>Days=A</stp>
        <stp>Fill=B</stp>
        <stp>FX=USD</stp>
        <tr r="F354" s="3"/>
      </tp>
      <tp t="s">
        <v>#N/A Authorization</v>
        <stp/>
        <stp>##V3_BDHV12</stp>
        <stp>SLG US Equity</stp>
        <stp>IM275</stp>
        <stp>-60CQ</stp>
        <stp>2018/3/31</stp>
        <stp>[office reits companeis.xlsx]ReferenceData!R344C6</stp>
        <stp>Per=CQ</stp>
        <stp>Dts=H</stp>
        <stp>Dir=H</stp>
        <stp>Points=60</stp>
        <stp>Sort=R</stp>
        <stp>Days=A</stp>
        <stp>Fill=B</stp>
        <stp>FX=USD</stp>
        <tr r="F344" s="3"/>
      </tp>
      <tp t="s">
        <v>#N/A Authorization</v>
        <stp/>
        <stp>##V3_BDHV12</stp>
        <stp>PDM US Equity</stp>
        <stp>IM275</stp>
        <stp>-60CQ</stp>
        <stp>2018/3/31</stp>
        <stp>[office reits companeis.xlsx]ReferenceData!R343C6</stp>
        <stp>Per=CQ</stp>
        <stp>Dts=H</stp>
        <stp>Dir=H</stp>
        <stp>Points=60</stp>
        <stp>Sort=R</stp>
        <stp>Days=A</stp>
        <stp>Fill=B</stp>
        <stp>FX=USD</stp>
        <tr r="F343" s="3"/>
      </tp>
      <tp t="s">
        <v>#N/A Authorization</v>
        <stp/>
        <stp>##V3_BDHV12</stp>
        <stp>PDM US Equity</stp>
        <stp>IM281</stp>
        <stp>-60CQ</stp>
        <stp>2018/3/31</stp>
        <stp>[office reits companeis.xlsx]ReferenceData!R353C6</stp>
        <stp>Per=CQ</stp>
        <stp>Dts=H</stp>
        <stp>Dir=H</stp>
        <stp>Points=60</stp>
        <stp>Sort=R</stp>
        <stp>Days=A</stp>
        <stp>Fill=B</stp>
        <stp>FX=USD</stp>
        <tr r="F353" s="3"/>
      </tp>
      <tp t="s">
        <v>#N/A Authorization</v>
        <stp/>
        <stp>##V3_BDHV12</stp>
        <stp>VNO US Equity</stp>
        <stp>IM281</stp>
        <stp>-60CQ</stp>
        <stp>2018/3/31</stp>
        <stp>[office reits companeis.xlsx]ReferenceData!R355C6</stp>
        <stp>Per=CQ</stp>
        <stp>Dts=H</stp>
        <stp>Dir=H</stp>
        <stp>Points=60</stp>
        <stp>Sort=R</stp>
        <stp>Days=A</stp>
        <stp>Fill=B</stp>
        <stp>FX=USD</stp>
        <tr r="F355" s="3"/>
      </tp>
      <tp t="s">
        <v>#N/A Authorization</v>
        <stp/>
        <stp>##V3_BDHV12</stp>
        <stp>VNO US Equity</stp>
        <stp>IM275</stp>
        <stp>-60CQ</stp>
        <stp>2018/3/31</stp>
        <stp>[office reits companeis.xlsx]ReferenceData!R345C6</stp>
        <stp>Per=CQ</stp>
        <stp>Dts=H</stp>
        <stp>Dir=H</stp>
        <stp>Points=60</stp>
        <stp>Sort=R</stp>
        <stp>Days=A</stp>
        <stp>Fill=B</stp>
        <stp>FX=USD</stp>
        <tr r="F34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278"/>
  <sheetViews>
    <sheetView tabSelected="1" workbookViewId="0"/>
  </sheetViews>
  <sheetFormatPr defaultRowHeight="13.5"/>
  <cols>
    <col min="1" max="1" width="56.375" customWidth="1"/>
    <col min="2" max="2" width="15.75" customWidth="1"/>
    <col min="3" max="65" width="9.125" bestFit="1" customWidth="1"/>
  </cols>
  <sheetData>
    <row r="1" spans="1:6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t="str">
        <f>IFERROR(IF(0=LEN(ReferenceData!$A$2),"",ReferenceData!$A$2),"")</f>
        <v>简述</v>
      </c>
      <c r="B2" t="str">
        <f>IFERROR(IF(0=LEN(ReferenceData!$B$2),"",ReferenceData!$B$2),"")</f>
        <v>代码</v>
      </c>
      <c r="C2" t="str">
        <f>IFERROR(IF(0=LEN(ReferenceData!$C$2),"",ReferenceData!$C$2),"")</f>
        <v>栏目ID</v>
      </c>
      <c r="D2" t="str">
        <f>IFERROR(IF(0=LEN(ReferenceData!$D$2),"",ReferenceData!$D$2),"")</f>
        <v>栏目助记符</v>
      </c>
      <c r="E2" t="str">
        <f>IFERROR(IF(0=LEN(ReferenceData!$E$2),"",ReferenceData!$E$2),"")</f>
        <v>数据状态</v>
      </c>
      <c r="F2" t="str">
        <f>IFERROR(IF(0=LEN(ReferenceData!$F$2),"",ReferenceData!$F$2),"")</f>
        <v>2018 Q1</v>
      </c>
      <c r="G2" t="str">
        <f>IFERROR(IF(0=LEN(ReferenceData!$G$2),"",ReferenceData!$G$2),"")</f>
        <v>2017 Q4</v>
      </c>
      <c r="H2" t="str">
        <f>IFERROR(IF(0=LEN(ReferenceData!$H$2),"",ReferenceData!$H$2),"")</f>
        <v>2017 Q3</v>
      </c>
      <c r="I2" t="str">
        <f>IFERROR(IF(0=LEN(ReferenceData!$I$2),"",ReferenceData!$I$2),"")</f>
        <v>2017 Q2</v>
      </c>
      <c r="J2" t="str">
        <f>IFERROR(IF(0=LEN(ReferenceData!$J$2),"",ReferenceData!$J$2),"")</f>
        <v>2017 Q1</v>
      </c>
      <c r="K2" t="str">
        <f>IFERROR(IF(0=LEN(ReferenceData!$K$2),"",ReferenceData!$K$2),"")</f>
        <v>2016 Q4</v>
      </c>
      <c r="L2" t="str">
        <f>IFERROR(IF(0=LEN(ReferenceData!$L$2),"",ReferenceData!$L$2),"")</f>
        <v>2016 Q3</v>
      </c>
      <c r="M2" t="str">
        <f>IFERROR(IF(0=LEN(ReferenceData!$M$2),"",ReferenceData!$M$2),"")</f>
        <v>2016 Q2</v>
      </c>
      <c r="N2" t="str">
        <f>IFERROR(IF(0=LEN(ReferenceData!$N$2),"",ReferenceData!$N$2),"")</f>
        <v>2016 Q1</v>
      </c>
      <c r="O2" t="str">
        <f>IFERROR(IF(0=LEN(ReferenceData!$O$2),"",ReferenceData!$O$2),"")</f>
        <v>2015 Q4</v>
      </c>
      <c r="P2" t="str">
        <f>IFERROR(IF(0=LEN(ReferenceData!$P$2),"",ReferenceData!$P$2),"")</f>
        <v>2015 Q3</v>
      </c>
      <c r="Q2" t="str">
        <f>IFERROR(IF(0=LEN(ReferenceData!$Q$2),"",ReferenceData!$Q$2),"")</f>
        <v>2015 Q2</v>
      </c>
      <c r="R2" t="str">
        <f>IFERROR(IF(0=LEN(ReferenceData!$R$2),"",ReferenceData!$R$2),"")</f>
        <v>2015 Q1</v>
      </c>
      <c r="S2" t="str">
        <f>IFERROR(IF(0=LEN(ReferenceData!$S$2),"",ReferenceData!$S$2),"")</f>
        <v>2014 Q4</v>
      </c>
      <c r="T2" t="str">
        <f>IFERROR(IF(0=LEN(ReferenceData!$T$2),"",ReferenceData!$T$2),"")</f>
        <v>2014 Q3</v>
      </c>
      <c r="U2" t="str">
        <f>IFERROR(IF(0=LEN(ReferenceData!$U$2),"",ReferenceData!$U$2),"")</f>
        <v>2014 Q2</v>
      </c>
      <c r="V2" t="str">
        <f>IFERROR(IF(0=LEN(ReferenceData!$V$2),"",ReferenceData!$V$2),"")</f>
        <v>2014 Q1</v>
      </c>
      <c r="W2" t="str">
        <f>IFERROR(IF(0=LEN(ReferenceData!$W$2),"",ReferenceData!$W$2),"")</f>
        <v>2013 Q4</v>
      </c>
      <c r="X2" t="str">
        <f>IFERROR(IF(0=LEN(ReferenceData!$X$2),"",ReferenceData!$X$2),"")</f>
        <v>2013 Q3</v>
      </c>
      <c r="Y2" t="str">
        <f>IFERROR(IF(0=LEN(ReferenceData!$Y$2),"",ReferenceData!$Y$2),"")</f>
        <v>2013 Q2</v>
      </c>
      <c r="Z2" t="str">
        <f>IFERROR(IF(0=LEN(ReferenceData!$Z$2),"",ReferenceData!$Z$2),"")</f>
        <v>2013 Q1</v>
      </c>
      <c r="AA2" t="str">
        <f>IFERROR(IF(0=LEN(ReferenceData!$AA$2),"",ReferenceData!$AA$2),"")</f>
        <v>2012 Q4</v>
      </c>
      <c r="AB2" t="str">
        <f>IFERROR(IF(0=LEN(ReferenceData!$AB$2),"",ReferenceData!$AB$2),"")</f>
        <v>2012 Q3</v>
      </c>
      <c r="AC2" t="str">
        <f>IFERROR(IF(0=LEN(ReferenceData!$AC$2),"",ReferenceData!$AC$2),"")</f>
        <v>2012 Q2</v>
      </c>
      <c r="AD2" t="str">
        <f>IFERROR(IF(0=LEN(ReferenceData!$AD$2),"",ReferenceData!$AD$2),"")</f>
        <v>2012 Q1</v>
      </c>
      <c r="AE2" t="str">
        <f>IFERROR(IF(0=LEN(ReferenceData!$AE$2),"",ReferenceData!$AE$2),"")</f>
        <v>2011 Q4</v>
      </c>
      <c r="AF2" t="str">
        <f>IFERROR(IF(0=LEN(ReferenceData!$AF$2),"",ReferenceData!$AF$2),"")</f>
        <v>2011 Q3</v>
      </c>
      <c r="AG2" t="str">
        <f>IFERROR(IF(0=LEN(ReferenceData!$AG$2),"",ReferenceData!$AG$2),"")</f>
        <v>2011 Q2</v>
      </c>
      <c r="AH2" t="str">
        <f>IFERROR(IF(0=LEN(ReferenceData!$AH$2),"",ReferenceData!$AH$2),"")</f>
        <v>2011 Q1</v>
      </c>
      <c r="AI2" t="str">
        <f>IFERROR(IF(0=LEN(ReferenceData!$AI$2),"",ReferenceData!$AI$2),"")</f>
        <v>2010 Q4</v>
      </c>
      <c r="AJ2" t="str">
        <f>IFERROR(IF(0=LEN(ReferenceData!$AJ$2),"",ReferenceData!$AJ$2),"")</f>
        <v>2010 Q3</v>
      </c>
      <c r="AK2" t="str">
        <f>IFERROR(IF(0=LEN(ReferenceData!$AK$2),"",ReferenceData!$AK$2),"")</f>
        <v>2010 Q2</v>
      </c>
      <c r="AL2" t="str">
        <f>IFERROR(IF(0=LEN(ReferenceData!$AL$2),"",ReferenceData!$AL$2),"")</f>
        <v>2010 Q1</v>
      </c>
      <c r="AM2" t="str">
        <f>IFERROR(IF(0=LEN(ReferenceData!$AM$2),"",ReferenceData!$AM$2),"")</f>
        <v>2009 Q4</v>
      </c>
      <c r="AN2" t="str">
        <f>IFERROR(IF(0=LEN(ReferenceData!$AN$2),"",ReferenceData!$AN$2),"")</f>
        <v>2009 Q3</v>
      </c>
      <c r="AO2" t="str">
        <f>IFERROR(IF(0=LEN(ReferenceData!$AO$2),"",ReferenceData!$AO$2),"")</f>
        <v>2009 Q2</v>
      </c>
      <c r="AP2" t="str">
        <f>IFERROR(IF(0=LEN(ReferenceData!$AP$2),"",ReferenceData!$AP$2),"")</f>
        <v>2009 Q1</v>
      </c>
      <c r="AQ2" t="str">
        <f>IFERROR(IF(0=LEN(ReferenceData!$AQ$2),"",ReferenceData!$AQ$2),"")</f>
        <v>2008 Q4</v>
      </c>
      <c r="AR2" t="str">
        <f>IFERROR(IF(0=LEN(ReferenceData!$AR$2),"",ReferenceData!$AR$2),"")</f>
        <v>2008 Q3</v>
      </c>
      <c r="AS2" t="str">
        <f>IFERROR(IF(0=LEN(ReferenceData!$AS$2),"",ReferenceData!$AS$2),"")</f>
        <v>2008 Q2</v>
      </c>
      <c r="AT2" t="str">
        <f>IFERROR(IF(0=LEN(ReferenceData!$AT$2),"",ReferenceData!$AT$2),"")</f>
        <v>2008 Q1</v>
      </c>
      <c r="AU2" t="str">
        <f>IFERROR(IF(0=LEN(ReferenceData!$AU$2),"",ReferenceData!$AU$2),"")</f>
        <v>2007 Q4</v>
      </c>
      <c r="AV2" t="str">
        <f>IFERROR(IF(0=LEN(ReferenceData!$AV$2),"",ReferenceData!$AV$2),"")</f>
        <v>2007 Q3</v>
      </c>
      <c r="AW2" t="str">
        <f>IFERROR(IF(0=LEN(ReferenceData!$AW$2),"",ReferenceData!$AW$2),"")</f>
        <v>2007 Q2</v>
      </c>
      <c r="AX2" t="str">
        <f>IFERROR(IF(0=LEN(ReferenceData!$AX$2),"",ReferenceData!$AX$2),"")</f>
        <v>2007 Q1</v>
      </c>
      <c r="AY2" t="str">
        <f>IFERROR(IF(0=LEN(ReferenceData!$AY$2),"",ReferenceData!$AY$2),"")</f>
        <v>2006 Q4</v>
      </c>
      <c r="AZ2" t="str">
        <f>IFERROR(IF(0=LEN(ReferenceData!$AZ$2),"",ReferenceData!$AZ$2),"")</f>
        <v>2006 Q3</v>
      </c>
      <c r="BA2" t="str">
        <f>IFERROR(IF(0=LEN(ReferenceData!$BA$2),"",ReferenceData!$BA$2),"")</f>
        <v>2006 Q2</v>
      </c>
      <c r="BB2" t="str">
        <f>IFERROR(IF(0=LEN(ReferenceData!$BB$2),"",ReferenceData!$BB$2),"")</f>
        <v>2006 Q1</v>
      </c>
      <c r="BC2" t="str">
        <f>IFERROR(IF(0=LEN(ReferenceData!$BC$2),"",ReferenceData!$BC$2),"")</f>
        <v>2005 Q4</v>
      </c>
      <c r="BD2" t="str">
        <f>IFERROR(IF(0=LEN(ReferenceData!$BD$2),"",ReferenceData!$BD$2),"")</f>
        <v>2005 Q3</v>
      </c>
      <c r="BE2" t="str">
        <f>IFERROR(IF(0=LEN(ReferenceData!$BE$2),"",ReferenceData!$BE$2),"")</f>
        <v>2005 Q2</v>
      </c>
      <c r="BF2" t="str">
        <f>IFERROR(IF(0=LEN(ReferenceData!$BF$2),"",ReferenceData!$BF$2),"")</f>
        <v>2005 Q1</v>
      </c>
      <c r="BG2" t="str">
        <f>IFERROR(IF(0=LEN(ReferenceData!$BG$2),"",ReferenceData!$BG$2),"")</f>
        <v>2004 Q4</v>
      </c>
      <c r="BH2" t="str">
        <f>IFERROR(IF(0=LEN(ReferenceData!$BH$2),"",ReferenceData!$BH$2),"")</f>
        <v>2004 Q3</v>
      </c>
      <c r="BI2" t="str">
        <f>IFERROR(IF(0=LEN(ReferenceData!$BI$2),"",ReferenceData!$BI$2),"")</f>
        <v>2004 Q2</v>
      </c>
      <c r="BJ2" t="str">
        <f>IFERROR(IF(0=LEN(ReferenceData!$BJ$2),"",ReferenceData!$BJ$2),"")</f>
        <v>2004 Q1</v>
      </c>
      <c r="BK2" t="str">
        <f>IFERROR(IF(0=LEN(ReferenceData!$BK$2),"",ReferenceData!$BK$2),"")</f>
        <v>2003 Q4</v>
      </c>
      <c r="BL2" t="str">
        <f>IFERROR(IF(0=LEN(ReferenceData!$BL$2),"",ReferenceData!$BL$2),"")</f>
        <v>2003 Q3</v>
      </c>
      <c r="BM2" t="str">
        <f>IFERROR(IF(0=LEN(ReferenceData!$BM$2),"",ReferenceData!$BM$2),"")</f>
        <v>2003 Q2</v>
      </c>
    </row>
    <row r="3" spans="1:65">
      <c r="A3" t="str">
        <f>IFERROR(IF(0=LEN(ReferenceData!$A$3),"",ReferenceData!$A$3),"")</f>
        <v>盈利摘要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标题</v>
      </c>
      <c r="F3" t="str">
        <f>IFERROR(IF(0=LEN(ReferenceData!$F$3),"",ReferenceData!$F$3),"")</f>
        <v/>
      </c>
      <c r="G3" t="str">
        <f>IFERROR(IF(0=LEN(ReferenceData!$G$3),"",ReferenceData!$G$3),"")</f>
        <v/>
      </c>
      <c r="H3" t="str">
        <f>IFERROR(IF(0=LEN(ReferenceData!$H$3),"",ReferenceData!$H$3),"")</f>
        <v/>
      </c>
      <c r="I3" t="str">
        <f>IFERROR(IF(0=LEN(ReferenceData!$I$3),"",ReferenceData!$I$3),"")</f>
        <v/>
      </c>
      <c r="J3" t="str">
        <f>IFERROR(IF(0=LEN(ReferenceData!$J$3),"",ReferenceData!$J$3),"")</f>
        <v/>
      </c>
      <c r="K3" t="str">
        <f>IFERROR(IF(0=LEN(ReferenceData!$K$3),"",ReferenceData!$K$3),"")</f>
        <v/>
      </c>
      <c r="L3" t="str">
        <f>IFERROR(IF(0=LEN(ReferenceData!$L$3),"",ReferenceData!$L$3),"")</f>
        <v/>
      </c>
      <c r="M3" t="str">
        <f>IFERROR(IF(0=LEN(ReferenceData!$M$3),"",ReferenceData!$M$3),"")</f>
        <v/>
      </c>
      <c r="N3" t="str">
        <f>IFERROR(IF(0=LEN(ReferenceData!$N$3),"",ReferenceData!$N$3),"")</f>
        <v/>
      </c>
      <c r="O3" t="str">
        <f>IFERROR(IF(0=LEN(ReferenceData!$O$3),"",ReferenceData!$O$3),"")</f>
        <v/>
      </c>
      <c r="P3" t="str">
        <f>IFERROR(IF(0=LEN(ReferenceData!$P$3),"",ReferenceData!$P$3),"")</f>
        <v/>
      </c>
      <c r="Q3" t="str">
        <f>IFERROR(IF(0=LEN(ReferenceData!$Q$3),"",ReferenceData!$Q$3),"")</f>
        <v/>
      </c>
      <c r="R3" t="str">
        <f>IFERROR(IF(0=LEN(ReferenceData!$R$3),"",ReferenceData!$R$3),"")</f>
        <v/>
      </c>
      <c r="S3" t="str">
        <f>IFERROR(IF(0=LEN(ReferenceData!$S$3),"",ReferenceData!$S$3),"")</f>
        <v/>
      </c>
      <c r="T3" t="str">
        <f>IFERROR(IF(0=LEN(ReferenceData!$T$3),"",ReferenceData!$T$3),"")</f>
        <v/>
      </c>
      <c r="U3" t="str">
        <f>IFERROR(IF(0=LEN(ReferenceData!$U$3),"",ReferenceData!$U$3),"")</f>
        <v/>
      </c>
      <c r="V3" t="str">
        <f>IFERROR(IF(0=LEN(ReferenceData!$V$3),"",ReferenceData!$V$3),"")</f>
        <v/>
      </c>
      <c r="W3" t="str">
        <f>IFERROR(IF(0=LEN(ReferenceData!$W$3),"",ReferenceData!$W$3),"")</f>
        <v/>
      </c>
      <c r="X3" t="str">
        <f>IFERROR(IF(0=LEN(ReferenceData!$X$3),"",ReferenceData!$X$3),"")</f>
        <v/>
      </c>
      <c r="Y3" t="str">
        <f>IFERROR(IF(0=LEN(ReferenceData!$Y$3),"",ReferenceData!$Y$3),"")</f>
        <v/>
      </c>
      <c r="Z3" t="str">
        <f>IFERROR(IF(0=LEN(ReferenceData!$Z$3),"",ReferenceData!$Z$3),"")</f>
        <v/>
      </c>
      <c r="AA3" t="str">
        <f>IFERROR(IF(0=LEN(ReferenceData!$AA$3),"",ReferenceData!$AA$3),"")</f>
        <v/>
      </c>
      <c r="AB3" t="str">
        <f>IFERROR(IF(0=LEN(ReferenceData!$AB$3),"",ReferenceData!$AB$3),"")</f>
        <v/>
      </c>
      <c r="AC3" t="str">
        <f>IFERROR(IF(0=LEN(ReferenceData!$AC$3),"",ReferenceData!$AC$3),"")</f>
        <v/>
      </c>
      <c r="AD3" t="str">
        <f>IFERROR(IF(0=LEN(ReferenceData!$AD$3),"",ReferenceData!$AD$3),"")</f>
        <v/>
      </c>
      <c r="AE3" t="str">
        <f>IFERROR(IF(0=LEN(ReferenceData!$AE$3),"",ReferenceData!$AE$3),"")</f>
        <v/>
      </c>
      <c r="AF3" t="str">
        <f>IFERROR(IF(0=LEN(ReferenceData!$AF$3),"",ReferenceData!$AF$3),"")</f>
        <v/>
      </c>
      <c r="AG3" t="str">
        <f>IFERROR(IF(0=LEN(ReferenceData!$AG$3),"",ReferenceData!$AG$3),"")</f>
        <v/>
      </c>
      <c r="AH3" t="str">
        <f>IFERROR(IF(0=LEN(ReferenceData!$AH$3),"",ReferenceData!$AH$3),"")</f>
        <v/>
      </c>
      <c r="AI3" t="str">
        <f>IFERROR(IF(0=LEN(ReferenceData!$AI$3),"",ReferenceData!$AI$3),"")</f>
        <v/>
      </c>
      <c r="AJ3" t="str">
        <f>IFERROR(IF(0=LEN(ReferenceData!$AJ$3),"",ReferenceData!$AJ$3),"")</f>
        <v/>
      </c>
      <c r="AK3" t="str">
        <f>IFERROR(IF(0=LEN(ReferenceData!$AK$3),"",ReferenceData!$AK$3),"")</f>
        <v/>
      </c>
      <c r="AL3" t="str">
        <f>IFERROR(IF(0=LEN(ReferenceData!$AL$3),"",ReferenceData!$AL$3),"")</f>
        <v/>
      </c>
      <c r="AM3" t="str">
        <f>IFERROR(IF(0=LEN(ReferenceData!$AM$3),"",ReferenceData!$AM$3),"")</f>
        <v/>
      </c>
      <c r="AN3" t="str">
        <f>IFERROR(IF(0=LEN(ReferenceData!$AN$3),"",ReferenceData!$AN$3),"")</f>
        <v/>
      </c>
      <c r="AO3" t="str">
        <f>IFERROR(IF(0=LEN(ReferenceData!$AO$3),"",ReferenceData!$AO$3),"")</f>
        <v/>
      </c>
      <c r="AP3" t="str">
        <f>IFERROR(IF(0=LEN(ReferenceData!$AP$3),"",ReferenceData!$AP$3),"")</f>
        <v/>
      </c>
      <c r="AQ3" t="str">
        <f>IFERROR(IF(0=LEN(ReferenceData!$AQ$3),"",ReferenceData!$AQ$3),"")</f>
        <v/>
      </c>
      <c r="AR3" t="str">
        <f>IFERROR(IF(0=LEN(ReferenceData!$AR$3),"",ReferenceData!$AR$3),"")</f>
        <v/>
      </c>
      <c r="AS3" t="str">
        <f>IFERROR(IF(0=LEN(ReferenceData!$AS$3),"",ReferenceData!$AS$3),"")</f>
        <v/>
      </c>
      <c r="AT3" t="str">
        <f>IFERROR(IF(0=LEN(ReferenceData!$AT$3),"",ReferenceData!$AT$3),"")</f>
        <v/>
      </c>
      <c r="AU3" t="str">
        <f>IFERROR(IF(0=LEN(ReferenceData!$AU$3),"",ReferenceData!$AU$3),"")</f>
        <v/>
      </c>
      <c r="AV3" t="str">
        <f>IFERROR(IF(0=LEN(ReferenceData!$AV$3),"",ReferenceData!$AV$3),"")</f>
        <v/>
      </c>
      <c r="AW3" t="str">
        <f>IFERROR(IF(0=LEN(ReferenceData!$AW$3),"",ReferenceData!$AW$3),"")</f>
        <v/>
      </c>
      <c r="AX3" t="str">
        <f>IFERROR(IF(0=LEN(ReferenceData!$AX$3),"",ReferenceData!$AX$3),"")</f>
        <v/>
      </c>
      <c r="AY3" t="str">
        <f>IFERROR(IF(0=LEN(ReferenceData!$AY$3),"",ReferenceData!$AY$3),"")</f>
        <v/>
      </c>
      <c r="AZ3" t="str">
        <f>IFERROR(IF(0=LEN(ReferenceData!$AZ$3),"",ReferenceData!$AZ$3),"")</f>
        <v/>
      </c>
      <c r="BA3" t="str">
        <f>IFERROR(IF(0=LEN(ReferenceData!$BA$3),"",ReferenceData!$BA$3),"")</f>
        <v/>
      </c>
      <c r="BB3" t="str">
        <f>IFERROR(IF(0=LEN(ReferenceData!$BB$3),"",ReferenceData!$BB$3),"")</f>
        <v/>
      </c>
      <c r="BC3" t="str">
        <f>IFERROR(IF(0=LEN(ReferenceData!$BC$3),"",ReferenceData!$BC$3),"")</f>
        <v/>
      </c>
      <c r="BD3" t="str">
        <f>IFERROR(IF(0=LEN(ReferenceData!$BD$3),"",ReferenceData!$BD$3),"")</f>
        <v/>
      </c>
      <c r="BE3" t="str">
        <f>IFERROR(IF(0=LEN(ReferenceData!$BE$3),"",ReferenceData!$BE$3),"")</f>
        <v/>
      </c>
      <c r="BF3" t="str">
        <f>IFERROR(IF(0=LEN(ReferenceData!$BF$3),"",ReferenceData!$BF$3),"")</f>
        <v/>
      </c>
      <c r="BG3" t="str">
        <f>IFERROR(IF(0=LEN(ReferenceData!$BG$3),"",ReferenceData!$BG$3),"")</f>
        <v/>
      </c>
      <c r="BH3" t="str">
        <f>IFERROR(IF(0=LEN(ReferenceData!$BH$3),"",ReferenceData!$BH$3),"")</f>
        <v/>
      </c>
      <c r="BI3" t="str">
        <f>IFERROR(IF(0=LEN(ReferenceData!$BI$3),"",ReferenceData!$BI$3),"")</f>
        <v/>
      </c>
      <c r="BJ3" t="str">
        <f>IFERROR(IF(0=LEN(ReferenceData!$BJ$3),"",ReferenceData!$BJ$3),"")</f>
        <v/>
      </c>
      <c r="BK3" t="str">
        <f>IFERROR(IF(0=LEN(ReferenceData!$BK$3),"",ReferenceData!$BK$3),"")</f>
        <v/>
      </c>
      <c r="BL3" t="str">
        <f>IFERROR(IF(0=LEN(ReferenceData!$BL$3),"",ReferenceData!$BL$3),"")</f>
        <v/>
      </c>
      <c r="BM3" t="str">
        <f>IFERROR(IF(0=LEN(ReferenceData!$BM$3),"",ReferenceData!$BM$3),"")</f>
        <v/>
      </c>
    </row>
    <row r="4" spans="1:65">
      <c r="A4" t="str">
        <f>IFERROR(IF(0=LEN(ReferenceData!$A$4),"",ReferenceData!$A$4),"")</f>
        <v>租赁收入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Median</v>
      </c>
      <c r="F4" t="str">
        <f ca="1">IFERROR(IF(0=LEN(ReferenceData!$F$4),"",ReferenceData!$F$4),"")</f>
        <v/>
      </c>
      <c r="G4">
        <f ca="1">IFERROR(IF(0=LEN(ReferenceData!$G$4),"",ReferenceData!$G$4),"")</f>
        <v>157.48050000000001</v>
      </c>
      <c r="H4">
        <f ca="1">IFERROR(IF(0=LEN(ReferenceData!$H$4),"",ReferenceData!$H$4),"")</f>
        <v>165.20650000000001</v>
      </c>
      <c r="I4">
        <f ca="1">IFERROR(IF(0=LEN(ReferenceData!$I$4),"",ReferenceData!$I$4),"")</f>
        <v>165.6515</v>
      </c>
      <c r="J4">
        <f ca="1">IFERROR(IF(0=LEN(ReferenceData!$J$4),"",ReferenceData!$J$4),"")</f>
        <v>158.67899999999997</v>
      </c>
      <c r="K4">
        <f ca="1">IFERROR(IF(0=LEN(ReferenceData!$K$4),"",ReferenceData!$K$4),"")</f>
        <v>156.54849999999999</v>
      </c>
      <c r="L4">
        <f ca="1">IFERROR(IF(0=LEN(ReferenceData!$L$4),"",ReferenceData!$L$4),"")</f>
        <v>156.04399999999998</v>
      </c>
      <c r="M4">
        <f ca="1">IFERROR(IF(0=LEN(ReferenceData!$M$4),"",ReferenceData!$M$4),"")</f>
        <v>150.828</v>
      </c>
      <c r="N4">
        <f ca="1">IFERROR(IF(0=LEN(ReferenceData!$N$4),"",ReferenceData!$N$4),"")</f>
        <v>144.83150000000001</v>
      </c>
      <c r="O4">
        <f ca="1">IFERROR(IF(0=LEN(ReferenceData!$O$4),"",ReferenceData!$O$4),"")</f>
        <v>145.80199999999999</v>
      </c>
      <c r="P4">
        <f ca="1">IFERROR(IF(0=LEN(ReferenceData!$P$4),"",ReferenceData!$P$4),"")</f>
        <v>147.04149999999998</v>
      </c>
      <c r="Q4">
        <f ca="1">IFERROR(IF(0=LEN(ReferenceData!$Q$4),"",ReferenceData!$Q$4),"")</f>
        <v>145.94549999999998</v>
      </c>
      <c r="R4">
        <f ca="1">IFERROR(IF(0=LEN(ReferenceData!$R$4),"",ReferenceData!$R$4),"")</f>
        <v>147.27699999999999</v>
      </c>
      <c r="S4">
        <f ca="1">IFERROR(IF(0=LEN(ReferenceData!$S$4),"",ReferenceData!$S$4),"")</f>
        <v>141.958</v>
      </c>
      <c r="T4">
        <f ca="1">IFERROR(IF(0=LEN(ReferenceData!$T$4),"",ReferenceData!$T$4),"")</f>
        <v>145.66399999999999</v>
      </c>
      <c r="U4">
        <f ca="1">IFERROR(IF(0=LEN(ReferenceData!$U$4),"",ReferenceData!$U$4),"")</f>
        <v>147.28300000000002</v>
      </c>
      <c r="V4">
        <f ca="1">IFERROR(IF(0=LEN(ReferenceData!$V$4),"",ReferenceData!$V$4),"")</f>
        <v>146.792</v>
      </c>
      <c r="W4">
        <f ca="1">IFERROR(IF(0=LEN(ReferenceData!$W$4),"",ReferenceData!$W$4),"")</f>
        <v>145.13749999999999</v>
      </c>
      <c r="X4">
        <f ca="1">IFERROR(IF(0=LEN(ReferenceData!$X$4),"",ReferenceData!$X$4),"")</f>
        <v>143.66300000000001</v>
      </c>
      <c r="Y4">
        <f ca="1">IFERROR(IF(0=LEN(ReferenceData!$Y$4),"",ReferenceData!$Y$4),"")</f>
        <v>134.12099999999998</v>
      </c>
      <c r="Z4">
        <f ca="1">IFERROR(IF(0=LEN(ReferenceData!$Z$4),"",ReferenceData!$Z$4),"")</f>
        <v>133.23450000000003</v>
      </c>
      <c r="AA4">
        <f ca="1">IFERROR(IF(0=LEN(ReferenceData!$AA$4),"",ReferenceData!$AA$4),"")</f>
        <v>131.34399999999999</v>
      </c>
      <c r="AB4">
        <f ca="1">IFERROR(IF(0=LEN(ReferenceData!$AB$4),"",ReferenceData!$AB$4),"")</f>
        <v>135.04950000000002</v>
      </c>
      <c r="AC4">
        <f ca="1">IFERROR(IF(0=LEN(ReferenceData!$AC$4),"",ReferenceData!$AC$4),"")</f>
        <v>132.767</v>
      </c>
      <c r="AD4">
        <f ca="1">IFERROR(IF(0=LEN(ReferenceData!$AD$4),"",ReferenceData!$AD$4),"")</f>
        <v>133.73849999999999</v>
      </c>
      <c r="AE4">
        <f ca="1">IFERROR(IF(0=LEN(ReferenceData!$AE$4),"",ReferenceData!$AE$4),"")</f>
        <v>135.72750000000002</v>
      </c>
      <c r="AF4">
        <f ca="1">IFERROR(IF(0=LEN(ReferenceData!$AF$4),"",ReferenceData!$AF$4),"")</f>
        <v>143.06650000000002</v>
      </c>
      <c r="AG4">
        <f ca="1">IFERROR(IF(0=LEN(ReferenceData!$AG$4),"",ReferenceData!$AG$4),"")</f>
        <v>141.435</v>
      </c>
      <c r="AH4">
        <f ca="1">IFERROR(IF(0=LEN(ReferenceData!$AH$4),"",ReferenceData!$AH$4),"")</f>
        <v>139.85149999999999</v>
      </c>
      <c r="AI4">
        <f ca="1">IFERROR(IF(0=LEN(ReferenceData!$AI$4),"",ReferenceData!$AI$4),"")</f>
        <v>137.517</v>
      </c>
      <c r="AJ4">
        <f ca="1">IFERROR(IF(0=LEN(ReferenceData!$AJ$4),"",ReferenceData!$AJ$4),"")</f>
        <v>137.69150000000002</v>
      </c>
      <c r="AK4">
        <f ca="1">IFERROR(IF(0=LEN(ReferenceData!$AK$4),"",ReferenceData!$AK$4),"")</f>
        <v>139.14699999999999</v>
      </c>
      <c r="AL4">
        <f ca="1">IFERROR(IF(0=LEN(ReferenceData!$AL$4),"",ReferenceData!$AL$4),"")</f>
        <v>140.69150000000002</v>
      </c>
      <c r="AM4">
        <f ca="1">IFERROR(IF(0=LEN(ReferenceData!$AM$4),"",ReferenceData!$AM$4),"")</f>
        <v>148.21949999999998</v>
      </c>
      <c r="AN4">
        <f ca="1">IFERROR(IF(0=LEN(ReferenceData!$AN$4),"",ReferenceData!$AN$4),"")</f>
        <v>143.15350000000001</v>
      </c>
      <c r="AO4">
        <f ca="1">IFERROR(IF(0=LEN(ReferenceData!$AO$4),"",ReferenceData!$AO$4),"")</f>
        <v>141.8425</v>
      </c>
      <c r="AP4">
        <f ca="1">IFERROR(IF(0=LEN(ReferenceData!$AP$4),"",ReferenceData!$AP$4),"")</f>
        <v>147.012</v>
      </c>
      <c r="AQ4">
        <f ca="1">IFERROR(IF(0=LEN(ReferenceData!$AQ$4),"",ReferenceData!$AQ$4),"")</f>
        <v>154.553</v>
      </c>
      <c r="AR4">
        <f ca="1">IFERROR(IF(0=LEN(ReferenceData!$AR$4),"",ReferenceData!$AR$4),"")</f>
        <v>154.54900000000001</v>
      </c>
      <c r="AS4">
        <f ca="1">IFERROR(IF(0=LEN(ReferenceData!$AS$4),"",ReferenceData!$AS$4),"")</f>
        <v>151.27799999999999</v>
      </c>
      <c r="AT4">
        <f ca="1">IFERROR(IF(0=LEN(ReferenceData!$AT$4),"",ReferenceData!$AT$4),"")</f>
        <v>158.34</v>
      </c>
      <c r="AU4">
        <f ca="1">IFERROR(IF(0=LEN(ReferenceData!$AU$4),"",ReferenceData!$AU$4),"")</f>
        <v>152.00399999999999</v>
      </c>
      <c r="AV4">
        <f ca="1">IFERROR(IF(0=LEN(ReferenceData!$AV$4),"",ReferenceData!$AV$4),"")</f>
        <v>148.80199999999999</v>
      </c>
      <c r="AW4">
        <f ca="1">IFERROR(IF(0=LEN(ReferenceData!$AW$4),"",ReferenceData!$AW$4),"")</f>
        <v>145.69800000000001</v>
      </c>
      <c r="AX4">
        <f ca="1">IFERROR(IF(0=LEN(ReferenceData!$AX$4),"",ReferenceData!$AX$4),"")</f>
        <v>157.965</v>
      </c>
      <c r="AY4">
        <f ca="1">IFERROR(IF(0=LEN(ReferenceData!$AY$4),"",ReferenceData!$AY$4),"")</f>
        <v>139.56</v>
      </c>
      <c r="AZ4">
        <f ca="1">IFERROR(IF(0=LEN(ReferenceData!$AZ$4),"",ReferenceData!$AZ$4),"")</f>
        <v>151.64699999999999</v>
      </c>
      <c r="BA4">
        <f ca="1">IFERROR(IF(0=LEN(ReferenceData!$BA$4),"",ReferenceData!$BA$4),"")</f>
        <v>141.107</v>
      </c>
      <c r="BB4">
        <f ca="1">IFERROR(IF(0=LEN(ReferenceData!$BB$4),"",ReferenceData!$BB$4),"")</f>
        <v>139.04900000000001</v>
      </c>
      <c r="BC4">
        <f ca="1">IFERROR(IF(0=LEN(ReferenceData!$BC$4),"",ReferenceData!$BC$4),"")</f>
        <v>95.230999999999995</v>
      </c>
      <c r="BD4">
        <f ca="1">IFERROR(IF(0=LEN(ReferenceData!$BD$4),"",ReferenceData!$BD$4),"")</f>
        <v>100.051</v>
      </c>
      <c r="BE4">
        <f ca="1">IFERROR(IF(0=LEN(ReferenceData!$BE$4),"",ReferenceData!$BE$4),"")</f>
        <v>101.238</v>
      </c>
      <c r="BF4">
        <f ca="1">IFERROR(IF(0=LEN(ReferenceData!$BF$4),"",ReferenceData!$BF$4),"")</f>
        <v>102.166</v>
      </c>
      <c r="BG4">
        <f ca="1">IFERROR(IF(0=LEN(ReferenceData!$BG$4),"",ReferenceData!$BG$4),"")</f>
        <v>93.016000000000005</v>
      </c>
      <c r="BH4">
        <f ca="1">IFERROR(IF(0=LEN(ReferenceData!$BH$4),"",ReferenceData!$BH$4),"")</f>
        <v>102.026</v>
      </c>
      <c r="BI4">
        <f ca="1">IFERROR(IF(0=LEN(ReferenceData!$BI$4),"",ReferenceData!$BI$4),"")</f>
        <v>106.508</v>
      </c>
      <c r="BJ4">
        <f ca="1">IFERROR(IF(0=LEN(ReferenceData!$BJ$4),"",ReferenceData!$BJ$4),"")</f>
        <v>117.92100000000001</v>
      </c>
      <c r="BK4">
        <f ca="1">IFERROR(IF(0=LEN(ReferenceData!$BK$4),"",ReferenceData!$BK$4),"")</f>
        <v>123.8550034</v>
      </c>
      <c r="BL4">
        <f ca="1">IFERROR(IF(0=LEN(ReferenceData!$BL$4),"",ReferenceData!$BL$4),"")</f>
        <v>106.0749969</v>
      </c>
      <c r="BM4">
        <f ca="1">IFERROR(IF(0=LEN(ReferenceData!$BM$4),"",ReferenceData!$BM$4),"")</f>
        <v>84.680999760000006</v>
      </c>
    </row>
    <row r="5" spans="1:65">
      <c r="A5" t="str">
        <f>IFERROR(IF(0=LEN(ReferenceData!$A$5),"",ReferenceData!$A$5),"")</f>
        <v xml:space="preserve">    Boston Properties Inc</v>
      </c>
      <c r="B5" t="str">
        <f>IFERROR(IF(0=LEN(ReferenceData!$B$5),"",ReferenceData!$B$5),"")</f>
        <v>BXP US Equity</v>
      </c>
      <c r="C5" t="str">
        <f>IFERROR(IF(0=LEN(ReferenceData!$C$5),"",ReferenceData!$C$5),"")</f>
        <v>IS030</v>
      </c>
      <c r="D5" t="str">
        <f>IFERROR(IF(0=LEN(ReferenceData!$D$5),"",ReferenceData!$D$5),"")</f>
        <v>IS_RENT_INC</v>
      </c>
      <c r="E5" t="str">
        <f>IFERROR(IF(0=LEN(ReferenceData!$E$5),"",ReferenceData!$E$5),"")</f>
        <v>动态</v>
      </c>
      <c r="F5" t="str">
        <f ca="1">IFERROR(IF(0=LEN(ReferenceData!$F$5),"",ReferenceData!$F$5),"")</f>
        <v/>
      </c>
      <c r="G5">
        <f ca="1">IFERROR(IF(0=LEN(ReferenceData!$G$5),"",ReferenceData!$G$5),"")</f>
        <v>633.52800000000002</v>
      </c>
      <c r="H5">
        <f ca="1">IFERROR(IF(0=LEN(ReferenceData!$H$5),"",ReferenceData!$H$5),"")</f>
        <v>633.83699999999999</v>
      </c>
      <c r="I5">
        <f ca="1">IFERROR(IF(0=LEN(ReferenceData!$I$5),"",ReferenceData!$I$5),"")</f>
        <v>636.16700000000003</v>
      </c>
      <c r="J5">
        <f ca="1">IFERROR(IF(0=LEN(ReferenceData!$J$5),"",ReferenceData!$J$5),"")</f>
        <v>618.33600000000001</v>
      </c>
      <c r="K5">
        <f ca="1">IFERROR(IF(0=LEN(ReferenceData!$K$5),"",ReferenceData!$K$5),"")</f>
        <v>615.39800000000002</v>
      </c>
      <c r="L5">
        <f ca="1">IFERROR(IF(0=LEN(ReferenceData!$L$5),"",ReferenceData!$L$5),"")</f>
        <v>606.51</v>
      </c>
      <c r="M5">
        <f ca="1">IFERROR(IF(0=LEN(ReferenceData!$M$5),"",ReferenceData!$M$5),"")</f>
        <v>605.20500000000004</v>
      </c>
      <c r="N5">
        <f ca="1">IFERROR(IF(0=LEN(ReferenceData!$N$5),"",ReferenceData!$N$5),"")</f>
        <v>650.53899999999999</v>
      </c>
      <c r="O5">
        <f ca="1">IFERROR(IF(0=LEN(ReferenceData!$O$5),"",ReferenceData!$O$5),"")</f>
        <v>606.84900000000005</v>
      </c>
      <c r="P5">
        <f ca="1">IFERROR(IF(0=LEN(ReferenceData!$P$5),"",ReferenceData!$P$5),"")</f>
        <v>611.35299999999995</v>
      </c>
      <c r="Q5">
        <f ca="1">IFERROR(IF(0=LEN(ReferenceData!$Q$5),"",ReferenceData!$Q$5),"")</f>
        <v>599.95600000000002</v>
      </c>
      <c r="R5">
        <f ca="1">IFERROR(IF(0=LEN(ReferenceData!$R$5),"",ReferenceData!$R$5),"")</f>
        <v>604.06299999999999</v>
      </c>
      <c r="S5">
        <f ca="1">IFERROR(IF(0=LEN(ReferenceData!$S$5),"",ReferenceData!$S$5),"")</f>
        <v>595.68100000000004</v>
      </c>
      <c r="T5">
        <f ca="1">IFERROR(IF(0=LEN(ReferenceData!$T$5),"",ReferenceData!$T$5),"")</f>
        <v>574.17399999999998</v>
      </c>
      <c r="U5">
        <f ca="1">IFERROR(IF(0=LEN(ReferenceData!$U$5),"",ReferenceData!$U$5),"")</f>
        <v>544.62099999999998</v>
      </c>
      <c r="V5">
        <f ca="1">IFERROR(IF(0=LEN(ReferenceData!$V$5),"",ReferenceData!$V$5),"")</f>
        <v>561.28499999999997</v>
      </c>
      <c r="W5">
        <f ca="1">IFERROR(IF(0=LEN(ReferenceData!$W$5),"",ReferenceData!$W$5),"")</f>
        <v>558.298</v>
      </c>
      <c r="X5">
        <f ca="1">IFERROR(IF(0=LEN(ReferenceData!$X$5),"",ReferenceData!$X$5),"")</f>
        <v>532.70500000000004</v>
      </c>
      <c r="Y5">
        <f ca="1">IFERROR(IF(0=LEN(ReferenceData!$Y$5),"",ReferenceData!$Y$5),"")</f>
        <v>467.51299999999998</v>
      </c>
      <c r="Z5">
        <f ca="1">IFERROR(IF(0=LEN(ReferenceData!$Z$5),"",ReferenceData!$Z$5),"")</f>
        <v>460.80200000000002</v>
      </c>
      <c r="AA5">
        <f ca="1">IFERROR(IF(0=LEN(ReferenceData!$AA$5),"",ReferenceData!$AA$5),"")</f>
        <v>458.01600000000002</v>
      </c>
      <c r="AB5">
        <f ca="1">IFERROR(IF(0=LEN(ReferenceData!$AB$5),"",ReferenceData!$AB$5),"")</f>
        <v>430.45100000000002</v>
      </c>
      <c r="AC5">
        <f ca="1">IFERROR(IF(0=LEN(ReferenceData!$AC$5),"",ReferenceData!$AC$5),"")</f>
        <v>428.38</v>
      </c>
      <c r="AD5">
        <f ca="1">IFERROR(IF(0=LEN(ReferenceData!$AD$5),"",ReferenceData!$AD$5),"")</f>
        <v>406.47300000000001</v>
      </c>
      <c r="AE5">
        <f ca="1">IFERROR(IF(0=LEN(ReferenceData!$AE$5),"",ReferenceData!$AE$5),"")</f>
        <v>408.95299999999997</v>
      </c>
      <c r="AF5">
        <f ca="1">IFERROR(IF(0=LEN(ReferenceData!$AF$5),"",ReferenceData!$AF$5),"")</f>
        <v>411.80099999999999</v>
      </c>
      <c r="AG5">
        <f ca="1">IFERROR(IF(0=LEN(ReferenceData!$AG$5),"",ReferenceData!$AG$5),"")</f>
        <v>394.77</v>
      </c>
      <c r="AH5">
        <f ca="1">IFERROR(IF(0=LEN(ReferenceData!$AH$5),"",ReferenceData!$AH$5),"")</f>
        <v>384.774</v>
      </c>
      <c r="AI5">
        <f ca="1">IFERROR(IF(0=LEN(ReferenceData!$AI$5),"",ReferenceData!$AI$5),"")</f>
        <v>358.08800000000002</v>
      </c>
      <c r="AJ5">
        <f ca="1">IFERROR(IF(0=LEN(ReferenceData!$AJ$5),"",ReferenceData!$AJ$5),"")</f>
        <v>356.10500000000002</v>
      </c>
      <c r="AK5">
        <f ca="1">IFERROR(IF(0=LEN(ReferenceData!$AK$5),"",ReferenceData!$AK$5),"")</f>
        <v>350.16300000000001</v>
      </c>
      <c r="AL5">
        <f ca="1">IFERROR(IF(0=LEN(ReferenceData!$AL$5),"",ReferenceData!$AL$5),"")</f>
        <v>347.92700000000002</v>
      </c>
      <c r="AM5">
        <f ca="1">IFERROR(IF(0=LEN(ReferenceData!$AM$5),"",ReferenceData!$AM$5),"")</f>
        <v>342.21699999999998</v>
      </c>
      <c r="AN5">
        <f ca="1">IFERROR(IF(0=LEN(ReferenceData!$AN$5),"",ReferenceData!$AN$5),"")</f>
        <v>343.50299999999999</v>
      </c>
      <c r="AO5">
        <f ca="1">IFERROR(IF(0=LEN(ReferenceData!$AO$5),"",ReferenceData!$AO$5),"")</f>
        <v>354.685</v>
      </c>
      <c r="AP5">
        <f ca="1">IFERROR(IF(0=LEN(ReferenceData!$AP$5),"",ReferenceData!$AP$5),"")</f>
        <v>345.92500000000001</v>
      </c>
      <c r="AQ5">
        <f ca="1">IFERROR(IF(0=LEN(ReferenceData!$AQ$5),"",ReferenceData!$AQ$5),"")</f>
        <v>368.23899999999998</v>
      </c>
      <c r="AR5">
        <f ca="1">IFERROR(IF(0=LEN(ReferenceData!$AR$5),"",ReferenceData!$AR$5),"")</f>
        <v>338.79700000000003</v>
      </c>
      <c r="AS5">
        <f ca="1">IFERROR(IF(0=LEN(ReferenceData!$AS$5),"",ReferenceData!$AS$5),"")</f>
        <v>348.23700000000002</v>
      </c>
      <c r="AT5">
        <f ca="1">IFERROR(IF(0=LEN(ReferenceData!$AT$5),"",ReferenceData!$AT$5),"")</f>
        <v>346.779</v>
      </c>
      <c r="AU5">
        <f ca="1">IFERROR(IF(0=LEN(ReferenceData!$AU$5),"",ReferenceData!$AU$5),"")</f>
        <v>340.85899999999998</v>
      </c>
      <c r="AV5">
        <f ca="1">IFERROR(IF(0=LEN(ReferenceData!$AV$5),"",ReferenceData!$AV$5),"")</f>
        <v>329.53899999999999</v>
      </c>
      <c r="AW5">
        <f ca="1">IFERROR(IF(0=LEN(ReferenceData!$AW$5),"",ReferenceData!$AW$5),"")</f>
        <v>331.54300000000001</v>
      </c>
      <c r="AX5">
        <f ca="1">IFERROR(IF(0=LEN(ReferenceData!$AX$5),"",ReferenceData!$AX$5),"")</f>
        <v>332.279</v>
      </c>
      <c r="AY5">
        <f ca="1">IFERROR(IF(0=LEN(ReferenceData!$AY$5),"",ReferenceData!$AY$5),"")</f>
        <v>324.03899999999999</v>
      </c>
      <c r="AZ5">
        <f ca="1">IFERROR(IF(0=LEN(ReferenceData!$AZ$5),"",ReferenceData!$AZ$5),"")</f>
        <v>332.00900000000001</v>
      </c>
      <c r="BA5">
        <f ca="1">IFERROR(IF(0=LEN(ReferenceData!$BA$5),"",ReferenceData!$BA$5),"")</f>
        <v>335.76600000000002</v>
      </c>
      <c r="BB5">
        <f ca="1">IFERROR(IF(0=LEN(ReferenceData!$BB$5),"",ReferenceData!$BB$5),"")</f>
        <v>336.30200000000002</v>
      </c>
      <c r="BC5">
        <f ca="1">IFERROR(IF(0=LEN(ReferenceData!$BC$5),"",ReferenceData!$BC$5),"")</f>
        <v>337.73200000000003</v>
      </c>
      <c r="BD5">
        <f ca="1">IFERROR(IF(0=LEN(ReferenceData!$BD$5),"",ReferenceData!$BD$5),"")</f>
        <v>331.976</v>
      </c>
      <c r="BE5">
        <f ca="1">IFERROR(IF(0=LEN(ReferenceData!$BE$5),"",ReferenceData!$BE$5),"")</f>
        <v>333.31599999999997</v>
      </c>
      <c r="BF5">
        <f ca="1">IFERROR(IF(0=LEN(ReferenceData!$BF$5),"",ReferenceData!$BF$5),"")</f>
        <v>336.01</v>
      </c>
      <c r="BG5">
        <f ca="1">IFERROR(IF(0=LEN(ReferenceData!$BG$5),"",ReferenceData!$BG$5),"")</f>
        <v>332.11399999999998</v>
      </c>
      <c r="BH5">
        <f ca="1">IFERROR(IF(0=LEN(ReferenceData!$BH$5),"",ReferenceData!$BH$5),"")</f>
        <v>332.62900000000002</v>
      </c>
      <c r="BI5">
        <f ca="1">IFERROR(IF(0=LEN(ReferenceData!$BI$5),"",ReferenceData!$BI$5),"")</f>
        <v>318.91199999999998</v>
      </c>
      <c r="BJ5">
        <f ca="1">IFERROR(IF(0=LEN(ReferenceData!$BJ$5),"",ReferenceData!$BJ$5),"")</f>
        <v>309.62200000000001</v>
      </c>
      <c r="BK5">
        <f ca="1">IFERROR(IF(0=LEN(ReferenceData!$BK$5),"",ReferenceData!$BK$5),"")</f>
        <v>306.40701300000001</v>
      </c>
      <c r="BL5">
        <f ca="1">IFERROR(IF(0=LEN(ReferenceData!$BL$5),"",ReferenceData!$BL$5),"")</f>
        <v>305.84298699999999</v>
      </c>
      <c r="BM5">
        <f ca="1">IFERROR(IF(0=LEN(ReferenceData!$BM$5),"",ReferenceData!$BM$5),"")</f>
        <v>297.79000000000002</v>
      </c>
    </row>
    <row r="6" spans="1:65">
      <c r="A6" t="str">
        <f>IFERROR(IF(0=LEN(ReferenceData!$A$6),"",ReferenceData!$A$6),"")</f>
        <v xml:space="preserve">    Brandywine Realty Trust</v>
      </c>
      <c r="B6" t="str">
        <f>IFERROR(IF(0=LEN(ReferenceData!$B$6),"",ReferenceData!$B$6),"")</f>
        <v>BDN US Equity</v>
      </c>
      <c r="C6" t="str">
        <f>IFERROR(IF(0=LEN(ReferenceData!$C$6),"",ReferenceData!$C$6),"")</f>
        <v>IS030</v>
      </c>
      <c r="D6" t="str">
        <f>IFERROR(IF(0=LEN(ReferenceData!$D$6),"",ReferenceData!$D$6),"")</f>
        <v>IS_RENT_INC</v>
      </c>
      <c r="E6" t="str">
        <f>IFERROR(IF(0=LEN(ReferenceData!$E$6),"",ReferenceData!$E$6),"")</f>
        <v>动态</v>
      </c>
      <c r="F6" t="str">
        <f ca="1">IFERROR(IF(0=LEN(ReferenceData!$F$6),"",ReferenceData!$F$6),"")</f>
        <v/>
      </c>
      <c r="G6">
        <f ca="1">IFERROR(IF(0=LEN(ReferenceData!$G$6),"",ReferenceData!$G$6),"")</f>
        <v>123.69499999999999</v>
      </c>
      <c r="H6">
        <f ca="1">IFERROR(IF(0=LEN(ReferenceData!$H$6),"",ReferenceData!$H$6),"")</f>
        <v>119.79600000000001</v>
      </c>
      <c r="I6">
        <f ca="1">IFERROR(IF(0=LEN(ReferenceData!$I$6),"",ReferenceData!$I$6),"")</f>
        <v>119.595</v>
      </c>
      <c r="J6">
        <f ca="1">IFERROR(IF(0=LEN(ReferenceData!$J$6),"",ReferenceData!$J$6),"")</f>
        <v>121.867</v>
      </c>
      <c r="K6">
        <f ca="1">IFERROR(IF(0=LEN(ReferenceData!$K$6),"",ReferenceData!$K$6),"")</f>
        <v>120.495</v>
      </c>
      <c r="L6">
        <f ca="1">IFERROR(IF(0=LEN(ReferenceData!$L$6),"",ReferenceData!$L$6),"")</f>
        <v>121.861</v>
      </c>
      <c r="M6">
        <f ca="1">IFERROR(IF(0=LEN(ReferenceData!$M$6),"",ReferenceData!$M$6),"")</f>
        <v>119.56100000000001</v>
      </c>
      <c r="N6">
        <f ca="1">IFERROR(IF(0=LEN(ReferenceData!$N$6),"",ReferenceData!$N$6),"")</f>
        <v>130.21700000000001</v>
      </c>
      <c r="O6">
        <f ca="1">IFERROR(IF(0=LEN(ReferenceData!$O$6),"",ReferenceData!$O$6),"")</f>
        <v>144.64699999999999</v>
      </c>
      <c r="P6">
        <f ca="1">IFERROR(IF(0=LEN(ReferenceData!$P$6),"",ReferenceData!$P$6),"")</f>
        <v>145.816</v>
      </c>
      <c r="Q6">
        <f ca="1">IFERROR(IF(0=LEN(ReferenceData!$Q$6),"",ReferenceData!$Q$6),"")</f>
        <v>138.92599999999999</v>
      </c>
      <c r="R6">
        <f ca="1">IFERROR(IF(0=LEN(ReferenceData!$R$6),"",ReferenceData!$R$6),"")</f>
        <v>143.06399999999999</v>
      </c>
      <c r="S6">
        <f ca="1">IFERROR(IF(0=LEN(ReferenceData!$S$6),"",ReferenceData!$S$6),"")</f>
        <v>140.923</v>
      </c>
      <c r="T6">
        <f ca="1">IFERROR(IF(0=LEN(ReferenceData!$T$6),"",ReferenceData!$T$6),"")</f>
        <v>140.38300000000001</v>
      </c>
      <c r="U6">
        <f ca="1">IFERROR(IF(0=LEN(ReferenceData!$U$6),"",ReferenceData!$U$6),"")</f>
        <v>142.124</v>
      </c>
      <c r="V6">
        <f ca="1">IFERROR(IF(0=LEN(ReferenceData!$V$6),"",ReferenceData!$V$6),"")</f>
        <v>145.131</v>
      </c>
      <c r="W6">
        <f ca="1">IFERROR(IF(0=LEN(ReferenceData!$W$6),"",ReferenceData!$W$6),"")</f>
        <v>132.82499999999999</v>
      </c>
      <c r="X6">
        <f ca="1">IFERROR(IF(0=LEN(ReferenceData!$X$6),"",ReferenceData!$X$6),"")</f>
        <v>137.07599999999999</v>
      </c>
      <c r="Y6">
        <f ca="1">IFERROR(IF(0=LEN(ReferenceData!$Y$6),"",ReferenceData!$Y$6),"")</f>
        <v>135.624</v>
      </c>
      <c r="Z6">
        <f ca="1">IFERROR(IF(0=LEN(ReferenceData!$Z$6),"",ReferenceData!$Z$6),"")</f>
        <v>134.94900000000001</v>
      </c>
      <c r="AA6">
        <f ca="1">IFERROR(IF(0=LEN(ReferenceData!$AA$6),"",ReferenceData!$AA$6),"")</f>
        <v>130.90799999999999</v>
      </c>
      <c r="AB6">
        <f ca="1">IFERROR(IF(0=LEN(ReferenceData!$AB$6),"",ReferenceData!$AB$6),"")</f>
        <v>128.952</v>
      </c>
      <c r="AC6">
        <f ca="1">IFERROR(IF(0=LEN(ReferenceData!$AC$6),"",ReferenceData!$AC$6),"")</f>
        <v>127.94199999999999</v>
      </c>
      <c r="AD6">
        <f ca="1">IFERROR(IF(0=LEN(ReferenceData!$AD$6),"",ReferenceData!$AD$6),"")</f>
        <v>128.39500000000001</v>
      </c>
      <c r="AE6">
        <f ca="1">IFERROR(IF(0=LEN(ReferenceData!$AE$6),"",ReferenceData!$AE$6),"")</f>
        <v>136.113</v>
      </c>
      <c r="AF6">
        <f ca="1">IFERROR(IF(0=LEN(ReferenceData!$AF$6),"",ReferenceData!$AF$6),"")</f>
        <v>135.261</v>
      </c>
      <c r="AG6">
        <f ca="1">IFERROR(IF(0=LEN(ReferenceData!$AG$6),"",ReferenceData!$AG$6),"")</f>
        <v>133.232</v>
      </c>
      <c r="AH6">
        <f ca="1">IFERROR(IF(0=LEN(ReferenceData!$AH$6),"",ReferenceData!$AH$6),"")</f>
        <v>139.89400000000001</v>
      </c>
      <c r="AI6">
        <f ca="1">IFERROR(IF(0=LEN(ReferenceData!$AI$6),"",ReferenceData!$AI$6),"")</f>
        <v>140.749</v>
      </c>
      <c r="AJ6">
        <f ca="1">IFERROR(IF(0=LEN(ReferenceData!$AJ$6),"",ReferenceData!$AJ$6),"")</f>
        <v>136.304</v>
      </c>
      <c r="AK6">
        <f ca="1">IFERROR(IF(0=LEN(ReferenceData!$AK$6),"",ReferenceData!$AK$6),"")</f>
        <v>130.24</v>
      </c>
      <c r="AL6">
        <f ca="1">IFERROR(IF(0=LEN(ReferenceData!$AL$6),"",ReferenceData!$AL$6),"")</f>
        <v>135.292</v>
      </c>
      <c r="AM6">
        <f ca="1">IFERROR(IF(0=LEN(ReferenceData!$AM$6),"",ReferenceData!$AM$6),"")</f>
        <v>141.65799999999999</v>
      </c>
      <c r="AN6">
        <f ca="1">IFERROR(IF(0=LEN(ReferenceData!$AN$6),"",ReferenceData!$AN$6),"")</f>
        <v>138.10499999999999</v>
      </c>
      <c r="AO6">
        <f ca="1">IFERROR(IF(0=LEN(ReferenceData!$AO$6),"",ReferenceData!$AO$6),"")</f>
        <v>136.44399999999999</v>
      </c>
      <c r="AP6">
        <f ca="1">IFERROR(IF(0=LEN(ReferenceData!$AP$6),"",ReferenceData!$AP$6),"")</f>
        <v>140.97300000000001</v>
      </c>
      <c r="AQ6">
        <f ca="1">IFERROR(IF(0=LEN(ReferenceData!$AQ$6),"",ReferenceData!$AQ$6),"")</f>
        <v>143.04</v>
      </c>
      <c r="AR6">
        <f ca="1">IFERROR(IF(0=LEN(ReferenceData!$AR$6),"",ReferenceData!$AR$6),"")</f>
        <v>138.83799999999999</v>
      </c>
      <c r="AS6">
        <f ca="1">IFERROR(IF(0=LEN(ReferenceData!$AS$6),"",ReferenceData!$AS$6),"")</f>
        <v>143.89699999999999</v>
      </c>
      <c r="AT6">
        <f ca="1">IFERROR(IF(0=LEN(ReferenceData!$AT$6),"",ReferenceData!$AT$6),"")</f>
        <v>142.55000000000001</v>
      </c>
      <c r="AU6">
        <f ca="1">IFERROR(IF(0=LEN(ReferenceData!$AU$6),"",ReferenceData!$AU$6),"")</f>
        <v>152.00399999999999</v>
      </c>
      <c r="AV6">
        <f ca="1">IFERROR(IF(0=LEN(ReferenceData!$AV$6),"",ReferenceData!$AV$6),"")</f>
        <v>148.80199999999999</v>
      </c>
      <c r="AW6">
        <f ca="1">IFERROR(IF(0=LEN(ReferenceData!$AW$6),"",ReferenceData!$AW$6),"")</f>
        <v>145.07900000000001</v>
      </c>
      <c r="AX6">
        <f ca="1">IFERROR(IF(0=LEN(ReferenceData!$AX$6),"",ReferenceData!$AX$6),"")</f>
        <v>157.965</v>
      </c>
      <c r="AY6">
        <f ca="1">IFERROR(IF(0=LEN(ReferenceData!$AY$6),"",ReferenceData!$AY$6),"")</f>
        <v>169.649</v>
      </c>
      <c r="AZ6">
        <f ca="1">IFERROR(IF(0=LEN(ReferenceData!$AZ$6),"",ReferenceData!$AZ$6),"")</f>
        <v>154.297</v>
      </c>
      <c r="BA6">
        <f ca="1">IFERROR(IF(0=LEN(ReferenceData!$BA$6),"",ReferenceData!$BA$6),"")</f>
        <v>145.96299999999999</v>
      </c>
      <c r="BB6">
        <f ca="1">IFERROR(IF(0=LEN(ReferenceData!$BB$6),"",ReferenceData!$BB$6),"")</f>
        <v>139.703</v>
      </c>
      <c r="BC6">
        <f ca="1">IFERROR(IF(0=LEN(ReferenceData!$BC$6),"",ReferenceData!$BC$6),"")</f>
        <v>95.230999999999995</v>
      </c>
      <c r="BD6">
        <f ca="1">IFERROR(IF(0=LEN(ReferenceData!$BD$6),"",ReferenceData!$BD$6),"")</f>
        <v>91.998000000000005</v>
      </c>
      <c r="BE6">
        <f ca="1">IFERROR(IF(0=LEN(ReferenceData!$BE$6),"",ReferenceData!$BE$6),"")</f>
        <v>92.692999999999998</v>
      </c>
      <c r="BF6">
        <f ca="1">IFERROR(IF(0=LEN(ReferenceData!$BF$6),"",ReferenceData!$BF$6),"")</f>
        <v>93.31</v>
      </c>
      <c r="BG6">
        <f ca="1">IFERROR(IF(0=LEN(ReferenceData!$BG$6),"",ReferenceData!$BG$6),"")</f>
        <v>93.016000000000005</v>
      </c>
      <c r="BH6">
        <f ca="1">IFERROR(IF(0=LEN(ReferenceData!$BH$6),"",ReferenceData!$BH$6),"")</f>
        <v>76.14</v>
      </c>
      <c r="BI6">
        <f ca="1">IFERROR(IF(0=LEN(ReferenceData!$BI$6),"",ReferenceData!$BI$6),"")</f>
        <v>72.373999999999995</v>
      </c>
      <c r="BJ6">
        <f ca="1">IFERROR(IF(0=LEN(ReferenceData!$BJ$6),"",ReferenceData!$BJ$6),"")</f>
        <v>71.822999999999993</v>
      </c>
      <c r="BK6" t="str">
        <f ca="1">IFERROR(IF(0=LEN(ReferenceData!$BK$6),"",ReferenceData!$BK$6),"")</f>
        <v/>
      </c>
      <c r="BL6">
        <f ca="1">IFERROR(IF(0=LEN(ReferenceData!$BL$6),"",ReferenceData!$BL$6),"")</f>
        <v>73.399000000000001</v>
      </c>
      <c r="BM6">
        <f ca="1">IFERROR(IF(0=LEN(ReferenceData!$BM$6),"",ReferenceData!$BM$6),"")</f>
        <v>73.108000000000004</v>
      </c>
    </row>
    <row r="7" spans="1:65">
      <c r="A7" t="str">
        <f>IFERROR(IF(0=LEN(ReferenceData!$A$7),"",ReferenceData!$A$7),"")</f>
        <v xml:space="preserve">    Columbia Property Trust Inc</v>
      </c>
      <c r="B7" t="str">
        <f>IFERROR(IF(0=LEN(ReferenceData!$B$7),"",ReferenceData!$B$7),"")</f>
        <v>CXP US Equity</v>
      </c>
      <c r="C7" t="str">
        <f>IFERROR(IF(0=LEN(ReferenceData!$C$7),"",ReferenceData!$C$7),"")</f>
        <v>IS030</v>
      </c>
      <c r="D7" t="str">
        <f>IFERROR(IF(0=LEN(ReferenceData!$D$7),"",ReferenceData!$D$7),"")</f>
        <v>IS_RENT_INC</v>
      </c>
      <c r="E7" t="str">
        <f>IFERROR(IF(0=LEN(ReferenceData!$E$7),"",ReferenceData!$E$7),"")</f>
        <v>动态</v>
      </c>
      <c r="F7" t="str">
        <f ca="1">IFERROR(IF(0=LEN(ReferenceData!$F$7),"",ReferenceData!$F$7),"")</f>
        <v/>
      </c>
      <c r="G7">
        <f ca="1">IFERROR(IF(0=LEN(ReferenceData!$G$7),"",ReferenceData!$G$7),"")</f>
        <v>69.968999999999994</v>
      </c>
      <c r="H7">
        <f ca="1">IFERROR(IF(0=LEN(ReferenceData!$H$7),"",ReferenceData!$H$7),"")</f>
        <v>59.207999999999998</v>
      </c>
      <c r="I7">
        <f ca="1">IFERROR(IF(0=LEN(ReferenceData!$I$7),"",ReferenceData!$I$7),"")</f>
        <v>74.856999999999999</v>
      </c>
      <c r="J7">
        <f ca="1">IFERROR(IF(0=LEN(ReferenceData!$J$7),"",ReferenceData!$J$7),"")</f>
        <v>80.816999999999993</v>
      </c>
      <c r="K7">
        <f ca="1">IFERROR(IF(0=LEN(ReferenceData!$K$7),"",ReferenceData!$K$7),"")</f>
        <v>100.59099999999999</v>
      </c>
      <c r="L7">
        <f ca="1">IFERROR(IF(0=LEN(ReferenceData!$L$7),"",ReferenceData!$L$7),"")</f>
        <v>106.996</v>
      </c>
      <c r="M7">
        <f ca="1">IFERROR(IF(0=LEN(ReferenceData!$M$7),"",ReferenceData!$M$7),"")</f>
        <v>121.379</v>
      </c>
      <c r="N7">
        <f ca="1">IFERROR(IF(0=LEN(ReferenceData!$N$7),"",ReferenceData!$N$7),"")</f>
        <v>121.916</v>
      </c>
      <c r="O7">
        <f ca="1">IFERROR(IF(0=LEN(ReferenceData!$O$7),"",ReferenceData!$O$7),"")</f>
        <v>127.268</v>
      </c>
      <c r="P7">
        <f ca="1">IFERROR(IF(0=LEN(ReferenceData!$P$7),"",ReferenceData!$P$7),"")</f>
        <v>130.77799999999999</v>
      </c>
      <c r="Q7">
        <f ca="1">IFERROR(IF(0=LEN(ReferenceData!$Q$7),"",ReferenceData!$Q$7),"")</f>
        <v>141.16</v>
      </c>
      <c r="R7">
        <f ca="1">IFERROR(IF(0=LEN(ReferenceData!$R$7),"",ReferenceData!$R$7),"")</f>
        <v>142.55000000000001</v>
      </c>
      <c r="S7">
        <f ca="1">IFERROR(IF(0=LEN(ReferenceData!$S$7),"",ReferenceData!$S$7),"")</f>
        <v>132.304</v>
      </c>
      <c r="T7">
        <f ca="1">IFERROR(IF(0=LEN(ReferenceData!$T$7),"",ReferenceData!$T$7),"")</f>
        <v>130.249</v>
      </c>
      <c r="U7">
        <f ca="1">IFERROR(IF(0=LEN(ReferenceData!$U$7),"",ReferenceData!$U$7),"")</f>
        <v>130.25200000000001</v>
      </c>
      <c r="V7">
        <f ca="1">IFERROR(IF(0=LEN(ReferenceData!$V$7),"",ReferenceData!$V$7),"")</f>
        <v>125.107</v>
      </c>
      <c r="W7">
        <f ca="1">IFERROR(IF(0=LEN(ReferenceData!$W$7),"",ReferenceData!$W$7),"")</f>
        <v>127.935</v>
      </c>
      <c r="X7">
        <f ca="1">IFERROR(IF(0=LEN(ReferenceData!$X$7),"",ReferenceData!$X$7),"")</f>
        <v>125.714</v>
      </c>
      <c r="Y7">
        <f ca="1">IFERROR(IF(0=LEN(ReferenceData!$Y$7),"",ReferenceData!$Y$7),"")</f>
        <v>125.33499999999999</v>
      </c>
      <c r="Z7">
        <f ca="1">IFERROR(IF(0=LEN(ReferenceData!$Z$7),"",ReferenceData!$Z$7),"")</f>
        <v>123.83799999999999</v>
      </c>
      <c r="AA7">
        <f ca="1">IFERROR(IF(0=LEN(ReferenceData!$AA$7),"",ReferenceData!$AA$7),"")</f>
        <v>119.98099999999999</v>
      </c>
      <c r="AB7">
        <f ca="1">IFERROR(IF(0=LEN(ReferenceData!$AB$7),"",ReferenceData!$AB$7),"")</f>
        <v>138.01900000000001</v>
      </c>
      <c r="AC7">
        <f ca="1">IFERROR(IF(0=LEN(ReferenceData!$AC$7),"",ReferenceData!$AC$7),"")</f>
        <v>134.50800000000001</v>
      </c>
      <c r="AD7">
        <f ca="1">IFERROR(IF(0=LEN(ReferenceData!$AD$7),"",ReferenceData!$AD$7),"")</f>
        <v>136.965</v>
      </c>
      <c r="AE7">
        <f ca="1">IFERROR(IF(0=LEN(ReferenceData!$AE$7),"",ReferenceData!$AE$7),"")</f>
        <v>117.43</v>
      </c>
      <c r="AF7">
        <f ca="1">IFERROR(IF(0=LEN(ReferenceData!$AF$7),"",ReferenceData!$AF$7),"")</f>
        <v>150.87200000000001</v>
      </c>
      <c r="AG7">
        <f ca="1">IFERROR(IF(0=LEN(ReferenceData!$AG$7),"",ReferenceData!$AG$7),"")</f>
        <v>147.678</v>
      </c>
      <c r="AH7">
        <f ca="1">IFERROR(IF(0=LEN(ReferenceData!$AH$7),"",ReferenceData!$AH$7),"")</f>
        <v>139.809</v>
      </c>
      <c r="AI7">
        <f ca="1">IFERROR(IF(0=LEN(ReferenceData!$AI$7),"",ReferenceData!$AI$7),"")</f>
        <v>125.745</v>
      </c>
      <c r="AJ7">
        <f ca="1">IFERROR(IF(0=LEN(ReferenceData!$AJ$7),"",ReferenceData!$AJ$7),"")</f>
        <v>139.07900000000001</v>
      </c>
      <c r="AK7">
        <f ca="1">IFERROR(IF(0=LEN(ReferenceData!$AK$7),"",ReferenceData!$AK$7),"")</f>
        <v>134.732</v>
      </c>
      <c r="AL7">
        <f ca="1">IFERROR(IF(0=LEN(ReferenceData!$AL$7),"",ReferenceData!$AL$7),"")</f>
        <v>131.53200000000001</v>
      </c>
      <c r="AM7">
        <f ca="1">IFERROR(IF(0=LEN(ReferenceData!$AM$7),"",ReferenceData!$AM$7),"")</f>
        <v>147.94399999999999</v>
      </c>
      <c r="AN7">
        <f ca="1">IFERROR(IF(0=LEN(ReferenceData!$AN$7),"",ReferenceData!$AN$7),"")</f>
        <v>132.27600000000001</v>
      </c>
      <c r="AO7">
        <f ca="1">IFERROR(IF(0=LEN(ReferenceData!$AO$7),"",ReferenceData!$AO$7),"")</f>
        <v>134.03200000000001</v>
      </c>
      <c r="AP7">
        <f ca="1">IFERROR(IF(0=LEN(ReferenceData!$AP$7),"",ReferenceData!$AP$7),"")</f>
        <v>132.98099999999999</v>
      </c>
      <c r="AQ7" t="str">
        <f ca="1">IFERROR(IF(0=LEN(ReferenceData!$AQ$7),"",ReferenceData!$AQ$7),"")</f>
        <v/>
      </c>
      <c r="AR7" t="str">
        <f ca="1">IFERROR(IF(0=LEN(ReferenceData!$AR$7),"",ReferenceData!$AR$7),"")</f>
        <v/>
      </c>
      <c r="AS7" t="str">
        <f ca="1">IFERROR(IF(0=LEN(ReferenceData!$AS$7),"",ReferenceData!$AS$7),"")</f>
        <v/>
      </c>
      <c r="AT7" t="str">
        <f ca="1">IFERROR(IF(0=LEN(ReferenceData!$AT$7),"",ReferenceData!$AT$7),"")</f>
        <v/>
      </c>
      <c r="AU7" t="str">
        <f ca="1">IFERROR(IF(0=LEN(ReferenceData!$AU$7),"",ReferenceData!$AU$7),"")</f>
        <v/>
      </c>
      <c r="AV7" t="str">
        <f ca="1">IFERROR(IF(0=LEN(ReferenceData!$AV$7),"",ReferenceData!$AV$7),"")</f>
        <v/>
      </c>
      <c r="AW7" t="str">
        <f ca="1">IFERROR(IF(0=LEN(ReferenceData!$AW$7),"",ReferenceData!$AW$7),"")</f>
        <v/>
      </c>
      <c r="AX7" t="str">
        <f ca="1">IFERROR(IF(0=LEN(ReferenceData!$AX$7),"",ReferenceData!$AX$7),"")</f>
        <v/>
      </c>
      <c r="AY7" t="str">
        <f ca="1">IFERROR(IF(0=LEN(ReferenceData!$AY$7),"",ReferenceData!$AY$7),"")</f>
        <v/>
      </c>
      <c r="AZ7" t="str">
        <f ca="1">IFERROR(IF(0=LEN(ReferenceData!$AZ$7),"",ReferenceData!$AZ$7),"")</f>
        <v/>
      </c>
      <c r="BA7" t="str">
        <f ca="1">IFERROR(IF(0=LEN(ReferenceData!$BA$7),"",ReferenceData!$BA$7),"")</f>
        <v/>
      </c>
      <c r="BB7" t="str">
        <f ca="1">IFERROR(IF(0=LEN(ReferenceData!$BB$7),"",ReferenceData!$BB$7),"")</f>
        <v/>
      </c>
      <c r="BC7" t="str">
        <f ca="1">IFERROR(IF(0=LEN(ReferenceData!$BC$7),"",ReferenceData!$BC$7),"")</f>
        <v/>
      </c>
      <c r="BD7" t="str">
        <f ca="1">IFERROR(IF(0=LEN(ReferenceData!$BD$7),"",ReferenceData!$BD$7),"")</f>
        <v/>
      </c>
      <c r="BE7" t="str">
        <f ca="1">IFERROR(IF(0=LEN(ReferenceData!$BE$7),"",ReferenceData!$BE$7),"")</f>
        <v/>
      </c>
      <c r="BF7" t="str">
        <f ca="1">IFERROR(IF(0=LEN(ReferenceData!$BF$7),"",ReferenceData!$BF$7),"")</f>
        <v/>
      </c>
      <c r="BG7" t="str">
        <f ca="1">IFERROR(IF(0=LEN(ReferenceData!$BG$7),"",ReferenceData!$BG$7),"")</f>
        <v/>
      </c>
      <c r="BH7" t="str">
        <f ca="1">IFERROR(IF(0=LEN(ReferenceData!$BH$7),"",ReferenceData!$BH$7),"")</f>
        <v/>
      </c>
      <c r="BI7" t="str">
        <f ca="1">IFERROR(IF(0=LEN(ReferenceData!$BI$7),"",ReferenceData!$BI$7),"")</f>
        <v/>
      </c>
      <c r="BJ7" t="str">
        <f ca="1">IFERROR(IF(0=LEN(ReferenceData!$BJ$7),"",ReferenceData!$BJ$7),"")</f>
        <v/>
      </c>
      <c r="BK7" t="str">
        <f ca="1">IFERROR(IF(0=LEN(ReferenceData!$BK$7),"",ReferenceData!$BK$7),"")</f>
        <v/>
      </c>
      <c r="BL7" t="str">
        <f ca="1">IFERROR(IF(0=LEN(ReferenceData!$BL$7),"",ReferenceData!$BL$7),"")</f>
        <v/>
      </c>
      <c r="BM7" t="str">
        <f ca="1">IFERROR(IF(0=LEN(ReferenceData!$BM$7),"",ReferenceData!$BM$7),"")</f>
        <v/>
      </c>
    </row>
    <row r="8" spans="1:65">
      <c r="A8" t="str">
        <f>IFERROR(IF(0=LEN(ReferenceData!$A$8),"",ReferenceData!$A$8),"")</f>
        <v xml:space="preserve">    Corporate Office Properties Tr</v>
      </c>
      <c r="B8" t="str">
        <f>IFERROR(IF(0=LEN(ReferenceData!$B$8),"",ReferenceData!$B$8),"")</f>
        <v>OFC US Equity</v>
      </c>
      <c r="C8" t="str">
        <f>IFERROR(IF(0=LEN(ReferenceData!$C$8),"",ReferenceData!$C$8),"")</f>
        <v>IS030</v>
      </c>
      <c r="D8" t="str">
        <f>IFERROR(IF(0=LEN(ReferenceData!$D$8),"",ReferenceData!$D$8),"")</f>
        <v>IS_RENT_INC</v>
      </c>
      <c r="E8" t="str">
        <f>IFERROR(IF(0=LEN(ReferenceData!$E$8),"",ReferenceData!$E$8),"")</f>
        <v>动态</v>
      </c>
      <c r="F8" t="str">
        <f ca="1">IFERROR(IF(0=LEN(ReferenceData!$F$8),"",ReferenceData!$F$8),"")</f>
        <v/>
      </c>
      <c r="G8">
        <f ca="1">IFERROR(IF(0=LEN(ReferenceData!$G$8),"",ReferenceData!$G$8),"")</f>
        <v>127.685</v>
      </c>
      <c r="H8">
        <f ca="1">IFERROR(IF(0=LEN(ReferenceData!$H$8),"",ReferenceData!$H$8),"")</f>
        <v>127.23099999999999</v>
      </c>
      <c r="I8">
        <f ca="1">IFERROR(IF(0=LEN(ReferenceData!$I$8),"",ReferenceData!$I$8),"")</f>
        <v>128.297</v>
      </c>
      <c r="J8">
        <f ca="1">IFERROR(IF(0=LEN(ReferenceData!$J$8),"",ReferenceData!$J$8),"")</f>
        <v>126.767</v>
      </c>
      <c r="K8">
        <f ca="1">IFERROR(IF(0=LEN(ReferenceData!$K$8),"",ReferenceData!$K$8),"")</f>
        <v>127.999</v>
      </c>
      <c r="L8">
        <f ca="1">IFERROR(IF(0=LEN(ReferenceData!$L$8),"",ReferenceData!$L$8),"")</f>
        <v>130.95400000000001</v>
      </c>
      <c r="M8">
        <f ca="1">IFERROR(IF(0=LEN(ReferenceData!$M$8),"",ReferenceData!$M$8),"")</f>
        <v>133.92400000000001</v>
      </c>
      <c r="N8">
        <f ca="1">IFERROR(IF(0=LEN(ReferenceData!$N$8),"",ReferenceData!$N$8),"")</f>
        <v>133.08699999999999</v>
      </c>
      <c r="O8">
        <f ca="1">IFERROR(IF(0=LEN(ReferenceData!$O$8),"",ReferenceData!$O$8),"")</f>
        <v>134.477</v>
      </c>
      <c r="P8">
        <f ca="1">IFERROR(IF(0=LEN(ReferenceData!$P$8),"",ReferenceData!$P$8),"")</f>
        <v>133.68600000000001</v>
      </c>
      <c r="Q8">
        <f ca="1">IFERROR(IF(0=LEN(ReferenceData!$Q$8),"",ReferenceData!$Q$8),"")</f>
        <v>128.191</v>
      </c>
      <c r="R8">
        <f ca="1">IFERROR(IF(0=LEN(ReferenceData!$R$8),"",ReferenceData!$R$8),"")</f>
        <v>122.71</v>
      </c>
      <c r="S8">
        <f ca="1">IFERROR(IF(0=LEN(ReferenceData!$S$8),"",ReferenceData!$S$8),"")</f>
        <v>120.613</v>
      </c>
      <c r="T8">
        <f ca="1">IFERROR(IF(0=LEN(ReferenceData!$T$8),"",ReferenceData!$T$8),"")</f>
        <v>118.276</v>
      </c>
      <c r="U8">
        <f ca="1">IFERROR(IF(0=LEN(ReferenceData!$U$8),"",ReferenceData!$U$8),"")</f>
        <v>115.959</v>
      </c>
      <c r="V8">
        <f ca="1">IFERROR(IF(0=LEN(ReferenceData!$V$8),"",ReferenceData!$V$8),"")</f>
        <v>124.877</v>
      </c>
      <c r="W8">
        <f ca="1">IFERROR(IF(0=LEN(ReferenceData!$W$8),"",ReferenceData!$W$8),"")</f>
        <v>118.48699999999999</v>
      </c>
      <c r="X8">
        <f ca="1">IFERROR(IF(0=LEN(ReferenceData!$X$8),"",ReferenceData!$X$8),"")</f>
        <v>114.821</v>
      </c>
      <c r="Y8">
        <f ca="1">IFERROR(IF(0=LEN(ReferenceData!$Y$8),"",ReferenceData!$Y$8),"")</f>
        <v>115.732</v>
      </c>
      <c r="Z8">
        <f ca="1">IFERROR(IF(0=LEN(ReferenceData!$Z$8),"",ReferenceData!$Z$8),"")</f>
        <v>111.95699999999999</v>
      </c>
      <c r="AA8">
        <f ca="1">IFERROR(IF(0=LEN(ReferenceData!$AA$8),"",ReferenceData!$AA$8),"")</f>
        <v>112.611</v>
      </c>
      <c r="AB8">
        <f ca="1">IFERROR(IF(0=LEN(ReferenceData!$AB$8),"",ReferenceData!$AB$8),"")</f>
        <v>114.861</v>
      </c>
      <c r="AC8">
        <f ca="1">IFERROR(IF(0=LEN(ReferenceData!$AC$8),"",ReferenceData!$AC$8),"")</f>
        <v>110.669</v>
      </c>
      <c r="AD8">
        <f ca="1">IFERROR(IF(0=LEN(ReferenceData!$AD$8),"",ReferenceData!$AD$8),"")</f>
        <v>110.661</v>
      </c>
      <c r="AE8">
        <f ca="1">IFERROR(IF(0=LEN(ReferenceData!$AE$8),"",ReferenceData!$AE$8),"")</f>
        <v>111.483</v>
      </c>
      <c r="AF8">
        <f ca="1">IFERROR(IF(0=LEN(ReferenceData!$AF$8),"",ReferenceData!$AF$8),"")</f>
        <v>107.97799999999999</v>
      </c>
      <c r="AG8">
        <f ca="1">IFERROR(IF(0=LEN(ReferenceData!$AG$8),"",ReferenceData!$AG$8),"")</f>
        <v>109.01900000000001</v>
      </c>
      <c r="AH8">
        <f ca="1">IFERROR(IF(0=LEN(ReferenceData!$AH$8),"",ReferenceData!$AH$8),"")</f>
        <v>116.461</v>
      </c>
      <c r="AI8">
        <f ca="1">IFERROR(IF(0=LEN(ReferenceData!$AI$8),"",ReferenceData!$AI$8),"")</f>
        <v>116.55800000000001</v>
      </c>
      <c r="AJ8">
        <f ca="1">IFERROR(IF(0=LEN(ReferenceData!$AJ$8),"",ReferenceData!$AJ$8),"")</f>
        <v>111.074</v>
      </c>
      <c r="AK8">
        <f ca="1">IFERROR(IF(0=LEN(ReferenceData!$AK$8),"",ReferenceData!$AK$8),"")</f>
        <v>106.729</v>
      </c>
      <c r="AL8">
        <f ca="1">IFERROR(IF(0=LEN(ReferenceData!$AL$8),"",ReferenceData!$AL$8),"")</f>
        <v>112.22799999999999</v>
      </c>
      <c r="AM8">
        <f ca="1">IFERROR(IF(0=LEN(ReferenceData!$AM$8),"",ReferenceData!$AM$8),"")</f>
        <v>108.73699999999999</v>
      </c>
      <c r="AN8">
        <f ca="1">IFERROR(IF(0=LEN(ReferenceData!$AN$8),"",ReferenceData!$AN$8),"")</f>
        <v>104.13200000000001</v>
      </c>
      <c r="AO8">
        <f ca="1">IFERROR(IF(0=LEN(ReferenceData!$AO$8),"",ReferenceData!$AO$8),"")</f>
        <v>105.00700000000001</v>
      </c>
      <c r="AP8">
        <f ca="1">IFERROR(IF(0=LEN(ReferenceData!$AP$8),"",ReferenceData!$AP$8),"")</f>
        <v>106.108</v>
      </c>
      <c r="AQ8">
        <f ca="1">IFERROR(IF(0=LEN(ReferenceData!$AQ$8),"",ReferenceData!$AQ$8),"")</f>
        <v>102.961</v>
      </c>
      <c r="AR8">
        <f ca="1">IFERROR(IF(0=LEN(ReferenceData!$AR$8),"",ReferenceData!$AR$8),"")</f>
        <v>101.086</v>
      </c>
      <c r="AS8">
        <f ca="1">IFERROR(IF(0=LEN(ReferenceData!$AS$8),"",ReferenceData!$AS$8),"")</f>
        <v>97.945999999999998</v>
      </c>
      <c r="AT8">
        <f ca="1">IFERROR(IF(0=LEN(ReferenceData!$AT$8),"",ReferenceData!$AT$8),"")</f>
        <v>97.001999999999995</v>
      </c>
      <c r="AU8">
        <f ca="1">IFERROR(IF(0=LEN(ReferenceData!$AU$8),"",ReferenceData!$AU$8),"")</f>
        <v>91.966999999999999</v>
      </c>
      <c r="AV8">
        <f ca="1">IFERROR(IF(0=LEN(ReferenceData!$AV$8),"",ReferenceData!$AV$8),"")</f>
        <v>94.563999999999993</v>
      </c>
      <c r="AW8">
        <f ca="1">IFERROR(IF(0=LEN(ReferenceData!$AW$8),"",ReferenceData!$AW$8),"")</f>
        <v>90.373999999999995</v>
      </c>
      <c r="AX8">
        <f ca="1">IFERROR(IF(0=LEN(ReferenceData!$AX$8),"",ReferenceData!$AX$8),"")</f>
        <v>89.009</v>
      </c>
      <c r="AY8">
        <f ca="1">IFERROR(IF(0=LEN(ReferenceData!$AY$8),"",ReferenceData!$AY$8),"")</f>
        <v>76.718000000000004</v>
      </c>
      <c r="AZ8">
        <f ca="1">IFERROR(IF(0=LEN(ReferenceData!$AZ$8),"",ReferenceData!$AZ$8),"")</f>
        <v>76.869</v>
      </c>
      <c r="BA8">
        <f ca="1">IFERROR(IF(0=LEN(ReferenceData!$BA$8),"",ReferenceData!$BA$8),"")</f>
        <v>70.769000000000005</v>
      </c>
      <c r="BB8">
        <f ca="1">IFERROR(IF(0=LEN(ReferenceData!$BB$8),"",ReferenceData!$BB$8),"")</f>
        <v>69.221999999999994</v>
      </c>
      <c r="BC8">
        <f ca="1">IFERROR(IF(0=LEN(ReferenceData!$BC$8),"",ReferenceData!$BC$8),"")</f>
        <v>63.125</v>
      </c>
      <c r="BD8">
        <f ca="1">IFERROR(IF(0=LEN(ReferenceData!$BD$8),"",ReferenceData!$BD$8),"")</f>
        <v>61.008000000000003</v>
      </c>
      <c r="BE8">
        <f ca="1">IFERROR(IF(0=LEN(ReferenceData!$BE$8),"",ReferenceData!$BE$8),"")</f>
        <v>59.012</v>
      </c>
      <c r="BF8">
        <f ca="1">IFERROR(IF(0=LEN(ReferenceData!$BF$8),"",ReferenceData!$BF$8),"")</f>
        <v>58.927999999999997</v>
      </c>
      <c r="BG8">
        <f ca="1">IFERROR(IF(0=LEN(ReferenceData!$BG$8),"",ReferenceData!$BG$8),"")</f>
        <v>56.960999999999999</v>
      </c>
      <c r="BH8">
        <f ca="1">IFERROR(IF(0=LEN(ReferenceData!$BH$8),"",ReferenceData!$BH$8),"")</f>
        <v>52.276000000000003</v>
      </c>
      <c r="BI8">
        <f ca="1">IFERROR(IF(0=LEN(ReferenceData!$BI$8),"",ReferenceData!$BI$8),"")</f>
        <v>53.892000000000003</v>
      </c>
      <c r="BJ8">
        <f ca="1">IFERROR(IF(0=LEN(ReferenceData!$BJ$8),"",ReferenceData!$BJ$8),"")</f>
        <v>48.970999999999997</v>
      </c>
      <c r="BK8">
        <f ca="1">IFERROR(IF(0=LEN(ReferenceData!$BK$8),"",ReferenceData!$BK$8),"")</f>
        <v>46.578998570000003</v>
      </c>
      <c r="BL8">
        <f ca="1">IFERROR(IF(0=LEN(ReferenceData!$BL$8),"",ReferenceData!$BL$8),"")</f>
        <v>45.448</v>
      </c>
      <c r="BM8">
        <f ca="1">IFERROR(IF(0=LEN(ReferenceData!$BM$8),"",ReferenceData!$BM$8),"")</f>
        <v>40.878</v>
      </c>
    </row>
    <row r="9" spans="1:65">
      <c r="A9" t="str">
        <f>IFERROR(IF(0=LEN(ReferenceData!$A$9),"",ReferenceData!$A$9),"")</f>
        <v xml:space="preserve">    Highwoods Properties Inc</v>
      </c>
      <c r="B9" t="str">
        <f>IFERROR(IF(0=LEN(ReferenceData!$B$9),"",ReferenceData!$B$9),"")</f>
        <v>HIW US Equity</v>
      </c>
      <c r="C9" t="str">
        <f>IFERROR(IF(0=LEN(ReferenceData!$C$9),"",ReferenceData!$C$9),"")</f>
        <v>IS030</v>
      </c>
      <c r="D9" t="str">
        <f>IFERROR(IF(0=LEN(ReferenceData!$D$9),"",ReferenceData!$D$9),"")</f>
        <v>IS_RENT_INC</v>
      </c>
      <c r="E9" t="str">
        <f>IFERROR(IF(0=LEN(ReferenceData!$E$9),"",ReferenceData!$E$9),"")</f>
        <v>动态</v>
      </c>
      <c r="F9" t="str">
        <f ca="1">IFERROR(IF(0=LEN(ReferenceData!$F$9),"",ReferenceData!$F$9),"")</f>
        <v/>
      </c>
      <c r="G9">
        <f ca="1">IFERROR(IF(0=LEN(ReferenceData!$G$9),"",ReferenceData!$G$9),"")</f>
        <v>175.86099999999999</v>
      </c>
      <c r="H9">
        <f ca="1">IFERROR(IF(0=LEN(ReferenceData!$H$9),"",ReferenceData!$H$9),"")</f>
        <v>180.185</v>
      </c>
      <c r="I9">
        <f ca="1">IFERROR(IF(0=LEN(ReferenceData!$I$9),"",ReferenceData!$I$9),"")</f>
        <v>177.28299999999999</v>
      </c>
      <c r="J9">
        <f ca="1">IFERROR(IF(0=LEN(ReferenceData!$J$9),"",ReferenceData!$J$9),"")</f>
        <v>169.40799999999999</v>
      </c>
      <c r="K9">
        <f ca="1">IFERROR(IF(0=LEN(ReferenceData!$K$9),"",ReferenceData!$K$9),"")</f>
        <v>167.64599999999999</v>
      </c>
      <c r="L9">
        <f ca="1">IFERROR(IF(0=LEN(ReferenceData!$L$9),"",ReferenceData!$L$9),"")</f>
        <v>166.26900000000001</v>
      </c>
      <c r="M9">
        <f ca="1">IFERROR(IF(0=LEN(ReferenceData!$M$9),"",ReferenceData!$M$9),"")</f>
        <v>166.86</v>
      </c>
      <c r="N9">
        <f ca="1">IFERROR(IF(0=LEN(ReferenceData!$N$9),"",ReferenceData!$N$9),"")</f>
        <v>164.85900000000001</v>
      </c>
      <c r="O9">
        <f ca="1">IFERROR(IF(0=LEN(ReferenceData!$O$9),"",ReferenceData!$O$9),"")</f>
        <v>160.126</v>
      </c>
      <c r="P9">
        <f ca="1">IFERROR(IF(0=LEN(ReferenceData!$P$9),"",ReferenceData!$P$9),"")</f>
        <v>163.73599999999999</v>
      </c>
      <c r="Q9">
        <f ca="1">IFERROR(IF(0=LEN(ReferenceData!$Q$9),"",ReferenceData!$Q$9),"")</f>
        <v>148.54300000000001</v>
      </c>
      <c r="R9">
        <f ca="1">IFERROR(IF(0=LEN(ReferenceData!$R$9),"",ReferenceData!$R$9),"")</f>
        <v>157.31</v>
      </c>
      <c r="S9">
        <f ca="1">IFERROR(IF(0=LEN(ReferenceData!$S$9),"",ReferenceData!$S$9),"")</f>
        <v>140.72399999999999</v>
      </c>
      <c r="T9">
        <f ca="1">IFERROR(IF(0=LEN(ReferenceData!$T$9),"",ReferenceData!$T$9),"")</f>
        <v>152.62899999999999</v>
      </c>
      <c r="U9">
        <f ca="1">IFERROR(IF(0=LEN(ReferenceData!$U$9),"",ReferenceData!$U$9),"")</f>
        <v>152.72200000000001</v>
      </c>
      <c r="V9">
        <f ca="1">IFERROR(IF(0=LEN(ReferenceData!$V$9),"",ReferenceData!$V$9),"")</f>
        <v>148.453</v>
      </c>
      <c r="W9">
        <f ca="1">IFERROR(IF(0=LEN(ReferenceData!$W$9),"",ReferenceData!$W$9),"")</f>
        <v>148.988</v>
      </c>
      <c r="X9">
        <f ca="1">IFERROR(IF(0=LEN(ReferenceData!$X$9),"",ReferenceData!$X$9),"")</f>
        <v>144.827</v>
      </c>
      <c r="Y9">
        <f ca="1">IFERROR(IF(0=LEN(ReferenceData!$Y$9),"",ReferenceData!$Y$9),"")</f>
        <v>132.61799999999999</v>
      </c>
      <c r="Z9">
        <f ca="1">IFERROR(IF(0=LEN(ReferenceData!$Z$9),"",ReferenceData!$Z$9),"")</f>
        <v>130.37700000000001</v>
      </c>
      <c r="AA9">
        <f ca="1">IFERROR(IF(0=LEN(ReferenceData!$AA$9),"",ReferenceData!$AA$9),"")</f>
        <v>126.316</v>
      </c>
      <c r="AB9">
        <f ca="1">IFERROR(IF(0=LEN(ReferenceData!$AB$9),"",ReferenceData!$AB$9),"")</f>
        <v>123.41800000000001</v>
      </c>
      <c r="AC9">
        <f ca="1">IFERROR(IF(0=LEN(ReferenceData!$AC$9),"",ReferenceData!$AC$9),"")</f>
        <v>126.72799999999999</v>
      </c>
      <c r="AD9">
        <f ca="1">IFERROR(IF(0=LEN(ReferenceData!$AD$9),"",ReferenceData!$AD$9),"")</f>
        <v>124.89400000000001</v>
      </c>
      <c r="AE9">
        <f ca="1">IFERROR(IF(0=LEN(ReferenceData!$AE$9),"",ReferenceData!$AE$9),"")</f>
        <v>123.947</v>
      </c>
      <c r="AF9">
        <f ca="1">IFERROR(IF(0=LEN(ReferenceData!$AF$9),"",ReferenceData!$AF$9),"")</f>
        <v>117.265</v>
      </c>
      <c r="AG9">
        <f ca="1">IFERROR(IF(0=LEN(ReferenceData!$AG$9),"",ReferenceData!$AG$9),"")</f>
        <v>114.651</v>
      </c>
      <c r="AH9">
        <f ca="1">IFERROR(IF(0=LEN(ReferenceData!$AH$9),"",ReferenceData!$AH$9),"")</f>
        <v>114.351</v>
      </c>
      <c r="AI9">
        <f ca="1">IFERROR(IF(0=LEN(ReferenceData!$AI$9),"",ReferenceData!$AI$9),"")</f>
        <v>116.779</v>
      </c>
      <c r="AJ9">
        <f ca="1">IFERROR(IF(0=LEN(ReferenceData!$AJ$9),"",ReferenceData!$AJ$9),"")</f>
        <v>115.52800000000001</v>
      </c>
      <c r="AK9">
        <f ca="1">IFERROR(IF(0=LEN(ReferenceData!$AK$9),"",ReferenceData!$AK$9),"")</f>
        <v>113.765</v>
      </c>
      <c r="AL9">
        <f ca="1">IFERROR(IF(0=LEN(ReferenceData!$AL$9),"",ReferenceData!$AL$9),"")</f>
        <v>115.054</v>
      </c>
      <c r="AM9">
        <f ca="1">IFERROR(IF(0=LEN(ReferenceData!$AM$9),"",ReferenceData!$AM$9),"")</f>
        <v>112.709</v>
      </c>
      <c r="AN9">
        <f ca="1">IFERROR(IF(0=LEN(ReferenceData!$AN$9),"",ReferenceData!$AN$9),"")</f>
        <v>113.17</v>
      </c>
      <c r="AO9">
        <f ca="1">IFERROR(IF(0=LEN(ReferenceData!$AO$9),"",ReferenceData!$AO$9),"")</f>
        <v>111.914</v>
      </c>
      <c r="AP9">
        <f ca="1">IFERROR(IF(0=LEN(ReferenceData!$AP$9),"",ReferenceData!$AP$9),"")</f>
        <v>113.22</v>
      </c>
      <c r="AQ9">
        <f ca="1">IFERROR(IF(0=LEN(ReferenceData!$AQ$9),"",ReferenceData!$AQ$9),"")</f>
        <v>111.28</v>
      </c>
      <c r="AR9">
        <f ca="1">IFERROR(IF(0=LEN(ReferenceData!$AR$9),"",ReferenceData!$AR$9),"")</f>
        <v>112.755</v>
      </c>
      <c r="AS9">
        <f ca="1">IFERROR(IF(0=LEN(ReferenceData!$AS$9),"",ReferenceData!$AS$9),"")</f>
        <v>112.828</v>
      </c>
      <c r="AT9">
        <f ca="1">IFERROR(IF(0=LEN(ReferenceData!$AT$9),"",ReferenceData!$AT$9),"")</f>
        <v>113.428</v>
      </c>
      <c r="AU9">
        <f ca="1">IFERROR(IF(0=LEN(ReferenceData!$AU$9),"",ReferenceData!$AU$9),"")</f>
        <v>113.08199999999999</v>
      </c>
      <c r="AV9">
        <f ca="1">IFERROR(IF(0=LEN(ReferenceData!$AV$9),"",ReferenceData!$AV$9),"")</f>
        <v>107.58</v>
      </c>
      <c r="AW9">
        <f ca="1">IFERROR(IF(0=LEN(ReferenceData!$AW$9),"",ReferenceData!$AW$9),"")</f>
        <v>105.146</v>
      </c>
      <c r="AX9">
        <f ca="1">IFERROR(IF(0=LEN(ReferenceData!$AX$9),"",ReferenceData!$AX$9),"")</f>
        <v>106.108</v>
      </c>
      <c r="AY9">
        <f ca="1">IFERROR(IF(0=LEN(ReferenceData!$AY$9),"",ReferenceData!$AY$9),"")</f>
        <v>101.962</v>
      </c>
      <c r="AZ9">
        <f ca="1">IFERROR(IF(0=LEN(ReferenceData!$AZ$9),"",ReferenceData!$AZ$9),"")</f>
        <v>103.395</v>
      </c>
      <c r="BA9">
        <f ca="1">IFERROR(IF(0=LEN(ReferenceData!$BA$9),"",ReferenceData!$BA$9),"")</f>
        <v>102.837</v>
      </c>
      <c r="BB9">
        <f ca="1">IFERROR(IF(0=LEN(ReferenceData!$BB$9),"",ReferenceData!$BB$9),"")</f>
        <v>101.07899999999999</v>
      </c>
      <c r="BC9">
        <f ca="1">IFERROR(IF(0=LEN(ReferenceData!$BC$9),"",ReferenceData!$BC$9),"")</f>
        <v>92.62</v>
      </c>
      <c r="BD9">
        <f ca="1">IFERROR(IF(0=LEN(ReferenceData!$BD$9),"",ReferenceData!$BD$9),"")</f>
        <v>100.051</v>
      </c>
      <c r="BE9">
        <f ca="1">IFERROR(IF(0=LEN(ReferenceData!$BE$9),"",ReferenceData!$BE$9),"")</f>
        <v>101.238</v>
      </c>
      <c r="BF9">
        <f ca="1">IFERROR(IF(0=LEN(ReferenceData!$BF$9),"",ReferenceData!$BF$9),"")</f>
        <v>102.166</v>
      </c>
      <c r="BG9">
        <f ca="1">IFERROR(IF(0=LEN(ReferenceData!$BG$9),"",ReferenceData!$BG$9),"")</f>
        <v>77.676000000000002</v>
      </c>
      <c r="BH9">
        <f ca="1">IFERROR(IF(0=LEN(ReferenceData!$BH$9),"",ReferenceData!$BH$9),"")</f>
        <v>102.026</v>
      </c>
      <c r="BI9">
        <f ca="1">IFERROR(IF(0=LEN(ReferenceData!$BI$9),"",ReferenceData!$BI$9),"")</f>
        <v>106.508</v>
      </c>
      <c r="BJ9">
        <f ca="1">IFERROR(IF(0=LEN(ReferenceData!$BJ$9),"",ReferenceData!$BJ$9),"")</f>
        <v>117.92100000000001</v>
      </c>
      <c r="BK9" t="str">
        <f ca="1">IFERROR(IF(0=LEN(ReferenceData!$BK$9),"",ReferenceData!$BK$9),"")</f>
        <v/>
      </c>
      <c r="BL9">
        <f ca="1">IFERROR(IF(0=LEN(ReferenceData!$BL$9),"",ReferenceData!$BL$9),"")</f>
        <v>121.755</v>
      </c>
      <c r="BM9">
        <f ca="1">IFERROR(IF(0=LEN(ReferenceData!$BM$9),"",ReferenceData!$BM$9),"")</f>
        <v>126.221</v>
      </c>
    </row>
    <row r="10" spans="1:65">
      <c r="A10" t="str">
        <f>IFERROR(IF(0=LEN(ReferenceData!$A$10),"",ReferenceData!$A$10),"")</f>
        <v xml:space="preserve">    Kilroy Realty Corp</v>
      </c>
      <c r="B10" t="str">
        <f>IFERROR(IF(0=LEN(ReferenceData!$B$10),"",ReferenceData!$B$10),"")</f>
        <v>KRC US Equity</v>
      </c>
      <c r="C10" t="str">
        <f>IFERROR(IF(0=LEN(ReferenceData!$C$10),"",ReferenceData!$C$10),"")</f>
        <v>IS030</v>
      </c>
      <c r="D10" t="str">
        <f>IFERROR(IF(0=LEN(ReferenceData!$D$10),"",ReferenceData!$D$10),"")</f>
        <v>IS_RENT_INC</v>
      </c>
      <c r="E10" t="str">
        <f>IFERROR(IF(0=LEN(ReferenceData!$E$10),"",ReferenceData!$E$10),"")</f>
        <v>动态</v>
      </c>
      <c r="F10" t="str">
        <f ca="1">IFERROR(IF(0=LEN(ReferenceData!$F$10),"",ReferenceData!$F$10),"")</f>
        <v/>
      </c>
      <c r="G10">
        <f ca="1">IFERROR(IF(0=LEN(ReferenceData!$G$10),"",ReferenceData!$G$10),"")</f>
        <v>176.7</v>
      </c>
      <c r="H10">
        <f ca="1">IFERROR(IF(0=LEN(ReferenceData!$H$10),"",ReferenceData!$H$10),"")</f>
        <v>179.619</v>
      </c>
      <c r="I10">
        <f ca="1">IFERROR(IF(0=LEN(ReferenceData!$I$10),"",ReferenceData!$I$10),"")</f>
        <v>178.19200000000001</v>
      </c>
      <c r="J10">
        <f ca="1">IFERROR(IF(0=LEN(ReferenceData!$J$10),"",ReferenceData!$J$10),"")</f>
        <v>175.94399999999999</v>
      </c>
      <c r="K10">
        <f ca="1">IFERROR(IF(0=LEN(ReferenceData!$K$10),"",ReferenceData!$K$10),"")</f>
        <v>167.59700000000001</v>
      </c>
      <c r="L10">
        <f ca="1">IFERROR(IF(0=LEN(ReferenceData!$L$10),"",ReferenceData!$L$10),"")</f>
        <v>162.94499999999999</v>
      </c>
      <c r="M10">
        <f ca="1">IFERROR(IF(0=LEN(ReferenceData!$M$10),"",ReferenceData!$M$10),"")</f>
        <v>159.791</v>
      </c>
      <c r="N10">
        <f ca="1">IFERROR(IF(0=LEN(ReferenceData!$N$10),"",ReferenceData!$N$10),"")</f>
        <v>145.15899999999999</v>
      </c>
      <c r="O10">
        <f ca="1">IFERROR(IF(0=LEN(ReferenceData!$O$10),"",ReferenceData!$O$10),"")</f>
        <v>146.95699999999999</v>
      </c>
      <c r="P10">
        <f ca="1">IFERROR(IF(0=LEN(ReferenceData!$P$10),"",ReferenceData!$P$10),"")</f>
        <v>141.191</v>
      </c>
      <c r="Q10">
        <f ca="1">IFERROR(IF(0=LEN(ReferenceData!$Q$10),"",ReferenceData!$Q$10),"")</f>
        <v>145.624</v>
      </c>
      <c r="R10">
        <f ca="1">IFERROR(IF(0=LEN(ReferenceData!$R$10),"",ReferenceData!$R$10),"")</f>
        <v>145.357</v>
      </c>
      <c r="S10">
        <f ca="1">IFERROR(IF(0=LEN(ReferenceData!$S$10),"",ReferenceData!$S$10),"")</f>
        <v>140.73500000000001</v>
      </c>
      <c r="T10">
        <f ca="1">IFERROR(IF(0=LEN(ReferenceData!$T$10),"",ReferenceData!$T$10),"")</f>
        <v>126.56699999999999</v>
      </c>
      <c r="U10">
        <f ca="1">IFERROR(IF(0=LEN(ReferenceData!$U$10),"",ReferenceData!$U$10),"")</f>
        <v>124.126</v>
      </c>
      <c r="V10">
        <f ca="1">IFERROR(IF(0=LEN(ReferenceData!$V$10),"",ReferenceData!$V$10),"")</f>
        <v>121.617</v>
      </c>
      <c r="W10">
        <f ca="1">IFERROR(IF(0=LEN(ReferenceData!$W$10),"",ReferenceData!$W$10),"")</f>
        <v>118.023</v>
      </c>
      <c r="X10">
        <f ca="1">IFERROR(IF(0=LEN(ReferenceData!$X$10),"",ReferenceData!$X$10),"")</f>
        <v>112.937</v>
      </c>
      <c r="Y10">
        <f ca="1">IFERROR(IF(0=LEN(ReferenceData!$Y$10),"",ReferenceData!$Y$10),"")</f>
        <v>112.102</v>
      </c>
      <c r="Z10">
        <f ca="1">IFERROR(IF(0=LEN(ReferenceData!$Z$10),"",ReferenceData!$Z$10),"")</f>
        <v>110.73699999999999</v>
      </c>
      <c r="AA10">
        <f ca="1">IFERROR(IF(0=LEN(ReferenceData!$AA$10),"",ReferenceData!$AA$10),"")</f>
        <v>109.65</v>
      </c>
      <c r="AB10">
        <f ca="1">IFERROR(IF(0=LEN(ReferenceData!$AB$10),"",ReferenceData!$AB$10),"")</f>
        <v>98.85</v>
      </c>
      <c r="AC10">
        <f ca="1">IFERROR(IF(0=LEN(ReferenceData!$AC$10),"",ReferenceData!$AC$10),"")</f>
        <v>96.575999999999993</v>
      </c>
      <c r="AD10">
        <f ca="1">IFERROR(IF(0=LEN(ReferenceData!$AD$10),"",ReferenceData!$AD$10),"")</f>
        <v>91.528999999999996</v>
      </c>
      <c r="AE10">
        <f ca="1">IFERROR(IF(0=LEN(ReferenceData!$AE$10),"",ReferenceData!$AE$10),"")</f>
        <v>89.828000000000003</v>
      </c>
      <c r="AF10">
        <f ca="1">IFERROR(IF(0=LEN(ReferenceData!$AF$10),"",ReferenceData!$AF$10),"")</f>
        <v>86.06</v>
      </c>
      <c r="AG10">
        <f ca="1">IFERROR(IF(0=LEN(ReferenceData!$AG$10),"",ReferenceData!$AG$10),"")</f>
        <v>87.287999999999997</v>
      </c>
      <c r="AH10">
        <f ca="1">IFERROR(IF(0=LEN(ReferenceData!$AH$10),"",ReferenceData!$AH$10),"")</f>
        <v>83.019000000000005</v>
      </c>
      <c r="AI10">
        <f ca="1">IFERROR(IF(0=LEN(ReferenceData!$AI$10),"",ReferenceData!$AI$10),"")</f>
        <v>78.688000000000002</v>
      </c>
      <c r="AJ10">
        <f ca="1">IFERROR(IF(0=LEN(ReferenceData!$AJ$10),"",ReferenceData!$AJ$10),"")</f>
        <v>78.290999999999997</v>
      </c>
      <c r="AK10">
        <f ca="1">IFERROR(IF(0=LEN(ReferenceData!$AK$10),"",ReferenceData!$AK$10),"")</f>
        <v>71.521000000000001</v>
      </c>
      <c r="AL10">
        <f ca="1">IFERROR(IF(0=LEN(ReferenceData!$AL$10),"",ReferenceData!$AL$10),"")</f>
        <v>66.373999999999995</v>
      </c>
      <c r="AM10">
        <f ca="1">IFERROR(IF(0=LEN(ReferenceData!$AM$10),"",ReferenceData!$AM$10),"")</f>
        <v>66.867000000000004</v>
      </c>
      <c r="AN10">
        <f ca="1">IFERROR(IF(0=LEN(ReferenceData!$AN$10),"",ReferenceData!$AN$10),"")</f>
        <v>68.14</v>
      </c>
      <c r="AO10">
        <f ca="1">IFERROR(IF(0=LEN(ReferenceData!$AO$10),"",ReferenceData!$AO$10),"")</f>
        <v>70.001000000000005</v>
      </c>
      <c r="AP10">
        <f ca="1">IFERROR(IF(0=LEN(ReferenceData!$AP$10),"",ReferenceData!$AP$10),"")</f>
        <v>70.716999999999999</v>
      </c>
      <c r="AQ10">
        <f ca="1">IFERROR(IF(0=LEN(ReferenceData!$AQ$10),"",ReferenceData!$AQ$10),"")</f>
        <v>71.480999999999995</v>
      </c>
      <c r="AR10">
        <f ca="1">IFERROR(IF(0=LEN(ReferenceData!$AR$10),"",ReferenceData!$AR$10),"")</f>
        <v>71.661000000000001</v>
      </c>
      <c r="AS10">
        <f ca="1">IFERROR(IF(0=LEN(ReferenceData!$AS$10),"",ReferenceData!$AS$10),"")</f>
        <v>69.019000000000005</v>
      </c>
      <c r="AT10">
        <f ca="1">IFERROR(IF(0=LEN(ReferenceData!$AT$10),"",ReferenceData!$AT$10),"")</f>
        <v>70.498000000000005</v>
      </c>
      <c r="AU10">
        <f ca="1">IFERROR(IF(0=LEN(ReferenceData!$AU$10),"",ReferenceData!$AU$10),"")</f>
        <v>65.415000000000006</v>
      </c>
      <c r="AV10">
        <f ca="1">IFERROR(IF(0=LEN(ReferenceData!$AV$10),"",ReferenceData!$AV$10),"")</f>
        <v>64.988</v>
      </c>
      <c r="AW10">
        <f ca="1">IFERROR(IF(0=LEN(ReferenceData!$AW$10),"",ReferenceData!$AW$10),"")</f>
        <v>60.23</v>
      </c>
      <c r="AX10">
        <f ca="1">IFERROR(IF(0=LEN(ReferenceData!$AX$10),"",ReferenceData!$AX$10),"")</f>
        <v>60.329000000000001</v>
      </c>
      <c r="AY10">
        <f ca="1">IFERROR(IF(0=LEN(ReferenceData!$AY$10),"",ReferenceData!$AY$10),"")</f>
        <v>55.902999999999999</v>
      </c>
      <c r="AZ10">
        <f ca="1">IFERROR(IF(0=LEN(ReferenceData!$AZ$10),"",ReferenceData!$AZ$10),"")</f>
        <v>62.14</v>
      </c>
      <c r="BA10">
        <f ca="1">IFERROR(IF(0=LEN(ReferenceData!$BA$10),"",ReferenceData!$BA$10),"")</f>
        <v>62.411999999999999</v>
      </c>
      <c r="BB10">
        <f ca="1">IFERROR(IF(0=LEN(ReferenceData!$BB$10),"",ReferenceData!$BB$10),"")</f>
        <v>61.085999999999999</v>
      </c>
      <c r="BC10">
        <f ca="1">IFERROR(IF(0=LEN(ReferenceData!$BC$10),"",ReferenceData!$BC$10),"")</f>
        <v>58.258000000000003</v>
      </c>
      <c r="BD10">
        <f ca="1">IFERROR(IF(0=LEN(ReferenceData!$BD$10),"",ReferenceData!$BD$10),"")</f>
        <v>59.107999999999997</v>
      </c>
      <c r="BE10">
        <f ca="1">IFERROR(IF(0=LEN(ReferenceData!$BE$10),"",ReferenceData!$BE$10),"")</f>
        <v>59.795000000000002</v>
      </c>
      <c r="BF10">
        <f ca="1">IFERROR(IF(0=LEN(ReferenceData!$BF$10),"",ReferenceData!$BF$10),"")</f>
        <v>59.194000000000003</v>
      </c>
      <c r="BG10">
        <f ca="1">IFERROR(IF(0=LEN(ReferenceData!$BG$10),"",ReferenceData!$BG$10),"")</f>
        <v>57.006</v>
      </c>
      <c r="BH10">
        <f ca="1">IFERROR(IF(0=LEN(ReferenceData!$BH$10),"",ReferenceData!$BH$10),"")</f>
        <v>54.771999999999998</v>
      </c>
      <c r="BI10">
        <f ca="1">IFERROR(IF(0=LEN(ReferenceData!$BI$10),"",ReferenceData!$BI$10),"")</f>
        <v>54.347000000000001</v>
      </c>
      <c r="BJ10">
        <f ca="1">IFERROR(IF(0=LEN(ReferenceData!$BJ$10),"",ReferenceData!$BJ$10),"")</f>
        <v>53.554000000000002</v>
      </c>
      <c r="BK10">
        <f ca="1">IFERROR(IF(0=LEN(ReferenceData!$BK$10),"",ReferenceData!$BK$10),"")</f>
        <v>52.298999790000003</v>
      </c>
      <c r="BL10">
        <f ca="1">IFERROR(IF(0=LEN(ReferenceData!$BL$10),"",ReferenceData!$BL$10),"")</f>
        <v>50.341999999999999</v>
      </c>
      <c r="BM10">
        <f ca="1">IFERROR(IF(0=LEN(ReferenceData!$BM$10),"",ReferenceData!$BM$10),"")</f>
        <v>48.408999999999999</v>
      </c>
    </row>
    <row r="11" spans="1:65">
      <c r="A11" t="str">
        <f>IFERROR(IF(0=LEN(ReferenceData!$A$11),"",ReferenceData!$A$11),"")</f>
        <v xml:space="preserve">    Mack-Cali Realty Corp</v>
      </c>
      <c r="B11" t="str">
        <f>IFERROR(IF(0=LEN(ReferenceData!$B$11),"",ReferenceData!$B$11),"")</f>
        <v>CLI US Equity</v>
      </c>
      <c r="C11" t="str">
        <f>IFERROR(IF(0=LEN(ReferenceData!$C$11),"",ReferenceData!$C$11),"")</f>
        <v>IS030</v>
      </c>
      <c r="D11" t="str">
        <f>IFERROR(IF(0=LEN(ReferenceData!$D$11),"",ReferenceData!$D$11),"")</f>
        <v>IS_RENT_INC</v>
      </c>
      <c r="E11" t="str">
        <f>IFERROR(IF(0=LEN(ReferenceData!$E$11),"",ReferenceData!$E$11),"")</f>
        <v>动态</v>
      </c>
      <c r="F11" t="str">
        <f ca="1">IFERROR(IF(0=LEN(ReferenceData!$F$11),"",ReferenceData!$F$11),"")</f>
        <v/>
      </c>
      <c r="G11">
        <f ca="1">IFERROR(IF(0=LEN(ReferenceData!$G$11),"",ReferenceData!$G$11),"")</f>
        <v>134.95400000000001</v>
      </c>
      <c r="H11">
        <f ca="1">IFERROR(IF(0=LEN(ReferenceData!$H$11),"",ReferenceData!$H$11),"")</f>
        <v>150.79400000000001</v>
      </c>
      <c r="I11">
        <f ca="1">IFERROR(IF(0=LEN(ReferenceData!$I$11),"",ReferenceData!$I$11),"")</f>
        <v>154.02000000000001</v>
      </c>
      <c r="J11">
        <f ca="1">IFERROR(IF(0=LEN(ReferenceData!$J$11),"",ReferenceData!$J$11),"")</f>
        <v>140.60300000000001</v>
      </c>
      <c r="K11">
        <f ca="1">IFERROR(IF(0=LEN(ReferenceData!$K$11),"",ReferenceData!$K$11),"")</f>
        <v>145.5</v>
      </c>
      <c r="L11">
        <f ca="1">IFERROR(IF(0=LEN(ReferenceData!$L$11),"",ReferenceData!$L$11),"")</f>
        <v>149.143</v>
      </c>
      <c r="M11">
        <f ca="1">IFERROR(IF(0=LEN(ReferenceData!$M$11),"",ReferenceData!$M$11),"")</f>
        <v>141.86500000000001</v>
      </c>
      <c r="N11">
        <f ca="1">IFERROR(IF(0=LEN(ReferenceData!$N$11),"",ReferenceData!$N$11),"")</f>
        <v>144.50399999999999</v>
      </c>
      <c r="O11">
        <f ca="1">IFERROR(IF(0=LEN(ReferenceData!$O$11),"",ReferenceData!$O$11),"")</f>
        <v>138.46799999999999</v>
      </c>
      <c r="P11">
        <f ca="1">IFERROR(IF(0=LEN(ReferenceData!$P$11),"",ReferenceData!$P$11),"")</f>
        <v>137.506</v>
      </c>
      <c r="Q11">
        <f ca="1">IFERROR(IF(0=LEN(ReferenceData!$Q$11),"",ReferenceData!$Q$11),"")</f>
        <v>139.93799999999999</v>
      </c>
      <c r="R11">
        <f ca="1">IFERROR(IF(0=LEN(ReferenceData!$R$11),"",ReferenceData!$R$11),"")</f>
        <v>144.73400000000001</v>
      </c>
      <c r="S11">
        <f ca="1">IFERROR(IF(0=LEN(ReferenceData!$S$11),"",ReferenceData!$S$11),"")</f>
        <v>142.99299999999999</v>
      </c>
      <c r="T11">
        <f ca="1">IFERROR(IF(0=LEN(ReferenceData!$T$11),"",ReferenceData!$T$11),"")</f>
        <v>147.22</v>
      </c>
      <c r="U11">
        <f ca="1">IFERROR(IF(0=LEN(ReferenceData!$U$11),"",ReferenceData!$U$11),"")</f>
        <v>152.44200000000001</v>
      </c>
      <c r="V11">
        <f ca="1">IFERROR(IF(0=LEN(ReferenceData!$V$11),"",ReferenceData!$V$11),"")</f>
        <v>161.733</v>
      </c>
      <c r="W11">
        <f ca="1">IFERROR(IF(0=LEN(ReferenceData!$W$11),"",ReferenceData!$W$11),"")</f>
        <v>157.072</v>
      </c>
      <c r="X11">
        <f ca="1">IFERROR(IF(0=LEN(ReferenceData!$X$11),"",ReferenceData!$X$11),"")</f>
        <v>153.697</v>
      </c>
      <c r="Y11">
        <f ca="1">IFERROR(IF(0=LEN(ReferenceData!$Y$11),"",ReferenceData!$Y$11),"")</f>
        <v>154.49100000000001</v>
      </c>
      <c r="Z11">
        <f ca="1">IFERROR(IF(0=LEN(ReferenceData!$Z$11),"",ReferenceData!$Z$11),"")</f>
        <v>154.50299999999999</v>
      </c>
      <c r="AA11">
        <f ca="1">IFERROR(IF(0=LEN(ReferenceData!$AA$11),"",ReferenceData!$AA$11),"")</f>
        <v>164.49100000000001</v>
      </c>
      <c r="AB11">
        <f ca="1">IFERROR(IF(0=LEN(ReferenceData!$AB$11),"",ReferenceData!$AB$11),"")</f>
        <v>153.53200000000001</v>
      </c>
      <c r="AC11">
        <f ca="1">IFERROR(IF(0=LEN(ReferenceData!$AC$11),"",ReferenceData!$AC$11),"")</f>
        <v>164.53100000000001</v>
      </c>
      <c r="AD11">
        <f ca="1">IFERROR(IF(0=LEN(ReferenceData!$AD$11),"",ReferenceData!$AD$11),"")</f>
        <v>165.30799999999999</v>
      </c>
      <c r="AE11">
        <f ca="1">IFERROR(IF(0=LEN(ReferenceData!$AE$11),"",ReferenceData!$AE$11),"")</f>
        <v>168.04900000000001</v>
      </c>
      <c r="AF11">
        <f ca="1">IFERROR(IF(0=LEN(ReferenceData!$AF$11),"",ReferenceData!$AF$11),"")</f>
        <v>169.59100000000001</v>
      </c>
      <c r="AG11">
        <f ca="1">IFERROR(IF(0=LEN(ReferenceData!$AG$11),"",ReferenceData!$AG$11),"")</f>
        <v>171.74</v>
      </c>
      <c r="AH11">
        <f ca="1">IFERROR(IF(0=LEN(ReferenceData!$AH$11),"",ReferenceData!$AH$11),"")</f>
        <v>174.89099999999999</v>
      </c>
      <c r="AI11">
        <f ca="1">IFERROR(IF(0=LEN(ReferenceData!$AI$11),"",ReferenceData!$AI$11),"")</f>
        <v>173.23099999999999</v>
      </c>
      <c r="AJ11">
        <f ca="1">IFERROR(IF(0=LEN(ReferenceData!$AJ$11),"",ReferenceData!$AJ$11),"")</f>
        <v>176.48400000000001</v>
      </c>
      <c r="AK11">
        <f ca="1">IFERROR(IF(0=LEN(ReferenceData!$AK$11),"",ReferenceData!$AK$11),"")</f>
        <v>175.529</v>
      </c>
      <c r="AL11">
        <f ca="1">IFERROR(IF(0=LEN(ReferenceData!$AL$11),"",ReferenceData!$AL$11),"")</f>
        <v>178.81200000000001</v>
      </c>
      <c r="AM11">
        <f ca="1">IFERROR(IF(0=LEN(ReferenceData!$AM$11),"",ReferenceData!$AM$11),"")</f>
        <v>181.65199999999999</v>
      </c>
      <c r="AN11">
        <f ca="1">IFERROR(IF(0=LEN(ReferenceData!$AN$11),"",ReferenceData!$AN$11),"")</f>
        <v>179.054</v>
      </c>
      <c r="AO11">
        <f ca="1">IFERROR(IF(0=LEN(ReferenceData!$AO$11),"",ReferenceData!$AO$11),"")</f>
        <v>177.51400000000001</v>
      </c>
      <c r="AP11">
        <f ca="1">IFERROR(IF(0=LEN(ReferenceData!$AP$11),"",ReferenceData!$AP$11),"")</f>
        <v>177.27500000000001</v>
      </c>
      <c r="AQ11">
        <f ca="1">IFERROR(IF(0=LEN(ReferenceData!$AQ$11),"",ReferenceData!$AQ$11),"")</f>
        <v>177.024</v>
      </c>
      <c r="AR11">
        <f ca="1">IFERROR(IF(0=LEN(ReferenceData!$AR$11),"",ReferenceData!$AR$11),"")</f>
        <v>177.56399999999999</v>
      </c>
      <c r="AS11">
        <f ca="1">IFERROR(IF(0=LEN(ReferenceData!$AS$11),"",ReferenceData!$AS$11),"")</f>
        <v>174.673</v>
      </c>
      <c r="AT11">
        <f ca="1">IFERROR(IF(0=LEN(ReferenceData!$AT$11),"",ReferenceData!$AT$11),"")</f>
        <v>174.327</v>
      </c>
      <c r="AU11">
        <f ca="1">IFERROR(IF(0=LEN(ReferenceData!$AU$11),"",ReferenceData!$AU$11),"")</f>
        <v>173.19300000000001</v>
      </c>
      <c r="AV11">
        <f ca="1">IFERROR(IF(0=LEN(ReferenceData!$AV$11),"",ReferenceData!$AV$11),"")</f>
        <v>173.02600000000001</v>
      </c>
      <c r="AW11">
        <f ca="1">IFERROR(IF(0=LEN(ReferenceData!$AW$11),"",ReferenceData!$AW$11),"")</f>
        <v>168.24799999999999</v>
      </c>
      <c r="AX11">
        <f ca="1">IFERROR(IF(0=LEN(ReferenceData!$AX$11),"",ReferenceData!$AX$11),"")</f>
        <v>165.77699999999999</v>
      </c>
      <c r="AY11">
        <f ca="1">IFERROR(IF(0=LEN(ReferenceData!$AY$11),"",ReferenceData!$AY$11),"")</f>
        <v>159.06299999999999</v>
      </c>
      <c r="AZ11">
        <f ca="1">IFERROR(IF(0=LEN(ReferenceData!$AZ$11),"",ReferenceData!$AZ$11),"")</f>
        <v>165.40100000000001</v>
      </c>
      <c r="BA11">
        <f ca="1">IFERROR(IF(0=LEN(ReferenceData!$BA$11),"",ReferenceData!$BA$11),"")</f>
        <v>156.60499999999999</v>
      </c>
      <c r="BB11">
        <f ca="1">IFERROR(IF(0=LEN(ReferenceData!$BB$11),"",ReferenceData!$BB$11),"")</f>
        <v>148.97800000000001</v>
      </c>
      <c r="BC11">
        <f ca="1">IFERROR(IF(0=LEN(ReferenceData!$BC$11),"",ReferenceData!$BC$11),"")</f>
        <v>130.98699999999999</v>
      </c>
      <c r="BD11">
        <f ca="1">IFERROR(IF(0=LEN(ReferenceData!$BD$11),"",ReferenceData!$BD$11),"")</f>
        <v>148.93299999999999</v>
      </c>
      <c r="BE11">
        <f ca="1">IFERROR(IF(0=LEN(ReferenceData!$BE$11),"",ReferenceData!$BE$11),"")</f>
        <v>156.78800000000001</v>
      </c>
      <c r="BF11">
        <f ca="1">IFERROR(IF(0=LEN(ReferenceData!$BF$11),"",ReferenceData!$BF$11),"")</f>
        <v>152.33600000000001</v>
      </c>
      <c r="BG11">
        <f ca="1">IFERROR(IF(0=LEN(ReferenceData!$BG$11),"",ReferenceData!$BG$11),"")</f>
        <v>149.06899999999999</v>
      </c>
      <c r="BH11">
        <f ca="1">IFERROR(IF(0=LEN(ReferenceData!$BH$11),"",ReferenceData!$BH$11),"")</f>
        <v>148.00899999999999</v>
      </c>
      <c r="BI11">
        <f ca="1">IFERROR(IF(0=LEN(ReferenceData!$BI$11),"",ReferenceData!$BI$11),"")</f>
        <v>146.72500600000001</v>
      </c>
      <c r="BJ11">
        <f ca="1">IFERROR(IF(0=LEN(ReferenceData!$BJ$11),"",ReferenceData!$BJ$11),"")</f>
        <v>139.73800700000001</v>
      </c>
      <c r="BK11">
        <f ca="1">IFERROR(IF(0=LEN(ReferenceData!$BK$11),"",ReferenceData!$BK$11),"")</f>
        <v>143.70799260000001</v>
      </c>
      <c r="BL11">
        <f ca="1">IFERROR(IF(0=LEN(ReferenceData!$BL$11),"",ReferenceData!$BL$11),"")</f>
        <v>142.93800400000001</v>
      </c>
      <c r="BM11">
        <f ca="1">IFERROR(IF(0=LEN(ReferenceData!$BM$11),"",ReferenceData!$BM$11),"")</f>
        <v>142.36300700000001</v>
      </c>
    </row>
    <row r="12" spans="1:65">
      <c r="A12" t="str">
        <f>IFERROR(IF(0=LEN(ReferenceData!$A$12),"",ReferenceData!$A$12),"")</f>
        <v xml:space="preserve">    Piedmont Office Realty Trust I</v>
      </c>
      <c r="B12" t="str">
        <f>IFERROR(IF(0=LEN(ReferenceData!$B$12),"",ReferenceData!$B$12),"")</f>
        <v>PDM US Equity</v>
      </c>
      <c r="C12" t="str">
        <f>IFERROR(IF(0=LEN(ReferenceData!$C$12),"",ReferenceData!$C$12),"")</f>
        <v>IS030</v>
      </c>
      <c r="D12" t="str">
        <f>IFERROR(IF(0=LEN(ReferenceData!$D$12),"",ReferenceData!$D$12),"")</f>
        <v>IS_RENT_INC</v>
      </c>
      <c r="E12" t="str">
        <f>IFERROR(IF(0=LEN(ReferenceData!$E$12),"",ReferenceData!$E$12),"")</f>
        <v>动态</v>
      </c>
      <c r="F12" t="str">
        <f ca="1">IFERROR(IF(0=LEN(ReferenceData!$F$12),"",ReferenceData!$F$12),"")</f>
        <v/>
      </c>
      <c r="G12">
        <f ca="1">IFERROR(IF(0=LEN(ReferenceData!$G$12),"",ReferenceData!$G$12),"")</f>
        <v>139.1</v>
      </c>
      <c r="H12">
        <f ca="1">IFERROR(IF(0=LEN(ReferenceData!$H$12),"",ReferenceData!$H$12),"")</f>
        <v>137.14599999999999</v>
      </c>
      <c r="I12">
        <f ca="1">IFERROR(IF(0=LEN(ReferenceData!$I$12),"",ReferenceData!$I$12),"")</f>
        <v>148.292</v>
      </c>
      <c r="J12">
        <f ca="1">IFERROR(IF(0=LEN(ReferenceData!$J$12),"",ReferenceData!$J$12),"")</f>
        <v>147.94999999999999</v>
      </c>
      <c r="K12">
        <f ca="1">IFERROR(IF(0=LEN(ReferenceData!$K$12),"",ReferenceData!$K$12),"")</f>
        <v>143.52500000000001</v>
      </c>
      <c r="L12">
        <f ca="1">IFERROR(IF(0=LEN(ReferenceData!$L$12),"",ReferenceData!$L$12),"")</f>
        <v>137.98400000000001</v>
      </c>
      <c r="M12">
        <f ca="1">IFERROR(IF(0=LEN(ReferenceData!$M$12),"",ReferenceData!$M$12),"")</f>
        <v>134.85300000000001</v>
      </c>
      <c r="N12">
        <f ca="1">IFERROR(IF(0=LEN(ReferenceData!$N$12),"",ReferenceData!$N$12),"")</f>
        <v>137.489</v>
      </c>
      <c r="O12">
        <f ca="1">IFERROR(IF(0=LEN(ReferenceData!$O$12),"",ReferenceData!$O$12),"")</f>
        <v>139.02199999999999</v>
      </c>
      <c r="P12">
        <f ca="1">IFERROR(IF(0=LEN(ReferenceData!$P$12),"",ReferenceData!$P$12),"")</f>
        <v>148.267</v>
      </c>
      <c r="Q12">
        <f ca="1">IFERROR(IF(0=LEN(ReferenceData!$Q$12),"",ReferenceData!$Q$12),"")</f>
        <v>146.267</v>
      </c>
      <c r="R12">
        <f ca="1">IFERROR(IF(0=LEN(ReferenceData!$R$12),"",ReferenceData!$R$12),"")</f>
        <v>149.197</v>
      </c>
      <c r="S12">
        <f ca="1">IFERROR(IF(0=LEN(ReferenceData!$S$12),"",ReferenceData!$S$12),"")</f>
        <v>146.21</v>
      </c>
      <c r="T12">
        <f ca="1">IFERROR(IF(0=LEN(ReferenceData!$T$12),"",ReferenceData!$T$12),"")</f>
        <v>144.108</v>
      </c>
      <c r="U12">
        <f ca="1">IFERROR(IF(0=LEN(ReferenceData!$U$12),"",ReferenceData!$U$12),"")</f>
        <v>138.03200000000001</v>
      </c>
      <c r="V12">
        <f ca="1">IFERROR(IF(0=LEN(ReferenceData!$V$12),"",ReferenceData!$V$12),"")</f>
        <v>135.833</v>
      </c>
      <c r="W12">
        <f ca="1">IFERROR(IF(0=LEN(ReferenceData!$W$12),"",ReferenceData!$W$12),"")</f>
        <v>141.28700000000001</v>
      </c>
      <c r="X12">
        <f ca="1">IFERROR(IF(0=LEN(ReferenceData!$X$12),"",ReferenceData!$X$12),"")</f>
        <v>142.499</v>
      </c>
      <c r="Y12">
        <f ca="1">IFERROR(IF(0=LEN(ReferenceData!$Y$12),"",ReferenceData!$Y$12),"")</f>
        <v>132.05199999999999</v>
      </c>
      <c r="Z12">
        <f ca="1">IFERROR(IF(0=LEN(ReferenceData!$Z$12),"",ReferenceData!$Z$12),"")</f>
        <v>131.52000000000001</v>
      </c>
      <c r="AA12">
        <f ca="1">IFERROR(IF(0=LEN(ReferenceData!$AA$12),"",ReferenceData!$AA$12),"")</f>
        <v>131.78</v>
      </c>
      <c r="AB12">
        <f ca="1">IFERROR(IF(0=LEN(ReferenceData!$AB$12),"",ReferenceData!$AB$12),"")</f>
        <v>132.08000000000001</v>
      </c>
      <c r="AC12">
        <f ca="1">IFERROR(IF(0=LEN(ReferenceData!$AC$12),"",ReferenceData!$AC$12),"")</f>
        <v>131.02600000000001</v>
      </c>
      <c r="AD12">
        <f ca="1">IFERROR(IF(0=LEN(ReferenceData!$AD$12),"",ReferenceData!$AD$12),"")</f>
        <v>130.512</v>
      </c>
      <c r="AE12">
        <f ca="1">IFERROR(IF(0=LEN(ReferenceData!$AE$12),"",ReferenceData!$AE$12),"")</f>
        <v>135.34200000000001</v>
      </c>
      <c r="AF12">
        <f ca="1">IFERROR(IF(0=LEN(ReferenceData!$AF$12),"",ReferenceData!$AF$12),"")</f>
        <v>132.36799999999999</v>
      </c>
      <c r="AG12">
        <f ca="1">IFERROR(IF(0=LEN(ReferenceData!$AG$12),"",ReferenceData!$AG$12),"")</f>
        <v>135.19200000000001</v>
      </c>
      <c r="AH12">
        <f ca="1">IFERROR(IF(0=LEN(ReferenceData!$AH$12),"",ReferenceData!$AH$12),"")</f>
        <v>130.62</v>
      </c>
      <c r="AI12">
        <f ca="1">IFERROR(IF(0=LEN(ReferenceData!$AI$12),"",ReferenceData!$AI$12),"")</f>
        <v>134.285</v>
      </c>
      <c r="AJ12">
        <f ca="1">IFERROR(IF(0=LEN(ReferenceData!$AJ$12),"",ReferenceData!$AJ$12),"")</f>
        <v>133.31</v>
      </c>
      <c r="AK12">
        <f ca="1">IFERROR(IF(0=LEN(ReferenceData!$AK$12),"",ReferenceData!$AK$12),"")</f>
        <v>143.56200000000001</v>
      </c>
      <c r="AL12">
        <f ca="1">IFERROR(IF(0=LEN(ReferenceData!$AL$12),"",ReferenceData!$AL$12),"")</f>
        <v>146.09100000000001</v>
      </c>
      <c r="AM12">
        <f ca="1">IFERROR(IF(0=LEN(ReferenceData!$AM$12),"",ReferenceData!$AM$12),"")</f>
        <v>148.495</v>
      </c>
      <c r="AN12">
        <f ca="1">IFERROR(IF(0=LEN(ReferenceData!$AN$12),"",ReferenceData!$AN$12),"")</f>
        <v>148.202</v>
      </c>
      <c r="AO12">
        <f ca="1">IFERROR(IF(0=LEN(ReferenceData!$AO$12),"",ReferenceData!$AO$12),"")</f>
        <v>147.24100000000001</v>
      </c>
      <c r="AP12">
        <f ca="1">IFERROR(IF(0=LEN(ReferenceData!$AP$12),"",ReferenceData!$AP$12),"")</f>
        <v>153.05099999999999</v>
      </c>
      <c r="AQ12">
        <f ca="1">IFERROR(IF(0=LEN(ReferenceData!$AQ$12),"",ReferenceData!$AQ$12),"")</f>
        <v>154.553</v>
      </c>
      <c r="AR12">
        <f ca="1">IFERROR(IF(0=LEN(ReferenceData!$AR$12),"",ReferenceData!$AR$12),"")</f>
        <v>154.54900000000001</v>
      </c>
      <c r="AS12">
        <f ca="1">IFERROR(IF(0=LEN(ReferenceData!$AS$12),"",ReferenceData!$AS$12),"")</f>
        <v>151.27799999999999</v>
      </c>
      <c r="AT12">
        <f ca="1">IFERROR(IF(0=LEN(ReferenceData!$AT$12),"",ReferenceData!$AT$12),"")</f>
        <v>158.34</v>
      </c>
      <c r="AU12">
        <f ca="1">IFERROR(IF(0=LEN(ReferenceData!$AU$12),"",ReferenceData!$AU$12),"")</f>
        <v>148.077</v>
      </c>
      <c r="AV12">
        <f ca="1">IFERROR(IF(0=LEN(ReferenceData!$AV$12),"",ReferenceData!$AV$12),"")</f>
        <v>148.798</v>
      </c>
      <c r="AW12">
        <f ca="1">IFERROR(IF(0=LEN(ReferenceData!$AW$12),"",ReferenceData!$AW$12),"")</f>
        <v>145.69800000000001</v>
      </c>
      <c r="AX12">
        <f ca="1">IFERROR(IF(0=LEN(ReferenceData!$AX$12),"",ReferenceData!$AX$12),"")</f>
        <v>148.21799999999999</v>
      </c>
      <c r="AY12">
        <f ca="1">IFERROR(IF(0=LEN(ReferenceData!$AY$12),"",ReferenceData!$AY$12),"")</f>
        <v>139.56</v>
      </c>
      <c r="AZ12">
        <f ca="1">IFERROR(IF(0=LEN(ReferenceData!$AZ$12),"",ReferenceData!$AZ$12),"")</f>
        <v>151.64699999999999</v>
      </c>
      <c r="BA12">
        <f ca="1">IFERROR(IF(0=LEN(ReferenceData!$BA$12),"",ReferenceData!$BA$12),"")</f>
        <v>141.107</v>
      </c>
      <c r="BB12">
        <f ca="1">IFERROR(IF(0=LEN(ReferenceData!$BB$12),"",ReferenceData!$BB$12),"")</f>
        <v>139.04900000000001</v>
      </c>
      <c r="BC12">
        <f ca="1">IFERROR(IF(0=LEN(ReferenceData!$BC$12),"",ReferenceData!$BC$12),"")</f>
        <v>135.761</v>
      </c>
      <c r="BD12">
        <f ca="1">IFERROR(IF(0=LEN(ReferenceData!$BD$12),"",ReferenceData!$BD$12),"")</f>
        <v>140.55500000000001</v>
      </c>
      <c r="BE12">
        <f ca="1">IFERROR(IF(0=LEN(ReferenceData!$BE$12),"",ReferenceData!$BE$12),"")</f>
        <v>144.476</v>
      </c>
      <c r="BF12">
        <f ca="1">IFERROR(IF(0=LEN(ReferenceData!$BF$12),"",ReferenceData!$BF$12),"")</f>
        <v>143.214</v>
      </c>
      <c r="BG12">
        <f ca="1">IFERROR(IF(0=LEN(ReferenceData!$BG$12),"",ReferenceData!$BG$12),"")</f>
        <v>131.39500000000001</v>
      </c>
      <c r="BH12">
        <f ca="1">IFERROR(IF(0=LEN(ReferenceData!$BH$12),"",ReferenceData!$BH$12),"")</f>
        <v>136.417</v>
      </c>
      <c r="BI12">
        <f ca="1">IFERROR(IF(0=LEN(ReferenceData!$BI$12),"",ReferenceData!$BI$12),"")</f>
        <v>144.72700499999999</v>
      </c>
      <c r="BJ12">
        <f ca="1">IFERROR(IF(0=LEN(ReferenceData!$BJ$12),"",ReferenceData!$BJ$12),"")</f>
        <v>134.98300169999999</v>
      </c>
      <c r="BK12">
        <f ca="1">IFERROR(IF(0=LEN(ReferenceData!$BK$12),"",ReferenceData!$BK$12),"")</f>
        <v>123.8550034</v>
      </c>
      <c r="BL12">
        <f ca="1">IFERROR(IF(0=LEN(ReferenceData!$BL$12),"",ReferenceData!$BL$12),"")</f>
        <v>106.0749969</v>
      </c>
      <c r="BM12">
        <f ca="1">IFERROR(IF(0=LEN(ReferenceData!$BM$12),"",ReferenceData!$BM$12),"")</f>
        <v>84.680999760000006</v>
      </c>
    </row>
    <row r="13" spans="1:65">
      <c r="A13" t="str">
        <f>IFERROR(IF(0=LEN(ReferenceData!$A$13),"",ReferenceData!$A$13),"")</f>
        <v xml:space="preserve">    SL Green Realty Corp</v>
      </c>
      <c r="B13" t="str">
        <f>IFERROR(IF(0=LEN(ReferenceData!$B$13),"",ReferenceData!$B$13),"")</f>
        <v>SLG US Equity</v>
      </c>
      <c r="C13" t="str">
        <f>IFERROR(IF(0=LEN(ReferenceData!$C$13),"",ReferenceData!$C$13),"")</f>
        <v>IS030</v>
      </c>
      <c r="D13" t="str">
        <f>IFERROR(IF(0=LEN(ReferenceData!$D$13),"",ReferenceData!$D$13),"")</f>
        <v>IS_RENT_INC</v>
      </c>
      <c r="E13" t="str">
        <f>IFERROR(IF(0=LEN(ReferenceData!$E$13),"",ReferenceData!$E$13),"")</f>
        <v>动态</v>
      </c>
      <c r="F13" t="str">
        <f ca="1">IFERROR(IF(0=LEN(ReferenceData!$F$13),"",ReferenceData!$F$13),"")</f>
        <v/>
      </c>
      <c r="G13">
        <f ca="1">IFERROR(IF(0=LEN(ReferenceData!$G$13),"",ReferenceData!$G$13),"")</f>
        <v>306.87</v>
      </c>
      <c r="H13">
        <f ca="1">IFERROR(IF(0=LEN(ReferenceData!$H$13),"",ReferenceData!$H$13),"")</f>
        <v>319.51400000000001</v>
      </c>
      <c r="I13">
        <f ca="1">IFERROR(IF(0=LEN(ReferenceData!$I$13),"",ReferenceData!$I$13),"")</f>
        <v>322.02699999999999</v>
      </c>
      <c r="J13">
        <f ca="1">IFERROR(IF(0=LEN(ReferenceData!$J$13),"",ReferenceData!$J$13),"")</f>
        <v>325.52100000000002</v>
      </c>
      <c r="K13">
        <f ca="1">IFERROR(IF(0=LEN(ReferenceData!$K$13),"",ReferenceData!$K$13),"")</f>
        <v>329.37</v>
      </c>
      <c r="L13">
        <f ca="1">IFERROR(IF(0=LEN(ReferenceData!$L$13),"",ReferenceData!$L$13),"")</f>
        <v>334.61200000000002</v>
      </c>
      <c r="M13">
        <f ca="1">IFERROR(IF(0=LEN(ReferenceData!$M$13),"",ReferenceData!$M$13),"")</f>
        <v>465.42500000000001</v>
      </c>
      <c r="N13">
        <f ca="1">IFERROR(IF(0=LEN(ReferenceData!$N$13),"",ReferenceData!$N$13),"")</f>
        <v>391.21800000000002</v>
      </c>
      <c r="O13">
        <f ca="1">IFERROR(IF(0=LEN(ReferenceData!$O$13),"",ReferenceData!$O$13),"")</f>
        <v>367.84300000000002</v>
      </c>
      <c r="P13">
        <f ca="1">IFERROR(IF(0=LEN(ReferenceData!$P$13),"",ReferenceData!$P$13),"")</f>
        <v>366.71899999999999</v>
      </c>
      <c r="Q13">
        <f ca="1">IFERROR(IF(0=LEN(ReferenceData!$Q$13),"",ReferenceData!$Q$13),"")</f>
        <v>345.63299999999998</v>
      </c>
      <c r="R13">
        <f ca="1">IFERROR(IF(0=LEN(ReferenceData!$R$13),"",ReferenceData!$R$13),"")</f>
        <v>344.298</v>
      </c>
      <c r="S13">
        <f ca="1">IFERROR(IF(0=LEN(ReferenceData!$S$13),"",ReferenceData!$S$13),"")</f>
        <v>338.35599999999999</v>
      </c>
      <c r="T13">
        <f ca="1">IFERROR(IF(0=LEN(ReferenceData!$T$13),"",ReferenceData!$T$13),"")</f>
        <v>335.11900000000003</v>
      </c>
      <c r="U13">
        <f ca="1">IFERROR(IF(0=LEN(ReferenceData!$U$13),"",ReferenceData!$U$13),"")</f>
        <v>318.18400000000003</v>
      </c>
      <c r="V13">
        <f ca="1">IFERROR(IF(0=LEN(ReferenceData!$V$13),"",ReferenceData!$V$13),"")</f>
        <v>293.78300000000002</v>
      </c>
      <c r="W13">
        <f ca="1">IFERROR(IF(0=LEN(ReferenceData!$W$13),"",ReferenceData!$W$13),"")</f>
        <v>296.875</v>
      </c>
      <c r="X13">
        <f ca="1">IFERROR(IF(0=LEN(ReferenceData!$X$13),"",ReferenceData!$X$13),"")</f>
        <v>284.46499999999997</v>
      </c>
      <c r="Y13">
        <f ca="1">IFERROR(IF(0=LEN(ReferenceData!$Y$13),"",ReferenceData!$Y$13),"")</f>
        <v>301.49</v>
      </c>
      <c r="Z13">
        <f ca="1">IFERROR(IF(0=LEN(ReferenceData!$Z$13),"",ReferenceData!$Z$13),"")</f>
        <v>301.47899999999998</v>
      </c>
      <c r="AA13">
        <f ca="1">IFERROR(IF(0=LEN(ReferenceData!$AA$13),"",ReferenceData!$AA$13),"")</f>
        <v>305.29399999999998</v>
      </c>
      <c r="AB13">
        <f ca="1">IFERROR(IF(0=LEN(ReferenceData!$AB$13),"",ReferenceData!$AB$13),"")</f>
        <v>319.87</v>
      </c>
      <c r="AC13">
        <f ca="1">IFERROR(IF(0=LEN(ReferenceData!$AC$13),"",ReferenceData!$AC$13),"")</f>
        <v>304.80500000000001</v>
      </c>
      <c r="AD13">
        <f ca="1">IFERROR(IF(0=LEN(ReferenceData!$AD$13),"",ReferenceData!$AD$13),"")</f>
        <v>302.41800000000001</v>
      </c>
      <c r="AE13">
        <f ca="1">IFERROR(IF(0=LEN(ReferenceData!$AE$13),"",ReferenceData!$AE$13),"")</f>
        <v>294.495</v>
      </c>
      <c r="AF13">
        <f ca="1">IFERROR(IF(0=LEN(ReferenceData!$AF$13),"",ReferenceData!$AF$13),"")</f>
        <v>282.11399999999998</v>
      </c>
      <c r="AG13">
        <f ca="1">IFERROR(IF(0=LEN(ReferenceData!$AG$13),"",ReferenceData!$AG$13),"")</f>
        <v>273.62900000000002</v>
      </c>
      <c r="AH13">
        <f ca="1">IFERROR(IF(0=LEN(ReferenceData!$AH$13),"",ReferenceData!$AH$13),"")</f>
        <v>257.29500000000002</v>
      </c>
      <c r="AI13">
        <f ca="1">IFERROR(IF(0=LEN(ReferenceData!$AI$13),"",ReferenceData!$AI$13),"")</f>
        <v>229.82300000000001</v>
      </c>
      <c r="AJ13">
        <f ca="1">IFERROR(IF(0=LEN(ReferenceData!$AJ$13),"",ReferenceData!$AJ$13),"")</f>
        <v>226.709</v>
      </c>
      <c r="AK13">
        <f ca="1">IFERROR(IF(0=LEN(ReferenceData!$AK$13),"",ReferenceData!$AK$13),"")</f>
        <v>221.90700000000001</v>
      </c>
      <c r="AL13">
        <f ca="1">IFERROR(IF(0=LEN(ReferenceData!$AL$13),"",ReferenceData!$AL$13),"")</f>
        <v>222.303</v>
      </c>
      <c r="AM13">
        <f ca="1">IFERROR(IF(0=LEN(ReferenceData!$AM$13),"",ReferenceData!$AM$13),"")</f>
        <v>219.184</v>
      </c>
      <c r="AN13">
        <f ca="1">IFERROR(IF(0=LEN(ReferenceData!$AN$13),"",ReferenceData!$AN$13),"")</f>
        <v>218.51499999999999</v>
      </c>
      <c r="AO13">
        <f ca="1">IFERROR(IF(0=LEN(ReferenceData!$AO$13),"",ReferenceData!$AO$13),"")</f>
        <v>223.30699999999999</v>
      </c>
      <c r="AP13">
        <f ca="1">IFERROR(IF(0=LEN(ReferenceData!$AP$13),"",ReferenceData!$AP$13),"")</f>
        <v>229.25800000000001</v>
      </c>
      <c r="AQ13">
        <f ca="1">IFERROR(IF(0=LEN(ReferenceData!$AQ$13),"",ReferenceData!$AQ$13),"")</f>
        <v>223.7</v>
      </c>
      <c r="AR13">
        <f ca="1">IFERROR(IF(0=LEN(ReferenceData!$AR$13),"",ReferenceData!$AR$13),"")</f>
        <v>228.93</v>
      </c>
      <c r="AS13">
        <f ca="1">IFERROR(IF(0=LEN(ReferenceData!$AS$13),"",ReferenceData!$AS$13),"")</f>
        <v>222.58199999999999</v>
      </c>
      <c r="AT13">
        <f ca="1">IFERROR(IF(0=LEN(ReferenceData!$AT$13),"",ReferenceData!$AT$13),"")</f>
        <v>223.8</v>
      </c>
      <c r="AU13">
        <f ca="1">IFERROR(IF(0=LEN(ReferenceData!$AU$13),"",ReferenceData!$AU$13),"")</f>
        <v>209.155</v>
      </c>
      <c r="AV13">
        <f ca="1">IFERROR(IF(0=LEN(ReferenceData!$AV$13),"",ReferenceData!$AV$13),"")</f>
        <v>208.613</v>
      </c>
      <c r="AW13">
        <f ca="1">IFERROR(IF(0=LEN(ReferenceData!$AW$13),"",ReferenceData!$AW$13),"")</f>
        <v>201.191</v>
      </c>
      <c r="AX13">
        <f ca="1">IFERROR(IF(0=LEN(ReferenceData!$AX$13),"",ReferenceData!$AX$13),"")</f>
        <v>174.33099999999999</v>
      </c>
      <c r="AY13">
        <f ca="1">IFERROR(IF(0=LEN(ReferenceData!$AY$13),"",ReferenceData!$AY$13),"")</f>
        <v>89.238</v>
      </c>
      <c r="AZ13">
        <f ca="1">IFERROR(IF(0=LEN(ReferenceData!$AZ$13),"",ReferenceData!$AZ$13),"")</f>
        <v>104.169</v>
      </c>
      <c r="BA13">
        <f ca="1">IFERROR(IF(0=LEN(ReferenceData!$BA$13),"",ReferenceData!$BA$13),"")</f>
        <v>94.953000000000003</v>
      </c>
      <c r="BB13">
        <f ca="1">IFERROR(IF(0=LEN(ReferenceData!$BB$13),"",ReferenceData!$BB$13),"")</f>
        <v>93.016999999999996</v>
      </c>
      <c r="BC13">
        <f ca="1">IFERROR(IF(0=LEN(ReferenceData!$BC$13),"",ReferenceData!$BC$13),"")</f>
        <v>86.828000000000003</v>
      </c>
      <c r="BD13">
        <f ca="1">IFERROR(IF(0=LEN(ReferenceData!$BD$13),"",ReferenceData!$BD$13),"")</f>
        <v>88.049000000000007</v>
      </c>
      <c r="BE13">
        <f ca="1">IFERROR(IF(0=LEN(ReferenceData!$BE$13),"",ReferenceData!$BE$13),"")</f>
        <v>83.991</v>
      </c>
      <c r="BF13">
        <f ca="1">IFERROR(IF(0=LEN(ReferenceData!$BF$13),"",ReferenceData!$BF$13),"")</f>
        <v>82.188999999999993</v>
      </c>
      <c r="BG13">
        <f ca="1">IFERROR(IF(0=LEN(ReferenceData!$BG$13),"",ReferenceData!$BG$13),"")</f>
        <v>80.23</v>
      </c>
      <c r="BH13">
        <f ca="1">IFERROR(IF(0=LEN(ReferenceData!$BH$13),"",ReferenceData!$BH$13),"")</f>
        <v>72.602000000000004</v>
      </c>
      <c r="BI13">
        <f ca="1">IFERROR(IF(0=LEN(ReferenceData!$BI$13),"",ReferenceData!$BI$13),"")</f>
        <v>73.900999999999996</v>
      </c>
      <c r="BJ13">
        <f ca="1">IFERROR(IF(0=LEN(ReferenceData!$BJ$13),"",ReferenceData!$BJ$13),"")</f>
        <v>71.370999999999995</v>
      </c>
      <c r="BK13">
        <f ca="1">IFERROR(IF(0=LEN(ReferenceData!$BK$13),"",ReferenceData!$BK$13),"")</f>
        <v>67.535003660000001</v>
      </c>
      <c r="BL13">
        <f ca="1">IFERROR(IF(0=LEN(ReferenceData!$BL$13),"",ReferenceData!$BL$13),"")</f>
        <v>67.947999999999993</v>
      </c>
      <c r="BM13">
        <f ca="1">IFERROR(IF(0=LEN(ReferenceData!$BM$13),"",ReferenceData!$BM$13),"")</f>
        <v>69.738</v>
      </c>
    </row>
    <row r="14" spans="1:65">
      <c r="A14" t="str">
        <f>IFERROR(IF(0=LEN(ReferenceData!$A$14),"",ReferenceData!$A$14),"")</f>
        <v xml:space="preserve">    Vornado Realty Trust</v>
      </c>
      <c r="B14" t="str">
        <f>IFERROR(IF(0=LEN(ReferenceData!$B$14),"",ReferenceData!$B$14),"")</f>
        <v>VNO US Equity</v>
      </c>
      <c r="C14" t="str">
        <f>IFERROR(IF(0=LEN(ReferenceData!$C$14),"",ReferenceData!$C$14),"")</f>
        <v>IS030</v>
      </c>
      <c r="D14" t="str">
        <f>IFERROR(IF(0=LEN(ReferenceData!$D$14),"",ReferenceData!$D$14),"")</f>
        <v>IS_RENT_INC</v>
      </c>
      <c r="E14" t="str">
        <f>IFERROR(IF(0=LEN(ReferenceData!$E$14),"",ReferenceData!$E$14),"")</f>
        <v>动态</v>
      </c>
      <c r="F14" t="str">
        <f ca="1">IFERROR(IF(0=LEN(ReferenceData!$F$14),"",ReferenceData!$F$14),"")</f>
        <v/>
      </c>
      <c r="G14">
        <f ca="1">IFERROR(IF(0=LEN(ReferenceData!$G$14),"",ReferenceData!$G$14),"")</f>
        <v>498.68799999999999</v>
      </c>
      <c r="H14">
        <f ca="1">IFERROR(IF(0=LEN(ReferenceData!$H$14),"",ReferenceData!$H$14),"")</f>
        <v>495.46300000000002</v>
      </c>
      <c r="I14">
        <f ca="1">IFERROR(IF(0=LEN(ReferenceData!$I$14),"",ReferenceData!$I$14),"")</f>
        <v>589.98099999999999</v>
      </c>
      <c r="J14">
        <f ca="1">IFERROR(IF(0=LEN(ReferenceData!$J$14),"",ReferenceData!$J$14),"")</f>
        <v>581.48800000000006</v>
      </c>
      <c r="K14">
        <f ca="1">IFERROR(IF(0=LEN(ReferenceData!$K$14),"",ReferenceData!$K$14),"")</f>
        <v>601.88599999999997</v>
      </c>
      <c r="L14">
        <f ca="1">IFERROR(IF(0=LEN(ReferenceData!$L$14),"",ReferenceData!$L$14),"")</f>
        <v>595.423</v>
      </c>
      <c r="M14">
        <f ca="1">IFERROR(IF(0=LEN(ReferenceData!$M$14),"",ReferenceData!$M$14),"")</f>
        <v>588.01900000000001</v>
      </c>
      <c r="N14">
        <f ca="1">IFERROR(IF(0=LEN(ReferenceData!$N$14),"",ReferenceData!$N$14),"")</f>
        <v>579.06700000000001</v>
      </c>
      <c r="O14">
        <f ca="1">IFERROR(IF(0=LEN(ReferenceData!$O$14),"",ReferenceData!$O$14),"")</f>
        <v>599.87400000000002</v>
      </c>
      <c r="P14">
        <f ca="1">IFERROR(IF(0=LEN(ReferenceData!$P$14),"",ReferenceData!$P$14),"")</f>
        <v>593.43499999999995</v>
      </c>
      <c r="Q14">
        <f ca="1">IFERROR(IF(0=LEN(ReferenceData!$Q$14),"",ReferenceData!$Q$14),"")</f>
        <v>577.05799999999999</v>
      </c>
      <c r="R14">
        <f ca="1">IFERROR(IF(0=LEN(ReferenceData!$R$14),"",ReferenceData!$R$14),"")</f>
        <v>567.19500000000005</v>
      </c>
      <c r="S14">
        <f ca="1">IFERROR(IF(0=LEN(ReferenceData!$S$14),"",ReferenceData!$S$14),"")</f>
        <v>556.33399999999995</v>
      </c>
      <c r="T14">
        <f ca="1">IFERROR(IF(0=LEN(ReferenceData!$T$14),"",ReferenceData!$T$14),"")</f>
        <v>540.93100000000004</v>
      </c>
      <c r="U14">
        <f ca="1">IFERROR(IF(0=LEN(ReferenceData!$U$14),"",ReferenceData!$U$14),"")</f>
        <v>533.6</v>
      </c>
      <c r="V14">
        <f ca="1">IFERROR(IF(0=LEN(ReferenceData!$V$14),"",ReferenceData!$V$14),"")</f>
        <v>526.44100000000003</v>
      </c>
      <c r="W14">
        <f ca="1">IFERROR(IF(0=LEN(ReferenceData!$W$14),"",ReferenceData!$W$14),"")</f>
        <v>601.95100000000002</v>
      </c>
      <c r="X14">
        <f ca="1">IFERROR(IF(0=LEN(ReferenceData!$X$14),"",ReferenceData!$X$14),"")</f>
        <v>608.14</v>
      </c>
      <c r="Y14">
        <f ca="1">IFERROR(IF(0=LEN(ReferenceData!$Y$14),"",ReferenceData!$Y$14),"")</f>
        <v>623.35500000000002</v>
      </c>
      <c r="Z14">
        <f ca="1">IFERROR(IF(0=LEN(ReferenceData!$Z$14),"",ReferenceData!$Z$14),"")</f>
        <v>621.9</v>
      </c>
      <c r="AA14">
        <f ca="1">IFERROR(IF(0=LEN(ReferenceData!$AA$14),"",ReferenceData!$AA$14),"")</f>
        <v>648.21600000000001</v>
      </c>
      <c r="AB14">
        <f ca="1">IFERROR(IF(0=LEN(ReferenceData!$AB$14),"",ReferenceData!$AB$14),"")</f>
        <v>663.42700000000002</v>
      </c>
      <c r="AC14">
        <f ca="1">IFERROR(IF(0=LEN(ReferenceData!$AC$14),"",ReferenceData!$AC$14),"")</f>
        <v>644.94600000000003</v>
      </c>
      <c r="AD14">
        <f ca="1">IFERROR(IF(0=LEN(ReferenceData!$AD$14),"",ReferenceData!$AD$14),"")</f>
        <v>635.96299999999997</v>
      </c>
      <c r="AE14">
        <f ca="1">IFERROR(IF(0=LEN(ReferenceData!$AE$14),"",ReferenceData!$AE$14),"")</f>
        <v>652.02300000000002</v>
      </c>
      <c r="AF14">
        <f ca="1">IFERROR(IF(0=LEN(ReferenceData!$AF$14),"",ReferenceData!$AF$14),"")</f>
        <v>651.08399999999995</v>
      </c>
      <c r="AG14">
        <f ca="1">IFERROR(IF(0=LEN(ReferenceData!$AG$14),"",ReferenceData!$AG$14),"")</f>
        <v>655.17600000000004</v>
      </c>
      <c r="AH14">
        <f ca="1">IFERROR(IF(0=LEN(ReferenceData!$AH$14),"",ReferenceData!$AH$14),"")</f>
        <v>692.62</v>
      </c>
      <c r="AI14">
        <f ca="1">IFERROR(IF(0=LEN(ReferenceData!$AI$14),"",ReferenceData!$AI$14),"")</f>
        <v>642.245</v>
      </c>
      <c r="AJ14">
        <f ca="1">IFERROR(IF(0=LEN(ReferenceData!$AJ$14),"",ReferenceData!$AJ$14),"")</f>
        <v>654.85900000000004</v>
      </c>
      <c r="AK14">
        <f ca="1">IFERROR(IF(0=LEN(ReferenceData!$AK$14),"",ReferenceData!$AK$14),"")</f>
        <v>651.83199999999999</v>
      </c>
      <c r="AL14">
        <f ca="1">IFERROR(IF(0=LEN(ReferenceData!$AL$14),"",ReferenceData!$AL$14),"")</f>
        <v>644.38699999999994</v>
      </c>
      <c r="AM14">
        <f ca="1">IFERROR(IF(0=LEN(ReferenceData!$AM$14),"",ReferenceData!$AM$14),"")</f>
        <v>646.62300000000005</v>
      </c>
      <c r="AN14">
        <f ca="1">IFERROR(IF(0=LEN(ReferenceData!$AN$14),"",ReferenceData!$AN$14),"")</f>
        <v>639.58399999999995</v>
      </c>
      <c r="AO14">
        <f ca="1">IFERROR(IF(0=LEN(ReferenceData!$AO$14),"",ReferenceData!$AO$14),"")</f>
        <v>637.89099999999996</v>
      </c>
      <c r="AP14">
        <f ca="1">IFERROR(IF(0=LEN(ReferenceData!$AP$14),"",ReferenceData!$AP$14),"")</f>
        <v>647.81600000000003</v>
      </c>
      <c r="AQ14">
        <f ca="1">IFERROR(IF(0=LEN(ReferenceData!$AQ$14),"",ReferenceData!$AQ$14),"")</f>
        <v>657.90800000000002</v>
      </c>
      <c r="AR14">
        <f ca="1">IFERROR(IF(0=LEN(ReferenceData!$AR$14),"",ReferenceData!$AR$14),"")</f>
        <v>645.31299999999999</v>
      </c>
      <c r="AS14">
        <f ca="1">IFERROR(IF(0=LEN(ReferenceData!$AS$14),"",ReferenceData!$AS$14),"")</f>
        <v>643.75300000000004</v>
      </c>
      <c r="AT14">
        <f ca="1">IFERROR(IF(0=LEN(ReferenceData!$AT$14),"",ReferenceData!$AT$14),"")</f>
        <v>620.59400000000005</v>
      </c>
      <c r="AU14">
        <f ca="1">IFERROR(IF(0=LEN(ReferenceData!$AU$14),"",ReferenceData!$AU$14),"")</f>
        <v>629.06500000000005</v>
      </c>
      <c r="AV14">
        <f ca="1">IFERROR(IF(0=LEN(ReferenceData!$AV$14),"",ReferenceData!$AV$14),"")</f>
        <v>609.07299999999998</v>
      </c>
      <c r="AW14">
        <f ca="1">IFERROR(IF(0=LEN(ReferenceData!$AW$14),"",ReferenceData!$AW$14),"")</f>
        <v>558.39800000000002</v>
      </c>
      <c r="AX14">
        <f ca="1">IFERROR(IF(0=LEN(ReferenceData!$AX$14),"",ReferenceData!$AX$14),"")</f>
        <v>507.18900000000002</v>
      </c>
      <c r="AY14">
        <f ca="1">IFERROR(IF(0=LEN(ReferenceData!$AY$14),"",ReferenceData!$AY$14),"")</f>
        <v>690.19500000000005</v>
      </c>
      <c r="AZ14">
        <f ca="1">IFERROR(IF(0=LEN(ReferenceData!$AZ$14),"",ReferenceData!$AZ$14),"")</f>
        <v>647.93200000000002</v>
      </c>
      <c r="BA14">
        <f ca="1">IFERROR(IF(0=LEN(ReferenceData!$BA$14),"",ReferenceData!$BA$14),"")</f>
        <v>641.44299999999998</v>
      </c>
      <c r="BB14">
        <f ca="1">IFERROR(IF(0=LEN(ReferenceData!$BB$14),"",ReferenceData!$BB$14),"")</f>
        <v>625.67999999999995</v>
      </c>
      <c r="BC14">
        <f ca="1">IFERROR(IF(0=LEN(ReferenceData!$BC$14),"",ReferenceData!$BC$14),"")</f>
        <v>670.99099999999999</v>
      </c>
      <c r="BD14">
        <f ca="1">IFERROR(IF(0=LEN(ReferenceData!$BD$14),"",ReferenceData!$BD$14),"")</f>
        <v>632.81700000000001</v>
      </c>
      <c r="BE14">
        <f ca="1">IFERROR(IF(0=LEN(ReferenceData!$BE$14),"",ReferenceData!$BE$14),"")</f>
        <v>569.899</v>
      </c>
      <c r="BF14">
        <f ca="1">IFERROR(IF(0=LEN(ReferenceData!$BF$14),"",ReferenceData!$BF$14),"")</f>
        <v>566.35500000000002</v>
      </c>
      <c r="BG14">
        <f ca="1">IFERROR(IF(0=LEN(ReferenceData!$BG$14),"",ReferenceData!$BG$14),"")</f>
        <v>484.06299999999999</v>
      </c>
      <c r="BH14">
        <f ca="1">IFERROR(IF(0=LEN(ReferenceData!$BH$14),"",ReferenceData!$BH$14),"")</f>
        <v>388.41699999999997</v>
      </c>
      <c r="BI14">
        <f ca="1">IFERROR(IF(0=LEN(ReferenceData!$BI$14),"",ReferenceData!$BI$14),"")</f>
        <v>380.006012</v>
      </c>
      <c r="BJ14">
        <f ca="1">IFERROR(IF(0=LEN(ReferenceData!$BJ$14),"",ReferenceData!$BJ$14),"")</f>
        <v>375.01800500000002</v>
      </c>
      <c r="BK14">
        <f ca="1">IFERROR(IF(0=LEN(ReferenceData!$BK$14),"",ReferenceData!$BK$14),"")</f>
        <v>367.425995</v>
      </c>
      <c r="BL14">
        <f ca="1">IFERROR(IF(0=LEN(ReferenceData!$BL$14),"",ReferenceData!$BL$14),"")</f>
        <v>364.90600599999999</v>
      </c>
      <c r="BM14">
        <f ca="1">IFERROR(IF(0=LEN(ReferenceData!$BM$14),"",ReferenceData!$BM$14),"")</f>
        <v>354.618988</v>
      </c>
    </row>
    <row r="15" spans="1:65">
      <c r="A15" t="str">
        <f>IFERROR(IF(0=LEN(ReferenceData!$A$15),"",ReferenceData!$A$15),"")</f>
        <v>其他租赁收入</v>
      </c>
      <c r="B15" t="str">
        <f>IFERROR(IF(0=LEN(ReferenceData!$B$15),"",ReferenceData!$B$15),"")</f>
        <v/>
      </c>
      <c r="C15" t="str">
        <f>IFERROR(IF(0=LEN(ReferenceData!$C$15),"",ReferenceData!$C$15),"")</f>
        <v/>
      </c>
      <c r="D15" t="str">
        <f>IFERROR(IF(0=LEN(ReferenceData!$D$15),"",ReferenceData!$D$15),"")</f>
        <v/>
      </c>
      <c r="E15" t="str">
        <f>IFERROR(IF(0=LEN(ReferenceData!$E$15),"",ReferenceData!$E$15),"")</f>
        <v>Median</v>
      </c>
      <c r="F15" t="str">
        <f ca="1">IFERROR(IF(0=LEN(ReferenceData!$F$15),"",ReferenceData!$F$15),"")</f>
        <v/>
      </c>
      <c r="G15">
        <f ca="1">IFERROR(IF(0=LEN(ReferenceData!$G$15),"",ReferenceData!$G$15),"")</f>
        <v>104.887</v>
      </c>
      <c r="H15">
        <f ca="1">IFERROR(IF(0=LEN(ReferenceData!$H$15),"",ReferenceData!$H$15),"")</f>
        <v>102.557</v>
      </c>
      <c r="I15">
        <f ca="1">IFERROR(IF(0=LEN(ReferenceData!$I$15),"",ReferenceData!$I$15),"")</f>
        <v>101.557</v>
      </c>
      <c r="J15">
        <f ca="1">IFERROR(IF(0=LEN(ReferenceData!$J$15),"",ReferenceData!$J$15),"")</f>
        <v>103.33199999999999</v>
      </c>
      <c r="K15">
        <f ca="1">IFERROR(IF(0=LEN(ReferenceData!$K$15),"",ReferenceData!$K$15),"")</f>
        <v>103.181</v>
      </c>
      <c r="L15">
        <f ca="1">IFERROR(IF(0=LEN(ReferenceData!$L$15),"",ReferenceData!$L$15),"")</f>
        <v>104.53700000000001</v>
      </c>
      <c r="M15">
        <f ca="1">IFERROR(IF(0=LEN(ReferenceData!$M$15),"",ReferenceData!$M$15),"")</f>
        <v>107.524</v>
      </c>
      <c r="N15">
        <f ca="1">IFERROR(IF(0=LEN(ReferenceData!$N$15),"",ReferenceData!$N$15),"")</f>
        <v>110.163</v>
      </c>
      <c r="O15">
        <f ca="1">IFERROR(IF(0=LEN(ReferenceData!$O$15),"",ReferenceData!$O$15),"")</f>
        <v>119.274</v>
      </c>
      <c r="P15">
        <f ca="1">IFERROR(IF(0=LEN(ReferenceData!$P$15),"",ReferenceData!$P$15),"")</f>
        <v>117.994</v>
      </c>
      <c r="Q15">
        <f ca="1">IFERROR(IF(0=LEN(ReferenceData!$Q$15),"",ReferenceData!$Q$15),"")</f>
        <v>117.45399999999999</v>
      </c>
      <c r="R15">
        <f ca="1">IFERROR(IF(0=LEN(ReferenceData!$R$15),"",ReferenceData!$R$15),"")</f>
        <v>117.807</v>
      </c>
      <c r="S15">
        <f ca="1">IFERROR(IF(0=LEN(ReferenceData!$S$15),"",ReferenceData!$S$15),"")</f>
        <v>118.00800000000001</v>
      </c>
      <c r="T15">
        <f ca="1">IFERROR(IF(0=LEN(ReferenceData!$T$15),"",ReferenceData!$T$15),"")</f>
        <v>114.529</v>
      </c>
      <c r="U15">
        <f ca="1">IFERROR(IF(0=LEN(ReferenceData!$U$15),"",ReferenceData!$U$15),"")</f>
        <v>113.28700000000001</v>
      </c>
      <c r="V15">
        <f ca="1">IFERROR(IF(0=LEN(ReferenceData!$V$15),"",ReferenceData!$V$15),"")</f>
        <v>110.098</v>
      </c>
      <c r="W15">
        <f ca="1">IFERROR(IF(0=LEN(ReferenceData!$W$15),"",ReferenceData!$W$15),"")</f>
        <v>111.1275</v>
      </c>
      <c r="X15">
        <f ca="1">IFERROR(IF(0=LEN(ReferenceData!$X$15),"",ReferenceData!$X$15),"")</f>
        <v>103.354</v>
      </c>
      <c r="Y15">
        <f ca="1">IFERROR(IF(0=LEN(ReferenceData!$Y$15),"",ReferenceData!$Y$15),"")</f>
        <v>104.069</v>
      </c>
      <c r="Z15">
        <f ca="1">IFERROR(IF(0=LEN(ReferenceData!$Z$15),"",ReferenceData!$Z$15),"")</f>
        <v>101.607</v>
      </c>
      <c r="AA15">
        <f ca="1">IFERROR(IF(0=LEN(ReferenceData!$AA$15),"",ReferenceData!$AA$15),"")</f>
        <v>103.274</v>
      </c>
      <c r="AB15">
        <f ca="1">IFERROR(IF(0=LEN(ReferenceData!$AB$15),"",ReferenceData!$AB$15),"")</f>
        <v>104.94799999999999</v>
      </c>
      <c r="AC15">
        <f ca="1">IFERROR(IF(0=LEN(ReferenceData!$AC$15),"",ReferenceData!$AC$15),"")</f>
        <v>104.241</v>
      </c>
      <c r="AD15">
        <f ca="1">IFERROR(IF(0=LEN(ReferenceData!$AD$15),"",ReferenceData!$AD$15),"")</f>
        <v>103.999</v>
      </c>
      <c r="AE15">
        <f ca="1">IFERROR(IF(0=LEN(ReferenceData!$AE$15),"",ReferenceData!$AE$15),"")</f>
        <v>91.980999999999995</v>
      </c>
      <c r="AF15">
        <f ca="1">IFERROR(IF(0=LEN(ReferenceData!$AF$15),"",ReferenceData!$AF$15),"")</f>
        <v>104.134</v>
      </c>
      <c r="AG15">
        <f ca="1">IFERROR(IF(0=LEN(ReferenceData!$AG$15),"",ReferenceData!$AG$15),"")</f>
        <v>104.55200000000001</v>
      </c>
      <c r="AH15">
        <f ca="1">IFERROR(IF(0=LEN(ReferenceData!$AH$15),"",ReferenceData!$AH$15),"")</f>
        <v>103.726</v>
      </c>
      <c r="AI15">
        <f ca="1">IFERROR(IF(0=LEN(ReferenceData!$AI$15),"",ReferenceData!$AI$15),"")</f>
        <v>103.19200000000001</v>
      </c>
      <c r="AJ15">
        <f ca="1">IFERROR(IF(0=LEN(ReferenceData!$AJ$15),"",ReferenceData!$AJ$15),"")</f>
        <v>106.327</v>
      </c>
      <c r="AK15">
        <f ca="1">IFERROR(IF(0=LEN(ReferenceData!$AK$15),"",ReferenceData!$AK$15),"")</f>
        <v>110.52800000000001</v>
      </c>
      <c r="AL15">
        <f ca="1">IFERROR(IF(0=LEN(ReferenceData!$AL$15),"",ReferenceData!$AL$15),"")</f>
        <v>108.16800000000001</v>
      </c>
      <c r="AM15">
        <f ca="1">IFERROR(IF(0=LEN(ReferenceData!$AM$15),"",ReferenceData!$AM$15),"")</f>
        <v>115.551</v>
      </c>
      <c r="AN15">
        <f ca="1">IFERROR(IF(0=LEN(ReferenceData!$AN$15),"",ReferenceData!$AN$15),"")</f>
        <v>106.843</v>
      </c>
      <c r="AO15">
        <f ca="1">IFERROR(IF(0=LEN(ReferenceData!$AO$15),"",ReferenceData!$AO$15),"")</f>
        <v>107.738</v>
      </c>
      <c r="AP15">
        <f ca="1">IFERROR(IF(0=LEN(ReferenceData!$AP$15),"",ReferenceData!$AP$15),"")</f>
        <v>107.11</v>
      </c>
      <c r="AQ15" t="str">
        <f ca="1">IFERROR(IF(0=LEN(ReferenceData!$AQ$15),"",ReferenceData!$AQ$15),"")</f>
        <v/>
      </c>
      <c r="AR15" t="str">
        <f ca="1">IFERROR(IF(0=LEN(ReferenceData!$AR$15),"",ReferenceData!$AR$15),"")</f>
        <v/>
      </c>
      <c r="AS15" t="str">
        <f ca="1">IFERROR(IF(0=LEN(ReferenceData!$AS$15),"",ReferenceData!$AS$15),"")</f>
        <v/>
      </c>
      <c r="AT15" t="str">
        <f ca="1">IFERROR(IF(0=LEN(ReferenceData!$AT$15),"",ReferenceData!$AT$15),"")</f>
        <v/>
      </c>
      <c r="AU15" t="str">
        <f ca="1">IFERROR(IF(0=LEN(ReferenceData!$AU$15),"",ReferenceData!$AU$15),"")</f>
        <v/>
      </c>
      <c r="AV15" t="str">
        <f ca="1">IFERROR(IF(0=LEN(ReferenceData!$AV$15),"",ReferenceData!$AV$15),"")</f>
        <v/>
      </c>
      <c r="AW15" t="str">
        <f ca="1">IFERROR(IF(0=LEN(ReferenceData!$AW$15),"",ReferenceData!$AW$15),"")</f>
        <v/>
      </c>
      <c r="AX15" t="str">
        <f ca="1">IFERROR(IF(0=LEN(ReferenceData!$AX$15),"",ReferenceData!$AX$15),"")</f>
        <v/>
      </c>
      <c r="AY15" t="str">
        <f ca="1">IFERROR(IF(0=LEN(ReferenceData!$AY$15),"",ReferenceData!$AY$15),"")</f>
        <v/>
      </c>
      <c r="AZ15" t="str">
        <f ca="1">IFERROR(IF(0=LEN(ReferenceData!$AZ$15),"",ReferenceData!$AZ$15),"")</f>
        <v/>
      </c>
      <c r="BA15" t="str">
        <f ca="1">IFERROR(IF(0=LEN(ReferenceData!$BA$15),"",ReferenceData!$BA$15),"")</f>
        <v/>
      </c>
      <c r="BB15" t="str">
        <f ca="1">IFERROR(IF(0=LEN(ReferenceData!$BB$15),"",ReferenceData!$BB$15),"")</f>
        <v/>
      </c>
      <c r="BC15" t="str">
        <f ca="1">IFERROR(IF(0=LEN(ReferenceData!$BC$15),"",ReferenceData!$BC$15),"")</f>
        <v/>
      </c>
      <c r="BD15" t="str">
        <f ca="1">IFERROR(IF(0=LEN(ReferenceData!$BD$15),"",ReferenceData!$BD$15),"")</f>
        <v/>
      </c>
      <c r="BE15" t="str">
        <f ca="1">IFERROR(IF(0=LEN(ReferenceData!$BE$15),"",ReferenceData!$BE$15),"")</f>
        <v/>
      </c>
      <c r="BF15" t="str">
        <f ca="1">IFERROR(IF(0=LEN(ReferenceData!$BF$15),"",ReferenceData!$BF$15),"")</f>
        <v/>
      </c>
      <c r="BG15" t="str">
        <f ca="1">IFERROR(IF(0=LEN(ReferenceData!$BG$15),"",ReferenceData!$BG$15),"")</f>
        <v/>
      </c>
      <c r="BH15" t="str">
        <f ca="1">IFERROR(IF(0=LEN(ReferenceData!$BH$15),"",ReferenceData!$BH$15),"")</f>
        <v/>
      </c>
      <c r="BI15" t="str">
        <f ca="1">IFERROR(IF(0=LEN(ReferenceData!$BI$15),"",ReferenceData!$BI$15),"")</f>
        <v/>
      </c>
      <c r="BJ15" t="str">
        <f ca="1">IFERROR(IF(0=LEN(ReferenceData!$BJ$15),"",ReferenceData!$BJ$15),"")</f>
        <v/>
      </c>
      <c r="BK15" t="str">
        <f ca="1">IFERROR(IF(0=LEN(ReferenceData!$BK$15),"",ReferenceData!$BK$15),"")</f>
        <v/>
      </c>
      <c r="BL15" t="str">
        <f ca="1">IFERROR(IF(0=LEN(ReferenceData!$BL$15),"",ReferenceData!$BL$15),"")</f>
        <v/>
      </c>
      <c r="BM15" t="str">
        <f ca="1">IFERROR(IF(0=LEN(ReferenceData!$BM$15),"",ReferenceData!$BM$15),"")</f>
        <v/>
      </c>
    </row>
    <row r="16" spans="1:65">
      <c r="A16" t="str">
        <f>IFERROR(IF(0=LEN(ReferenceData!$A$16),"",ReferenceData!$A$16),"")</f>
        <v xml:space="preserve">    Boston Properties Inc</v>
      </c>
      <c r="B16" t="str">
        <f>IFERROR(IF(0=LEN(ReferenceData!$B$16),"",ReferenceData!$B$16),"")</f>
        <v>BXP US Equity</v>
      </c>
      <c r="C16" t="str">
        <f>IFERROR(IF(0=LEN(ReferenceData!$C$16),"",ReferenceData!$C$16),"")</f>
        <v>IM275</v>
      </c>
      <c r="D16" t="str">
        <f>IFERROR(IF(0=LEN(ReferenceData!$D$16),"",ReferenceData!$D$16),"")</f>
        <v>IS_OTHER_RENTAL_INCOME</v>
      </c>
      <c r="E16" t="str">
        <f>IFERROR(IF(0=LEN(ReferenceData!$E$16),"",ReferenceData!$E$16),"")</f>
        <v>动态</v>
      </c>
      <c r="F16" t="str">
        <f ca="1">IFERROR(IF(0=LEN(ReferenceData!$F$16),"",ReferenceData!$F$16),"")</f>
        <v/>
      </c>
      <c r="G16">
        <f ca="1">IFERROR(IF(0=LEN(ReferenceData!$G$16),"",ReferenceData!$G$16),"")</f>
        <v>26.835999999999999</v>
      </c>
      <c r="H16">
        <f ca="1">IFERROR(IF(0=LEN(ReferenceData!$H$16),"",ReferenceData!$H$16),"")</f>
        <v>26.091999999999999</v>
      </c>
      <c r="I16">
        <f ca="1">IFERROR(IF(0=LEN(ReferenceData!$I$16),"",ReferenceData!$I$16),"")</f>
        <v>26.462</v>
      </c>
      <c r="J16">
        <f ca="1">IFERROR(IF(0=LEN(ReferenceData!$J$16),"",ReferenceData!$J$16),"")</f>
        <v>25.61</v>
      </c>
      <c r="K16">
        <f ca="1">IFERROR(IF(0=LEN(ReferenceData!$K$16),"",ReferenceData!$K$16),"")</f>
        <v>25.334</v>
      </c>
      <c r="L16">
        <f ca="1">IFERROR(IF(0=LEN(ReferenceData!$L$16),"",ReferenceData!$L$16),"")</f>
        <v>24.638000000000002</v>
      </c>
      <c r="M16">
        <f ca="1">IFERROR(IF(0=LEN(ReferenceData!$M$16),"",ReferenceData!$M$16),"")</f>
        <v>26.113</v>
      </c>
      <c r="N16">
        <f ca="1">IFERROR(IF(0=LEN(ReferenceData!$N$16),"",ReferenceData!$N$16),"")</f>
        <v>24.824999999999999</v>
      </c>
      <c r="O16">
        <f ca="1">IFERROR(IF(0=LEN(ReferenceData!$O$16),"",ReferenceData!$O$16),"")</f>
        <v>25.132000000000001</v>
      </c>
      <c r="P16">
        <f ca="1">IFERROR(IF(0=LEN(ReferenceData!$P$16),"",ReferenceData!$P$16),"")</f>
        <v>25.509</v>
      </c>
      <c r="Q16">
        <f ca="1">IFERROR(IF(0=LEN(ReferenceData!$Q$16),"",ReferenceData!$Q$16),"")</f>
        <v>26.552</v>
      </c>
      <c r="R16">
        <f ca="1">IFERROR(IF(0=LEN(ReferenceData!$R$16),"",ReferenceData!$R$16),"")</f>
        <v>24.788</v>
      </c>
      <c r="S16">
        <f ca="1">IFERROR(IF(0=LEN(ReferenceData!$S$16),"",ReferenceData!$S$16),"")</f>
        <v>25.724</v>
      </c>
      <c r="T16">
        <f ca="1">IFERROR(IF(0=LEN(ReferenceData!$T$16),"",ReferenceData!$T$16),"")</f>
        <v>0</v>
      </c>
      <c r="U16">
        <f ca="1">IFERROR(IF(0=LEN(ReferenceData!$U$16),"",ReferenceData!$U$16),"")</f>
        <v>0</v>
      </c>
      <c r="V16">
        <f ca="1">IFERROR(IF(0=LEN(ReferenceData!$V$16),"",ReferenceData!$V$16),"")</f>
        <v>24.332999999999998</v>
      </c>
      <c r="W16">
        <f ca="1">IFERROR(IF(0=LEN(ReferenceData!$W$16),"",ReferenceData!$W$16),"")</f>
        <v>25.173999999999999</v>
      </c>
      <c r="X16">
        <f ca="1">IFERROR(IF(0=LEN(ReferenceData!$X$16),"",ReferenceData!$X$16),"")</f>
        <v>0</v>
      </c>
      <c r="Y16">
        <f ca="1">IFERROR(IF(0=LEN(ReferenceData!$Y$16),"",ReferenceData!$Y$16),"")</f>
        <v>0</v>
      </c>
      <c r="Z16">
        <f ca="1">IFERROR(IF(0=LEN(ReferenceData!$Z$16),"",ReferenceData!$Z$16),"")</f>
        <v>23.437000000000001</v>
      </c>
      <c r="AA16">
        <f ca="1">IFERROR(IF(0=LEN(ReferenceData!$AA$16),"",ReferenceData!$AA$16),"")</f>
        <v>21.991</v>
      </c>
      <c r="AB16">
        <f ca="1">IFERROR(IF(0=LEN(ReferenceData!$AB$16),"",ReferenceData!$AB$16),"")</f>
        <v>0</v>
      </c>
      <c r="AC16">
        <f ca="1">IFERROR(IF(0=LEN(ReferenceData!$AC$16),"",ReferenceData!$AC$16),"")</f>
        <v>0</v>
      </c>
      <c r="AD16">
        <f ca="1">IFERROR(IF(0=LEN(ReferenceData!$AD$16),"",ReferenceData!$AD$16),"")</f>
        <v>0</v>
      </c>
      <c r="AE16">
        <f ca="1">IFERROR(IF(0=LEN(ReferenceData!$AE$16),"",ReferenceData!$AE$16),"")</f>
        <v>0</v>
      </c>
      <c r="AF16">
        <f ca="1">IFERROR(IF(0=LEN(ReferenceData!$AF$16),"",ReferenceData!$AF$16),"")</f>
        <v>0</v>
      </c>
      <c r="AG16">
        <f ca="1">IFERROR(IF(0=LEN(ReferenceData!$AG$16),"",ReferenceData!$AG$16),"")</f>
        <v>0</v>
      </c>
      <c r="AH16">
        <f ca="1">IFERROR(IF(0=LEN(ReferenceData!$AH$16),"",ReferenceData!$AH$16),"")</f>
        <v>0</v>
      </c>
      <c r="AI16">
        <f ca="1">IFERROR(IF(0=LEN(ReferenceData!$AI$16),"",ReferenceData!$AI$16),"")</f>
        <v>0</v>
      </c>
      <c r="AJ16">
        <f ca="1">IFERROR(IF(0=LEN(ReferenceData!$AJ$16),"",ReferenceData!$AJ$16),"")</f>
        <v>0</v>
      </c>
      <c r="AK16">
        <f ca="1">IFERROR(IF(0=LEN(ReferenceData!$AK$16),"",ReferenceData!$AK$16),"")</f>
        <v>0</v>
      </c>
      <c r="AL16">
        <f ca="1">IFERROR(IF(0=LEN(ReferenceData!$AL$16),"",ReferenceData!$AL$16),"")</f>
        <v>0</v>
      </c>
      <c r="AM16">
        <f ca="1">IFERROR(IF(0=LEN(ReferenceData!$AM$16),"",ReferenceData!$AM$16),"")</f>
        <v>0</v>
      </c>
      <c r="AN16">
        <f ca="1">IFERROR(IF(0=LEN(ReferenceData!$AN$16),"",ReferenceData!$AN$16),"")</f>
        <v>0</v>
      </c>
      <c r="AO16">
        <f ca="1">IFERROR(IF(0=LEN(ReferenceData!$AO$16),"",ReferenceData!$AO$16),"")</f>
        <v>0</v>
      </c>
      <c r="AP16">
        <f ca="1">IFERROR(IF(0=LEN(ReferenceData!$AP$16),"",ReferenceData!$AP$16),"")</f>
        <v>0</v>
      </c>
      <c r="AQ16" t="str">
        <f ca="1">IFERROR(IF(0=LEN(ReferenceData!$AQ$16),"",ReferenceData!$AQ$16),"")</f>
        <v/>
      </c>
      <c r="AR16" t="str">
        <f ca="1">IFERROR(IF(0=LEN(ReferenceData!$AR$16),"",ReferenceData!$AR$16),"")</f>
        <v/>
      </c>
      <c r="AS16" t="str">
        <f ca="1">IFERROR(IF(0=LEN(ReferenceData!$AS$16),"",ReferenceData!$AS$16),"")</f>
        <v/>
      </c>
      <c r="AT16" t="str">
        <f ca="1">IFERROR(IF(0=LEN(ReferenceData!$AT$16),"",ReferenceData!$AT$16),"")</f>
        <v/>
      </c>
      <c r="AU16" t="str">
        <f ca="1">IFERROR(IF(0=LEN(ReferenceData!$AU$16),"",ReferenceData!$AU$16),"")</f>
        <v/>
      </c>
      <c r="AV16" t="str">
        <f ca="1">IFERROR(IF(0=LEN(ReferenceData!$AV$16),"",ReferenceData!$AV$16),"")</f>
        <v/>
      </c>
      <c r="AW16" t="str">
        <f ca="1">IFERROR(IF(0=LEN(ReferenceData!$AW$16),"",ReferenceData!$AW$16),"")</f>
        <v/>
      </c>
      <c r="AX16" t="str">
        <f ca="1">IFERROR(IF(0=LEN(ReferenceData!$AX$16),"",ReferenceData!$AX$16),"")</f>
        <v/>
      </c>
      <c r="AY16" t="str">
        <f ca="1">IFERROR(IF(0=LEN(ReferenceData!$AY$16),"",ReferenceData!$AY$16),"")</f>
        <v/>
      </c>
      <c r="AZ16" t="str">
        <f ca="1">IFERROR(IF(0=LEN(ReferenceData!$AZ$16),"",ReferenceData!$AZ$16),"")</f>
        <v/>
      </c>
      <c r="BA16" t="str">
        <f ca="1">IFERROR(IF(0=LEN(ReferenceData!$BA$16),"",ReferenceData!$BA$16),"")</f>
        <v/>
      </c>
      <c r="BB16" t="str">
        <f ca="1">IFERROR(IF(0=LEN(ReferenceData!$BB$16),"",ReferenceData!$BB$16),"")</f>
        <v/>
      </c>
      <c r="BC16" t="str">
        <f ca="1">IFERROR(IF(0=LEN(ReferenceData!$BC$16),"",ReferenceData!$BC$16),"")</f>
        <v/>
      </c>
      <c r="BD16" t="str">
        <f ca="1">IFERROR(IF(0=LEN(ReferenceData!$BD$16),"",ReferenceData!$BD$16),"")</f>
        <v/>
      </c>
      <c r="BE16" t="str">
        <f ca="1">IFERROR(IF(0=LEN(ReferenceData!$BE$16),"",ReferenceData!$BE$16),"")</f>
        <v/>
      </c>
      <c r="BF16" t="str">
        <f ca="1">IFERROR(IF(0=LEN(ReferenceData!$BF$16),"",ReferenceData!$BF$16),"")</f>
        <v/>
      </c>
      <c r="BG16" t="str">
        <f ca="1">IFERROR(IF(0=LEN(ReferenceData!$BG$16),"",ReferenceData!$BG$16),"")</f>
        <v/>
      </c>
      <c r="BH16" t="str">
        <f ca="1">IFERROR(IF(0=LEN(ReferenceData!$BH$16),"",ReferenceData!$BH$16),"")</f>
        <v/>
      </c>
      <c r="BI16" t="str">
        <f ca="1">IFERROR(IF(0=LEN(ReferenceData!$BI$16),"",ReferenceData!$BI$16),"")</f>
        <v/>
      </c>
      <c r="BJ16" t="str">
        <f ca="1">IFERROR(IF(0=LEN(ReferenceData!$BJ$16),"",ReferenceData!$BJ$16),"")</f>
        <v/>
      </c>
      <c r="BK16" t="str">
        <f ca="1">IFERROR(IF(0=LEN(ReferenceData!$BK$16),"",ReferenceData!$BK$16),"")</f>
        <v/>
      </c>
      <c r="BL16" t="str">
        <f ca="1">IFERROR(IF(0=LEN(ReferenceData!$BL$16),"",ReferenceData!$BL$16),"")</f>
        <v/>
      </c>
      <c r="BM16" t="str">
        <f ca="1">IFERROR(IF(0=LEN(ReferenceData!$BM$16),"",ReferenceData!$BM$16),"")</f>
        <v/>
      </c>
    </row>
    <row r="17" spans="1:65">
      <c r="A17" t="str">
        <f>IFERROR(IF(0=LEN(ReferenceData!$A$17),"",ReferenceData!$A$17),"")</f>
        <v xml:space="preserve">    Brandywine Realty Trust</v>
      </c>
      <c r="B17" t="str">
        <f>IFERROR(IF(0=LEN(ReferenceData!$B$17),"",ReferenceData!$B$17),"")</f>
        <v>BDN US Equity</v>
      </c>
      <c r="C17" t="str">
        <f>IFERROR(IF(0=LEN(ReferenceData!$C$17),"",ReferenceData!$C$17),"")</f>
        <v>IM275</v>
      </c>
      <c r="D17" t="str">
        <f>IFERROR(IF(0=LEN(ReferenceData!$D$17),"",ReferenceData!$D$17),"")</f>
        <v>IS_OTHER_RENTAL_INCOME</v>
      </c>
      <c r="E17" t="str">
        <f>IFERROR(IF(0=LEN(ReferenceData!$E$17),"",ReferenceData!$E$17),"")</f>
        <v>动态</v>
      </c>
      <c r="F17" t="str">
        <f ca="1">IFERROR(IF(0=LEN(ReferenceData!$F$17),"",ReferenceData!$F$17),"")</f>
        <v/>
      </c>
      <c r="G17">
        <f ca="1">IFERROR(IF(0=LEN(ReferenceData!$G$17),"",ReferenceData!$G$17),"")</f>
        <v>104.887</v>
      </c>
      <c r="H17">
        <f ca="1">IFERROR(IF(0=LEN(ReferenceData!$H$17),"",ReferenceData!$H$17),"")</f>
        <v>102.557</v>
      </c>
      <c r="I17">
        <f ca="1">IFERROR(IF(0=LEN(ReferenceData!$I$17),"",ReferenceData!$I$17),"")</f>
        <v>101.557</v>
      </c>
      <c r="J17">
        <f ca="1">IFERROR(IF(0=LEN(ReferenceData!$J$17),"",ReferenceData!$J$17),"")</f>
        <v>103.33199999999999</v>
      </c>
      <c r="K17">
        <f ca="1">IFERROR(IF(0=LEN(ReferenceData!$K$17),"",ReferenceData!$K$17),"")</f>
        <v>103.181</v>
      </c>
      <c r="L17">
        <f ca="1">IFERROR(IF(0=LEN(ReferenceData!$L$17),"",ReferenceData!$L$17),"")</f>
        <v>104.53700000000001</v>
      </c>
      <c r="M17">
        <f ca="1">IFERROR(IF(0=LEN(ReferenceData!$M$17),"",ReferenceData!$M$17),"")</f>
        <v>103.624</v>
      </c>
      <c r="N17">
        <f ca="1">IFERROR(IF(0=LEN(ReferenceData!$N$17),"",ReferenceData!$N$17),"")</f>
        <v>110.163</v>
      </c>
      <c r="O17">
        <f ca="1">IFERROR(IF(0=LEN(ReferenceData!$O$17),"",ReferenceData!$O$17),"")</f>
        <v>122.931</v>
      </c>
      <c r="P17">
        <f ca="1">IFERROR(IF(0=LEN(ReferenceData!$P$17),"",ReferenceData!$P$17),"")</f>
        <v>124.26300000000001</v>
      </c>
      <c r="Q17">
        <f ca="1">IFERROR(IF(0=LEN(ReferenceData!$Q$17),"",ReferenceData!$Q$17),"")</f>
        <v>119.127</v>
      </c>
      <c r="R17">
        <f ca="1">IFERROR(IF(0=LEN(ReferenceData!$R$17),"",ReferenceData!$R$17),"")</f>
        <v>120.41</v>
      </c>
      <c r="S17">
        <f ca="1">IFERROR(IF(0=LEN(ReferenceData!$S$17),"",ReferenceData!$S$17),"")</f>
        <v>120.101</v>
      </c>
      <c r="T17">
        <f ca="1">IFERROR(IF(0=LEN(ReferenceData!$T$17),"",ReferenceData!$T$17),"")</f>
        <v>120.288</v>
      </c>
      <c r="U17">
        <f ca="1">IFERROR(IF(0=LEN(ReferenceData!$U$17),"",ReferenceData!$U$17),"")</f>
        <v>121.622</v>
      </c>
      <c r="V17">
        <f ca="1">IFERROR(IF(0=LEN(ReferenceData!$V$17),"",ReferenceData!$V$17),"")</f>
        <v>121.67100000000001</v>
      </c>
      <c r="W17">
        <f ca="1">IFERROR(IF(0=LEN(ReferenceData!$W$17),"",ReferenceData!$W$17),"")</f>
        <v>114.333</v>
      </c>
      <c r="X17">
        <f ca="1">IFERROR(IF(0=LEN(ReferenceData!$X$17),"",ReferenceData!$X$17),"")</f>
        <v>116.38200000000001</v>
      </c>
      <c r="Y17">
        <f ca="1">IFERROR(IF(0=LEN(ReferenceData!$Y$17),"",ReferenceData!$Y$17),"")</f>
        <v>116.06399999999999</v>
      </c>
      <c r="Z17">
        <f ca="1">IFERROR(IF(0=LEN(ReferenceData!$Z$17),"",ReferenceData!$Z$17),"")</f>
        <v>114.608</v>
      </c>
      <c r="AA17">
        <f ca="1">IFERROR(IF(0=LEN(ReferenceData!$AA$17),"",ReferenceData!$AA$17),"")</f>
        <v>110.977</v>
      </c>
      <c r="AB17">
        <f ca="1">IFERROR(IF(0=LEN(ReferenceData!$AB$17),"",ReferenceData!$AB$17),"")</f>
        <v>108.658</v>
      </c>
      <c r="AC17">
        <f ca="1">IFERROR(IF(0=LEN(ReferenceData!$AC$17),"",ReferenceData!$AC$17),"")</f>
        <v>109.71299999999999</v>
      </c>
      <c r="AD17">
        <f ca="1">IFERROR(IF(0=LEN(ReferenceData!$AD$17),"",ReferenceData!$AD$17),"")</f>
        <v>109.699</v>
      </c>
      <c r="AE17">
        <f ca="1">IFERROR(IF(0=LEN(ReferenceData!$AE$17),"",ReferenceData!$AE$17),"")</f>
        <v>116.19199999999999</v>
      </c>
      <c r="AF17">
        <f ca="1">IFERROR(IF(0=LEN(ReferenceData!$AF$17),"",ReferenceData!$AF$17),"")</f>
        <v>116.251</v>
      </c>
      <c r="AG17">
        <f ca="1">IFERROR(IF(0=LEN(ReferenceData!$AG$17),"",ReferenceData!$AG$17),"")</f>
        <v>114.995</v>
      </c>
      <c r="AH17">
        <f ca="1">IFERROR(IF(0=LEN(ReferenceData!$AH$17),"",ReferenceData!$AH$17),"")</f>
        <v>117.36199999999999</v>
      </c>
      <c r="AI17">
        <f ca="1">IFERROR(IF(0=LEN(ReferenceData!$AI$17),"",ReferenceData!$AI$17),"")</f>
        <v>120.419</v>
      </c>
      <c r="AJ17">
        <f ca="1">IFERROR(IF(0=LEN(ReferenceData!$AJ$17),"",ReferenceData!$AJ$17),"")</f>
        <v>116.52</v>
      </c>
      <c r="AK17">
        <f ca="1">IFERROR(IF(0=LEN(ReferenceData!$AK$17),"",ReferenceData!$AK$17),"")</f>
        <v>113.006</v>
      </c>
      <c r="AL17">
        <f ca="1">IFERROR(IF(0=LEN(ReferenceData!$AL$17),"",ReferenceData!$AL$17),"")</f>
        <v>114.378</v>
      </c>
      <c r="AM17">
        <f ca="1">IFERROR(IF(0=LEN(ReferenceData!$AM$17),"",ReferenceData!$AM$17),"")</f>
        <v>118.715</v>
      </c>
      <c r="AN17">
        <f ca="1">IFERROR(IF(0=LEN(ReferenceData!$AN$17),"",ReferenceData!$AN$17),"")</f>
        <v>119.14100000000001</v>
      </c>
      <c r="AO17">
        <f ca="1">IFERROR(IF(0=LEN(ReferenceData!$AO$17),"",ReferenceData!$AO$17),"")</f>
        <v>119.44499999999999</v>
      </c>
      <c r="AP17">
        <f ca="1">IFERROR(IF(0=LEN(ReferenceData!$AP$17),"",ReferenceData!$AP$17),"")</f>
        <v>120.285</v>
      </c>
      <c r="AQ17" t="str">
        <f ca="1">IFERROR(IF(0=LEN(ReferenceData!$AQ$17),"",ReferenceData!$AQ$17),"")</f>
        <v/>
      </c>
      <c r="AR17" t="str">
        <f ca="1">IFERROR(IF(0=LEN(ReferenceData!$AR$17),"",ReferenceData!$AR$17),"")</f>
        <v/>
      </c>
      <c r="AS17" t="str">
        <f ca="1">IFERROR(IF(0=LEN(ReferenceData!$AS$17),"",ReferenceData!$AS$17),"")</f>
        <v/>
      </c>
      <c r="AT17" t="str">
        <f ca="1">IFERROR(IF(0=LEN(ReferenceData!$AT$17),"",ReferenceData!$AT$17),"")</f>
        <v/>
      </c>
      <c r="AU17" t="str">
        <f ca="1">IFERROR(IF(0=LEN(ReferenceData!$AU$17),"",ReferenceData!$AU$17),"")</f>
        <v/>
      </c>
      <c r="AV17" t="str">
        <f ca="1">IFERROR(IF(0=LEN(ReferenceData!$AV$17),"",ReferenceData!$AV$17),"")</f>
        <v/>
      </c>
      <c r="AW17" t="str">
        <f ca="1">IFERROR(IF(0=LEN(ReferenceData!$AW$17),"",ReferenceData!$AW$17),"")</f>
        <v/>
      </c>
      <c r="AX17" t="str">
        <f ca="1">IFERROR(IF(0=LEN(ReferenceData!$AX$17),"",ReferenceData!$AX$17),"")</f>
        <v/>
      </c>
      <c r="AY17" t="str">
        <f ca="1">IFERROR(IF(0=LEN(ReferenceData!$AY$17),"",ReferenceData!$AY$17),"")</f>
        <v/>
      </c>
      <c r="AZ17" t="str">
        <f ca="1">IFERROR(IF(0=LEN(ReferenceData!$AZ$17),"",ReferenceData!$AZ$17),"")</f>
        <v/>
      </c>
      <c r="BA17" t="str">
        <f ca="1">IFERROR(IF(0=LEN(ReferenceData!$BA$17),"",ReferenceData!$BA$17),"")</f>
        <v/>
      </c>
      <c r="BB17" t="str">
        <f ca="1">IFERROR(IF(0=LEN(ReferenceData!$BB$17),"",ReferenceData!$BB$17),"")</f>
        <v/>
      </c>
      <c r="BC17" t="str">
        <f ca="1">IFERROR(IF(0=LEN(ReferenceData!$BC$17),"",ReferenceData!$BC$17),"")</f>
        <v/>
      </c>
      <c r="BD17" t="str">
        <f ca="1">IFERROR(IF(0=LEN(ReferenceData!$BD$17),"",ReferenceData!$BD$17),"")</f>
        <v/>
      </c>
      <c r="BE17" t="str">
        <f ca="1">IFERROR(IF(0=LEN(ReferenceData!$BE$17),"",ReferenceData!$BE$17),"")</f>
        <v/>
      </c>
      <c r="BF17" t="str">
        <f ca="1">IFERROR(IF(0=LEN(ReferenceData!$BF$17),"",ReferenceData!$BF$17),"")</f>
        <v/>
      </c>
      <c r="BG17" t="str">
        <f ca="1">IFERROR(IF(0=LEN(ReferenceData!$BG$17),"",ReferenceData!$BG$17),"")</f>
        <v/>
      </c>
      <c r="BH17" t="str">
        <f ca="1">IFERROR(IF(0=LEN(ReferenceData!$BH$17),"",ReferenceData!$BH$17),"")</f>
        <v/>
      </c>
      <c r="BI17" t="str">
        <f ca="1">IFERROR(IF(0=LEN(ReferenceData!$BI$17),"",ReferenceData!$BI$17),"")</f>
        <v/>
      </c>
      <c r="BJ17" t="str">
        <f ca="1">IFERROR(IF(0=LEN(ReferenceData!$BJ$17),"",ReferenceData!$BJ$17),"")</f>
        <v/>
      </c>
      <c r="BK17" t="str">
        <f ca="1">IFERROR(IF(0=LEN(ReferenceData!$BK$17),"",ReferenceData!$BK$17),"")</f>
        <v/>
      </c>
      <c r="BL17" t="str">
        <f ca="1">IFERROR(IF(0=LEN(ReferenceData!$BL$17),"",ReferenceData!$BL$17),"")</f>
        <v/>
      </c>
      <c r="BM17" t="str">
        <f ca="1">IFERROR(IF(0=LEN(ReferenceData!$BM$17),"",ReferenceData!$BM$17),"")</f>
        <v/>
      </c>
    </row>
    <row r="18" spans="1:65">
      <c r="A18" t="str">
        <f>IFERROR(IF(0=LEN(ReferenceData!$A$18),"",ReferenceData!$A$18),"")</f>
        <v xml:space="preserve">    Columbia Property Trust Inc</v>
      </c>
      <c r="B18" t="str">
        <f>IFERROR(IF(0=LEN(ReferenceData!$B$18),"",ReferenceData!$B$18),"")</f>
        <v>CXP US Equity</v>
      </c>
      <c r="C18" t="str">
        <f>IFERROR(IF(0=LEN(ReferenceData!$C$18),"",ReferenceData!$C$18),"")</f>
        <v>IM275</v>
      </c>
      <c r="D18" t="str">
        <f>IFERROR(IF(0=LEN(ReferenceData!$D$18),"",ReferenceData!$D$18),"")</f>
        <v>IS_OTHER_RENTAL_INCOME</v>
      </c>
      <c r="E18" t="str">
        <f>IFERROR(IF(0=LEN(ReferenceData!$E$18),"",ReferenceData!$E$18),"")</f>
        <v>动态</v>
      </c>
      <c r="F18" t="str">
        <f ca="1">IFERROR(IF(0=LEN(ReferenceData!$F$18),"",ReferenceData!$F$18),"")</f>
        <v/>
      </c>
      <c r="G18">
        <f ca="1">IFERROR(IF(0=LEN(ReferenceData!$G$18),"",ReferenceData!$G$18),"")</f>
        <v>65.066999999999993</v>
      </c>
      <c r="H18">
        <f ca="1">IFERROR(IF(0=LEN(ReferenceData!$H$18),"",ReferenceData!$H$18),"")</f>
        <v>56.155000000000001</v>
      </c>
      <c r="I18">
        <f ca="1">IFERROR(IF(0=LEN(ReferenceData!$I$18),"",ReferenceData!$I$18),"")</f>
        <v>67.885000000000005</v>
      </c>
      <c r="J18">
        <f ca="1">IFERROR(IF(0=LEN(ReferenceData!$J$18),"",ReferenceData!$J$18),"")</f>
        <v>72.233000000000004</v>
      </c>
      <c r="K18">
        <f ca="1">IFERROR(IF(0=LEN(ReferenceData!$K$18),"",ReferenceData!$K$18),"")</f>
        <v>86.372</v>
      </c>
      <c r="L18">
        <f ca="1">IFERROR(IF(0=LEN(ReferenceData!$L$18),"",ReferenceData!$L$18),"")</f>
        <v>89.906000000000006</v>
      </c>
      <c r="M18">
        <f ca="1">IFERROR(IF(0=LEN(ReferenceData!$M$18),"",ReferenceData!$M$18),"")</f>
        <v>102.67100000000001</v>
      </c>
      <c r="N18">
        <f ca="1">IFERROR(IF(0=LEN(ReferenceData!$N$18),"",ReferenceData!$N$18),"")</f>
        <v>102.163</v>
      </c>
      <c r="O18">
        <f ca="1">IFERROR(IF(0=LEN(ReferenceData!$O$18),"",ReferenceData!$O$18),"")</f>
        <v>105.008</v>
      </c>
      <c r="P18">
        <f ca="1">IFERROR(IF(0=LEN(ReferenceData!$P$18),"",ReferenceData!$P$18),"")</f>
        <v>108.151</v>
      </c>
      <c r="Q18">
        <f ca="1">IFERROR(IF(0=LEN(ReferenceData!$Q$18),"",ReferenceData!$Q$18),"")</f>
        <v>114.64100000000001</v>
      </c>
      <c r="R18">
        <f ca="1">IFERROR(IF(0=LEN(ReferenceData!$R$18),"",ReferenceData!$R$18),"")</f>
        <v>114.301</v>
      </c>
      <c r="S18">
        <f ca="1">IFERROR(IF(0=LEN(ReferenceData!$S$18),"",ReferenceData!$S$18),"")</f>
        <v>107.45699999999999</v>
      </c>
      <c r="T18">
        <f ca="1">IFERROR(IF(0=LEN(ReferenceData!$T$18),"",ReferenceData!$T$18),"")</f>
        <v>106.38800000000001</v>
      </c>
      <c r="U18">
        <f ca="1">IFERROR(IF(0=LEN(ReferenceData!$U$18),"",ReferenceData!$U$18),"")</f>
        <v>107.318</v>
      </c>
      <c r="V18">
        <f ca="1">IFERROR(IF(0=LEN(ReferenceData!$V$18),"",ReferenceData!$V$18),"")</f>
        <v>101.374</v>
      </c>
      <c r="W18">
        <f ca="1">IFERROR(IF(0=LEN(ReferenceData!$W$18),"",ReferenceData!$W$18),"")</f>
        <v>103.643</v>
      </c>
      <c r="X18">
        <f ca="1">IFERROR(IF(0=LEN(ReferenceData!$X$18),"",ReferenceData!$X$18),"")</f>
        <v>102.64100000000001</v>
      </c>
      <c r="Y18">
        <f ca="1">IFERROR(IF(0=LEN(ReferenceData!$Y$18),"",ReferenceData!$Y$18),"")</f>
        <v>104.069</v>
      </c>
      <c r="Z18">
        <f ca="1">IFERROR(IF(0=LEN(ReferenceData!$Z$18),"",ReferenceData!$Z$18),"")</f>
        <v>101.59399999999999</v>
      </c>
      <c r="AA18">
        <f ca="1">IFERROR(IF(0=LEN(ReferenceData!$AA$18),"",ReferenceData!$AA$18),"")</f>
        <v>96.046999999999997</v>
      </c>
      <c r="AB18">
        <f ca="1">IFERROR(IF(0=LEN(ReferenceData!$AB$18),"",ReferenceData!$AB$18),"")</f>
        <v>111.437</v>
      </c>
      <c r="AC18">
        <f ca="1">IFERROR(IF(0=LEN(ReferenceData!$AC$18),"",ReferenceData!$AC$18),"")</f>
        <v>110.315</v>
      </c>
      <c r="AD18">
        <f ca="1">IFERROR(IF(0=LEN(ReferenceData!$AD$18),"",ReferenceData!$AD$18),"")</f>
        <v>111.88500000000001</v>
      </c>
      <c r="AE18">
        <f ca="1">IFERROR(IF(0=LEN(ReferenceData!$AE$18),"",ReferenceData!$AE$18),"")</f>
        <v>91.980999999999995</v>
      </c>
      <c r="AF18">
        <f ca="1">IFERROR(IF(0=LEN(ReferenceData!$AF$18),"",ReferenceData!$AF$18),"")</f>
        <v>123.849</v>
      </c>
      <c r="AG18">
        <f ca="1">IFERROR(IF(0=LEN(ReferenceData!$AG$18),"",ReferenceData!$AG$18),"")</f>
        <v>123.113</v>
      </c>
      <c r="AH18">
        <f ca="1">IFERROR(IF(0=LEN(ReferenceData!$AH$18),"",ReferenceData!$AH$18),"")</f>
        <v>113.902</v>
      </c>
      <c r="AI18">
        <f ca="1">IFERROR(IF(0=LEN(ReferenceData!$AI$18),"",ReferenceData!$AI$18),"")</f>
        <v>102.79300000000001</v>
      </c>
      <c r="AJ18">
        <f ca="1">IFERROR(IF(0=LEN(ReferenceData!$AJ$18),"",ReferenceData!$AJ$18),"")</f>
        <v>113</v>
      </c>
      <c r="AK18">
        <f ca="1">IFERROR(IF(0=LEN(ReferenceData!$AK$18),"",ReferenceData!$AK$18),"")</f>
        <v>111.491</v>
      </c>
      <c r="AL18">
        <f ca="1">IFERROR(IF(0=LEN(ReferenceData!$AL$18),"",ReferenceData!$AL$18),"")</f>
        <v>108.16800000000001</v>
      </c>
      <c r="AM18">
        <f ca="1">IFERROR(IF(0=LEN(ReferenceData!$AM$18),"",ReferenceData!$AM$18),"")</f>
        <v>121.937</v>
      </c>
      <c r="AN18">
        <f ca="1">IFERROR(IF(0=LEN(ReferenceData!$AN$18),"",ReferenceData!$AN$18),"")</f>
        <v>106.843</v>
      </c>
      <c r="AO18">
        <f ca="1">IFERROR(IF(0=LEN(ReferenceData!$AO$18),"",ReferenceData!$AO$18),"")</f>
        <v>107.738</v>
      </c>
      <c r="AP18">
        <f ca="1">IFERROR(IF(0=LEN(ReferenceData!$AP$18),"",ReferenceData!$AP$18),"")</f>
        <v>107.11</v>
      </c>
      <c r="AQ18" t="str">
        <f ca="1">IFERROR(IF(0=LEN(ReferenceData!$AQ$18),"",ReferenceData!$AQ$18),"")</f>
        <v/>
      </c>
      <c r="AR18" t="str">
        <f ca="1">IFERROR(IF(0=LEN(ReferenceData!$AR$18),"",ReferenceData!$AR$18),"")</f>
        <v/>
      </c>
      <c r="AS18" t="str">
        <f ca="1">IFERROR(IF(0=LEN(ReferenceData!$AS$18),"",ReferenceData!$AS$18),"")</f>
        <v/>
      </c>
      <c r="AT18" t="str">
        <f ca="1">IFERROR(IF(0=LEN(ReferenceData!$AT$18),"",ReferenceData!$AT$18),"")</f>
        <v/>
      </c>
      <c r="AU18" t="str">
        <f ca="1">IFERROR(IF(0=LEN(ReferenceData!$AU$18),"",ReferenceData!$AU$18),"")</f>
        <v/>
      </c>
      <c r="AV18" t="str">
        <f ca="1">IFERROR(IF(0=LEN(ReferenceData!$AV$18),"",ReferenceData!$AV$18),"")</f>
        <v/>
      </c>
      <c r="AW18" t="str">
        <f ca="1">IFERROR(IF(0=LEN(ReferenceData!$AW$18),"",ReferenceData!$AW$18),"")</f>
        <v/>
      </c>
      <c r="AX18" t="str">
        <f ca="1">IFERROR(IF(0=LEN(ReferenceData!$AX$18),"",ReferenceData!$AX$18),"")</f>
        <v/>
      </c>
      <c r="AY18" t="str">
        <f ca="1">IFERROR(IF(0=LEN(ReferenceData!$AY$18),"",ReferenceData!$AY$18),"")</f>
        <v/>
      </c>
      <c r="AZ18" t="str">
        <f ca="1">IFERROR(IF(0=LEN(ReferenceData!$AZ$18),"",ReferenceData!$AZ$18),"")</f>
        <v/>
      </c>
      <c r="BA18" t="str">
        <f ca="1">IFERROR(IF(0=LEN(ReferenceData!$BA$18),"",ReferenceData!$BA$18),"")</f>
        <v/>
      </c>
      <c r="BB18" t="str">
        <f ca="1">IFERROR(IF(0=LEN(ReferenceData!$BB$18),"",ReferenceData!$BB$18),"")</f>
        <v/>
      </c>
      <c r="BC18" t="str">
        <f ca="1">IFERROR(IF(0=LEN(ReferenceData!$BC$18),"",ReferenceData!$BC$18),"")</f>
        <v/>
      </c>
      <c r="BD18" t="str">
        <f ca="1">IFERROR(IF(0=LEN(ReferenceData!$BD$18),"",ReferenceData!$BD$18),"")</f>
        <v/>
      </c>
      <c r="BE18" t="str">
        <f ca="1">IFERROR(IF(0=LEN(ReferenceData!$BE$18),"",ReferenceData!$BE$18),"")</f>
        <v/>
      </c>
      <c r="BF18" t="str">
        <f ca="1">IFERROR(IF(0=LEN(ReferenceData!$BF$18),"",ReferenceData!$BF$18),"")</f>
        <v/>
      </c>
      <c r="BG18" t="str">
        <f ca="1">IFERROR(IF(0=LEN(ReferenceData!$BG$18),"",ReferenceData!$BG$18),"")</f>
        <v/>
      </c>
      <c r="BH18" t="str">
        <f ca="1">IFERROR(IF(0=LEN(ReferenceData!$BH$18),"",ReferenceData!$BH$18),"")</f>
        <v/>
      </c>
      <c r="BI18" t="str">
        <f ca="1">IFERROR(IF(0=LEN(ReferenceData!$BI$18),"",ReferenceData!$BI$18),"")</f>
        <v/>
      </c>
      <c r="BJ18" t="str">
        <f ca="1">IFERROR(IF(0=LEN(ReferenceData!$BJ$18),"",ReferenceData!$BJ$18),"")</f>
        <v/>
      </c>
      <c r="BK18" t="str">
        <f ca="1">IFERROR(IF(0=LEN(ReferenceData!$BK$18),"",ReferenceData!$BK$18),"")</f>
        <v/>
      </c>
      <c r="BL18" t="str">
        <f ca="1">IFERROR(IF(0=LEN(ReferenceData!$BL$18),"",ReferenceData!$BL$18),"")</f>
        <v/>
      </c>
      <c r="BM18" t="str">
        <f ca="1">IFERROR(IF(0=LEN(ReferenceData!$BM$18),"",ReferenceData!$BM$18),"")</f>
        <v/>
      </c>
    </row>
    <row r="19" spans="1:65">
      <c r="A19" t="str">
        <f>IFERROR(IF(0=LEN(ReferenceData!$A$19),"",ReferenceData!$A$19),"")</f>
        <v xml:space="preserve">    Corporate Office Properties Tr</v>
      </c>
      <c r="B19" t="str">
        <f>IFERROR(IF(0=LEN(ReferenceData!$B$19),"",ReferenceData!$B$19),"")</f>
        <v>OFC US Equity</v>
      </c>
      <c r="C19" t="str">
        <f>IFERROR(IF(0=LEN(ReferenceData!$C$19),"",ReferenceData!$C$19),"")</f>
        <v>IM275</v>
      </c>
      <c r="D19" t="str">
        <f>IFERROR(IF(0=LEN(ReferenceData!$D$19),"",ReferenceData!$D$19),"")</f>
        <v>IS_OTHER_RENTAL_INCOME</v>
      </c>
      <c r="E19" t="str">
        <f>IFERROR(IF(0=LEN(ReferenceData!$E$19),"",ReferenceData!$E$19),"")</f>
        <v>动态</v>
      </c>
      <c r="F19" t="str">
        <f ca="1">IFERROR(IF(0=LEN(ReferenceData!$F$19),"",ReferenceData!$F$19),"")</f>
        <v/>
      </c>
      <c r="G19">
        <f ca="1">IFERROR(IF(0=LEN(ReferenceData!$G$19),"",ReferenceData!$G$19),"")</f>
        <v>101.485</v>
      </c>
      <c r="H19">
        <f ca="1">IFERROR(IF(0=LEN(ReferenceData!$H$19),"",ReferenceData!$H$19),"")</f>
        <v>102.27500000000001</v>
      </c>
      <c r="I19">
        <f ca="1">IFERROR(IF(0=LEN(ReferenceData!$I$19),"",ReferenceData!$I$19),"")</f>
        <v>101.34699999999999</v>
      </c>
      <c r="J19">
        <f ca="1">IFERROR(IF(0=LEN(ReferenceData!$J$19),"",ReferenceData!$J$19),"")</f>
        <v>100.61499999999999</v>
      </c>
      <c r="K19">
        <f ca="1">IFERROR(IF(0=LEN(ReferenceData!$K$19),"",ReferenceData!$K$19),"")</f>
        <v>100.849</v>
      </c>
      <c r="L19">
        <f ca="1">IFERROR(IF(0=LEN(ReferenceData!$L$19),"",ReferenceData!$L$19),"")</f>
        <v>103.956</v>
      </c>
      <c r="M19">
        <f ca="1">IFERROR(IF(0=LEN(ReferenceData!$M$19),"",ReferenceData!$M$19),"")</f>
        <v>107.524</v>
      </c>
      <c r="N19">
        <f ca="1">IFERROR(IF(0=LEN(ReferenceData!$N$19),"",ReferenceData!$N$19),"")</f>
        <v>105.38200000000001</v>
      </c>
      <c r="O19" t="str">
        <f ca="1">IFERROR(IF(0=LEN(ReferenceData!$O$19),"",ReferenceData!$O$19),"")</f>
        <v/>
      </c>
      <c r="P19">
        <f ca="1">IFERROR(IF(0=LEN(ReferenceData!$P$19),"",ReferenceData!$P$19),"")</f>
        <v>109.08</v>
      </c>
      <c r="Q19">
        <f ca="1">IFERROR(IF(0=LEN(ReferenceData!$Q$19),"",ReferenceData!$Q$19),"")</f>
        <v>105.508</v>
      </c>
      <c r="R19">
        <f ca="1">IFERROR(IF(0=LEN(ReferenceData!$R$19),"",ReferenceData!$R$19),"")</f>
        <v>98.238</v>
      </c>
      <c r="S19" t="str">
        <f ca="1">IFERROR(IF(0=LEN(ReferenceData!$S$19),"",ReferenceData!$S$19),"")</f>
        <v/>
      </c>
      <c r="T19">
        <f ca="1">IFERROR(IF(0=LEN(ReferenceData!$T$19),"",ReferenceData!$T$19),"")</f>
        <v>96.206999999999994</v>
      </c>
      <c r="U19">
        <f ca="1">IFERROR(IF(0=LEN(ReferenceData!$U$19),"",ReferenceData!$U$19),"")</f>
        <v>94.331999999999994</v>
      </c>
      <c r="V19">
        <f ca="1">IFERROR(IF(0=LEN(ReferenceData!$V$19),"",ReferenceData!$V$19),"")</f>
        <v>98.034999999999997</v>
      </c>
      <c r="W19" t="str">
        <f ca="1">IFERROR(IF(0=LEN(ReferenceData!$W$19),"",ReferenceData!$W$19),"")</f>
        <v/>
      </c>
      <c r="X19">
        <f ca="1">IFERROR(IF(0=LEN(ReferenceData!$X$19),"",ReferenceData!$X$19),"")</f>
        <v>94.641000000000005</v>
      </c>
      <c r="Y19">
        <f ca="1">IFERROR(IF(0=LEN(ReferenceData!$Y$19),"",ReferenceData!$Y$19),"")</f>
        <v>94.421000000000006</v>
      </c>
      <c r="Z19">
        <f ca="1">IFERROR(IF(0=LEN(ReferenceData!$Z$19),"",ReferenceData!$Z$19),"")</f>
        <v>91.849000000000004</v>
      </c>
      <c r="AA19" t="str">
        <f ca="1">IFERROR(IF(0=LEN(ReferenceData!$AA$19),"",ReferenceData!$AA$19),"")</f>
        <v/>
      </c>
      <c r="AB19">
        <f ca="1">IFERROR(IF(0=LEN(ReferenceData!$AB$19),"",ReferenceData!$AB$19),"")</f>
        <v>92.783000000000001</v>
      </c>
      <c r="AC19">
        <f ca="1">IFERROR(IF(0=LEN(ReferenceData!$AC$19),"",ReferenceData!$AC$19),"")</f>
        <v>89.953999999999994</v>
      </c>
      <c r="AD19">
        <f ca="1">IFERROR(IF(0=LEN(ReferenceData!$AD$19),"",ReferenceData!$AD$19),"")</f>
        <v>89.858999999999995</v>
      </c>
      <c r="AE19">
        <f ca="1">IFERROR(IF(0=LEN(ReferenceData!$AE$19),"",ReferenceData!$AE$19),"")</f>
        <v>89.11</v>
      </c>
      <c r="AF19">
        <f ca="1">IFERROR(IF(0=LEN(ReferenceData!$AF$19),"",ReferenceData!$AF$19),"")</f>
        <v>87.691999999999993</v>
      </c>
      <c r="AG19">
        <f ca="1">IFERROR(IF(0=LEN(ReferenceData!$AG$19),"",ReferenceData!$AG$19),"")</f>
        <v>90.337000000000003</v>
      </c>
      <c r="AH19">
        <f ca="1">IFERROR(IF(0=LEN(ReferenceData!$AH$19),"",ReferenceData!$AH$19),"")</f>
        <v>94.248999999999995</v>
      </c>
      <c r="AI19" t="str">
        <f ca="1">IFERROR(IF(0=LEN(ReferenceData!$AI$19),"",ReferenceData!$AI$19),"")</f>
        <v/>
      </c>
      <c r="AJ19">
        <f ca="1">IFERROR(IF(0=LEN(ReferenceData!$AJ$19),"",ReferenceData!$AJ$19),"")</f>
        <v>90.263999999999996</v>
      </c>
      <c r="AK19">
        <f ca="1">IFERROR(IF(0=LEN(ReferenceData!$AK$19),"",ReferenceData!$AK$19),"")</f>
        <v>88.778999999999996</v>
      </c>
      <c r="AL19">
        <f ca="1">IFERROR(IF(0=LEN(ReferenceData!$AL$19),"",ReferenceData!$AL$19),"")</f>
        <v>91.01</v>
      </c>
      <c r="AM19" t="str">
        <f ca="1">IFERROR(IF(0=LEN(ReferenceData!$AM$19),"",ReferenceData!$AM$19),"")</f>
        <v/>
      </c>
      <c r="AN19">
        <f ca="1">IFERROR(IF(0=LEN(ReferenceData!$AN$19),"",ReferenceData!$AN$19),"")</f>
        <v>86.972999999999999</v>
      </c>
      <c r="AO19">
        <f ca="1">IFERROR(IF(0=LEN(ReferenceData!$AO$19),"",ReferenceData!$AO$19),"")</f>
        <v>87.649000000000001</v>
      </c>
      <c r="AP19">
        <f ca="1">IFERROR(IF(0=LEN(ReferenceData!$AP$19),"",ReferenceData!$AP$19),"")</f>
        <v>88.844999999999999</v>
      </c>
      <c r="AQ19" t="str">
        <f ca="1">IFERROR(IF(0=LEN(ReferenceData!$AQ$19),"",ReferenceData!$AQ$19),"")</f>
        <v/>
      </c>
      <c r="AR19" t="str">
        <f ca="1">IFERROR(IF(0=LEN(ReferenceData!$AR$19),"",ReferenceData!$AR$19),"")</f>
        <v/>
      </c>
      <c r="AS19" t="str">
        <f ca="1">IFERROR(IF(0=LEN(ReferenceData!$AS$19),"",ReferenceData!$AS$19),"")</f>
        <v/>
      </c>
      <c r="AT19" t="str">
        <f ca="1">IFERROR(IF(0=LEN(ReferenceData!$AT$19),"",ReferenceData!$AT$19),"")</f>
        <v/>
      </c>
      <c r="AU19" t="str">
        <f ca="1">IFERROR(IF(0=LEN(ReferenceData!$AU$19),"",ReferenceData!$AU$19),"")</f>
        <v/>
      </c>
      <c r="AV19" t="str">
        <f ca="1">IFERROR(IF(0=LEN(ReferenceData!$AV$19),"",ReferenceData!$AV$19),"")</f>
        <v/>
      </c>
      <c r="AW19" t="str">
        <f ca="1">IFERROR(IF(0=LEN(ReferenceData!$AW$19),"",ReferenceData!$AW$19),"")</f>
        <v/>
      </c>
      <c r="AX19" t="str">
        <f ca="1">IFERROR(IF(0=LEN(ReferenceData!$AX$19),"",ReferenceData!$AX$19),"")</f>
        <v/>
      </c>
      <c r="AY19" t="str">
        <f ca="1">IFERROR(IF(0=LEN(ReferenceData!$AY$19),"",ReferenceData!$AY$19),"")</f>
        <v/>
      </c>
      <c r="AZ19" t="str">
        <f ca="1">IFERROR(IF(0=LEN(ReferenceData!$AZ$19),"",ReferenceData!$AZ$19),"")</f>
        <v/>
      </c>
      <c r="BA19" t="str">
        <f ca="1">IFERROR(IF(0=LEN(ReferenceData!$BA$19),"",ReferenceData!$BA$19),"")</f>
        <v/>
      </c>
      <c r="BB19" t="str">
        <f ca="1">IFERROR(IF(0=LEN(ReferenceData!$BB$19),"",ReferenceData!$BB$19),"")</f>
        <v/>
      </c>
      <c r="BC19" t="str">
        <f ca="1">IFERROR(IF(0=LEN(ReferenceData!$BC$19),"",ReferenceData!$BC$19),"")</f>
        <v/>
      </c>
      <c r="BD19" t="str">
        <f ca="1">IFERROR(IF(0=LEN(ReferenceData!$BD$19),"",ReferenceData!$BD$19),"")</f>
        <v/>
      </c>
      <c r="BE19" t="str">
        <f ca="1">IFERROR(IF(0=LEN(ReferenceData!$BE$19),"",ReferenceData!$BE$19),"")</f>
        <v/>
      </c>
      <c r="BF19" t="str">
        <f ca="1">IFERROR(IF(0=LEN(ReferenceData!$BF$19),"",ReferenceData!$BF$19),"")</f>
        <v/>
      </c>
      <c r="BG19" t="str">
        <f ca="1">IFERROR(IF(0=LEN(ReferenceData!$BG$19),"",ReferenceData!$BG$19),"")</f>
        <v/>
      </c>
      <c r="BH19" t="str">
        <f ca="1">IFERROR(IF(0=LEN(ReferenceData!$BH$19),"",ReferenceData!$BH$19),"")</f>
        <v/>
      </c>
      <c r="BI19" t="str">
        <f ca="1">IFERROR(IF(0=LEN(ReferenceData!$BI$19),"",ReferenceData!$BI$19),"")</f>
        <v/>
      </c>
      <c r="BJ19" t="str">
        <f ca="1">IFERROR(IF(0=LEN(ReferenceData!$BJ$19),"",ReferenceData!$BJ$19),"")</f>
        <v/>
      </c>
      <c r="BK19" t="str">
        <f ca="1">IFERROR(IF(0=LEN(ReferenceData!$BK$19),"",ReferenceData!$BK$19),"")</f>
        <v/>
      </c>
      <c r="BL19" t="str">
        <f ca="1">IFERROR(IF(0=LEN(ReferenceData!$BL$19),"",ReferenceData!$BL$19),"")</f>
        <v/>
      </c>
      <c r="BM19" t="str">
        <f ca="1">IFERROR(IF(0=LEN(ReferenceData!$BM$19),"",ReferenceData!$BM$19),"")</f>
        <v/>
      </c>
    </row>
    <row r="20" spans="1:65">
      <c r="A20" t="str">
        <f>IFERROR(IF(0=LEN(ReferenceData!$A$20),"",ReferenceData!$A$20),"")</f>
        <v xml:space="preserve">    Highwoods Properties Inc</v>
      </c>
      <c r="B20" t="str">
        <f>IFERROR(IF(0=LEN(ReferenceData!$B$20),"",ReferenceData!$B$20),"")</f>
        <v>HIW US Equity</v>
      </c>
      <c r="C20" t="str">
        <f>IFERROR(IF(0=LEN(ReferenceData!$C$20),"",ReferenceData!$C$20),"")</f>
        <v>IM275</v>
      </c>
      <c r="D20" t="str">
        <f>IFERROR(IF(0=LEN(ReferenceData!$D$20),"",ReferenceData!$D$20),"")</f>
        <v>IS_OTHER_RENTAL_INCOME</v>
      </c>
      <c r="E20" t="str">
        <f>IFERROR(IF(0=LEN(ReferenceData!$E$20),"",ReferenceData!$E$20),"")</f>
        <v>动态</v>
      </c>
      <c r="F20" t="str">
        <f ca="1">IFERROR(IF(0=LEN(ReferenceData!$F$20),"",ReferenceData!$F$20),"")</f>
        <v/>
      </c>
      <c r="G20" t="str">
        <f ca="1">IFERROR(IF(0=LEN(ReferenceData!$G$20),"",ReferenceData!$G$20),"")</f>
        <v/>
      </c>
      <c r="H20" t="str">
        <f ca="1">IFERROR(IF(0=LEN(ReferenceData!$H$20),"",ReferenceData!$H$20),"")</f>
        <v/>
      </c>
      <c r="I20" t="str">
        <f ca="1">IFERROR(IF(0=LEN(ReferenceData!$I$20),"",ReferenceData!$I$20),"")</f>
        <v/>
      </c>
      <c r="J20" t="str">
        <f ca="1">IFERROR(IF(0=LEN(ReferenceData!$J$20),"",ReferenceData!$J$20),"")</f>
        <v/>
      </c>
      <c r="K20" t="str">
        <f ca="1">IFERROR(IF(0=LEN(ReferenceData!$K$20),"",ReferenceData!$K$20),"")</f>
        <v/>
      </c>
      <c r="L20" t="str">
        <f ca="1">IFERROR(IF(0=LEN(ReferenceData!$L$20),"",ReferenceData!$L$20),"")</f>
        <v/>
      </c>
      <c r="M20" t="str">
        <f ca="1">IFERROR(IF(0=LEN(ReferenceData!$M$20),"",ReferenceData!$M$20),"")</f>
        <v/>
      </c>
      <c r="N20" t="str">
        <f ca="1">IFERROR(IF(0=LEN(ReferenceData!$N$20),"",ReferenceData!$N$20),"")</f>
        <v/>
      </c>
      <c r="O20" t="str">
        <f ca="1">IFERROR(IF(0=LEN(ReferenceData!$O$20),"",ReferenceData!$O$20),"")</f>
        <v/>
      </c>
      <c r="P20" t="str">
        <f ca="1">IFERROR(IF(0=LEN(ReferenceData!$P$20),"",ReferenceData!$P$20),"")</f>
        <v/>
      </c>
      <c r="Q20" t="str">
        <f ca="1">IFERROR(IF(0=LEN(ReferenceData!$Q$20),"",ReferenceData!$Q$20),"")</f>
        <v/>
      </c>
      <c r="R20" t="str">
        <f ca="1">IFERROR(IF(0=LEN(ReferenceData!$R$20),"",ReferenceData!$R$20),"")</f>
        <v/>
      </c>
      <c r="S20" t="str">
        <f ca="1">IFERROR(IF(0=LEN(ReferenceData!$S$20),"",ReferenceData!$S$20),"")</f>
        <v/>
      </c>
      <c r="T20" t="str">
        <f ca="1">IFERROR(IF(0=LEN(ReferenceData!$T$20),"",ReferenceData!$T$20),"")</f>
        <v/>
      </c>
      <c r="U20" t="str">
        <f ca="1">IFERROR(IF(0=LEN(ReferenceData!$U$20),"",ReferenceData!$U$20),"")</f>
        <v/>
      </c>
      <c r="V20" t="str">
        <f ca="1">IFERROR(IF(0=LEN(ReferenceData!$V$20),"",ReferenceData!$V$20),"")</f>
        <v/>
      </c>
      <c r="W20" t="str">
        <f ca="1">IFERROR(IF(0=LEN(ReferenceData!$W$20),"",ReferenceData!$W$20),"")</f>
        <v/>
      </c>
      <c r="X20" t="str">
        <f ca="1">IFERROR(IF(0=LEN(ReferenceData!$X$20),"",ReferenceData!$X$20),"")</f>
        <v/>
      </c>
      <c r="Y20" t="str">
        <f ca="1">IFERROR(IF(0=LEN(ReferenceData!$Y$20),"",ReferenceData!$Y$20),"")</f>
        <v/>
      </c>
      <c r="Z20" t="str">
        <f ca="1">IFERROR(IF(0=LEN(ReferenceData!$Z$20),"",ReferenceData!$Z$20),"")</f>
        <v/>
      </c>
      <c r="AA20" t="str">
        <f ca="1">IFERROR(IF(0=LEN(ReferenceData!$AA$20),"",ReferenceData!$AA$20),"")</f>
        <v/>
      </c>
      <c r="AB20" t="str">
        <f ca="1">IFERROR(IF(0=LEN(ReferenceData!$AB$20),"",ReferenceData!$AB$20),"")</f>
        <v/>
      </c>
      <c r="AC20" t="str">
        <f ca="1">IFERROR(IF(0=LEN(ReferenceData!$AC$20),"",ReferenceData!$AC$20),"")</f>
        <v/>
      </c>
      <c r="AD20" t="str">
        <f ca="1">IFERROR(IF(0=LEN(ReferenceData!$AD$20),"",ReferenceData!$AD$20),"")</f>
        <v/>
      </c>
      <c r="AE20" t="str">
        <f ca="1">IFERROR(IF(0=LEN(ReferenceData!$AE$20),"",ReferenceData!$AE$20),"")</f>
        <v/>
      </c>
      <c r="AF20" t="str">
        <f ca="1">IFERROR(IF(0=LEN(ReferenceData!$AF$20),"",ReferenceData!$AF$20),"")</f>
        <v/>
      </c>
      <c r="AG20" t="str">
        <f ca="1">IFERROR(IF(0=LEN(ReferenceData!$AG$20),"",ReferenceData!$AG$20),"")</f>
        <v/>
      </c>
      <c r="AH20" t="str">
        <f ca="1">IFERROR(IF(0=LEN(ReferenceData!$AH$20),"",ReferenceData!$AH$20),"")</f>
        <v/>
      </c>
      <c r="AI20" t="str">
        <f ca="1">IFERROR(IF(0=LEN(ReferenceData!$AI$20),"",ReferenceData!$AI$20),"")</f>
        <v/>
      </c>
      <c r="AJ20" t="str">
        <f ca="1">IFERROR(IF(0=LEN(ReferenceData!$AJ$20),"",ReferenceData!$AJ$20),"")</f>
        <v/>
      </c>
      <c r="AK20" t="str">
        <f ca="1">IFERROR(IF(0=LEN(ReferenceData!$AK$20),"",ReferenceData!$AK$20),"")</f>
        <v/>
      </c>
      <c r="AL20" t="str">
        <f ca="1">IFERROR(IF(0=LEN(ReferenceData!$AL$20),"",ReferenceData!$AL$20),"")</f>
        <v/>
      </c>
      <c r="AM20" t="str">
        <f ca="1">IFERROR(IF(0=LEN(ReferenceData!$AM$20),"",ReferenceData!$AM$20),"")</f>
        <v/>
      </c>
      <c r="AN20" t="str">
        <f ca="1">IFERROR(IF(0=LEN(ReferenceData!$AN$20),"",ReferenceData!$AN$20),"")</f>
        <v/>
      </c>
      <c r="AO20" t="str">
        <f ca="1">IFERROR(IF(0=LEN(ReferenceData!$AO$20),"",ReferenceData!$AO$20),"")</f>
        <v/>
      </c>
      <c r="AP20" t="str">
        <f ca="1">IFERROR(IF(0=LEN(ReferenceData!$AP$20),"",ReferenceData!$AP$20),"")</f>
        <v/>
      </c>
      <c r="AQ20" t="str">
        <f ca="1">IFERROR(IF(0=LEN(ReferenceData!$AQ$20),"",ReferenceData!$AQ$20),"")</f>
        <v/>
      </c>
      <c r="AR20" t="str">
        <f ca="1">IFERROR(IF(0=LEN(ReferenceData!$AR$20),"",ReferenceData!$AR$20),"")</f>
        <v/>
      </c>
      <c r="AS20" t="str">
        <f ca="1">IFERROR(IF(0=LEN(ReferenceData!$AS$20),"",ReferenceData!$AS$20),"")</f>
        <v/>
      </c>
      <c r="AT20" t="str">
        <f ca="1">IFERROR(IF(0=LEN(ReferenceData!$AT$20),"",ReferenceData!$AT$20),"")</f>
        <v/>
      </c>
      <c r="AU20" t="str">
        <f ca="1">IFERROR(IF(0=LEN(ReferenceData!$AU$20),"",ReferenceData!$AU$20),"")</f>
        <v/>
      </c>
      <c r="AV20" t="str">
        <f ca="1">IFERROR(IF(0=LEN(ReferenceData!$AV$20),"",ReferenceData!$AV$20),"")</f>
        <v/>
      </c>
      <c r="AW20" t="str">
        <f ca="1">IFERROR(IF(0=LEN(ReferenceData!$AW$20),"",ReferenceData!$AW$20),"")</f>
        <v/>
      </c>
      <c r="AX20" t="str">
        <f ca="1">IFERROR(IF(0=LEN(ReferenceData!$AX$20),"",ReferenceData!$AX$20),"")</f>
        <v/>
      </c>
      <c r="AY20" t="str">
        <f ca="1">IFERROR(IF(0=LEN(ReferenceData!$AY$20),"",ReferenceData!$AY$20),"")</f>
        <v/>
      </c>
      <c r="AZ20" t="str">
        <f ca="1">IFERROR(IF(0=LEN(ReferenceData!$AZ$20),"",ReferenceData!$AZ$20),"")</f>
        <v/>
      </c>
      <c r="BA20" t="str">
        <f ca="1">IFERROR(IF(0=LEN(ReferenceData!$BA$20),"",ReferenceData!$BA$20),"")</f>
        <v/>
      </c>
      <c r="BB20" t="str">
        <f ca="1">IFERROR(IF(0=LEN(ReferenceData!$BB$20),"",ReferenceData!$BB$20),"")</f>
        <v/>
      </c>
      <c r="BC20" t="str">
        <f ca="1">IFERROR(IF(0=LEN(ReferenceData!$BC$20),"",ReferenceData!$BC$20),"")</f>
        <v/>
      </c>
      <c r="BD20" t="str">
        <f ca="1">IFERROR(IF(0=LEN(ReferenceData!$BD$20),"",ReferenceData!$BD$20),"")</f>
        <v/>
      </c>
      <c r="BE20" t="str">
        <f ca="1">IFERROR(IF(0=LEN(ReferenceData!$BE$20),"",ReferenceData!$BE$20),"")</f>
        <v/>
      </c>
      <c r="BF20" t="str">
        <f ca="1">IFERROR(IF(0=LEN(ReferenceData!$BF$20),"",ReferenceData!$BF$20),"")</f>
        <v/>
      </c>
      <c r="BG20" t="str">
        <f ca="1">IFERROR(IF(0=LEN(ReferenceData!$BG$20),"",ReferenceData!$BG$20),"")</f>
        <v/>
      </c>
      <c r="BH20" t="str">
        <f ca="1">IFERROR(IF(0=LEN(ReferenceData!$BH$20),"",ReferenceData!$BH$20),"")</f>
        <v/>
      </c>
      <c r="BI20" t="str">
        <f ca="1">IFERROR(IF(0=LEN(ReferenceData!$BI$20),"",ReferenceData!$BI$20),"")</f>
        <v/>
      </c>
      <c r="BJ20" t="str">
        <f ca="1">IFERROR(IF(0=LEN(ReferenceData!$BJ$20),"",ReferenceData!$BJ$20),"")</f>
        <v/>
      </c>
      <c r="BK20" t="str">
        <f ca="1">IFERROR(IF(0=LEN(ReferenceData!$BK$20),"",ReferenceData!$BK$20),"")</f>
        <v/>
      </c>
      <c r="BL20" t="str">
        <f ca="1">IFERROR(IF(0=LEN(ReferenceData!$BL$20),"",ReferenceData!$BL$20),"")</f>
        <v/>
      </c>
      <c r="BM20" t="str">
        <f ca="1">IFERROR(IF(0=LEN(ReferenceData!$BM$20),"",ReferenceData!$BM$20),"")</f>
        <v/>
      </c>
    </row>
    <row r="21" spans="1:65">
      <c r="A21" t="str">
        <f>IFERROR(IF(0=LEN(ReferenceData!$A$21),"",ReferenceData!$A$21),"")</f>
        <v xml:space="preserve">    Kilroy Realty Corp</v>
      </c>
      <c r="B21" t="str">
        <f>IFERROR(IF(0=LEN(ReferenceData!$B$21),"",ReferenceData!$B$21),"")</f>
        <v>KRC US Equity</v>
      </c>
      <c r="C21" t="str">
        <f>IFERROR(IF(0=LEN(ReferenceData!$C$21),"",ReferenceData!$C$21),"")</f>
        <v>IM275</v>
      </c>
      <c r="D21" t="str">
        <f>IFERROR(IF(0=LEN(ReferenceData!$D$21),"",ReferenceData!$D$21),"")</f>
        <v>IS_OTHER_RENTAL_INCOME</v>
      </c>
      <c r="E21" t="str">
        <f>IFERROR(IF(0=LEN(ReferenceData!$E$21),"",ReferenceData!$E$21),"")</f>
        <v>动态</v>
      </c>
      <c r="F21" t="str">
        <f ca="1">IFERROR(IF(0=LEN(ReferenceData!$F$21),"",ReferenceData!$F$21),"")</f>
        <v/>
      </c>
      <c r="G21">
        <f ca="1">IFERROR(IF(0=LEN(ReferenceData!$G$21),"",ReferenceData!$G$21),"")</f>
        <v>158.369</v>
      </c>
      <c r="H21">
        <f ca="1">IFERROR(IF(0=LEN(ReferenceData!$H$21),"",ReferenceData!$H$21),"")</f>
        <v>159.95400000000001</v>
      </c>
      <c r="I21">
        <f ca="1">IFERROR(IF(0=LEN(ReferenceData!$I$21),"",ReferenceData!$I$21),"")</f>
        <v>158.92500000000001</v>
      </c>
      <c r="J21">
        <f ca="1">IFERROR(IF(0=LEN(ReferenceData!$J$21),"",ReferenceData!$J$21),"")</f>
        <v>156.648</v>
      </c>
      <c r="K21">
        <f ca="1">IFERROR(IF(0=LEN(ReferenceData!$K$21),"",ReferenceData!$K$21),"")</f>
        <v>150.46600000000001</v>
      </c>
      <c r="L21">
        <f ca="1">IFERROR(IF(0=LEN(ReferenceData!$L$21),"",ReferenceData!$L$21),"")</f>
        <v>146.53899999999999</v>
      </c>
      <c r="M21">
        <f ca="1">IFERROR(IF(0=LEN(ReferenceData!$M$21),"",ReferenceData!$M$21),"")</f>
        <v>143.65299999999999</v>
      </c>
      <c r="N21">
        <f ca="1">IFERROR(IF(0=LEN(ReferenceData!$N$21),"",ReferenceData!$N$21),"")</f>
        <v>133.755</v>
      </c>
      <c r="O21">
        <f ca="1">IFERROR(IF(0=LEN(ReferenceData!$O$21),"",ReferenceData!$O$21),"")</f>
        <v>133.46299999999999</v>
      </c>
      <c r="P21">
        <f ca="1">IFERROR(IF(0=LEN(ReferenceData!$P$21),"",ReferenceData!$P$21),"")</f>
        <v>129.51</v>
      </c>
      <c r="Q21">
        <f ca="1">IFERROR(IF(0=LEN(ReferenceData!$Q$21),"",ReferenceData!$Q$21),"")</f>
        <v>131.44999999999999</v>
      </c>
      <c r="R21">
        <f ca="1">IFERROR(IF(0=LEN(ReferenceData!$R$21),"",ReferenceData!$R$21),"")</f>
        <v>130.93199999999999</v>
      </c>
      <c r="S21">
        <f ca="1">IFERROR(IF(0=LEN(ReferenceData!$S$21),"",ReferenceData!$S$21),"")</f>
        <v>127.417</v>
      </c>
      <c r="T21">
        <f ca="1">IFERROR(IF(0=LEN(ReferenceData!$T$21),"",ReferenceData!$T$21),"")</f>
        <v>115.221</v>
      </c>
      <c r="U21">
        <f ca="1">IFERROR(IF(0=LEN(ReferenceData!$U$21),"",ReferenceData!$U$21),"")</f>
        <v>113.592</v>
      </c>
      <c r="V21">
        <f ca="1">IFERROR(IF(0=LEN(ReferenceData!$V$21),"",ReferenceData!$V$21),"")</f>
        <v>110.098</v>
      </c>
      <c r="W21">
        <f ca="1">IFERROR(IF(0=LEN(ReferenceData!$W$21),"",ReferenceData!$W$21),"")</f>
        <v>108.32599999999999</v>
      </c>
      <c r="X21">
        <f ca="1">IFERROR(IF(0=LEN(ReferenceData!$X$21),"",ReferenceData!$X$21),"")</f>
        <v>103.354</v>
      </c>
      <c r="Y21">
        <f ca="1">IFERROR(IF(0=LEN(ReferenceData!$Y$21),"",ReferenceData!$Y$21),"")</f>
        <v>102.38500000000001</v>
      </c>
      <c r="Z21">
        <f ca="1">IFERROR(IF(0=LEN(ReferenceData!$Z$21),"",ReferenceData!$Z$21),"")</f>
        <v>101.607</v>
      </c>
      <c r="AA21">
        <f ca="1">IFERROR(IF(0=LEN(ReferenceData!$AA$21),"",ReferenceData!$AA$21),"")</f>
        <v>101.288</v>
      </c>
      <c r="AB21">
        <f ca="1">IFERROR(IF(0=LEN(ReferenceData!$AB$21),"",ReferenceData!$AB$21),"")</f>
        <v>90.828000000000003</v>
      </c>
      <c r="AC21">
        <f ca="1">IFERROR(IF(0=LEN(ReferenceData!$AC$21),"",ReferenceData!$AC$21),"")</f>
        <v>88.474000000000004</v>
      </c>
      <c r="AD21">
        <f ca="1">IFERROR(IF(0=LEN(ReferenceData!$AD$21),"",ReferenceData!$AD$21),"")</f>
        <v>84.349000000000004</v>
      </c>
      <c r="AE21">
        <f ca="1">IFERROR(IF(0=LEN(ReferenceData!$AE$21),"",ReferenceData!$AE$21),"")</f>
        <v>83.265000000000001</v>
      </c>
      <c r="AF21">
        <f ca="1">IFERROR(IF(0=LEN(ReferenceData!$AF$21),"",ReferenceData!$AF$21),"")</f>
        <v>79.673000000000002</v>
      </c>
      <c r="AG21">
        <f ca="1">IFERROR(IF(0=LEN(ReferenceData!$AG$21),"",ReferenceData!$AG$21),"")</f>
        <v>80.158000000000001</v>
      </c>
      <c r="AH21">
        <f ca="1">IFERROR(IF(0=LEN(ReferenceData!$AH$21),"",ReferenceData!$AH$21),"")</f>
        <v>76.997</v>
      </c>
      <c r="AI21">
        <f ca="1">IFERROR(IF(0=LEN(ReferenceData!$AI$21),"",ReferenceData!$AI$21),"")</f>
        <v>73.111999999999995</v>
      </c>
      <c r="AJ21">
        <f ca="1">IFERROR(IF(0=LEN(ReferenceData!$AJ$21),"",ReferenceData!$AJ$21),"")</f>
        <v>72.135000000000005</v>
      </c>
      <c r="AK21">
        <f ca="1">IFERROR(IF(0=LEN(ReferenceData!$AK$21),"",ReferenceData!$AK$21),"")</f>
        <v>65.037999999999997</v>
      </c>
      <c r="AL21">
        <f ca="1">IFERROR(IF(0=LEN(ReferenceData!$AL$21),"",ReferenceData!$AL$21),"")</f>
        <v>60.655999999999999</v>
      </c>
      <c r="AM21">
        <f ca="1">IFERROR(IF(0=LEN(ReferenceData!$AM$21),"",ReferenceData!$AM$21),"")</f>
        <v>60.69</v>
      </c>
      <c r="AN21">
        <f ca="1">IFERROR(IF(0=LEN(ReferenceData!$AN$21),"",ReferenceData!$AN$21),"")</f>
        <v>61.296999999999997</v>
      </c>
      <c r="AO21">
        <f ca="1">IFERROR(IF(0=LEN(ReferenceData!$AO$21),"",ReferenceData!$AO$21),"")</f>
        <v>62.597999999999999</v>
      </c>
      <c r="AP21">
        <f ca="1">IFERROR(IF(0=LEN(ReferenceData!$AP$21),"",ReferenceData!$AP$21),"")</f>
        <v>63.064</v>
      </c>
      <c r="AQ21" t="str">
        <f ca="1">IFERROR(IF(0=LEN(ReferenceData!$AQ$21),"",ReferenceData!$AQ$21),"")</f>
        <v/>
      </c>
      <c r="AR21" t="str">
        <f ca="1">IFERROR(IF(0=LEN(ReferenceData!$AR$21),"",ReferenceData!$AR$21),"")</f>
        <v/>
      </c>
      <c r="AS21" t="str">
        <f ca="1">IFERROR(IF(0=LEN(ReferenceData!$AS$21),"",ReferenceData!$AS$21),"")</f>
        <v/>
      </c>
      <c r="AT21" t="str">
        <f ca="1">IFERROR(IF(0=LEN(ReferenceData!$AT$21),"",ReferenceData!$AT$21),"")</f>
        <v/>
      </c>
      <c r="AU21" t="str">
        <f ca="1">IFERROR(IF(0=LEN(ReferenceData!$AU$21),"",ReferenceData!$AU$21),"")</f>
        <v/>
      </c>
      <c r="AV21" t="str">
        <f ca="1">IFERROR(IF(0=LEN(ReferenceData!$AV$21),"",ReferenceData!$AV$21),"")</f>
        <v/>
      </c>
      <c r="AW21" t="str">
        <f ca="1">IFERROR(IF(0=LEN(ReferenceData!$AW$21),"",ReferenceData!$AW$21),"")</f>
        <v/>
      </c>
      <c r="AX21" t="str">
        <f ca="1">IFERROR(IF(0=LEN(ReferenceData!$AX$21),"",ReferenceData!$AX$21),"")</f>
        <v/>
      </c>
      <c r="AY21" t="str">
        <f ca="1">IFERROR(IF(0=LEN(ReferenceData!$AY$21),"",ReferenceData!$AY$21),"")</f>
        <v/>
      </c>
      <c r="AZ21" t="str">
        <f ca="1">IFERROR(IF(0=LEN(ReferenceData!$AZ$21),"",ReferenceData!$AZ$21),"")</f>
        <v/>
      </c>
      <c r="BA21" t="str">
        <f ca="1">IFERROR(IF(0=LEN(ReferenceData!$BA$21),"",ReferenceData!$BA$21),"")</f>
        <v/>
      </c>
      <c r="BB21" t="str">
        <f ca="1">IFERROR(IF(0=LEN(ReferenceData!$BB$21),"",ReferenceData!$BB$21),"")</f>
        <v/>
      </c>
      <c r="BC21" t="str">
        <f ca="1">IFERROR(IF(0=LEN(ReferenceData!$BC$21),"",ReferenceData!$BC$21),"")</f>
        <v/>
      </c>
      <c r="BD21" t="str">
        <f ca="1">IFERROR(IF(0=LEN(ReferenceData!$BD$21),"",ReferenceData!$BD$21),"")</f>
        <v/>
      </c>
      <c r="BE21" t="str">
        <f ca="1">IFERROR(IF(0=LEN(ReferenceData!$BE$21),"",ReferenceData!$BE$21),"")</f>
        <v/>
      </c>
      <c r="BF21" t="str">
        <f ca="1">IFERROR(IF(0=LEN(ReferenceData!$BF$21),"",ReferenceData!$BF$21),"")</f>
        <v/>
      </c>
      <c r="BG21" t="str">
        <f ca="1">IFERROR(IF(0=LEN(ReferenceData!$BG$21),"",ReferenceData!$BG$21),"")</f>
        <v/>
      </c>
      <c r="BH21" t="str">
        <f ca="1">IFERROR(IF(0=LEN(ReferenceData!$BH$21),"",ReferenceData!$BH$21),"")</f>
        <v/>
      </c>
      <c r="BI21" t="str">
        <f ca="1">IFERROR(IF(0=LEN(ReferenceData!$BI$21),"",ReferenceData!$BI$21),"")</f>
        <v/>
      </c>
      <c r="BJ21" t="str">
        <f ca="1">IFERROR(IF(0=LEN(ReferenceData!$BJ$21),"",ReferenceData!$BJ$21),"")</f>
        <v/>
      </c>
      <c r="BK21" t="str">
        <f ca="1">IFERROR(IF(0=LEN(ReferenceData!$BK$21),"",ReferenceData!$BK$21),"")</f>
        <v/>
      </c>
      <c r="BL21" t="str">
        <f ca="1">IFERROR(IF(0=LEN(ReferenceData!$BL$21),"",ReferenceData!$BL$21),"")</f>
        <v/>
      </c>
      <c r="BM21" t="str">
        <f ca="1">IFERROR(IF(0=LEN(ReferenceData!$BM$21),"",ReferenceData!$BM$21),"")</f>
        <v/>
      </c>
    </row>
    <row r="22" spans="1:65">
      <c r="A22" t="str">
        <f>IFERROR(IF(0=LEN(ReferenceData!$A$22),"",ReferenceData!$A$22),"")</f>
        <v xml:space="preserve">    Mack-Cali Realty Corp</v>
      </c>
      <c r="B22" t="str">
        <f>IFERROR(IF(0=LEN(ReferenceData!$B$22),"",ReferenceData!$B$22),"")</f>
        <v>CLI US Equity</v>
      </c>
      <c r="C22" t="str">
        <f>IFERROR(IF(0=LEN(ReferenceData!$C$22),"",ReferenceData!$C$22),"")</f>
        <v>IM275</v>
      </c>
      <c r="D22" t="str">
        <f>IFERROR(IF(0=LEN(ReferenceData!$D$22),"",ReferenceData!$D$22),"")</f>
        <v>IS_OTHER_RENTAL_INCOME</v>
      </c>
      <c r="E22" t="str">
        <f>IFERROR(IF(0=LEN(ReferenceData!$E$22),"",ReferenceData!$E$22),"")</f>
        <v>动态</v>
      </c>
      <c r="F22" t="str">
        <f ca="1">IFERROR(IF(0=LEN(ReferenceData!$F$22),"",ReferenceData!$F$22),"")</f>
        <v/>
      </c>
      <c r="G22">
        <f ca="1">IFERROR(IF(0=LEN(ReferenceData!$G$22),"",ReferenceData!$G$22),"")</f>
        <v>5.2229999999999999</v>
      </c>
      <c r="H22">
        <f ca="1">IFERROR(IF(0=LEN(ReferenceData!$H$22),"",ReferenceData!$H$22),"")</f>
        <v>5.766</v>
      </c>
      <c r="I22">
        <f ca="1">IFERROR(IF(0=LEN(ReferenceData!$I$22),"",ReferenceData!$I$22),"")</f>
        <v>5.0519999999999996</v>
      </c>
      <c r="J22">
        <f ca="1">IFERROR(IF(0=LEN(ReferenceData!$J$22),"",ReferenceData!$J$22),"")</f>
        <v>4.2290000000000001</v>
      </c>
      <c r="K22">
        <f ca="1">IFERROR(IF(0=LEN(ReferenceData!$K$22),"",ReferenceData!$K$22),"")</f>
        <v>3.4990000000000001</v>
      </c>
      <c r="L22">
        <f ca="1">IFERROR(IF(0=LEN(ReferenceData!$L$22),"",ReferenceData!$L$22),"")</f>
        <v>3.4430000000000001</v>
      </c>
      <c r="M22">
        <f ca="1">IFERROR(IF(0=LEN(ReferenceData!$M$22),"",ReferenceData!$M$22),"")</f>
        <v>3.532</v>
      </c>
      <c r="N22">
        <f ca="1">IFERROR(IF(0=LEN(ReferenceData!$N$22),"",ReferenceData!$N$22),"")</f>
        <v>3.1560000000000001</v>
      </c>
      <c r="O22">
        <f ca="1">IFERROR(IF(0=LEN(ReferenceData!$O$22),"",ReferenceData!$O$22),"")</f>
        <v>2.9830000000000001</v>
      </c>
      <c r="P22">
        <f ca="1">IFERROR(IF(0=LEN(ReferenceData!$P$22),"",ReferenceData!$P$22),"")</f>
        <v>2.7490000000000001</v>
      </c>
      <c r="Q22">
        <f ca="1">IFERROR(IF(0=LEN(ReferenceData!$Q$22),"",ReferenceData!$Q$22),"")</f>
        <v>2.85</v>
      </c>
      <c r="R22">
        <f ca="1">IFERROR(IF(0=LEN(ReferenceData!$R$22),"",ReferenceData!$R$22),"")</f>
        <v>2.5419999999999998</v>
      </c>
      <c r="S22">
        <f ca="1">IFERROR(IF(0=LEN(ReferenceData!$S$22),"",ReferenceData!$S$22),"")</f>
        <v>2.5019999999999998</v>
      </c>
      <c r="T22">
        <f ca="1">IFERROR(IF(0=LEN(ReferenceData!$T$22),"",ReferenceData!$T$22),"")</f>
        <v>2.2549999999999999</v>
      </c>
      <c r="U22">
        <f ca="1">IFERROR(IF(0=LEN(ReferenceData!$U$22),"",ReferenceData!$U$22),"")</f>
        <v>2.2360000000000002</v>
      </c>
      <c r="V22">
        <f ca="1">IFERROR(IF(0=LEN(ReferenceData!$V$22),"",ReferenceData!$V$22),"")</f>
        <v>2.1139999999999999</v>
      </c>
      <c r="W22">
        <f ca="1">IFERROR(IF(0=LEN(ReferenceData!$W$22),"",ReferenceData!$W$22),"")</f>
        <v>2.2090000000000001</v>
      </c>
      <c r="X22">
        <f ca="1">IFERROR(IF(0=LEN(ReferenceData!$X$22),"",ReferenceData!$X$22),"")</f>
        <v>1.6419999999999999</v>
      </c>
      <c r="Y22">
        <f ca="1">IFERROR(IF(0=LEN(ReferenceData!$Y$22),"",ReferenceData!$Y$22),"")</f>
        <v>1.597</v>
      </c>
      <c r="Z22">
        <f ca="1">IFERROR(IF(0=LEN(ReferenceData!$Z$22),"",ReferenceData!$Z$22),"")</f>
        <v>1.3919999999999999</v>
      </c>
      <c r="AA22">
        <f ca="1">IFERROR(IF(0=LEN(ReferenceData!$AA$22),"",ReferenceData!$AA$22),"")</f>
        <v>0</v>
      </c>
      <c r="AB22">
        <f ca="1">IFERROR(IF(0=LEN(ReferenceData!$AB$22),"",ReferenceData!$AB$22),"")</f>
        <v>1.427</v>
      </c>
      <c r="AC22">
        <f ca="1">IFERROR(IF(0=LEN(ReferenceData!$AC$22),"",ReferenceData!$AC$22),"")</f>
        <v>1.53</v>
      </c>
      <c r="AD22">
        <f ca="1">IFERROR(IF(0=LEN(ReferenceData!$AD$22),"",ReferenceData!$AD$22),"")</f>
        <v>1.611</v>
      </c>
      <c r="AE22">
        <f ca="1">IFERROR(IF(0=LEN(ReferenceData!$AE$22),"",ReferenceData!$AE$22),"")</f>
        <v>0</v>
      </c>
      <c r="AF22">
        <f ca="1">IFERROR(IF(0=LEN(ReferenceData!$AF$22),"",ReferenceData!$AF$22),"")</f>
        <v>0</v>
      </c>
      <c r="AG22">
        <f ca="1">IFERROR(IF(0=LEN(ReferenceData!$AG$22),"",ReferenceData!$AG$22),"")</f>
        <v>0</v>
      </c>
      <c r="AH22">
        <f ca="1">IFERROR(IF(0=LEN(ReferenceData!$AH$22),"",ReferenceData!$AH$22),"")</f>
        <v>0</v>
      </c>
      <c r="AI22">
        <f ca="1">IFERROR(IF(0=LEN(ReferenceData!$AI$22),"",ReferenceData!$AI$22),"")</f>
        <v>0</v>
      </c>
      <c r="AJ22">
        <f ca="1">IFERROR(IF(0=LEN(ReferenceData!$AJ$22),"",ReferenceData!$AJ$22),"")</f>
        <v>0</v>
      </c>
      <c r="AK22">
        <f ca="1">IFERROR(IF(0=LEN(ReferenceData!$AK$22),"",ReferenceData!$AK$22),"")</f>
        <v>0</v>
      </c>
      <c r="AL22">
        <f ca="1">IFERROR(IF(0=LEN(ReferenceData!$AL$22),"",ReferenceData!$AL$22),"")</f>
        <v>0</v>
      </c>
      <c r="AM22">
        <f ca="1">IFERROR(IF(0=LEN(ReferenceData!$AM$22),"",ReferenceData!$AM$22),"")</f>
        <v>0</v>
      </c>
      <c r="AN22">
        <f ca="1">IFERROR(IF(0=LEN(ReferenceData!$AN$22),"",ReferenceData!$AN$22),"")</f>
        <v>0</v>
      </c>
      <c r="AO22">
        <f ca="1">IFERROR(IF(0=LEN(ReferenceData!$AO$22),"",ReferenceData!$AO$22),"")</f>
        <v>0</v>
      </c>
      <c r="AP22">
        <f ca="1">IFERROR(IF(0=LEN(ReferenceData!$AP$22),"",ReferenceData!$AP$22),"")</f>
        <v>0</v>
      </c>
      <c r="AQ22" t="str">
        <f ca="1">IFERROR(IF(0=LEN(ReferenceData!$AQ$22),"",ReferenceData!$AQ$22),"")</f>
        <v/>
      </c>
      <c r="AR22" t="str">
        <f ca="1">IFERROR(IF(0=LEN(ReferenceData!$AR$22),"",ReferenceData!$AR$22),"")</f>
        <v/>
      </c>
      <c r="AS22" t="str">
        <f ca="1">IFERROR(IF(0=LEN(ReferenceData!$AS$22),"",ReferenceData!$AS$22),"")</f>
        <v/>
      </c>
      <c r="AT22" t="str">
        <f ca="1">IFERROR(IF(0=LEN(ReferenceData!$AT$22),"",ReferenceData!$AT$22),"")</f>
        <v/>
      </c>
      <c r="AU22" t="str">
        <f ca="1">IFERROR(IF(0=LEN(ReferenceData!$AU$22),"",ReferenceData!$AU$22),"")</f>
        <v/>
      </c>
      <c r="AV22" t="str">
        <f ca="1">IFERROR(IF(0=LEN(ReferenceData!$AV$22),"",ReferenceData!$AV$22),"")</f>
        <v/>
      </c>
      <c r="AW22" t="str">
        <f ca="1">IFERROR(IF(0=LEN(ReferenceData!$AW$22),"",ReferenceData!$AW$22),"")</f>
        <v/>
      </c>
      <c r="AX22" t="str">
        <f ca="1">IFERROR(IF(0=LEN(ReferenceData!$AX$22),"",ReferenceData!$AX$22),"")</f>
        <v/>
      </c>
      <c r="AY22" t="str">
        <f ca="1">IFERROR(IF(0=LEN(ReferenceData!$AY$22),"",ReferenceData!$AY$22),"")</f>
        <v/>
      </c>
      <c r="AZ22" t="str">
        <f ca="1">IFERROR(IF(0=LEN(ReferenceData!$AZ$22),"",ReferenceData!$AZ$22),"")</f>
        <v/>
      </c>
      <c r="BA22" t="str">
        <f ca="1">IFERROR(IF(0=LEN(ReferenceData!$BA$22),"",ReferenceData!$BA$22),"")</f>
        <v/>
      </c>
      <c r="BB22" t="str">
        <f ca="1">IFERROR(IF(0=LEN(ReferenceData!$BB$22),"",ReferenceData!$BB$22),"")</f>
        <v/>
      </c>
      <c r="BC22" t="str">
        <f ca="1">IFERROR(IF(0=LEN(ReferenceData!$BC$22),"",ReferenceData!$BC$22),"")</f>
        <v/>
      </c>
      <c r="BD22" t="str">
        <f ca="1">IFERROR(IF(0=LEN(ReferenceData!$BD$22),"",ReferenceData!$BD$22),"")</f>
        <v/>
      </c>
      <c r="BE22" t="str">
        <f ca="1">IFERROR(IF(0=LEN(ReferenceData!$BE$22),"",ReferenceData!$BE$22),"")</f>
        <v/>
      </c>
      <c r="BF22" t="str">
        <f ca="1">IFERROR(IF(0=LEN(ReferenceData!$BF$22),"",ReferenceData!$BF$22),"")</f>
        <v/>
      </c>
      <c r="BG22" t="str">
        <f ca="1">IFERROR(IF(0=LEN(ReferenceData!$BG$22),"",ReferenceData!$BG$22),"")</f>
        <v/>
      </c>
      <c r="BH22" t="str">
        <f ca="1">IFERROR(IF(0=LEN(ReferenceData!$BH$22),"",ReferenceData!$BH$22),"")</f>
        <v/>
      </c>
      <c r="BI22" t="str">
        <f ca="1">IFERROR(IF(0=LEN(ReferenceData!$BI$22),"",ReferenceData!$BI$22),"")</f>
        <v/>
      </c>
      <c r="BJ22" t="str">
        <f ca="1">IFERROR(IF(0=LEN(ReferenceData!$BJ$22),"",ReferenceData!$BJ$22),"")</f>
        <v/>
      </c>
      <c r="BK22" t="str">
        <f ca="1">IFERROR(IF(0=LEN(ReferenceData!$BK$22),"",ReferenceData!$BK$22),"")</f>
        <v/>
      </c>
      <c r="BL22" t="str">
        <f ca="1">IFERROR(IF(0=LEN(ReferenceData!$BL$22),"",ReferenceData!$BL$22),"")</f>
        <v/>
      </c>
      <c r="BM22" t="str">
        <f ca="1">IFERROR(IF(0=LEN(ReferenceData!$BM$22),"",ReferenceData!$BM$22),"")</f>
        <v/>
      </c>
    </row>
    <row r="23" spans="1:65">
      <c r="A23" t="str">
        <f>IFERROR(IF(0=LEN(ReferenceData!$A$23),"",ReferenceData!$A$23),"")</f>
        <v xml:space="preserve">    Piedmont Office Realty Trust I</v>
      </c>
      <c r="B23" t="str">
        <f>IFERROR(IF(0=LEN(ReferenceData!$B$23),"",ReferenceData!$B$23),"")</f>
        <v>PDM US Equity</v>
      </c>
      <c r="C23" t="str">
        <f>IFERROR(IF(0=LEN(ReferenceData!$C$23),"",ReferenceData!$C$23),"")</f>
        <v>IM275</v>
      </c>
      <c r="D23" t="str">
        <f>IFERROR(IF(0=LEN(ReferenceData!$D$23),"",ReferenceData!$D$23),"")</f>
        <v>IS_OTHER_RENTAL_INCOME</v>
      </c>
      <c r="E23" t="str">
        <f>IFERROR(IF(0=LEN(ReferenceData!$E$23),"",ReferenceData!$E$23),"")</f>
        <v>动态</v>
      </c>
      <c r="F23" t="str">
        <f ca="1">IFERROR(IF(0=LEN(ReferenceData!$F$23),"",ReferenceData!$F$23),"")</f>
        <v/>
      </c>
      <c r="G23">
        <f ca="1">IFERROR(IF(0=LEN(ReferenceData!$G$23),"",ReferenceData!$G$23),"")</f>
        <v>114.729</v>
      </c>
      <c r="H23">
        <f ca="1">IFERROR(IF(0=LEN(ReferenceData!$H$23),"",ReferenceData!$H$23),"")</f>
        <v>113.35</v>
      </c>
      <c r="I23">
        <f ca="1">IFERROR(IF(0=LEN(ReferenceData!$I$23),"",ReferenceData!$I$23),"")</f>
        <v>124.248</v>
      </c>
      <c r="J23">
        <f ca="1">IFERROR(IF(0=LEN(ReferenceData!$J$23),"",ReferenceData!$J$23),"")</f>
        <v>123.45</v>
      </c>
      <c r="K23">
        <f ca="1">IFERROR(IF(0=LEN(ReferenceData!$K$23),"",ReferenceData!$K$23),"")</f>
        <v>119.56399999999999</v>
      </c>
      <c r="L23">
        <f ca="1">IFERROR(IF(0=LEN(ReferenceData!$L$23),"",ReferenceData!$L$23),"")</f>
        <v>113.821</v>
      </c>
      <c r="M23">
        <f ca="1">IFERROR(IF(0=LEN(ReferenceData!$M$23),"",ReferenceData!$M$23),"")</f>
        <v>111.767</v>
      </c>
      <c r="N23">
        <f ca="1">IFERROR(IF(0=LEN(ReferenceData!$N$23),"",ReferenceData!$N$23),"")</f>
        <v>114.738</v>
      </c>
      <c r="O23">
        <f ca="1">IFERROR(IF(0=LEN(ReferenceData!$O$23),"",ReferenceData!$O$23),"")</f>
        <v>115.617</v>
      </c>
      <c r="P23">
        <f ca="1">IFERROR(IF(0=LEN(ReferenceData!$P$23),"",ReferenceData!$P$23),"")</f>
        <v>117.994</v>
      </c>
      <c r="Q23">
        <f ca="1">IFERROR(IF(0=LEN(ReferenceData!$Q$23),"",ReferenceData!$Q$23),"")</f>
        <v>117.45399999999999</v>
      </c>
      <c r="R23">
        <f ca="1">IFERROR(IF(0=LEN(ReferenceData!$R$23),"",ReferenceData!$R$23),"")</f>
        <v>117.807</v>
      </c>
      <c r="S23">
        <f ca="1">IFERROR(IF(0=LEN(ReferenceData!$S$23),"",ReferenceData!$S$23),"")</f>
        <v>115.91500000000001</v>
      </c>
      <c r="T23">
        <f ca="1">IFERROR(IF(0=LEN(ReferenceData!$T$23),"",ReferenceData!$T$23),"")</f>
        <v>114.529</v>
      </c>
      <c r="U23">
        <f ca="1">IFERROR(IF(0=LEN(ReferenceData!$U$23),"",ReferenceData!$U$23),"")</f>
        <v>113.28700000000001</v>
      </c>
      <c r="V23">
        <f ca="1">IFERROR(IF(0=LEN(ReferenceData!$V$23),"",ReferenceData!$V$23),"")</f>
        <v>110.904</v>
      </c>
      <c r="W23">
        <f ca="1">IFERROR(IF(0=LEN(ReferenceData!$W$23),"",ReferenceData!$W$23),"")</f>
        <v>113.929</v>
      </c>
      <c r="X23">
        <f ca="1">IFERROR(IF(0=LEN(ReferenceData!$X$23),"",ReferenceData!$X$23),"")</f>
        <v>115.17</v>
      </c>
      <c r="Y23">
        <f ca="1">IFERROR(IF(0=LEN(ReferenceData!$Y$23),"",ReferenceData!$Y$23),"")</f>
        <v>107.95099999999999</v>
      </c>
      <c r="Z23">
        <f ca="1">IFERROR(IF(0=LEN(ReferenceData!$Z$23),"",ReferenceData!$Z$23),"")</f>
        <v>106.05500000000001</v>
      </c>
      <c r="AA23">
        <f ca="1">IFERROR(IF(0=LEN(ReferenceData!$AA$23),"",ReferenceData!$AA$23),"")</f>
        <v>105.26</v>
      </c>
      <c r="AB23">
        <f ca="1">IFERROR(IF(0=LEN(ReferenceData!$AB$23),"",ReferenceData!$AB$23),"")</f>
        <v>104.94799999999999</v>
      </c>
      <c r="AC23">
        <f ca="1">IFERROR(IF(0=LEN(ReferenceData!$AC$23),"",ReferenceData!$AC$23),"")</f>
        <v>104.241</v>
      </c>
      <c r="AD23">
        <f ca="1">IFERROR(IF(0=LEN(ReferenceData!$AD$23),"",ReferenceData!$AD$23),"")</f>
        <v>103.999</v>
      </c>
      <c r="AE23">
        <f ca="1">IFERROR(IF(0=LEN(ReferenceData!$AE$23),"",ReferenceData!$AE$23),"")</f>
        <v>105.96299999999999</v>
      </c>
      <c r="AF23">
        <f ca="1">IFERROR(IF(0=LEN(ReferenceData!$AF$23),"",ReferenceData!$AF$23),"")</f>
        <v>104.134</v>
      </c>
      <c r="AG23">
        <f ca="1">IFERROR(IF(0=LEN(ReferenceData!$AG$23),"",ReferenceData!$AG$23),"")</f>
        <v>104.55200000000001</v>
      </c>
      <c r="AH23">
        <f ca="1">IFERROR(IF(0=LEN(ReferenceData!$AH$23),"",ReferenceData!$AH$23),"")</f>
        <v>103.726</v>
      </c>
      <c r="AI23">
        <f ca="1">IFERROR(IF(0=LEN(ReferenceData!$AI$23),"",ReferenceData!$AI$23),"")</f>
        <v>103.59099999999999</v>
      </c>
      <c r="AJ23">
        <f ca="1">IFERROR(IF(0=LEN(ReferenceData!$AJ$23),"",ReferenceData!$AJ$23),"")</f>
        <v>106.327</v>
      </c>
      <c r="AK23">
        <f ca="1">IFERROR(IF(0=LEN(ReferenceData!$AK$23),"",ReferenceData!$AK$23),"")</f>
        <v>110.52800000000001</v>
      </c>
      <c r="AL23">
        <f ca="1">IFERROR(IF(0=LEN(ReferenceData!$AL$23),"",ReferenceData!$AL$23),"")</f>
        <v>111.008</v>
      </c>
      <c r="AM23">
        <f ca="1">IFERROR(IF(0=LEN(ReferenceData!$AM$23),"",ReferenceData!$AM$23),"")</f>
        <v>112.387</v>
      </c>
      <c r="AN23">
        <f ca="1">IFERROR(IF(0=LEN(ReferenceData!$AN$23),"",ReferenceData!$AN$23),"")</f>
        <v>111.28</v>
      </c>
      <c r="AO23">
        <f ca="1">IFERROR(IF(0=LEN(ReferenceData!$AO$23),"",ReferenceData!$AO$23),"")</f>
        <v>111.182</v>
      </c>
      <c r="AP23">
        <f ca="1">IFERROR(IF(0=LEN(ReferenceData!$AP$23),"",ReferenceData!$AP$23),"")</f>
        <v>112.946</v>
      </c>
      <c r="AQ23" t="str">
        <f ca="1">IFERROR(IF(0=LEN(ReferenceData!$AQ$23),"",ReferenceData!$AQ$23),"")</f>
        <v/>
      </c>
      <c r="AR23" t="str">
        <f ca="1">IFERROR(IF(0=LEN(ReferenceData!$AR$23),"",ReferenceData!$AR$23),"")</f>
        <v/>
      </c>
      <c r="AS23" t="str">
        <f ca="1">IFERROR(IF(0=LEN(ReferenceData!$AS$23),"",ReferenceData!$AS$23),"")</f>
        <v/>
      </c>
      <c r="AT23" t="str">
        <f ca="1">IFERROR(IF(0=LEN(ReferenceData!$AT$23),"",ReferenceData!$AT$23),"")</f>
        <v/>
      </c>
      <c r="AU23" t="str">
        <f ca="1">IFERROR(IF(0=LEN(ReferenceData!$AU$23),"",ReferenceData!$AU$23),"")</f>
        <v/>
      </c>
      <c r="AV23" t="str">
        <f ca="1">IFERROR(IF(0=LEN(ReferenceData!$AV$23),"",ReferenceData!$AV$23),"")</f>
        <v/>
      </c>
      <c r="AW23" t="str">
        <f ca="1">IFERROR(IF(0=LEN(ReferenceData!$AW$23),"",ReferenceData!$AW$23),"")</f>
        <v/>
      </c>
      <c r="AX23" t="str">
        <f ca="1">IFERROR(IF(0=LEN(ReferenceData!$AX$23),"",ReferenceData!$AX$23),"")</f>
        <v/>
      </c>
      <c r="AY23" t="str">
        <f ca="1">IFERROR(IF(0=LEN(ReferenceData!$AY$23),"",ReferenceData!$AY$23),"")</f>
        <v/>
      </c>
      <c r="AZ23" t="str">
        <f ca="1">IFERROR(IF(0=LEN(ReferenceData!$AZ$23),"",ReferenceData!$AZ$23),"")</f>
        <v/>
      </c>
      <c r="BA23" t="str">
        <f ca="1">IFERROR(IF(0=LEN(ReferenceData!$BA$23),"",ReferenceData!$BA$23),"")</f>
        <v/>
      </c>
      <c r="BB23" t="str">
        <f ca="1">IFERROR(IF(0=LEN(ReferenceData!$BB$23),"",ReferenceData!$BB$23),"")</f>
        <v/>
      </c>
      <c r="BC23" t="str">
        <f ca="1">IFERROR(IF(0=LEN(ReferenceData!$BC$23),"",ReferenceData!$BC$23),"")</f>
        <v/>
      </c>
      <c r="BD23" t="str">
        <f ca="1">IFERROR(IF(0=LEN(ReferenceData!$BD$23),"",ReferenceData!$BD$23),"")</f>
        <v/>
      </c>
      <c r="BE23" t="str">
        <f ca="1">IFERROR(IF(0=LEN(ReferenceData!$BE$23),"",ReferenceData!$BE$23),"")</f>
        <v/>
      </c>
      <c r="BF23" t="str">
        <f ca="1">IFERROR(IF(0=LEN(ReferenceData!$BF$23),"",ReferenceData!$BF$23),"")</f>
        <v/>
      </c>
      <c r="BG23" t="str">
        <f ca="1">IFERROR(IF(0=LEN(ReferenceData!$BG$23),"",ReferenceData!$BG$23),"")</f>
        <v/>
      </c>
      <c r="BH23" t="str">
        <f ca="1">IFERROR(IF(0=LEN(ReferenceData!$BH$23),"",ReferenceData!$BH$23),"")</f>
        <v/>
      </c>
      <c r="BI23" t="str">
        <f ca="1">IFERROR(IF(0=LEN(ReferenceData!$BI$23),"",ReferenceData!$BI$23),"")</f>
        <v/>
      </c>
      <c r="BJ23" t="str">
        <f ca="1">IFERROR(IF(0=LEN(ReferenceData!$BJ$23),"",ReferenceData!$BJ$23),"")</f>
        <v/>
      </c>
      <c r="BK23" t="str">
        <f ca="1">IFERROR(IF(0=LEN(ReferenceData!$BK$23),"",ReferenceData!$BK$23),"")</f>
        <v/>
      </c>
      <c r="BL23" t="str">
        <f ca="1">IFERROR(IF(0=LEN(ReferenceData!$BL$23),"",ReferenceData!$BL$23),"")</f>
        <v/>
      </c>
      <c r="BM23" t="str">
        <f ca="1">IFERROR(IF(0=LEN(ReferenceData!$BM$23),"",ReferenceData!$BM$23),"")</f>
        <v/>
      </c>
    </row>
    <row r="24" spans="1:65">
      <c r="A24" t="str">
        <f>IFERROR(IF(0=LEN(ReferenceData!$A$24),"",ReferenceData!$A$24),"")</f>
        <v xml:space="preserve">    SL Green Realty Corp</v>
      </c>
      <c r="B24" t="str">
        <f>IFERROR(IF(0=LEN(ReferenceData!$B$24),"",ReferenceData!$B$24),"")</f>
        <v>SLG US Equity</v>
      </c>
      <c r="C24" t="str">
        <f>IFERROR(IF(0=LEN(ReferenceData!$C$24),"",ReferenceData!$C$24),"")</f>
        <v>IM275</v>
      </c>
      <c r="D24" t="str">
        <f>IFERROR(IF(0=LEN(ReferenceData!$D$24),"",ReferenceData!$D$24),"")</f>
        <v>IS_OTHER_RENTAL_INCOME</v>
      </c>
      <c r="E24" t="str">
        <f>IFERROR(IF(0=LEN(ReferenceData!$E$24),"",ReferenceData!$E$24),"")</f>
        <v>动态</v>
      </c>
      <c r="F24" t="str">
        <f ca="1">IFERROR(IF(0=LEN(ReferenceData!$F$24),"",ReferenceData!$F$24),"")</f>
        <v/>
      </c>
      <c r="G24">
        <f ca="1">IFERROR(IF(0=LEN(ReferenceData!$G$24),"",ReferenceData!$G$24),"")</f>
        <v>265.49200000000002</v>
      </c>
      <c r="H24">
        <f ca="1">IFERROR(IF(0=LEN(ReferenceData!$H$24),"",ReferenceData!$H$24),"")</f>
        <v>274.76499999999999</v>
      </c>
      <c r="I24">
        <f ca="1">IFERROR(IF(0=LEN(ReferenceData!$I$24),"",ReferenceData!$I$24),"")</f>
        <v>279.40699999999998</v>
      </c>
      <c r="J24">
        <f ca="1">IFERROR(IF(0=LEN(ReferenceData!$J$24),"",ReferenceData!$J$24),"")</f>
        <v>281.32900000000001</v>
      </c>
      <c r="K24">
        <f ca="1">IFERROR(IF(0=LEN(ReferenceData!$K$24),"",ReferenceData!$K$24),"")</f>
        <v>279.86900000000003</v>
      </c>
      <c r="L24">
        <f ca="1">IFERROR(IF(0=LEN(ReferenceData!$L$24),"",ReferenceData!$L$24),"")</f>
        <v>281.48200000000003</v>
      </c>
      <c r="M24">
        <f ca="1">IFERROR(IF(0=LEN(ReferenceData!$M$24),"",ReferenceData!$M$24),"")</f>
        <v>416.80900000000003</v>
      </c>
      <c r="N24">
        <f ca="1">IFERROR(IF(0=LEN(ReferenceData!$N$24),"",ReferenceData!$N$24),"")</f>
        <v>345.60700000000003</v>
      </c>
      <c r="O24">
        <f ca="1">IFERROR(IF(0=LEN(ReferenceData!$O$24),"",ReferenceData!$O$24),"")</f>
        <v>319.96100000000001</v>
      </c>
      <c r="P24">
        <f ca="1">IFERROR(IF(0=LEN(ReferenceData!$P$24),"",ReferenceData!$P$24),"")</f>
        <v>318.46499999999997</v>
      </c>
      <c r="Q24">
        <f ca="1">IFERROR(IF(0=LEN(ReferenceData!$Q$24),"",ReferenceData!$Q$24),"")</f>
        <v>304.226</v>
      </c>
      <c r="R24">
        <f ca="1">IFERROR(IF(0=LEN(ReferenceData!$R$24),"",ReferenceData!$R$24),"")</f>
        <v>303.32900000000001</v>
      </c>
      <c r="S24">
        <f ca="1">IFERROR(IF(0=LEN(ReferenceData!$S$24),"",ReferenceData!$S$24),"")</f>
        <v>294.18900000000002</v>
      </c>
      <c r="T24">
        <f ca="1">IFERROR(IF(0=LEN(ReferenceData!$T$24),"",ReferenceData!$T$24),"")</f>
        <v>291.29300000000001</v>
      </c>
      <c r="U24">
        <f ca="1">IFERROR(IF(0=LEN(ReferenceData!$U$24),"",ReferenceData!$U$24),"")</f>
        <v>279.608</v>
      </c>
      <c r="V24">
        <f ca="1">IFERROR(IF(0=LEN(ReferenceData!$V$24),"",ReferenceData!$V$24),"")</f>
        <v>255.976</v>
      </c>
      <c r="W24">
        <f ca="1">IFERROR(IF(0=LEN(ReferenceData!$W$24),"",ReferenceData!$W$24),"")</f>
        <v>255.76</v>
      </c>
      <c r="X24">
        <f ca="1">IFERROR(IF(0=LEN(ReferenceData!$X$24),"",ReferenceData!$X$24),"")</f>
        <v>242.43899999999999</v>
      </c>
      <c r="Y24">
        <f ca="1">IFERROR(IF(0=LEN(ReferenceData!$Y$24),"",ReferenceData!$Y$24),"")</f>
        <v>262.74299999999999</v>
      </c>
      <c r="Z24">
        <f ca="1">IFERROR(IF(0=LEN(ReferenceData!$Z$24),"",ReferenceData!$Z$24),"")</f>
        <v>261.67500000000001</v>
      </c>
      <c r="AA24">
        <f ca="1">IFERROR(IF(0=LEN(ReferenceData!$AA$24),"",ReferenceData!$AA$24),"")</f>
        <v>264.411</v>
      </c>
      <c r="AB24">
        <f ca="1">IFERROR(IF(0=LEN(ReferenceData!$AB$24),"",ReferenceData!$AB$24),"")</f>
        <v>277.67599999999999</v>
      </c>
      <c r="AC24">
        <f ca="1">IFERROR(IF(0=LEN(ReferenceData!$AC$24),"",ReferenceData!$AC$24),"")</f>
        <v>263.83800000000002</v>
      </c>
      <c r="AD24">
        <f ca="1">IFERROR(IF(0=LEN(ReferenceData!$AD$24),"",ReferenceData!$AD$24),"")</f>
        <v>260.762</v>
      </c>
      <c r="AE24">
        <f ca="1">IFERROR(IF(0=LEN(ReferenceData!$AE$24),"",ReferenceData!$AE$24),"")</f>
        <v>253.34299999999999</v>
      </c>
      <c r="AF24">
        <f ca="1">IFERROR(IF(0=LEN(ReferenceData!$AF$24),"",ReferenceData!$AF$24),"")</f>
        <v>242.93799999999999</v>
      </c>
      <c r="AG24">
        <f ca="1">IFERROR(IF(0=LEN(ReferenceData!$AG$24),"",ReferenceData!$AG$24),"")</f>
        <v>238.63499999999999</v>
      </c>
      <c r="AH24">
        <f ca="1">IFERROR(IF(0=LEN(ReferenceData!$AH$24),"",ReferenceData!$AH$24),"")</f>
        <v>227.02</v>
      </c>
      <c r="AI24">
        <f ca="1">IFERROR(IF(0=LEN(ReferenceData!$AI$24),"",ReferenceData!$AI$24),"")</f>
        <v>201.20500000000001</v>
      </c>
      <c r="AJ24">
        <f ca="1">IFERROR(IF(0=LEN(ReferenceData!$AJ$24),"",ReferenceData!$AJ$24),"")</f>
        <v>195.863</v>
      </c>
      <c r="AK24">
        <f ca="1">IFERROR(IF(0=LEN(ReferenceData!$AK$24),"",ReferenceData!$AK$24),"")</f>
        <v>193.25200000000001</v>
      </c>
      <c r="AL24">
        <f ca="1">IFERROR(IF(0=LEN(ReferenceData!$AL$24),"",ReferenceData!$AL$24),"")</f>
        <v>192.21</v>
      </c>
      <c r="AM24">
        <f ca="1">IFERROR(IF(0=LEN(ReferenceData!$AM$24),"",ReferenceData!$AM$24),"")</f>
        <v>190.35300000000001</v>
      </c>
      <c r="AN24">
        <f ca="1">IFERROR(IF(0=LEN(ReferenceData!$AN$24),"",ReferenceData!$AN$24),"")</f>
        <v>189.45400000000001</v>
      </c>
      <c r="AO24">
        <f ca="1">IFERROR(IF(0=LEN(ReferenceData!$AO$24),"",ReferenceData!$AO$24),"")</f>
        <v>191.917</v>
      </c>
      <c r="AP24">
        <f ca="1">IFERROR(IF(0=LEN(ReferenceData!$AP$24),"",ReferenceData!$AP$24),"")</f>
        <v>195.62899999999999</v>
      </c>
      <c r="AQ24" t="str">
        <f ca="1">IFERROR(IF(0=LEN(ReferenceData!$AQ$24),"",ReferenceData!$AQ$24),"")</f>
        <v/>
      </c>
      <c r="AR24" t="str">
        <f ca="1">IFERROR(IF(0=LEN(ReferenceData!$AR$24),"",ReferenceData!$AR$24),"")</f>
        <v/>
      </c>
      <c r="AS24" t="str">
        <f ca="1">IFERROR(IF(0=LEN(ReferenceData!$AS$24),"",ReferenceData!$AS$24),"")</f>
        <v/>
      </c>
      <c r="AT24" t="str">
        <f ca="1">IFERROR(IF(0=LEN(ReferenceData!$AT$24),"",ReferenceData!$AT$24),"")</f>
        <v/>
      </c>
      <c r="AU24" t="str">
        <f ca="1">IFERROR(IF(0=LEN(ReferenceData!$AU$24),"",ReferenceData!$AU$24),"")</f>
        <v/>
      </c>
      <c r="AV24" t="str">
        <f ca="1">IFERROR(IF(0=LEN(ReferenceData!$AV$24),"",ReferenceData!$AV$24),"")</f>
        <v/>
      </c>
      <c r="AW24" t="str">
        <f ca="1">IFERROR(IF(0=LEN(ReferenceData!$AW$24),"",ReferenceData!$AW$24),"")</f>
        <v/>
      </c>
      <c r="AX24" t="str">
        <f ca="1">IFERROR(IF(0=LEN(ReferenceData!$AX$24),"",ReferenceData!$AX$24),"")</f>
        <v/>
      </c>
      <c r="AY24" t="str">
        <f ca="1">IFERROR(IF(0=LEN(ReferenceData!$AY$24),"",ReferenceData!$AY$24),"")</f>
        <v/>
      </c>
      <c r="AZ24" t="str">
        <f ca="1">IFERROR(IF(0=LEN(ReferenceData!$AZ$24),"",ReferenceData!$AZ$24),"")</f>
        <v/>
      </c>
      <c r="BA24" t="str">
        <f ca="1">IFERROR(IF(0=LEN(ReferenceData!$BA$24),"",ReferenceData!$BA$24),"")</f>
        <v/>
      </c>
      <c r="BB24" t="str">
        <f ca="1">IFERROR(IF(0=LEN(ReferenceData!$BB$24),"",ReferenceData!$BB$24),"")</f>
        <v/>
      </c>
      <c r="BC24" t="str">
        <f ca="1">IFERROR(IF(0=LEN(ReferenceData!$BC$24),"",ReferenceData!$BC$24),"")</f>
        <v/>
      </c>
      <c r="BD24" t="str">
        <f ca="1">IFERROR(IF(0=LEN(ReferenceData!$BD$24),"",ReferenceData!$BD$24),"")</f>
        <v/>
      </c>
      <c r="BE24" t="str">
        <f ca="1">IFERROR(IF(0=LEN(ReferenceData!$BE$24),"",ReferenceData!$BE$24),"")</f>
        <v/>
      </c>
      <c r="BF24" t="str">
        <f ca="1">IFERROR(IF(0=LEN(ReferenceData!$BF$24),"",ReferenceData!$BF$24),"")</f>
        <v/>
      </c>
      <c r="BG24" t="str">
        <f ca="1">IFERROR(IF(0=LEN(ReferenceData!$BG$24),"",ReferenceData!$BG$24),"")</f>
        <v/>
      </c>
      <c r="BH24" t="str">
        <f ca="1">IFERROR(IF(0=LEN(ReferenceData!$BH$24),"",ReferenceData!$BH$24),"")</f>
        <v/>
      </c>
      <c r="BI24" t="str">
        <f ca="1">IFERROR(IF(0=LEN(ReferenceData!$BI$24),"",ReferenceData!$BI$24),"")</f>
        <v/>
      </c>
      <c r="BJ24" t="str">
        <f ca="1">IFERROR(IF(0=LEN(ReferenceData!$BJ$24),"",ReferenceData!$BJ$24),"")</f>
        <v/>
      </c>
      <c r="BK24" t="str">
        <f ca="1">IFERROR(IF(0=LEN(ReferenceData!$BK$24),"",ReferenceData!$BK$24),"")</f>
        <v/>
      </c>
      <c r="BL24" t="str">
        <f ca="1">IFERROR(IF(0=LEN(ReferenceData!$BL$24),"",ReferenceData!$BL$24),"")</f>
        <v/>
      </c>
      <c r="BM24" t="str">
        <f ca="1">IFERROR(IF(0=LEN(ReferenceData!$BM$24),"",ReferenceData!$BM$24),"")</f>
        <v/>
      </c>
    </row>
    <row r="25" spans="1:65">
      <c r="A25" t="str">
        <f>IFERROR(IF(0=LEN(ReferenceData!$A$25),"",ReferenceData!$A$25),"")</f>
        <v xml:space="preserve">    Vornado Realty Trust</v>
      </c>
      <c r="B25" t="str">
        <f>IFERROR(IF(0=LEN(ReferenceData!$B$25),"",ReferenceData!$B$25),"")</f>
        <v>VNO US Equity</v>
      </c>
      <c r="C25" t="str">
        <f>IFERROR(IF(0=LEN(ReferenceData!$C$25),"",ReferenceData!$C$25),"")</f>
        <v>IM275</v>
      </c>
      <c r="D25" t="str">
        <f>IFERROR(IF(0=LEN(ReferenceData!$D$25),"",ReferenceData!$D$25),"")</f>
        <v>IS_OTHER_RENTAL_INCOME</v>
      </c>
      <c r="E25" t="str">
        <f>IFERROR(IF(0=LEN(ReferenceData!$E$25),"",ReferenceData!$E$25),"")</f>
        <v>动态</v>
      </c>
      <c r="F25" t="str">
        <f ca="1">IFERROR(IF(0=LEN(ReferenceData!$F$25),"",ReferenceData!$F$25),"")</f>
        <v/>
      </c>
      <c r="G25">
        <f ca="1">IFERROR(IF(0=LEN(ReferenceData!$G$25),"",ReferenceData!$G$25),"")</f>
        <v>439.35500000000002</v>
      </c>
      <c r="H25">
        <f ca="1">IFERROR(IF(0=LEN(ReferenceData!$H$25),"",ReferenceData!$H$25),"")</f>
        <v>432.06200000000001</v>
      </c>
      <c r="I25">
        <f ca="1">IFERROR(IF(0=LEN(ReferenceData!$I$25),"",ReferenceData!$I$25),"")</f>
        <v>529.29399999999998</v>
      </c>
      <c r="J25">
        <f ca="1">IFERROR(IF(0=LEN(ReferenceData!$J$25),"",ReferenceData!$J$25),"")</f>
        <v>513.81799999999998</v>
      </c>
      <c r="K25">
        <f ca="1">IFERROR(IF(0=LEN(ReferenceData!$K$25),"",ReferenceData!$K$25),"")</f>
        <v>533.05999999999995</v>
      </c>
      <c r="L25">
        <f ca="1">IFERROR(IF(0=LEN(ReferenceData!$L$25),"",ReferenceData!$L$25),"")</f>
        <v>523.99800000000005</v>
      </c>
      <c r="M25">
        <f ca="1">IFERROR(IF(0=LEN(ReferenceData!$M$25),"",ReferenceData!$M$25),"")</f>
        <v>527.178</v>
      </c>
      <c r="N25">
        <f ca="1">IFERROR(IF(0=LEN(ReferenceData!$N$25),"",ReferenceData!$N$25),"")</f>
        <v>519.49199999999996</v>
      </c>
      <c r="O25">
        <f ca="1">IFERROR(IF(0=LEN(ReferenceData!$O$25),"",ReferenceData!$O$25),"")</f>
        <v>535.13199999999995</v>
      </c>
      <c r="P25">
        <f ca="1">IFERROR(IF(0=LEN(ReferenceData!$P$25),"",ReferenceData!$P$25),"")</f>
        <v>526.33699999999999</v>
      </c>
      <c r="Q25">
        <f ca="1">IFERROR(IF(0=LEN(ReferenceData!$Q$25),"",ReferenceData!$Q$25),"")</f>
        <v>514.84299999999996</v>
      </c>
      <c r="R25">
        <f ca="1">IFERROR(IF(0=LEN(ReferenceData!$R$25),"",ReferenceData!$R$25),"")</f>
        <v>500.274</v>
      </c>
      <c r="S25">
        <f ca="1">IFERROR(IF(0=LEN(ReferenceData!$S$25),"",ReferenceData!$S$25),"")</f>
        <v>490.87900000000002</v>
      </c>
      <c r="T25">
        <f ca="1">IFERROR(IF(0=LEN(ReferenceData!$T$25),"",ReferenceData!$T$25),"")</f>
        <v>474.97800000000001</v>
      </c>
      <c r="U25">
        <f ca="1">IFERROR(IF(0=LEN(ReferenceData!$U$25),"",ReferenceData!$U$25),"")</f>
        <v>478.49</v>
      </c>
      <c r="V25">
        <f ca="1">IFERROR(IF(0=LEN(ReferenceData!$V$25),"",ReferenceData!$V$25),"")</f>
        <v>467.14</v>
      </c>
      <c r="W25">
        <f ca="1">IFERROR(IF(0=LEN(ReferenceData!$W$25),"",ReferenceData!$W$25),"")</f>
        <v>524.95600000000002</v>
      </c>
      <c r="X25">
        <f ca="1">IFERROR(IF(0=LEN(ReferenceData!$X$25),"",ReferenceData!$X$25),"")</f>
        <v>526.32600000000002</v>
      </c>
      <c r="Y25">
        <f ca="1">IFERROR(IF(0=LEN(ReferenceData!$Y$25),"",ReferenceData!$Y$25),"")</f>
        <v>551.06399999999996</v>
      </c>
      <c r="Z25">
        <f ca="1">IFERROR(IF(0=LEN(ReferenceData!$Z$25),"",ReferenceData!$Z$25),"")</f>
        <v>545.93600000000004</v>
      </c>
      <c r="AA25">
        <f ca="1">IFERROR(IF(0=LEN(ReferenceData!$AA$25),"",ReferenceData!$AA$25),"")</f>
        <v>573.94399999999996</v>
      </c>
      <c r="AB25">
        <f ca="1">IFERROR(IF(0=LEN(ReferenceData!$AB$25),"",ReferenceData!$AB$25),"")</f>
        <v>584.21199999999999</v>
      </c>
      <c r="AC25">
        <f ca="1">IFERROR(IF(0=LEN(ReferenceData!$AC$25),"",ReferenceData!$AC$25),"")</f>
        <v>573.53700000000003</v>
      </c>
      <c r="AD25">
        <f ca="1">IFERROR(IF(0=LEN(ReferenceData!$AD$25),"",ReferenceData!$AD$25),"")</f>
        <v>565.16999999999996</v>
      </c>
      <c r="AE25">
        <f ca="1">IFERROR(IF(0=LEN(ReferenceData!$AE$25),"",ReferenceData!$AE$25),"")</f>
        <v>576.27800000000002</v>
      </c>
      <c r="AF25">
        <f ca="1">IFERROR(IF(0=LEN(ReferenceData!$AF$25),"",ReferenceData!$AF$25),"")</f>
        <v>565.327</v>
      </c>
      <c r="AG25">
        <f ca="1">IFERROR(IF(0=LEN(ReferenceData!$AG$25),"",ReferenceData!$AG$25),"")</f>
        <v>577.274</v>
      </c>
      <c r="AH25">
        <f ca="1">IFERROR(IF(0=LEN(ReferenceData!$AH$25),"",ReferenceData!$AH$25),"")</f>
        <v>602.95100000000002</v>
      </c>
      <c r="AI25">
        <f ca="1">IFERROR(IF(0=LEN(ReferenceData!$AI$25),"",ReferenceData!$AI$25),"")</f>
        <v>560.32000000000005</v>
      </c>
      <c r="AJ25">
        <f ca="1">IFERROR(IF(0=LEN(ReferenceData!$AJ$25),"",ReferenceData!$AJ$25),"")</f>
        <v>559.51800000000003</v>
      </c>
      <c r="AK25">
        <f ca="1">IFERROR(IF(0=LEN(ReferenceData!$AK$25),"",ReferenceData!$AK$25),"")</f>
        <v>565.41200000000003</v>
      </c>
      <c r="AL25">
        <f ca="1">IFERROR(IF(0=LEN(ReferenceData!$AL$25),"",ReferenceData!$AL$25),"")</f>
        <v>552.45699999999999</v>
      </c>
      <c r="AM25">
        <f ca="1">IFERROR(IF(0=LEN(ReferenceData!$AM$25),"",ReferenceData!$AM$25),"")</f>
        <v>556.91200000000003</v>
      </c>
      <c r="AN25">
        <f ca="1">IFERROR(IF(0=LEN(ReferenceData!$AN$25),"",ReferenceData!$AN$25),"")</f>
        <v>550.05399999999997</v>
      </c>
      <c r="AO25">
        <f ca="1">IFERROR(IF(0=LEN(ReferenceData!$AO$25),"",ReferenceData!$AO$25),"")</f>
        <v>554.51599999999996</v>
      </c>
      <c r="AP25">
        <f ca="1">IFERROR(IF(0=LEN(ReferenceData!$AP$25),"",ReferenceData!$AP$25),"")</f>
        <v>549.78700000000003</v>
      </c>
      <c r="AQ25" t="str">
        <f ca="1">IFERROR(IF(0=LEN(ReferenceData!$AQ$25),"",ReferenceData!$AQ$25),"")</f>
        <v/>
      </c>
      <c r="AR25" t="str">
        <f ca="1">IFERROR(IF(0=LEN(ReferenceData!$AR$25),"",ReferenceData!$AR$25),"")</f>
        <v/>
      </c>
      <c r="AS25" t="str">
        <f ca="1">IFERROR(IF(0=LEN(ReferenceData!$AS$25),"",ReferenceData!$AS$25),"")</f>
        <v/>
      </c>
      <c r="AT25" t="str">
        <f ca="1">IFERROR(IF(0=LEN(ReferenceData!$AT$25),"",ReferenceData!$AT$25),"")</f>
        <v/>
      </c>
      <c r="AU25" t="str">
        <f ca="1">IFERROR(IF(0=LEN(ReferenceData!$AU$25),"",ReferenceData!$AU$25),"")</f>
        <v/>
      </c>
      <c r="AV25" t="str">
        <f ca="1">IFERROR(IF(0=LEN(ReferenceData!$AV$25),"",ReferenceData!$AV$25),"")</f>
        <v/>
      </c>
      <c r="AW25" t="str">
        <f ca="1">IFERROR(IF(0=LEN(ReferenceData!$AW$25),"",ReferenceData!$AW$25),"")</f>
        <v/>
      </c>
      <c r="AX25" t="str">
        <f ca="1">IFERROR(IF(0=LEN(ReferenceData!$AX$25),"",ReferenceData!$AX$25),"")</f>
        <v/>
      </c>
      <c r="AY25" t="str">
        <f ca="1">IFERROR(IF(0=LEN(ReferenceData!$AY$25),"",ReferenceData!$AY$25),"")</f>
        <v/>
      </c>
      <c r="AZ25" t="str">
        <f ca="1">IFERROR(IF(0=LEN(ReferenceData!$AZ$25),"",ReferenceData!$AZ$25),"")</f>
        <v/>
      </c>
      <c r="BA25" t="str">
        <f ca="1">IFERROR(IF(0=LEN(ReferenceData!$BA$25),"",ReferenceData!$BA$25),"")</f>
        <v/>
      </c>
      <c r="BB25" t="str">
        <f ca="1">IFERROR(IF(0=LEN(ReferenceData!$BB$25),"",ReferenceData!$BB$25),"")</f>
        <v/>
      </c>
      <c r="BC25" t="str">
        <f ca="1">IFERROR(IF(0=LEN(ReferenceData!$BC$25),"",ReferenceData!$BC$25),"")</f>
        <v/>
      </c>
      <c r="BD25" t="str">
        <f ca="1">IFERROR(IF(0=LEN(ReferenceData!$BD$25),"",ReferenceData!$BD$25),"")</f>
        <v/>
      </c>
      <c r="BE25" t="str">
        <f ca="1">IFERROR(IF(0=LEN(ReferenceData!$BE$25),"",ReferenceData!$BE$25),"")</f>
        <v/>
      </c>
      <c r="BF25" t="str">
        <f ca="1">IFERROR(IF(0=LEN(ReferenceData!$BF$25),"",ReferenceData!$BF$25),"")</f>
        <v/>
      </c>
      <c r="BG25" t="str">
        <f ca="1">IFERROR(IF(0=LEN(ReferenceData!$BG$25),"",ReferenceData!$BG$25),"")</f>
        <v/>
      </c>
      <c r="BH25" t="str">
        <f ca="1">IFERROR(IF(0=LEN(ReferenceData!$BH$25),"",ReferenceData!$BH$25),"")</f>
        <v/>
      </c>
      <c r="BI25" t="str">
        <f ca="1">IFERROR(IF(0=LEN(ReferenceData!$BI$25),"",ReferenceData!$BI$25),"")</f>
        <v/>
      </c>
      <c r="BJ25" t="str">
        <f ca="1">IFERROR(IF(0=LEN(ReferenceData!$BJ$25),"",ReferenceData!$BJ$25),"")</f>
        <v/>
      </c>
      <c r="BK25" t="str">
        <f ca="1">IFERROR(IF(0=LEN(ReferenceData!$BK$25),"",ReferenceData!$BK$25),"")</f>
        <v/>
      </c>
      <c r="BL25" t="str">
        <f ca="1">IFERROR(IF(0=LEN(ReferenceData!$BL$25),"",ReferenceData!$BL$25),"")</f>
        <v/>
      </c>
      <c r="BM25" t="str">
        <f ca="1">IFERROR(IF(0=LEN(ReferenceData!$BM$25),"",ReferenceData!$BM$25),"")</f>
        <v/>
      </c>
    </row>
    <row r="26" spans="1:65">
      <c r="A26" t="str">
        <f>IFERROR(IF(0=LEN(ReferenceData!$A$26),"",ReferenceData!$A$26),"")</f>
        <v>其他营业收入</v>
      </c>
      <c r="B26" t="str">
        <f>IFERROR(IF(0=LEN(ReferenceData!$B$26),"",ReferenceData!$B$26),"")</f>
        <v/>
      </c>
      <c r="C26" t="str">
        <f>IFERROR(IF(0=LEN(ReferenceData!$C$26),"",ReferenceData!$C$26),"")</f>
        <v/>
      </c>
      <c r="D26" t="str">
        <f>IFERROR(IF(0=LEN(ReferenceData!$D$26),"",ReferenceData!$D$26),"")</f>
        <v/>
      </c>
      <c r="E26" t="str">
        <f>IFERROR(IF(0=LEN(ReferenceData!$E$26),"",ReferenceData!$E$26),"")</f>
        <v>Median</v>
      </c>
      <c r="F26" t="str">
        <f ca="1">IFERROR(IF(0=LEN(ReferenceData!$F$26),"",ReferenceData!$F$26),"")</f>
        <v/>
      </c>
      <c r="G26">
        <f ca="1">IFERROR(IF(0=LEN(ReferenceData!$G$26),"",ReferenceData!$G$26),"")</f>
        <v>1.5429999999999999</v>
      </c>
      <c r="H26">
        <f ca="1">IFERROR(IF(0=LEN(ReferenceData!$H$26),"",ReferenceData!$H$26),"")</f>
        <v>1.7195</v>
      </c>
      <c r="I26">
        <f ca="1">IFERROR(IF(0=LEN(ReferenceData!$I$26),"",ReferenceData!$I$26),"")</f>
        <v>1.6910000000000001</v>
      </c>
      <c r="J26">
        <f ca="1">IFERROR(IF(0=LEN(ReferenceData!$J$26),"",ReferenceData!$J$26),"")</f>
        <v>2.3514999999999997</v>
      </c>
      <c r="K26">
        <f ca="1">IFERROR(IF(0=LEN(ReferenceData!$K$26),"",ReferenceData!$K$26),"")</f>
        <v>3.4524999999999997</v>
      </c>
      <c r="L26">
        <f ca="1">IFERROR(IF(0=LEN(ReferenceData!$L$26),"",ReferenceData!$L$26),"")</f>
        <v>5.8364999999999991</v>
      </c>
      <c r="M26">
        <f ca="1">IFERROR(IF(0=LEN(ReferenceData!$M$26),"",ReferenceData!$M$26),"")</f>
        <v>3.7045000000000003</v>
      </c>
      <c r="N26">
        <f ca="1">IFERROR(IF(0=LEN(ReferenceData!$N$26),"",ReferenceData!$N$26),"")</f>
        <v>2.7095000000000002</v>
      </c>
      <c r="O26">
        <f ca="1">IFERROR(IF(0=LEN(ReferenceData!$O$26),"",ReferenceData!$O$26),"")</f>
        <v>3.2804999999999995</v>
      </c>
      <c r="P26">
        <f ca="1">IFERROR(IF(0=LEN(ReferenceData!$P$26),"",ReferenceData!$P$26),"")</f>
        <v>4.1695000000000002</v>
      </c>
      <c r="Q26">
        <f ca="1">IFERROR(IF(0=LEN(ReferenceData!$Q$26),"",ReferenceData!$Q$26),"")</f>
        <v>4.0994999999999999</v>
      </c>
      <c r="R26">
        <f ca="1">IFERROR(IF(0=LEN(ReferenceData!$R$26),"",ReferenceData!$R$26),"")</f>
        <v>3.9135</v>
      </c>
      <c r="S26">
        <f ca="1">IFERROR(IF(0=LEN(ReferenceData!$S$26),"",ReferenceData!$S$26),"")</f>
        <v>3.3084999999999996</v>
      </c>
      <c r="T26">
        <f ca="1">IFERROR(IF(0=LEN(ReferenceData!$T$26),"",ReferenceData!$T$26),"")</f>
        <v>4.5945</v>
      </c>
      <c r="U26">
        <f ca="1">IFERROR(IF(0=LEN(ReferenceData!$U$26),"",ReferenceData!$U$26),"")</f>
        <v>4.7785000000000002</v>
      </c>
      <c r="V26">
        <f ca="1">IFERROR(IF(0=LEN(ReferenceData!$V$26),"",ReferenceData!$V$26),"")</f>
        <v>3.101</v>
      </c>
      <c r="W26">
        <f ca="1">IFERROR(IF(0=LEN(ReferenceData!$W$26),"",ReferenceData!$W$26),"")</f>
        <v>3.1665000000000001</v>
      </c>
      <c r="X26">
        <f ca="1">IFERROR(IF(0=LEN(ReferenceData!$X$26),"",ReferenceData!$X$26),"")</f>
        <v>3.8815000000000004</v>
      </c>
      <c r="Y26">
        <f ca="1">IFERROR(IF(0=LEN(ReferenceData!$Y$26),"",ReferenceData!$Y$26),"")</f>
        <v>6.1475</v>
      </c>
      <c r="Z26">
        <f ca="1">IFERROR(IF(0=LEN(ReferenceData!$Z$26),"",ReferenceData!$Z$26),"")</f>
        <v>2.9135</v>
      </c>
      <c r="AA26">
        <f ca="1">IFERROR(IF(0=LEN(ReferenceData!$AA$26),"",ReferenceData!$AA$26),"")</f>
        <v>3.6015000000000001</v>
      </c>
      <c r="AB26">
        <f ca="1">IFERROR(IF(0=LEN(ReferenceData!$AB$26),"",ReferenceData!$AB$26),"")</f>
        <v>2.4474999999999998</v>
      </c>
      <c r="AC26">
        <f ca="1">IFERROR(IF(0=LEN(ReferenceData!$AC$26),"",ReferenceData!$AC$26),"")</f>
        <v>3.6755</v>
      </c>
      <c r="AD26">
        <f ca="1">IFERROR(IF(0=LEN(ReferenceData!$AD$26),"",ReferenceData!$AD$26),"")</f>
        <v>2.9435000000000002</v>
      </c>
      <c r="AE26">
        <f ca="1">IFERROR(IF(0=LEN(ReferenceData!$AE$26),"",ReferenceData!$AE$26),"")</f>
        <v>4.68</v>
      </c>
      <c r="AF26">
        <f ca="1">IFERROR(IF(0=LEN(ReferenceData!$AF$26),"",ReferenceData!$AF$26),"")</f>
        <v>3.4005000000000001</v>
      </c>
      <c r="AG26">
        <f ca="1">IFERROR(IF(0=LEN(ReferenceData!$AG$26),"",ReferenceData!$AG$26),"")</f>
        <v>3.2759999999999998</v>
      </c>
      <c r="AH26">
        <f ca="1">IFERROR(IF(0=LEN(ReferenceData!$AH$26),"",ReferenceData!$AH$26),"")</f>
        <v>2.6165000000000003</v>
      </c>
      <c r="AI26">
        <f ca="1">IFERROR(IF(0=LEN(ReferenceData!$AI$26),"",ReferenceData!$AI$26),"")</f>
        <v>3.0374999999999996</v>
      </c>
      <c r="AJ26">
        <f ca="1">IFERROR(IF(0=LEN(ReferenceData!$AJ$26),"",ReferenceData!$AJ$26),"")</f>
        <v>3.3639999999999999</v>
      </c>
      <c r="AK26">
        <f ca="1">IFERROR(IF(0=LEN(ReferenceData!$AK$26),"",ReferenceData!$AK$26),"")</f>
        <v>3.1894999999999998</v>
      </c>
      <c r="AL26">
        <f ca="1">IFERROR(IF(0=LEN(ReferenceData!$AL$26),"",ReferenceData!$AL$26),"")</f>
        <v>2.4814999999999996</v>
      </c>
      <c r="AM26">
        <f ca="1">IFERROR(IF(0=LEN(ReferenceData!$AM$26),"",ReferenceData!$AM$26),"")</f>
        <v>2.9020000000000001</v>
      </c>
      <c r="AN26">
        <f ca="1">IFERROR(IF(0=LEN(ReferenceData!$AN$26),"",ReferenceData!$AN$26),"")</f>
        <v>3.1945000000000001</v>
      </c>
      <c r="AO26">
        <f ca="1">IFERROR(IF(0=LEN(ReferenceData!$AO$26),"",ReferenceData!$AO$26),"")</f>
        <v>3.3350000000000004</v>
      </c>
      <c r="AP26">
        <f ca="1">IFERROR(IF(0=LEN(ReferenceData!$AP$26),"",ReferenceData!$AP$26),"")</f>
        <v>3.0754999999999999</v>
      </c>
      <c r="AQ26" t="str">
        <f ca="1">IFERROR(IF(0=LEN(ReferenceData!$AQ$26),"",ReferenceData!$AQ$26),"")</f>
        <v/>
      </c>
      <c r="AR26" t="str">
        <f ca="1">IFERROR(IF(0=LEN(ReferenceData!$AR$26),"",ReferenceData!$AR$26),"")</f>
        <v/>
      </c>
      <c r="AS26" t="str">
        <f ca="1">IFERROR(IF(0=LEN(ReferenceData!$AS$26),"",ReferenceData!$AS$26),"")</f>
        <v/>
      </c>
      <c r="AT26" t="str">
        <f ca="1">IFERROR(IF(0=LEN(ReferenceData!$AT$26),"",ReferenceData!$AT$26),"")</f>
        <v/>
      </c>
      <c r="AU26" t="str">
        <f ca="1">IFERROR(IF(0=LEN(ReferenceData!$AU$26),"",ReferenceData!$AU$26),"")</f>
        <v/>
      </c>
      <c r="AV26" t="str">
        <f ca="1">IFERROR(IF(0=LEN(ReferenceData!$AV$26),"",ReferenceData!$AV$26),"")</f>
        <v/>
      </c>
      <c r="AW26" t="str">
        <f ca="1">IFERROR(IF(0=LEN(ReferenceData!$AW$26),"",ReferenceData!$AW$26),"")</f>
        <v/>
      </c>
      <c r="AX26" t="str">
        <f ca="1">IFERROR(IF(0=LEN(ReferenceData!$AX$26),"",ReferenceData!$AX$26),"")</f>
        <v/>
      </c>
      <c r="AY26" t="str">
        <f ca="1">IFERROR(IF(0=LEN(ReferenceData!$AY$26),"",ReferenceData!$AY$26),"")</f>
        <v/>
      </c>
      <c r="AZ26" t="str">
        <f ca="1">IFERROR(IF(0=LEN(ReferenceData!$AZ$26),"",ReferenceData!$AZ$26),"")</f>
        <v/>
      </c>
      <c r="BA26" t="str">
        <f ca="1">IFERROR(IF(0=LEN(ReferenceData!$BA$26),"",ReferenceData!$BA$26),"")</f>
        <v/>
      </c>
      <c r="BB26" t="str">
        <f ca="1">IFERROR(IF(0=LEN(ReferenceData!$BB$26),"",ReferenceData!$BB$26),"")</f>
        <v/>
      </c>
      <c r="BC26" t="str">
        <f ca="1">IFERROR(IF(0=LEN(ReferenceData!$BC$26),"",ReferenceData!$BC$26),"")</f>
        <v/>
      </c>
      <c r="BD26" t="str">
        <f ca="1">IFERROR(IF(0=LEN(ReferenceData!$BD$26),"",ReferenceData!$BD$26),"")</f>
        <v/>
      </c>
      <c r="BE26" t="str">
        <f ca="1">IFERROR(IF(0=LEN(ReferenceData!$BE$26),"",ReferenceData!$BE$26),"")</f>
        <v/>
      </c>
      <c r="BF26" t="str">
        <f ca="1">IFERROR(IF(0=LEN(ReferenceData!$BF$26),"",ReferenceData!$BF$26),"")</f>
        <v/>
      </c>
      <c r="BG26" t="str">
        <f ca="1">IFERROR(IF(0=LEN(ReferenceData!$BG$26),"",ReferenceData!$BG$26),"")</f>
        <v/>
      </c>
      <c r="BH26" t="str">
        <f ca="1">IFERROR(IF(0=LEN(ReferenceData!$BH$26),"",ReferenceData!$BH$26),"")</f>
        <v/>
      </c>
      <c r="BI26" t="str">
        <f ca="1">IFERROR(IF(0=LEN(ReferenceData!$BI$26),"",ReferenceData!$BI$26),"")</f>
        <v/>
      </c>
      <c r="BJ26" t="str">
        <f ca="1">IFERROR(IF(0=LEN(ReferenceData!$BJ$26),"",ReferenceData!$BJ$26),"")</f>
        <v/>
      </c>
      <c r="BK26" t="str">
        <f ca="1">IFERROR(IF(0=LEN(ReferenceData!$BK$26),"",ReferenceData!$BK$26),"")</f>
        <v/>
      </c>
      <c r="BL26" t="str">
        <f ca="1">IFERROR(IF(0=LEN(ReferenceData!$BL$26),"",ReferenceData!$BL$26),"")</f>
        <v/>
      </c>
      <c r="BM26" t="str">
        <f ca="1">IFERROR(IF(0=LEN(ReferenceData!$BM$26),"",ReferenceData!$BM$26),"")</f>
        <v/>
      </c>
    </row>
    <row r="27" spans="1:65">
      <c r="A27" t="str">
        <f>IFERROR(IF(0=LEN(ReferenceData!$A$27),"",ReferenceData!$A$27),"")</f>
        <v xml:space="preserve">    Boston Properties Inc</v>
      </c>
      <c r="B27" t="str">
        <f>IFERROR(IF(0=LEN(ReferenceData!$B$27),"",ReferenceData!$B$27),"")</f>
        <v>BXP US Equity</v>
      </c>
      <c r="C27" t="str">
        <f>IFERROR(IF(0=LEN(ReferenceData!$C$27),"",ReferenceData!$C$27),"")</f>
        <v>IM281</v>
      </c>
      <c r="D27" t="str">
        <f>IFERROR(IF(0=LEN(ReferenceData!$D$27),"",ReferenceData!$D$27),"")</f>
        <v>IS_NON_REAL_ESTATE_INCOME</v>
      </c>
      <c r="E27" t="str">
        <f>IFERROR(IF(0=LEN(ReferenceData!$E$27),"",ReferenceData!$E$27),"")</f>
        <v>动态</v>
      </c>
      <c r="F27" t="str">
        <f ca="1">IFERROR(IF(0=LEN(ReferenceData!$F$27),"",ReferenceData!$F$27),"")</f>
        <v/>
      </c>
      <c r="G27">
        <f ca="1">IFERROR(IF(0=LEN(ReferenceData!$G$27),"",ReferenceData!$G$27),"")</f>
        <v>11.744</v>
      </c>
      <c r="H27">
        <f ca="1">IFERROR(IF(0=LEN(ReferenceData!$H$27),"",ReferenceData!$H$27),"")</f>
        <v>13.064</v>
      </c>
      <c r="I27">
        <f ca="1">IFERROR(IF(0=LEN(ReferenceData!$I$27),"",ReferenceData!$I$27),"")</f>
        <v>13.375</v>
      </c>
      <c r="J27">
        <f ca="1">IFERROR(IF(0=LEN(ReferenceData!$J$27),"",ReferenceData!$J$27),"")</f>
        <v>7.42</v>
      </c>
      <c r="K27">
        <f ca="1">IFERROR(IF(0=LEN(ReferenceData!$K$27),"",ReferenceData!$K$27),"")</f>
        <v>10.965</v>
      </c>
      <c r="L27">
        <f ca="1">IFERROR(IF(0=LEN(ReferenceData!$L$27),"",ReferenceData!$L$27),"")</f>
        <v>12.353999999999999</v>
      </c>
      <c r="M27">
        <f ca="1">IFERROR(IF(0=LEN(ReferenceData!$M$27),"",ReferenceData!$M$27),"")</f>
        <v>12.808</v>
      </c>
      <c r="N27">
        <f ca="1">IFERROR(IF(0=LEN(ReferenceData!$N$27),"",ReferenceData!$N$27),"")</f>
        <v>8.7569999999999997</v>
      </c>
      <c r="O27">
        <f ca="1">IFERROR(IF(0=LEN(ReferenceData!$O$27),"",ReferenceData!$O$27),"")</f>
        <v>10.939</v>
      </c>
      <c r="P27">
        <f ca="1">IFERROR(IF(0=LEN(ReferenceData!$P$27),"",ReferenceData!$P$27),"")</f>
        <v>12.619</v>
      </c>
      <c r="Q27">
        <f ca="1">IFERROR(IF(0=LEN(ReferenceData!$Q$27),"",ReferenceData!$Q$27),"")</f>
        <v>13.403</v>
      </c>
      <c r="R27">
        <f ca="1">IFERROR(IF(0=LEN(ReferenceData!$R$27),"",ReferenceData!$R$27),"")</f>
        <v>9.0850000000000009</v>
      </c>
      <c r="S27">
        <f ca="1">IFERROR(IF(0=LEN(ReferenceData!$S$27),"",ReferenceData!$S$27),"")</f>
        <v>10.907</v>
      </c>
      <c r="T27">
        <f ca="1">IFERROR(IF(0=LEN(ReferenceData!$T$27),"",ReferenceData!$T$27),"")</f>
        <v>38.154000000000003</v>
      </c>
      <c r="U27">
        <f ca="1">IFERROR(IF(0=LEN(ReferenceData!$U$27),"",ReferenceData!$U$27),"")</f>
        <v>38.667000000000002</v>
      </c>
      <c r="V27">
        <f ca="1">IFERROR(IF(0=LEN(ReferenceData!$V$27),"",ReferenceData!$V$27),"")</f>
        <v>8.1929999999999996</v>
      </c>
      <c r="W27">
        <f ca="1">IFERROR(IF(0=LEN(ReferenceData!$W$27),"",ReferenceData!$W$27),"")</f>
        <v>10.269</v>
      </c>
      <c r="X27">
        <f ca="1">IFERROR(IF(0=LEN(ReferenceData!$X$27),"",ReferenceData!$X$27),"")</f>
        <v>35.898000000000003</v>
      </c>
      <c r="Y27">
        <f ca="1">IFERROR(IF(0=LEN(ReferenceData!$Y$27),"",ReferenceData!$Y$27),"")</f>
        <v>34.664999999999999</v>
      </c>
      <c r="Z27">
        <f ca="1">IFERROR(IF(0=LEN(ReferenceData!$Z$27),"",ReferenceData!$Z$27),"")</f>
        <v>8.2910000000000004</v>
      </c>
      <c r="AA27">
        <f ca="1">IFERROR(IF(0=LEN(ReferenceData!$AA$27),"",ReferenceData!$AA$27),"")</f>
        <v>11.691000000000001</v>
      </c>
      <c r="AB27">
        <f ca="1">IFERROR(IF(0=LEN(ReferenceData!$AB$27),"",ReferenceData!$AB$27),"")</f>
        <v>32.429000000000002</v>
      </c>
      <c r="AC27">
        <f ca="1">IFERROR(IF(0=LEN(ReferenceData!$AC$27),"",ReferenceData!$AC$27),"")</f>
        <v>33.405000000000001</v>
      </c>
      <c r="AD27">
        <f ca="1">IFERROR(IF(0=LEN(ReferenceData!$AD$27),"",ReferenceData!$AD$27),"")</f>
        <v>29.074999999999999</v>
      </c>
      <c r="AE27">
        <f ca="1">IFERROR(IF(0=LEN(ReferenceData!$AE$27),"",ReferenceData!$AE$27),"")</f>
        <v>32.848999999999997</v>
      </c>
      <c r="AF27">
        <f ca="1">IFERROR(IF(0=LEN(ReferenceData!$AF$27),"",ReferenceData!$AF$27),"")</f>
        <v>29.724</v>
      </c>
      <c r="AG27">
        <f ca="1">IFERROR(IF(0=LEN(ReferenceData!$AG$27),"",ReferenceData!$AG$27),"")</f>
        <v>30.001999999999999</v>
      </c>
      <c r="AH27">
        <f ca="1">IFERROR(IF(0=LEN(ReferenceData!$AH$27),"",ReferenceData!$AH$27),"")</f>
        <v>25.012</v>
      </c>
      <c r="AI27">
        <f ca="1">IFERROR(IF(0=LEN(ReferenceData!$AI$27),"",ReferenceData!$AI$27),"")</f>
        <v>27.43</v>
      </c>
      <c r="AJ27">
        <f ca="1">IFERROR(IF(0=LEN(ReferenceData!$AJ$27),"",ReferenceData!$AJ$27),"")</f>
        <v>25.68</v>
      </c>
      <c r="AK27">
        <f ca="1">IFERROR(IF(0=LEN(ReferenceData!$AK$27),"",ReferenceData!$AK$27),"")</f>
        <v>26.911000000000001</v>
      </c>
      <c r="AL27">
        <f ca="1">IFERROR(IF(0=LEN(ReferenceData!$AL$27),"",ReferenceData!$AL$27),"")</f>
        <v>21.2</v>
      </c>
      <c r="AM27">
        <f ca="1">IFERROR(IF(0=LEN(ReferenceData!$AM$27),"",ReferenceData!$AM$27),"")</f>
        <v>27.417999999999999</v>
      </c>
      <c r="AN27">
        <f ca="1">IFERROR(IF(0=LEN(ReferenceData!$AN$27),"",ReferenceData!$AN$27),"")</f>
        <v>24.045999999999999</v>
      </c>
      <c r="AO27">
        <f ca="1">IFERROR(IF(0=LEN(ReferenceData!$AO$27),"",ReferenceData!$AO$27),"")</f>
        <v>26.254000000000001</v>
      </c>
      <c r="AP27">
        <f ca="1">IFERROR(IF(0=LEN(ReferenceData!$AP$27),"",ReferenceData!$AP$27),"")</f>
        <v>23.323</v>
      </c>
      <c r="AQ27" t="str">
        <f ca="1">IFERROR(IF(0=LEN(ReferenceData!$AQ$27),"",ReferenceData!$AQ$27),"")</f>
        <v/>
      </c>
      <c r="AR27" t="str">
        <f ca="1">IFERROR(IF(0=LEN(ReferenceData!$AR$27),"",ReferenceData!$AR$27),"")</f>
        <v/>
      </c>
      <c r="AS27" t="str">
        <f ca="1">IFERROR(IF(0=LEN(ReferenceData!$AS$27),"",ReferenceData!$AS$27),"")</f>
        <v/>
      </c>
      <c r="AT27" t="str">
        <f ca="1">IFERROR(IF(0=LEN(ReferenceData!$AT$27),"",ReferenceData!$AT$27),"")</f>
        <v/>
      </c>
      <c r="AU27" t="str">
        <f ca="1">IFERROR(IF(0=LEN(ReferenceData!$AU$27),"",ReferenceData!$AU$27),"")</f>
        <v/>
      </c>
      <c r="AV27" t="str">
        <f ca="1">IFERROR(IF(0=LEN(ReferenceData!$AV$27),"",ReferenceData!$AV$27),"")</f>
        <v/>
      </c>
      <c r="AW27" t="str">
        <f ca="1">IFERROR(IF(0=LEN(ReferenceData!$AW$27),"",ReferenceData!$AW$27),"")</f>
        <v/>
      </c>
      <c r="AX27" t="str">
        <f ca="1">IFERROR(IF(0=LEN(ReferenceData!$AX$27),"",ReferenceData!$AX$27),"")</f>
        <v/>
      </c>
      <c r="AY27" t="str">
        <f ca="1">IFERROR(IF(0=LEN(ReferenceData!$AY$27),"",ReferenceData!$AY$27),"")</f>
        <v/>
      </c>
      <c r="AZ27" t="str">
        <f ca="1">IFERROR(IF(0=LEN(ReferenceData!$AZ$27),"",ReferenceData!$AZ$27),"")</f>
        <v/>
      </c>
      <c r="BA27" t="str">
        <f ca="1">IFERROR(IF(0=LEN(ReferenceData!$BA$27),"",ReferenceData!$BA$27),"")</f>
        <v/>
      </c>
      <c r="BB27" t="str">
        <f ca="1">IFERROR(IF(0=LEN(ReferenceData!$BB$27),"",ReferenceData!$BB$27),"")</f>
        <v/>
      </c>
      <c r="BC27" t="str">
        <f ca="1">IFERROR(IF(0=LEN(ReferenceData!$BC$27),"",ReferenceData!$BC$27),"")</f>
        <v/>
      </c>
      <c r="BD27" t="str">
        <f ca="1">IFERROR(IF(0=LEN(ReferenceData!$BD$27),"",ReferenceData!$BD$27),"")</f>
        <v/>
      </c>
      <c r="BE27" t="str">
        <f ca="1">IFERROR(IF(0=LEN(ReferenceData!$BE$27),"",ReferenceData!$BE$27),"")</f>
        <v/>
      </c>
      <c r="BF27" t="str">
        <f ca="1">IFERROR(IF(0=LEN(ReferenceData!$BF$27),"",ReferenceData!$BF$27),"")</f>
        <v/>
      </c>
      <c r="BG27" t="str">
        <f ca="1">IFERROR(IF(0=LEN(ReferenceData!$BG$27),"",ReferenceData!$BG$27),"")</f>
        <v/>
      </c>
      <c r="BH27" t="str">
        <f ca="1">IFERROR(IF(0=LEN(ReferenceData!$BH$27),"",ReferenceData!$BH$27),"")</f>
        <v/>
      </c>
      <c r="BI27" t="str">
        <f ca="1">IFERROR(IF(0=LEN(ReferenceData!$BI$27),"",ReferenceData!$BI$27),"")</f>
        <v/>
      </c>
      <c r="BJ27" t="str">
        <f ca="1">IFERROR(IF(0=LEN(ReferenceData!$BJ$27),"",ReferenceData!$BJ$27),"")</f>
        <v/>
      </c>
      <c r="BK27" t="str">
        <f ca="1">IFERROR(IF(0=LEN(ReferenceData!$BK$27),"",ReferenceData!$BK$27),"")</f>
        <v/>
      </c>
      <c r="BL27" t="str">
        <f ca="1">IFERROR(IF(0=LEN(ReferenceData!$BL$27),"",ReferenceData!$BL$27),"")</f>
        <v/>
      </c>
      <c r="BM27" t="str">
        <f ca="1">IFERROR(IF(0=LEN(ReferenceData!$BM$27),"",ReferenceData!$BM$27),"")</f>
        <v/>
      </c>
    </row>
    <row r="28" spans="1:65">
      <c r="A28" t="str">
        <f>IFERROR(IF(0=LEN(ReferenceData!$A$28),"",ReferenceData!$A$28),"")</f>
        <v xml:space="preserve">    Brandywine Realty Trust</v>
      </c>
      <c r="B28" t="str">
        <f>IFERROR(IF(0=LEN(ReferenceData!$B$28),"",ReferenceData!$B$28),"")</f>
        <v>BDN US Equity</v>
      </c>
      <c r="C28" t="str">
        <f>IFERROR(IF(0=LEN(ReferenceData!$C$28),"",ReferenceData!$C$28),"")</f>
        <v>IM281</v>
      </c>
      <c r="D28" t="str">
        <f>IFERROR(IF(0=LEN(ReferenceData!$D$28),"",ReferenceData!$D$28),"")</f>
        <v>IS_NON_REAL_ESTATE_INCOME</v>
      </c>
      <c r="E28" t="str">
        <f>IFERROR(IF(0=LEN(ReferenceData!$E$28),"",ReferenceData!$E$28),"")</f>
        <v>动态</v>
      </c>
      <c r="F28" t="str">
        <f ca="1">IFERROR(IF(0=LEN(ReferenceData!$F$28),"",ReferenceData!$F$28),"")</f>
        <v/>
      </c>
      <c r="G28">
        <f ca="1">IFERROR(IF(0=LEN(ReferenceData!$G$28),"",ReferenceData!$G$28),"")</f>
        <v>1.43</v>
      </c>
      <c r="H28">
        <f ca="1">IFERROR(IF(0=LEN(ReferenceData!$H$28),"",ReferenceData!$H$28),"")</f>
        <v>1.524</v>
      </c>
      <c r="I28">
        <f ca="1">IFERROR(IF(0=LEN(ReferenceData!$I$28),"",ReferenceData!$I$28),"")</f>
        <v>0.97599999999999998</v>
      </c>
      <c r="J28">
        <f ca="1">IFERROR(IF(0=LEN(ReferenceData!$J$28),"",ReferenceData!$J$28),"")</f>
        <v>0.89500000000000002</v>
      </c>
      <c r="K28">
        <f ca="1">IFERROR(IF(0=LEN(ReferenceData!$K$28),"",ReferenceData!$K$28),"")</f>
        <v>1.728</v>
      </c>
      <c r="L28">
        <f ca="1">IFERROR(IF(0=LEN(ReferenceData!$L$28),"",ReferenceData!$L$28),"")</f>
        <v>0.97399999999999998</v>
      </c>
      <c r="M28">
        <f ca="1">IFERROR(IF(0=LEN(ReferenceData!$M$28),"",ReferenceData!$M$28),"")</f>
        <v>0.85799999999999998</v>
      </c>
      <c r="N28">
        <f ca="1">IFERROR(IF(0=LEN(ReferenceData!$N$28),"",ReferenceData!$N$28),"")</f>
        <v>0.75600000000000001</v>
      </c>
      <c r="O28">
        <f ca="1">IFERROR(IF(0=LEN(ReferenceData!$O$28),"",ReferenceData!$O$28),"")</f>
        <v>1.1499999999999999</v>
      </c>
      <c r="P28">
        <f ca="1">IFERROR(IF(0=LEN(ReferenceData!$P$28),"",ReferenceData!$P$28),"")</f>
        <v>1.3979999999999999</v>
      </c>
      <c r="Q28">
        <f ca="1">IFERROR(IF(0=LEN(ReferenceData!$Q$28),"",ReferenceData!$Q$28),"")</f>
        <v>1.2350000000000001</v>
      </c>
      <c r="R28">
        <f ca="1">IFERROR(IF(0=LEN(ReferenceData!$R$28),"",ReferenceData!$R$28),"")</f>
        <v>2.8340000000000001</v>
      </c>
      <c r="S28">
        <f ca="1">IFERROR(IF(0=LEN(ReferenceData!$S$28),"",ReferenceData!$S$28),"")</f>
        <v>0.92600000000000005</v>
      </c>
      <c r="T28">
        <f ca="1">IFERROR(IF(0=LEN(ReferenceData!$T$28),"",ReferenceData!$T$28),"")</f>
        <v>0.82499999999999996</v>
      </c>
      <c r="U28">
        <f ca="1">IFERROR(IF(0=LEN(ReferenceData!$U$28),"",ReferenceData!$U$28),"")</f>
        <v>0.84</v>
      </c>
      <c r="V28">
        <f ca="1">IFERROR(IF(0=LEN(ReferenceData!$V$28),"",ReferenceData!$V$28),"")</f>
        <v>0.63</v>
      </c>
      <c r="W28">
        <f ca="1">IFERROR(IF(0=LEN(ReferenceData!$W$28),"",ReferenceData!$W$28),"")</f>
        <v>0.88100000000000001</v>
      </c>
      <c r="X28">
        <f ca="1">IFERROR(IF(0=LEN(ReferenceData!$X$28),"",ReferenceData!$X$28),"")</f>
        <v>0.97499999999999998</v>
      </c>
      <c r="Y28">
        <f ca="1">IFERROR(IF(0=LEN(ReferenceData!$Y$28),"",ReferenceData!$Y$28),"")</f>
        <v>1.4570000000000001</v>
      </c>
      <c r="Z28">
        <f ca="1">IFERROR(IF(0=LEN(ReferenceData!$Z$28),"",ReferenceData!$Z$28),"")</f>
        <v>0.873</v>
      </c>
      <c r="AA28">
        <f ca="1">IFERROR(IF(0=LEN(ReferenceData!$AA$28),"",ReferenceData!$AA$28),"")</f>
        <v>1.681</v>
      </c>
      <c r="AB28">
        <f ca="1">IFERROR(IF(0=LEN(ReferenceData!$AB$28),"",ReferenceData!$AB$28),"")</f>
        <v>1.63</v>
      </c>
      <c r="AC28">
        <f ca="1">IFERROR(IF(0=LEN(ReferenceData!$AC$28),"",ReferenceData!$AC$28),"")</f>
        <v>0.88800000000000001</v>
      </c>
      <c r="AD28">
        <f ca="1">IFERROR(IF(0=LEN(ReferenceData!$AD$28),"",ReferenceData!$AD$28),"")</f>
        <v>1.512</v>
      </c>
      <c r="AE28">
        <f ca="1">IFERROR(IF(0=LEN(ReferenceData!$AE$28),"",ReferenceData!$AE$28),"")</f>
        <v>2.073</v>
      </c>
      <c r="AF28">
        <f ca="1">IFERROR(IF(0=LEN(ReferenceData!$AF$28),"",ReferenceData!$AF$28),"")</f>
        <v>0.95499999999999996</v>
      </c>
      <c r="AG28">
        <f ca="1">IFERROR(IF(0=LEN(ReferenceData!$AG$28),"",ReferenceData!$AG$28),"")</f>
        <v>1.3360000000000001</v>
      </c>
      <c r="AH28">
        <f ca="1">IFERROR(IF(0=LEN(ReferenceData!$AH$28),"",ReferenceData!$AH$28),"")</f>
        <v>1.083</v>
      </c>
      <c r="AI28">
        <f ca="1">IFERROR(IF(0=LEN(ReferenceData!$AI$28),"",ReferenceData!$AI$28),"")</f>
        <v>1.1559999999999999</v>
      </c>
      <c r="AJ28">
        <f ca="1">IFERROR(IF(0=LEN(ReferenceData!$AJ$28),"",ReferenceData!$AJ$28),"")</f>
        <v>1.2270000000000001</v>
      </c>
      <c r="AK28">
        <f ca="1">IFERROR(IF(0=LEN(ReferenceData!$AK$28),"",ReferenceData!$AK$28),"")</f>
        <v>1.022</v>
      </c>
      <c r="AL28">
        <f ca="1">IFERROR(IF(0=LEN(ReferenceData!$AL$28),"",ReferenceData!$AL$28),"")</f>
        <v>0.92100000000000004</v>
      </c>
      <c r="AM28">
        <f ca="1">IFERROR(IF(0=LEN(ReferenceData!$AM$28),"",ReferenceData!$AM$28),"")</f>
        <v>1.1200000000000001</v>
      </c>
      <c r="AN28">
        <f ca="1">IFERROR(IF(0=LEN(ReferenceData!$AN$28),"",ReferenceData!$AN$28),"")</f>
        <v>0.871</v>
      </c>
      <c r="AO28">
        <f ca="1">IFERROR(IF(0=LEN(ReferenceData!$AO$28),"",ReferenceData!$AO$28),"")</f>
        <v>0.56999999999999995</v>
      </c>
      <c r="AP28">
        <f ca="1">IFERROR(IF(0=LEN(ReferenceData!$AP$28),"",ReferenceData!$AP$28),"")</f>
        <v>0.88100000000000001</v>
      </c>
      <c r="AQ28" t="str">
        <f ca="1">IFERROR(IF(0=LEN(ReferenceData!$AQ$28),"",ReferenceData!$AQ$28),"")</f>
        <v/>
      </c>
      <c r="AR28" t="str">
        <f ca="1">IFERROR(IF(0=LEN(ReferenceData!$AR$28),"",ReferenceData!$AR$28),"")</f>
        <v/>
      </c>
      <c r="AS28" t="str">
        <f ca="1">IFERROR(IF(0=LEN(ReferenceData!$AS$28),"",ReferenceData!$AS$28),"")</f>
        <v/>
      </c>
      <c r="AT28" t="str">
        <f ca="1">IFERROR(IF(0=LEN(ReferenceData!$AT$28),"",ReferenceData!$AT$28),"")</f>
        <v/>
      </c>
      <c r="AU28" t="str">
        <f ca="1">IFERROR(IF(0=LEN(ReferenceData!$AU$28),"",ReferenceData!$AU$28),"")</f>
        <v/>
      </c>
      <c r="AV28" t="str">
        <f ca="1">IFERROR(IF(0=LEN(ReferenceData!$AV$28),"",ReferenceData!$AV$28),"")</f>
        <v/>
      </c>
      <c r="AW28" t="str">
        <f ca="1">IFERROR(IF(0=LEN(ReferenceData!$AW$28),"",ReferenceData!$AW$28),"")</f>
        <v/>
      </c>
      <c r="AX28" t="str">
        <f ca="1">IFERROR(IF(0=LEN(ReferenceData!$AX$28),"",ReferenceData!$AX$28),"")</f>
        <v/>
      </c>
      <c r="AY28" t="str">
        <f ca="1">IFERROR(IF(0=LEN(ReferenceData!$AY$28),"",ReferenceData!$AY$28),"")</f>
        <v/>
      </c>
      <c r="AZ28" t="str">
        <f ca="1">IFERROR(IF(0=LEN(ReferenceData!$AZ$28),"",ReferenceData!$AZ$28),"")</f>
        <v/>
      </c>
      <c r="BA28" t="str">
        <f ca="1">IFERROR(IF(0=LEN(ReferenceData!$BA$28),"",ReferenceData!$BA$28),"")</f>
        <v/>
      </c>
      <c r="BB28" t="str">
        <f ca="1">IFERROR(IF(0=LEN(ReferenceData!$BB$28),"",ReferenceData!$BB$28),"")</f>
        <v/>
      </c>
      <c r="BC28" t="str">
        <f ca="1">IFERROR(IF(0=LEN(ReferenceData!$BC$28),"",ReferenceData!$BC$28),"")</f>
        <v/>
      </c>
      <c r="BD28" t="str">
        <f ca="1">IFERROR(IF(0=LEN(ReferenceData!$BD$28),"",ReferenceData!$BD$28),"")</f>
        <v/>
      </c>
      <c r="BE28" t="str">
        <f ca="1">IFERROR(IF(0=LEN(ReferenceData!$BE$28),"",ReferenceData!$BE$28),"")</f>
        <v/>
      </c>
      <c r="BF28" t="str">
        <f ca="1">IFERROR(IF(0=LEN(ReferenceData!$BF$28),"",ReferenceData!$BF$28),"")</f>
        <v/>
      </c>
      <c r="BG28" t="str">
        <f ca="1">IFERROR(IF(0=LEN(ReferenceData!$BG$28),"",ReferenceData!$BG$28),"")</f>
        <v/>
      </c>
      <c r="BH28" t="str">
        <f ca="1">IFERROR(IF(0=LEN(ReferenceData!$BH$28),"",ReferenceData!$BH$28),"")</f>
        <v/>
      </c>
      <c r="BI28" t="str">
        <f ca="1">IFERROR(IF(0=LEN(ReferenceData!$BI$28),"",ReferenceData!$BI$28),"")</f>
        <v/>
      </c>
      <c r="BJ28" t="str">
        <f ca="1">IFERROR(IF(0=LEN(ReferenceData!$BJ$28),"",ReferenceData!$BJ$28),"")</f>
        <v/>
      </c>
      <c r="BK28" t="str">
        <f ca="1">IFERROR(IF(0=LEN(ReferenceData!$BK$28),"",ReferenceData!$BK$28),"")</f>
        <v/>
      </c>
      <c r="BL28" t="str">
        <f ca="1">IFERROR(IF(0=LEN(ReferenceData!$BL$28),"",ReferenceData!$BL$28),"")</f>
        <v/>
      </c>
      <c r="BM28" t="str">
        <f ca="1">IFERROR(IF(0=LEN(ReferenceData!$BM$28),"",ReferenceData!$BM$28),"")</f>
        <v/>
      </c>
    </row>
    <row r="29" spans="1:65">
      <c r="A29" t="str">
        <f>IFERROR(IF(0=LEN(ReferenceData!$A$29),"",ReferenceData!$A$29),"")</f>
        <v xml:space="preserve">    Columbia Property Trust Inc</v>
      </c>
      <c r="B29" t="str">
        <f>IFERROR(IF(0=LEN(ReferenceData!$B$29),"",ReferenceData!$B$29),"")</f>
        <v>CXP US Equity</v>
      </c>
      <c r="C29" t="str">
        <f>IFERROR(IF(0=LEN(ReferenceData!$C$29),"",ReferenceData!$C$29),"")</f>
        <v>IM281</v>
      </c>
      <c r="D29" t="str">
        <f>IFERROR(IF(0=LEN(ReferenceData!$D$29),"",ReferenceData!$D$29),"")</f>
        <v>IS_NON_REAL_ESTATE_INCOME</v>
      </c>
      <c r="E29" t="str">
        <f>IFERROR(IF(0=LEN(ReferenceData!$E$29),"",ReferenceData!$E$29),"")</f>
        <v>动态</v>
      </c>
      <c r="F29" t="str">
        <f ca="1">IFERROR(IF(0=LEN(ReferenceData!$F$29),"",ReferenceData!$F$29),"")</f>
        <v/>
      </c>
      <c r="G29">
        <f ca="1">IFERROR(IF(0=LEN(ReferenceData!$G$29),"",ReferenceData!$G$29),"")</f>
        <v>1.6559999999999999</v>
      </c>
      <c r="H29">
        <f ca="1">IFERROR(IF(0=LEN(ReferenceData!$H$29),"",ReferenceData!$H$29),"")</f>
        <v>0</v>
      </c>
      <c r="I29">
        <f ca="1">IFERROR(IF(0=LEN(ReferenceData!$I$29),"",ReferenceData!$I$29),"")</f>
        <v>0</v>
      </c>
      <c r="J29">
        <f ca="1">IFERROR(IF(0=LEN(ReferenceData!$J$29),"",ReferenceData!$J$29),"")</f>
        <v>1.339</v>
      </c>
      <c r="K29">
        <f ca="1">IFERROR(IF(0=LEN(ReferenceData!$K$29),"",ReferenceData!$K$29),"")</f>
        <v>5.1769999999999996</v>
      </c>
      <c r="L29">
        <f ca="1">IFERROR(IF(0=LEN(ReferenceData!$L$29),"",ReferenceData!$L$29),"")</f>
        <v>6.27</v>
      </c>
      <c r="M29">
        <f ca="1">IFERROR(IF(0=LEN(ReferenceData!$M$29),"",ReferenceData!$M$29),"")</f>
        <v>6.5510000000000002</v>
      </c>
      <c r="N29">
        <f ca="1">IFERROR(IF(0=LEN(ReferenceData!$N$29),"",ReferenceData!$N$29),"")</f>
        <v>4.6630000000000003</v>
      </c>
      <c r="O29">
        <f ca="1">IFERROR(IF(0=LEN(ReferenceData!$O$29),"",ReferenceData!$O$29),"")</f>
        <v>5.4109999999999996</v>
      </c>
      <c r="P29">
        <f ca="1">IFERROR(IF(0=LEN(ReferenceData!$P$29),"",ReferenceData!$P$29),"")</f>
        <v>6.9409999999999998</v>
      </c>
      <c r="Q29">
        <f ca="1">IFERROR(IF(0=LEN(ReferenceData!$Q$29),"",ReferenceData!$Q$29),"")</f>
        <v>6.9640000000000004</v>
      </c>
      <c r="R29">
        <f ca="1">IFERROR(IF(0=LEN(ReferenceData!$R$29),"",ReferenceData!$R$29),"")</f>
        <v>4.9930000000000003</v>
      </c>
      <c r="S29">
        <f ca="1">IFERROR(IF(0=LEN(ReferenceData!$S$29),"",ReferenceData!$S$29),"")</f>
        <v>5.5869999999999997</v>
      </c>
      <c r="T29">
        <f ca="1">IFERROR(IF(0=LEN(ReferenceData!$T$29),"",ReferenceData!$T$29),"")</f>
        <v>6.7320000000000002</v>
      </c>
      <c r="U29">
        <f ca="1">IFERROR(IF(0=LEN(ReferenceData!$U$29),"",ReferenceData!$U$29),"")</f>
        <v>6.5049999999999999</v>
      </c>
      <c r="V29">
        <f ca="1">IFERROR(IF(0=LEN(ReferenceData!$V$29),"",ReferenceData!$V$29),"")</f>
        <v>4.0609999999999999</v>
      </c>
      <c r="W29">
        <f ca="1">IFERROR(IF(0=LEN(ReferenceData!$W$29),"",ReferenceData!$W$29),"")</f>
        <v>5.452</v>
      </c>
      <c r="X29">
        <f ca="1">IFERROR(IF(0=LEN(ReferenceData!$X$29),"",ReferenceData!$X$29),"")</f>
        <v>6.7880000000000003</v>
      </c>
      <c r="Y29">
        <f ca="1">IFERROR(IF(0=LEN(ReferenceData!$Y$29),"",ReferenceData!$Y$29),"")</f>
        <v>6.5620000000000003</v>
      </c>
      <c r="Z29">
        <f ca="1">IFERROR(IF(0=LEN(ReferenceData!$Z$29),"",ReferenceData!$Z$29),"")</f>
        <v>4.9539999999999997</v>
      </c>
      <c r="AA29">
        <f ca="1">IFERROR(IF(0=LEN(ReferenceData!$AA$29),"",ReferenceData!$AA$29),"")</f>
        <v>5.5220000000000002</v>
      </c>
      <c r="AB29">
        <f ca="1">IFERROR(IF(0=LEN(ReferenceData!$AB$29),"",ReferenceData!$AB$29),"")</f>
        <v>6.6890000000000001</v>
      </c>
      <c r="AC29">
        <f ca="1">IFERROR(IF(0=LEN(ReferenceData!$AC$29),"",ReferenceData!$AC$29),"")</f>
        <v>6.4630000000000001</v>
      </c>
      <c r="AD29">
        <f ca="1">IFERROR(IF(0=LEN(ReferenceData!$AD$29),"",ReferenceData!$AD$29),"")</f>
        <v>4.375</v>
      </c>
      <c r="AE29">
        <f ca="1">IFERROR(IF(0=LEN(ReferenceData!$AE$29),"",ReferenceData!$AE$29),"")</f>
        <v>4.9619999999999997</v>
      </c>
      <c r="AF29">
        <f ca="1">IFERROR(IF(0=LEN(ReferenceData!$AF$29),"",ReferenceData!$AF$29),"")</f>
        <v>6.2720000000000002</v>
      </c>
      <c r="AG29">
        <f ca="1">IFERROR(IF(0=LEN(ReferenceData!$AG$29),"",ReferenceData!$AG$29),"")</f>
        <v>5.2160000000000002</v>
      </c>
      <c r="AH29">
        <f ca="1">IFERROR(IF(0=LEN(ReferenceData!$AH$29),"",ReferenceData!$AH$29),"")</f>
        <v>4.1500000000000004</v>
      </c>
      <c r="AI29">
        <f ca="1">IFERROR(IF(0=LEN(ReferenceData!$AI$29),"",ReferenceData!$AI$29),"")</f>
        <v>4.9189999999999996</v>
      </c>
      <c r="AJ29">
        <f ca="1">IFERROR(IF(0=LEN(ReferenceData!$AJ$29),"",ReferenceData!$AJ$29),"")</f>
        <v>5.5010000000000003</v>
      </c>
      <c r="AK29">
        <f ca="1">IFERROR(IF(0=LEN(ReferenceData!$AK$29),"",ReferenceData!$AK$29),"")</f>
        <v>5.3570000000000002</v>
      </c>
      <c r="AL29">
        <f ca="1">IFERROR(IF(0=LEN(ReferenceData!$AL$29),"",ReferenceData!$AL$29),"")</f>
        <v>4.0419999999999998</v>
      </c>
      <c r="AM29">
        <f ca="1">IFERROR(IF(0=LEN(ReferenceData!$AM$29),"",ReferenceData!$AM$29),"")</f>
        <v>4.6840000000000002</v>
      </c>
      <c r="AN29">
        <f ca="1">IFERROR(IF(0=LEN(ReferenceData!$AN$29),"",ReferenceData!$AN$29),"")</f>
        <v>5.5179999999999998</v>
      </c>
      <c r="AO29">
        <f ca="1">IFERROR(IF(0=LEN(ReferenceData!$AO$29),"",ReferenceData!$AO$29),"")</f>
        <v>5.6210000000000004</v>
      </c>
      <c r="AP29">
        <f ca="1">IFERROR(IF(0=LEN(ReferenceData!$AP$29),"",ReferenceData!$AP$29),"")</f>
        <v>4.3559999999999999</v>
      </c>
      <c r="AQ29" t="str">
        <f ca="1">IFERROR(IF(0=LEN(ReferenceData!$AQ$29),"",ReferenceData!$AQ$29),"")</f>
        <v/>
      </c>
      <c r="AR29" t="str">
        <f ca="1">IFERROR(IF(0=LEN(ReferenceData!$AR$29),"",ReferenceData!$AR$29),"")</f>
        <v/>
      </c>
      <c r="AS29" t="str">
        <f ca="1">IFERROR(IF(0=LEN(ReferenceData!$AS$29),"",ReferenceData!$AS$29),"")</f>
        <v/>
      </c>
      <c r="AT29" t="str">
        <f ca="1">IFERROR(IF(0=LEN(ReferenceData!$AT$29),"",ReferenceData!$AT$29),"")</f>
        <v/>
      </c>
      <c r="AU29" t="str">
        <f ca="1">IFERROR(IF(0=LEN(ReferenceData!$AU$29),"",ReferenceData!$AU$29),"")</f>
        <v/>
      </c>
      <c r="AV29" t="str">
        <f ca="1">IFERROR(IF(0=LEN(ReferenceData!$AV$29),"",ReferenceData!$AV$29),"")</f>
        <v/>
      </c>
      <c r="AW29" t="str">
        <f ca="1">IFERROR(IF(0=LEN(ReferenceData!$AW$29),"",ReferenceData!$AW$29),"")</f>
        <v/>
      </c>
      <c r="AX29" t="str">
        <f ca="1">IFERROR(IF(0=LEN(ReferenceData!$AX$29),"",ReferenceData!$AX$29),"")</f>
        <v/>
      </c>
      <c r="AY29" t="str">
        <f ca="1">IFERROR(IF(0=LEN(ReferenceData!$AY$29),"",ReferenceData!$AY$29),"")</f>
        <v/>
      </c>
      <c r="AZ29" t="str">
        <f ca="1">IFERROR(IF(0=LEN(ReferenceData!$AZ$29),"",ReferenceData!$AZ$29),"")</f>
        <v/>
      </c>
      <c r="BA29" t="str">
        <f ca="1">IFERROR(IF(0=LEN(ReferenceData!$BA$29),"",ReferenceData!$BA$29),"")</f>
        <v/>
      </c>
      <c r="BB29" t="str">
        <f ca="1">IFERROR(IF(0=LEN(ReferenceData!$BB$29),"",ReferenceData!$BB$29),"")</f>
        <v/>
      </c>
      <c r="BC29" t="str">
        <f ca="1">IFERROR(IF(0=LEN(ReferenceData!$BC$29),"",ReferenceData!$BC$29),"")</f>
        <v/>
      </c>
      <c r="BD29" t="str">
        <f ca="1">IFERROR(IF(0=LEN(ReferenceData!$BD$29),"",ReferenceData!$BD$29),"")</f>
        <v/>
      </c>
      <c r="BE29" t="str">
        <f ca="1">IFERROR(IF(0=LEN(ReferenceData!$BE$29),"",ReferenceData!$BE$29),"")</f>
        <v/>
      </c>
      <c r="BF29" t="str">
        <f ca="1">IFERROR(IF(0=LEN(ReferenceData!$BF$29),"",ReferenceData!$BF$29),"")</f>
        <v/>
      </c>
      <c r="BG29" t="str">
        <f ca="1">IFERROR(IF(0=LEN(ReferenceData!$BG$29),"",ReferenceData!$BG$29),"")</f>
        <v/>
      </c>
      <c r="BH29" t="str">
        <f ca="1">IFERROR(IF(0=LEN(ReferenceData!$BH$29),"",ReferenceData!$BH$29),"")</f>
        <v/>
      </c>
      <c r="BI29" t="str">
        <f ca="1">IFERROR(IF(0=LEN(ReferenceData!$BI$29),"",ReferenceData!$BI$29),"")</f>
        <v/>
      </c>
      <c r="BJ29" t="str">
        <f ca="1">IFERROR(IF(0=LEN(ReferenceData!$BJ$29),"",ReferenceData!$BJ$29),"")</f>
        <v/>
      </c>
      <c r="BK29" t="str">
        <f ca="1">IFERROR(IF(0=LEN(ReferenceData!$BK$29),"",ReferenceData!$BK$29),"")</f>
        <v/>
      </c>
      <c r="BL29" t="str">
        <f ca="1">IFERROR(IF(0=LEN(ReferenceData!$BL$29),"",ReferenceData!$BL$29),"")</f>
        <v/>
      </c>
      <c r="BM29" t="str">
        <f ca="1">IFERROR(IF(0=LEN(ReferenceData!$BM$29),"",ReferenceData!$BM$29),"")</f>
        <v/>
      </c>
    </row>
    <row r="30" spans="1:65">
      <c r="A30" t="str">
        <f>IFERROR(IF(0=LEN(ReferenceData!$A$30),"",ReferenceData!$A$30),"")</f>
        <v xml:space="preserve">    Corporate Office Properties Tr</v>
      </c>
      <c r="B30" t="str">
        <f>IFERROR(IF(0=LEN(ReferenceData!$B$30),"",ReferenceData!$B$30),"")</f>
        <v>OFC US Equity</v>
      </c>
      <c r="C30" t="str">
        <f>IFERROR(IF(0=LEN(ReferenceData!$C$30),"",ReferenceData!$C$30),"")</f>
        <v>IM281</v>
      </c>
      <c r="D30" t="str">
        <f>IFERROR(IF(0=LEN(ReferenceData!$D$30),"",ReferenceData!$D$30),"")</f>
        <v>IS_NON_REAL_ESTATE_INCOME</v>
      </c>
      <c r="E30" t="str">
        <f>IFERROR(IF(0=LEN(ReferenceData!$E$30),"",ReferenceData!$E$30),"")</f>
        <v>动态</v>
      </c>
      <c r="F30" t="str">
        <f ca="1">IFERROR(IF(0=LEN(ReferenceData!$F$30),"",ReferenceData!$F$30),"")</f>
        <v/>
      </c>
      <c r="G30">
        <f ca="1">IFERROR(IF(0=LEN(ReferenceData!$G$30),"",ReferenceData!$G$30),"")</f>
        <v>36.881999999999998</v>
      </c>
      <c r="H30">
        <f ca="1">IFERROR(IF(0=LEN(ReferenceData!$H$30),"",ReferenceData!$H$30),"")</f>
        <v>29.786000000000001</v>
      </c>
      <c r="I30">
        <f ca="1">IFERROR(IF(0=LEN(ReferenceData!$I$30),"",ReferenceData!$I$30),"")</f>
        <v>23.138000000000002</v>
      </c>
      <c r="J30">
        <f ca="1">IFERROR(IF(0=LEN(ReferenceData!$J$30),"",ReferenceData!$J$30),"")</f>
        <v>13.034000000000001</v>
      </c>
      <c r="K30">
        <f ca="1">IFERROR(IF(0=LEN(ReferenceData!$K$30),"",ReferenceData!$K$30),"")</f>
        <v>13.992000000000001</v>
      </c>
      <c r="L30">
        <f ca="1">IFERROR(IF(0=LEN(ReferenceData!$L$30),"",ReferenceData!$L$30),"")</f>
        <v>11.148999999999999</v>
      </c>
      <c r="M30">
        <f ca="1">IFERROR(IF(0=LEN(ReferenceData!$M$30),"",ReferenceData!$M$30),"")</f>
        <v>12.003</v>
      </c>
      <c r="N30">
        <f ca="1">IFERROR(IF(0=LEN(ReferenceData!$N$30),"",ReferenceData!$N$30),"")</f>
        <v>11.22</v>
      </c>
      <c r="O30">
        <f ca="1">IFERROR(IF(0=LEN(ReferenceData!$O$30),"",ReferenceData!$O$30),"")</f>
        <v>8.8480000000000008</v>
      </c>
      <c r="P30">
        <f ca="1">IFERROR(IF(0=LEN(ReferenceData!$P$30),"",ReferenceData!$P$30),"")</f>
        <v>17.058</v>
      </c>
      <c r="Q30">
        <f ca="1">IFERROR(IF(0=LEN(ReferenceData!$Q$30),"",ReferenceData!$Q$30),"")</f>
        <v>42.171999999999997</v>
      </c>
      <c r="R30">
        <f ca="1">IFERROR(IF(0=LEN(ReferenceData!$R$30),"",ReferenceData!$R$30),"")</f>
        <v>38.323999999999998</v>
      </c>
      <c r="S30">
        <f ca="1">IFERROR(IF(0=LEN(ReferenceData!$S$30),"",ReferenceData!$S$30),"")</f>
        <v>26.358000000000001</v>
      </c>
      <c r="T30">
        <f ca="1">IFERROR(IF(0=LEN(ReferenceData!$T$30),"",ReferenceData!$T$30),"")</f>
        <v>34.738999999999997</v>
      </c>
      <c r="U30">
        <f ca="1">IFERROR(IF(0=LEN(ReferenceData!$U$30),"",ReferenceData!$U$30),"")</f>
        <v>23.861000000000001</v>
      </c>
      <c r="V30">
        <f ca="1">IFERROR(IF(0=LEN(ReferenceData!$V$30),"",ReferenceData!$V$30),"")</f>
        <v>21.79</v>
      </c>
      <c r="W30">
        <f ca="1">IFERROR(IF(0=LEN(ReferenceData!$W$30),"",ReferenceData!$W$30),"")</f>
        <v>10.315</v>
      </c>
      <c r="X30">
        <f ca="1">IFERROR(IF(0=LEN(ReferenceData!$X$30),"",ReferenceData!$X$30),"")</f>
        <v>16.991</v>
      </c>
      <c r="Y30">
        <f ca="1">IFERROR(IF(0=LEN(ReferenceData!$Y$30),"",ReferenceData!$Y$30),"")</f>
        <v>20.795000000000002</v>
      </c>
      <c r="Z30">
        <f ca="1">IFERROR(IF(0=LEN(ReferenceData!$Z$30),"",ReferenceData!$Z$30),"")</f>
        <v>14.262</v>
      </c>
      <c r="AA30">
        <f ca="1">IFERROR(IF(0=LEN(ReferenceData!$AA$30),"",ReferenceData!$AA$30),"")</f>
        <v>20.024000000000001</v>
      </c>
      <c r="AB30">
        <f ca="1">IFERROR(IF(0=LEN(ReferenceData!$AB$30),"",ReferenceData!$AB$30),"")</f>
        <v>15.282999999999999</v>
      </c>
      <c r="AC30">
        <f ca="1">IFERROR(IF(0=LEN(ReferenceData!$AC$30),"",ReferenceData!$AC$30),"")</f>
        <v>16.995000000000001</v>
      </c>
      <c r="AD30">
        <f ca="1">IFERROR(IF(0=LEN(ReferenceData!$AD$30),"",ReferenceData!$AD$30),"")</f>
        <v>21.533999999999999</v>
      </c>
      <c r="AE30">
        <f ca="1">IFERROR(IF(0=LEN(ReferenceData!$AE$30),"",ReferenceData!$AE$30),"")</f>
        <v>16.491</v>
      </c>
      <c r="AF30">
        <f ca="1">IFERROR(IF(0=LEN(ReferenceData!$AF$30),"",ReferenceData!$AF$30),"")</f>
        <v>18.728999999999999</v>
      </c>
      <c r="AG30">
        <f ca="1">IFERROR(IF(0=LEN(ReferenceData!$AG$30),"",ReferenceData!$AG$30),"")</f>
        <v>28.097000000000001</v>
      </c>
      <c r="AH30">
        <f ca="1">IFERROR(IF(0=LEN(ReferenceData!$AH$30),"",ReferenceData!$AH$30),"")</f>
        <v>21.027999999999999</v>
      </c>
      <c r="AI30">
        <f ca="1">IFERROR(IF(0=LEN(ReferenceData!$AI$30),"",ReferenceData!$AI$30),"")</f>
        <v>27.637</v>
      </c>
      <c r="AJ30">
        <f ca="1">IFERROR(IF(0=LEN(ReferenceData!$AJ$30),"",ReferenceData!$AJ$30),"")</f>
        <v>13.608000000000001</v>
      </c>
      <c r="AK30">
        <f ca="1">IFERROR(IF(0=LEN(ReferenceData!$AK$30),"",ReferenceData!$AK$30),"")</f>
        <v>26.065000000000001</v>
      </c>
      <c r="AL30">
        <f ca="1">IFERROR(IF(0=LEN(ReferenceData!$AL$30),"",ReferenceData!$AL$30),"")</f>
        <v>37.365000000000002</v>
      </c>
      <c r="AM30">
        <f ca="1">IFERROR(IF(0=LEN(ReferenceData!$AM$30),"",ReferenceData!$AM$30),"")</f>
        <v>69.552999999999997</v>
      </c>
      <c r="AN30">
        <f ca="1">IFERROR(IF(0=LEN(ReferenceData!$AN$30),"",ReferenceData!$AN$30),"")</f>
        <v>95.320999999999998</v>
      </c>
      <c r="AO30">
        <f ca="1">IFERROR(IF(0=LEN(ReferenceData!$AO$30),"",ReferenceData!$AO$30),"")</f>
        <v>103.324</v>
      </c>
      <c r="AP30">
        <f ca="1">IFERROR(IF(0=LEN(ReferenceData!$AP$30),"",ReferenceData!$AP$30),"")</f>
        <v>74.888999999999996</v>
      </c>
      <c r="AQ30" t="str">
        <f ca="1">IFERROR(IF(0=LEN(ReferenceData!$AQ$30),"",ReferenceData!$AQ$30),"")</f>
        <v/>
      </c>
      <c r="AR30" t="str">
        <f ca="1">IFERROR(IF(0=LEN(ReferenceData!$AR$30),"",ReferenceData!$AR$30),"")</f>
        <v/>
      </c>
      <c r="AS30" t="str">
        <f ca="1">IFERROR(IF(0=LEN(ReferenceData!$AS$30),"",ReferenceData!$AS$30),"")</f>
        <v/>
      </c>
      <c r="AT30" t="str">
        <f ca="1">IFERROR(IF(0=LEN(ReferenceData!$AT$30),"",ReferenceData!$AT$30),"")</f>
        <v/>
      </c>
      <c r="AU30" t="str">
        <f ca="1">IFERROR(IF(0=LEN(ReferenceData!$AU$30),"",ReferenceData!$AU$30),"")</f>
        <v/>
      </c>
      <c r="AV30" t="str">
        <f ca="1">IFERROR(IF(0=LEN(ReferenceData!$AV$30),"",ReferenceData!$AV$30),"")</f>
        <v/>
      </c>
      <c r="AW30" t="str">
        <f ca="1">IFERROR(IF(0=LEN(ReferenceData!$AW$30),"",ReferenceData!$AW$30),"")</f>
        <v/>
      </c>
      <c r="AX30" t="str">
        <f ca="1">IFERROR(IF(0=LEN(ReferenceData!$AX$30),"",ReferenceData!$AX$30),"")</f>
        <v/>
      </c>
      <c r="AY30" t="str">
        <f ca="1">IFERROR(IF(0=LEN(ReferenceData!$AY$30),"",ReferenceData!$AY$30),"")</f>
        <v/>
      </c>
      <c r="AZ30" t="str">
        <f ca="1">IFERROR(IF(0=LEN(ReferenceData!$AZ$30),"",ReferenceData!$AZ$30),"")</f>
        <v/>
      </c>
      <c r="BA30" t="str">
        <f ca="1">IFERROR(IF(0=LEN(ReferenceData!$BA$30),"",ReferenceData!$BA$30),"")</f>
        <v/>
      </c>
      <c r="BB30" t="str">
        <f ca="1">IFERROR(IF(0=LEN(ReferenceData!$BB$30),"",ReferenceData!$BB$30),"")</f>
        <v/>
      </c>
      <c r="BC30" t="str">
        <f ca="1">IFERROR(IF(0=LEN(ReferenceData!$BC$30),"",ReferenceData!$BC$30),"")</f>
        <v/>
      </c>
      <c r="BD30" t="str">
        <f ca="1">IFERROR(IF(0=LEN(ReferenceData!$BD$30),"",ReferenceData!$BD$30),"")</f>
        <v/>
      </c>
      <c r="BE30" t="str">
        <f ca="1">IFERROR(IF(0=LEN(ReferenceData!$BE$30),"",ReferenceData!$BE$30),"")</f>
        <v/>
      </c>
      <c r="BF30" t="str">
        <f ca="1">IFERROR(IF(0=LEN(ReferenceData!$BF$30),"",ReferenceData!$BF$30),"")</f>
        <v/>
      </c>
      <c r="BG30" t="str">
        <f ca="1">IFERROR(IF(0=LEN(ReferenceData!$BG$30),"",ReferenceData!$BG$30),"")</f>
        <v/>
      </c>
      <c r="BH30" t="str">
        <f ca="1">IFERROR(IF(0=LEN(ReferenceData!$BH$30),"",ReferenceData!$BH$30),"")</f>
        <v/>
      </c>
      <c r="BI30" t="str">
        <f ca="1">IFERROR(IF(0=LEN(ReferenceData!$BI$30),"",ReferenceData!$BI$30),"")</f>
        <v/>
      </c>
      <c r="BJ30" t="str">
        <f ca="1">IFERROR(IF(0=LEN(ReferenceData!$BJ$30),"",ReferenceData!$BJ$30),"")</f>
        <v/>
      </c>
      <c r="BK30" t="str">
        <f ca="1">IFERROR(IF(0=LEN(ReferenceData!$BK$30),"",ReferenceData!$BK$30),"")</f>
        <v/>
      </c>
      <c r="BL30" t="str">
        <f ca="1">IFERROR(IF(0=LEN(ReferenceData!$BL$30),"",ReferenceData!$BL$30),"")</f>
        <v/>
      </c>
      <c r="BM30" t="str">
        <f ca="1">IFERROR(IF(0=LEN(ReferenceData!$BM$30),"",ReferenceData!$BM$30),"")</f>
        <v/>
      </c>
    </row>
    <row r="31" spans="1:65">
      <c r="A31" t="str">
        <f>IFERROR(IF(0=LEN(ReferenceData!$A$31),"",ReferenceData!$A$31),"")</f>
        <v xml:space="preserve">    Highwoods Properties Inc</v>
      </c>
      <c r="B31" t="str">
        <f>IFERROR(IF(0=LEN(ReferenceData!$B$31),"",ReferenceData!$B$31),"")</f>
        <v>HIW US Equity</v>
      </c>
      <c r="C31" t="str">
        <f>IFERROR(IF(0=LEN(ReferenceData!$C$31),"",ReferenceData!$C$31),"")</f>
        <v>IM281</v>
      </c>
      <c r="D31" t="str">
        <f>IFERROR(IF(0=LEN(ReferenceData!$D$31),"",ReferenceData!$D$31),"")</f>
        <v>IS_NON_REAL_ESTATE_INCOME</v>
      </c>
      <c r="E31" t="str">
        <f>IFERROR(IF(0=LEN(ReferenceData!$E$31),"",ReferenceData!$E$31),"")</f>
        <v>动态</v>
      </c>
      <c r="F31" t="str">
        <f ca="1">IFERROR(IF(0=LEN(ReferenceData!$F$31),"",ReferenceData!$F$31),"")</f>
        <v/>
      </c>
      <c r="G31">
        <f ca="1">IFERROR(IF(0=LEN(ReferenceData!$G$31),"",ReferenceData!$G$31),"")</f>
        <v>0</v>
      </c>
      <c r="H31">
        <f ca="1">IFERROR(IF(0=LEN(ReferenceData!$H$31),"",ReferenceData!$H$31),"")</f>
        <v>0</v>
      </c>
      <c r="I31">
        <f ca="1">IFERROR(IF(0=LEN(ReferenceData!$I$31),"",ReferenceData!$I$31),"")</f>
        <v>0</v>
      </c>
      <c r="J31">
        <f ca="1">IFERROR(IF(0=LEN(ReferenceData!$J$31),"",ReferenceData!$J$31),"")</f>
        <v>0</v>
      </c>
      <c r="K31">
        <f ca="1">IFERROR(IF(0=LEN(ReferenceData!$K$31),"",ReferenceData!$K$31),"")</f>
        <v>0</v>
      </c>
      <c r="L31">
        <f ca="1">IFERROR(IF(0=LEN(ReferenceData!$L$31),"",ReferenceData!$L$31),"")</f>
        <v>0</v>
      </c>
      <c r="M31">
        <f ca="1">IFERROR(IF(0=LEN(ReferenceData!$M$31),"",ReferenceData!$M$31),"")</f>
        <v>0</v>
      </c>
      <c r="N31">
        <f ca="1">IFERROR(IF(0=LEN(ReferenceData!$N$31),"",ReferenceData!$N$31),"")</f>
        <v>0</v>
      </c>
      <c r="O31">
        <f ca="1">IFERROR(IF(0=LEN(ReferenceData!$O$31),"",ReferenceData!$O$31),"")</f>
        <v>0</v>
      </c>
      <c r="P31">
        <f ca="1">IFERROR(IF(0=LEN(ReferenceData!$P$31),"",ReferenceData!$P$31),"")</f>
        <v>0</v>
      </c>
      <c r="Q31">
        <f ca="1">IFERROR(IF(0=LEN(ReferenceData!$Q$31),"",ReferenceData!$Q$31),"")</f>
        <v>0</v>
      </c>
      <c r="R31">
        <f ca="1">IFERROR(IF(0=LEN(ReferenceData!$R$31),"",ReferenceData!$R$31),"")</f>
        <v>0</v>
      </c>
      <c r="S31">
        <f ca="1">IFERROR(IF(0=LEN(ReferenceData!$S$31),"",ReferenceData!$S$31),"")</f>
        <v>0</v>
      </c>
      <c r="T31">
        <f ca="1">IFERROR(IF(0=LEN(ReferenceData!$T$31),"",ReferenceData!$T$31),"")</f>
        <v>0</v>
      </c>
      <c r="U31">
        <f ca="1">IFERROR(IF(0=LEN(ReferenceData!$U$31),"",ReferenceData!$U$31),"")</f>
        <v>0</v>
      </c>
      <c r="V31">
        <f ca="1">IFERROR(IF(0=LEN(ReferenceData!$V$31),"",ReferenceData!$V$31),"")</f>
        <v>0</v>
      </c>
      <c r="W31">
        <f ca="1">IFERROR(IF(0=LEN(ReferenceData!$W$31),"",ReferenceData!$W$31),"")</f>
        <v>0</v>
      </c>
      <c r="X31">
        <f ca="1">IFERROR(IF(0=LEN(ReferenceData!$X$31),"",ReferenceData!$X$31),"")</f>
        <v>0</v>
      </c>
      <c r="Y31">
        <f ca="1">IFERROR(IF(0=LEN(ReferenceData!$Y$31),"",ReferenceData!$Y$31),"")</f>
        <v>0</v>
      </c>
      <c r="Z31">
        <f ca="1">IFERROR(IF(0=LEN(ReferenceData!$Z$31),"",ReferenceData!$Z$31),"")</f>
        <v>0</v>
      </c>
      <c r="AA31">
        <f ca="1">IFERROR(IF(0=LEN(ReferenceData!$AA$31),"",ReferenceData!$AA$31),"")</f>
        <v>0</v>
      </c>
      <c r="AB31">
        <f ca="1">IFERROR(IF(0=LEN(ReferenceData!$AB$31),"",ReferenceData!$AB$31),"")</f>
        <v>0</v>
      </c>
      <c r="AC31">
        <f ca="1">IFERROR(IF(0=LEN(ReferenceData!$AC$31),"",ReferenceData!$AC$31),"")</f>
        <v>0</v>
      </c>
      <c r="AD31">
        <f ca="1">IFERROR(IF(0=LEN(ReferenceData!$AD$31),"",ReferenceData!$AD$31),"")</f>
        <v>0</v>
      </c>
      <c r="AE31">
        <f ca="1">IFERROR(IF(0=LEN(ReferenceData!$AE$31),"",ReferenceData!$AE$31),"")</f>
        <v>0</v>
      </c>
      <c r="AF31">
        <f ca="1">IFERROR(IF(0=LEN(ReferenceData!$AF$31),"",ReferenceData!$AF$31),"")</f>
        <v>0</v>
      </c>
      <c r="AG31">
        <f ca="1">IFERROR(IF(0=LEN(ReferenceData!$AG$31),"",ReferenceData!$AG$31),"")</f>
        <v>0</v>
      </c>
      <c r="AH31">
        <f ca="1">IFERROR(IF(0=LEN(ReferenceData!$AH$31),"",ReferenceData!$AH$31),"")</f>
        <v>0</v>
      </c>
      <c r="AI31">
        <f ca="1">IFERROR(IF(0=LEN(ReferenceData!$AI$31),"",ReferenceData!$AI$31),"")</f>
        <v>0</v>
      </c>
      <c r="AJ31">
        <f ca="1">IFERROR(IF(0=LEN(ReferenceData!$AJ$31),"",ReferenceData!$AJ$31),"")</f>
        <v>0</v>
      </c>
      <c r="AK31">
        <f ca="1">IFERROR(IF(0=LEN(ReferenceData!$AK$31),"",ReferenceData!$AK$31),"")</f>
        <v>0</v>
      </c>
      <c r="AL31">
        <f ca="1">IFERROR(IF(0=LEN(ReferenceData!$AL$31),"",ReferenceData!$AL$31),"")</f>
        <v>0</v>
      </c>
      <c r="AM31">
        <f ca="1">IFERROR(IF(0=LEN(ReferenceData!$AM$31),"",ReferenceData!$AM$31),"")</f>
        <v>0</v>
      </c>
      <c r="AN31">
        <f ca="1">IFERROR(IF(0=LEN(ReferenceData!$AN$31),"",ReferenceData!$AN$31),"")</f>
        <v>0</v>
      </c>
      <c r="AO31">
        <f ca="1">IFERROR(IF(0=LEN(ReferenceData!$AO$31),"",ReferenceData!$AO$31),"")</f>
        <v>0</v>
      </c>
      <c r="AP31">
        <f ca="1">IFERROR(IF(0=LEN(ReferenceData!$AP$31),"",ReferenceData!$AP$31),"")</f>
        <v>0</v>
      </c>
      <c r="AQ31" t="str">
        <f ca="1">IFERROR(IF(0=LEN(ReferenceData!$AQ$31),"",ReferenceData!$AQ$31),"")</f>
        <v/>
      </c>
      <c r="AR31" t="str">
        <f ca="1">IFERROR(IF(0=LEN(ReferenceData!$AR$31),"",ReferenceData!$AR$31),"")</f>
        <v/>
      </c>
      <c r="AS31" t="str">
        <f ca="1">IFERROR(IF(0=LEN(ReferenceData!$AS$31),"",ReferenceData!$AS$31),"")</f>
        <v/>
      </c>
      <c r="AT31" t="str">
        <f ca="1">IFERROR(IF(0=LEN(ReferenceData!$AT$31),"",ReferenceData!$AT$31),"")</f>
        <v/>
      </c>
      <c r="AU31" t="str">
        <f ca="1">IFERROR(IF(0=LEN(ReferenceData!$AU$31),"",ReferenceData!$AU$31),"")</f>
        <v/>
      </c>
      <c r="AV31" t="str">
        <f ca="1">IFERROR(IF(0=LEN(ReferenceData!$AV$31),"",ReferenceData!$AV$31),"")</f>
        <v/>
      </c>
      <c r="AW31" t="str">
        <f ca="1">IFERROR(IF(0=LEN(ReferenceData!$AW$31),"",ReferenceData!$AW$31),"")</f>
        <v/>
      </c>
      <c r="AX31" t="str">
        <f ca="1">IFERROR(IF(0=LEN(ReferenceData!$AX$31),"",ReferenceData!$AX$31),"")</f>
        <v/>
      </c>
      <c r="AY31" t="str">
        <f ca="1">IFERROR(IF(0=LEN(ReferenceData!$AY$31),"",ReferenceData!$AY$31),"")</f>
        <v/>
      </c>
      <c r="AZ31" t="str">
        <f ca="1">IFERROR(IF(0=LEN(ReferenceData!$AZ$31),"",ReferenceData!$AZ$31),"")</f>
        <v/>
      </c>
      <c r="BA31" t="str">
        <f ca="1">IFERROR(IF(0=LEN(ReferenceData!$BA$31),"",ReferenceData!$BA$31),"")</f>
        <v/>
      </c>
      <c r="BB31" t="str">
        <f ca="1">IFERROR(IF(0=LEN(ReferenceData!$BB$31),"",ReferenceData!$BB$31),"")</f>
        <v/>
      </c>
      <c r="BC31" t="str">
        <f ca="1">IFERROR(IF(0=LEN(ReferenceData!$BC$31),"",ReferenceData!$BC$31),"")</f>
        <v/>
      </c>
      <c r="BD31" t="str">
        <f ca="1">IFERROR(IF(0=LEN(ReferenceData!$BD$31),"",ReferenceData!$BD$31),"")</f>
        <v/>
      </c>
      <c r="BE31" t="str">
        <f ca="1">IFERROR(IF(0=LEN(ReferenceData!$BE$31),"",ReferenceData!$BE$31),"")</f>
        <v/>
      </c>
      <c r="BF31" t="str">
        <f ca="1">IFERROR(IF(0=LEN(ReferenceData!$BF$31),"",ReferenceData!$BF$31),"")</f>
        <v/>
      </c>
      <c r="BG31" t="str">
        <f ca="1">IFERROR(IF(0=LEN(ReferenceData!$BG$31),"",ReferenceData!$BG$31),"")</f>
        <v/>
      </c>
      <c r="BH31" t="str">
        <f ca="1">IFERROR(IF(0=LEN(ReferenceData!$BH$31),"",ReferenceData!$BH$31),"")</f>
        <v/>
      </c>
      <c r="BI31" t="str">
        <f ca="1">IFERROR(IF(0=LEN(ReferenceData!$BI$31),"",ReferenceData!$BI$31),"")</f>
        <v/>
      </c>
      <c r="BJ31" t="str">
        <f ca="1">IFERROR(IF(0=LEN(ReferenceData!$BJ$31),"",ReferenceData!$BJ$31),"")</f>
        <v/>
      </c>
      <c r="BK31" t="str">
        <f ca="1">IFERROR(IF(0=LEN(ReferenceData!$BK$31),"",ReferenceData!$BK$31),"")</f>
        <v/>
      </c>
      <c r="BL31" t="str">
        <f ca="1">IFERROR(IF(0=LEN(ReferenceData!$BL$31),"",ReferenceData!$BL$31),"")</f>
        <v/>
      </c>
      <c r="BM31" t="str">
        <f ca="1">IFERROR(IF(0=LEN(ReferenceData!$BM$31),"",ReferenceData!$BM$31),"")</f>
        <v/>
      </c>
    </row>
    <row r="32" spans="1:65">
      <c r="A32" t="str">
        <f>IFERROR(IF(0=LEN(ReferenceData!$A$32),"",ReferenceData!$A$32),"")</f>
        <v xml:space="preserve">    Kilroy Realty Corp</v>
      </c>
      <c r="B32" t="str">
        <f>IFERROR(IF(0=LEN(ReferenceData!$B$32),"",ReferenceData!$B$32),"")</f>
        <v>KRC US Equity</v>
      </c>
      <c r="C32" t="str">
        <f>IFERROR(IF(0=LEN(ReferenceData!$C$32),"",ReferenceData!$C$32),"")</f>
        <v>IM281</v>
      </c>
      <c r="D32" t="str">
        <f>IFERROR(IF(0=LEN(ReferenceData!$D$32),"",ReferenceData!$D$32),"")</f>
        <v>IS_NON_REAL_ESTATE_INCOME</v>
      </c>
      <c r="E32" t="str">
        <f>IFERROR(IF(0=LEN(ReferenceData!$E$32),"",ReferenceData!$E$32),"")</f>
        <v>动态</v>
      </c>
      <c r="F32" t="str">
        <f ca="1">IFERROR(IF(0=LEN(ReferenceData!$F$32),"",ReferenceData!$F$32),"")</f>
        <v/>
      </c>
      <c r="G32">
        <f ca="1">IFERROR(IF(0=LEN(ReferenceData!$G$32),"",ReferenceData!$G$32),"")</f>
        <v>0.86099999999999999</v>
      </c>
      <c r="H32">
        <f ca="1">IFERROR(IF(0=LEN(ReferenceData!$H$32),"",ReferenceData!$H$32),"")</f>
        <v>1.915</v>
      </c>
      <c r="I32">
        <f ca="1">IFERROR(IF(0=LEN(ReferenceData!$I$32),"",ReferenceData!$I$32),"")</f>
        <v>2.4060000000000001</v>
      </c>
      <c r="J32">
        <f ca="1">IFERROR(IF(0=LEN(ReferenceData!$J$32),"",ReferenceData!$J$32),"")</f>
        <v>3.3639999999999999</v>
      </c>
      <c r="K32">
        <f ca="1">IFERROR(IF(0=LEN(ReferenceData!$K$32),"",ReferenceData!$K$32),"")</f>
        <v>1.048</v>
      </c>
      <c r="L32">
        <f ca="1">IFERROR(IF(0=LEN(ReferenceData!$L$32),"",ReferenceData!$L$32),"")</f>
        <v>5.4029999999999996</v>
      </c>
      <c r="M32">
        <f ca="1">IFERROR(IF(0=LEN(ReferenceData!$M$32),"",ReferenceData!$M$32),"")</f>
        <v>0.34200000000000003</v>
      </c>
      <c r="N32">
        <f ca="1">IFERROR(IF(0=LEN(ReferenceData!$N$32),"",ReferenceData!$N$32),"")</f>
        <v>0.28699999999999998</v>
      </c>
      <c r="O32">
        <f ca="1">IFERROR(IF(0=LEN(ReferenceData!$O$32),"",ReferenceData!$O$32),"")</f>
        <v>0.45600000000000002</v>
      </c>
      <c r="P32">
        <f ca="1">IFERROR(IF(0=LEN(ReferenceData!$P$32),"",ReferenceData!$P$32),"")</f>
        <v>0.36199999999999999</v>
      </c>
      <c r="Q32">
        <f ca="1">IFERROR(IF(0=LEN(ReferenceData!$Q$32),"",ReferenceData!$Q$32),"")</f>
        <v>0.60299999999999998</v>
      </c>
      <c r="R32">
        <f ca="1">IFERROR(IF(0=LEN(ReferenceData!$R$32),"",ReferenceData!$R$32),"")</f>
        <v>0.72499999999999998</v>
      </c>
      <c r="S32">
        <f ca="1">IFERROR(IF(0=LEN(ReferenceData!$S$32),"",ReferenceData!$S$32),"")</f>
        <v>1.03</v>
      </c>
      <c r="T32">
        <f ca="1">IFERROR(IF(0=LEN(ReferenceData!$T$32),"",ReferenceData!$T$32),"")</f>
        <v>2.4569999999999999</v>
      </c>
      <c r="U32">
        <f ca="1">IFERROR(IF(0=LEN(ReferenceData!$U$32),"",ReferenceData!$U$32),"")</f>
        <v>3.052</v>
      </c>
      <c r="V32">
        <f ca="1">IFERROR(IF(0=LEN(ReferenceData!$V$32),"",ReferenceData!$V$32),"")</f>
        <v>2.141</v>
      </c>
      <c r="W32">
        <f ca="1">IFERROR(IF(0=LEN(ReferenceData!$W$32),"",ReferenceData!$W$32),"")</f>
        <v>0.58099999999999996</v>
      </c>
      <c r="X32">
        <f ca="1">IFERROR(IF(0=LEN(ReferenceData!$X$32),"",ReferenceData!$X$32),"")</f>
        <v>0.60799999999999998</v>
      </c>
      <c r="Y32">
        <f ca="1">IFERROR(IF(0=LEN(ReferenceData!$Y$32),"",ReferenceData!$Y$32),"")</f>
        <v>5.7329999999999997</v>
      </c>
      <c r="Z32">
        <f ca="1">IFERROR(IF(0=LEN(ReferenceData!$Z$32),"",ReferenceData!$Z$32),"")</f>
        <v>0.22700000000000001</v>
      </c>
      <c r="AA32">
        <f ca="1">IFERROR(IF(0=LEN(ReferenceData!$AA$32),"",ReferenceData!$AA$32),"")</f>
        <v>1.4610000000000001</v>
      </c>
      <c r="AB32">
        <f ca="1">IFERROR(IF(0=LEN(ReferenceData!$AB$32),"",ReferenceData!$AB$32),"")</f>
        <v>0.13500000000000001</v>
      </c>
      <c r="AC32">
        <f ca="1">IFERROR(IF(0=LEN(ReferenceData!$AC$32),"",ReferenceData!$AC$32),"")</f>
        <v>0.53500000000000003</v>
      </c>
      <c r="AD32">
        <f ca="1">IFERROR(IF(0=LEN(ReferenceData!$AD$32),"",ReferenceData!$AD$32),"")</f>
        <v>0.86799999999999999</v>
      </c>
      <c r="AE32">
        <f ca="1">IFERROR(IF(0=LEN(ReferenceData!$AE$32),"",ReferenceData!$AE$32),"")</f>
        <v>4.3979999999999997</v>
      </c>
      <c r="AF32">
        <f ca="1">IFERROR(IF(0=LEN(ReferenceData!$AF$32),"",ReferenceData!$AF$32),"")</f>
        <v>0.33900000000000002</v>
      </c>
      <c r="AG32">
        <f ca="1">IFERROR(IF(0=LEN(ReferenceData!$AG$32),"",ReferenceData!$AG$32),"")</f>
        <v>1.1020000000000001</v>
      </c>
      <c r="AH32">
        <f ca="1">IFERROR(IF(0=LEN(ReferenceData!$AH$32),"",ReferenceData!$AH$32),"")</f>
        <v>0.754</v>
      </c>
      <c r="AI32">
        <f ca="1">IFERROR(IF(0=LEN(ReferenceData!$AI$32),"",ReferenceData!$AI$32),"")</f>
        <v>0.621</v>
      </c>
      <c r="AJ32">
        <f ca="1">IFERROR(IF(0=LEN(ReferenceData!$AJ$32),"",ReferenceData!$AJ$32),"")</f>
        <v>0.98499999999999999</v>
      </c>
      <c r="AK32">
        <f ca="1">IFERROR(IF(0=LEN(ReferenceData!$AK$32),"",ReferenceData!$AK$32),"")</f>
        <v>0.89500000000000002</v>
      </c>
      <c r="AL32">
        <f ca="1">IFERROR(IF(0=LEN(ReferenceData!$AL$32),"",ReferenceData!$AL$32),"")</f>
        <v>0.44500000000000001</v>
      </c>
      <c r="AM32">
        <f ca="1">IFERROR(IF(0=LEN(ReferenceData!$AM$32),"",ReferenceData!$AM$32),"")</f>
        <v>0.51200000000000001</v>
      </c>
      <c r="AN32">
        <f ca="1">IFERROR(IF(0=LEN(ReferenceData!$AN$32),"",ReferenceData!$AN$32),"")</f>
        <v>0.35399999999999998</v>
      </c>
      <c r="AO32">
        <f ca="1">IFERROR(IF(0=LEN(ReferenceData!$AO$32),"",ReferenceData!$AO$32),"")</f>
        <v>1.0489999999999999</v>
      </c>
      <c r="AP32">
        <f ca="1">IFERROR(IF(0=LEN(ReferenceData!$AP$32),"",ReferenceData!$AP$32),"")</f>
        <v>1.7949999999999999</v>
      </c>
      <c r="AQ32" t="str">
        <f ca="1">IFERROR(IF(0=LEN(ReferenceData!$AQ$32),"",ReferenceData!$AQ$32),"")</f>
        <v/>
      </c>
      <c r="AR32" t="str">
        <f ca="1">IFERROR(IF(0=LEN(ReferenceData!$AR$32),"",ReferenceData!$AR$32),"")</f>
        <v/>
      </c>
      <c r="AS32" t="str">
        <f ca="1">IFERROR(IF(0=LEN(ReferenceData!$AS$32),"",ReferenceData!$AS$32),"")</f>
        <v/>
      </c>
      <c r="AT32" t="str">
        <f ca="1">IFERROR(IF(0=LEN(ReferenceData!$AT$32),"",ReferenceData!$AT$32),"")</f>
        <v/>
      </c>
      <c r="AU32" t="str">
        <f ca="1">IFERROR(IF(0=LEN(ReferenceData!$AU$32),"",ReferenceData!$AU$32),"")</f>
        <v/>
      </c>
      <c r="AV32" t="str">
        <f ca="1">IFERROR(IF(0=LEN(ReferenceData!$AV$32),"",ReferenceData!$AV$32),"")</f>
        <v/>
      </c>
      <c r="AW32" t="str">
        <f ca="1">IFERROR(IF(0=LEN(ReferenceData!$AW$32),"",ReferenceData!$AW$32),"")</f>
        <v/>
      </c>
      <c r="AX32" t="str">
        <f ca="1">IFERROR(IF(0=LEN(ReferenceData!$AX$32),"",ReferenceData!$AX$32),"")</f>
        <v/>
      </c>
      <c r="AY32" t="str">
        <f ca="1">IFERROR(IF(0=LEN(ReferenceData!$AY$32),"",ReferenceData!$AY$32),"")</f>
        <v/>
      </c>
      <c r="AZ32" t="str">
        <f ca="1">IFERROR(IF(0=LEN(ReferenceData!$AZ$32),"",ReferenceData!$AZ$32),"")</f>
        <v/>
      </c>
      <c r="BA32" t="str">
        <f ca="1">IFERROR(IF(0=LEN(ReferenceData!$BA$32),"",ReferenceData!$BA$32),"")</f>
        <v/>
      </c>
      <c r="BB32" t="str">
        <f ca="1">IFERROR(IF(0=LEN(ReferenceData!$BB$32),"",ReferenceData!$BB$32),"")</f>
        <v/>
      </c>
      <c r="BC32" t="str">
        <f ca="1">IFERROR(IF(0=LEN(ReferenceData!$BC$32),"",ReferenceData!$BC$32),"")</f>
        <v/>
      </c>
      <c r="BD32" t="str">
        <f ca="1">IFERROR(IF(0=LEN(ReferenceData!$BD$32),"",ReferenceData!$BD$32),"")</f>
        <v/>
      </c>
      <c r="BE32" t="str">
        <f ca="1">IFERROR(IF(0=LEN(ReferenceData!$BE$32),"",ReferenceData!$BE$32),"")</f>
        <v/>
      </c>
      <c r="BF32" t="str">
        <f ca="1">IFERROR(IF(0=LEN(ReferenceData!$BF$32),"",ReferenceData!$BF$32),"")</f>
        <v/>
      </c>
      <c r="BG32" t="str">
        <f ca="1">IFERROR(IF(0=LEN(ReferenceData!$BG$32),"",ReferenceData!$BG$32),"")</f>
        <v/>
      </c>
      <c r="BH32" t="str">
        <f ca="1">IFERROR(IF(0=LEN(ReferenceData!$BH$32),"",ReferenceData!$BH$32),"")</f>
        <v/>
      </c>
      <c r="BI32" t="str">
        <f ca="1">IFERROR(IF(0=LEN(ReferenceData!$BI$32),"",ReferenceData!$BI$32),"")</f>
        <v/>
      </c>
      <c r="BJ32" t="str">
        <f ca="1">IFERROR(IF(0=LEN(ReferenceData!$BJ$32),"",ReferenceData!$BJ$32),"")</f>
        <v/>
      </c>
      <c r="BK32" t="str">
        <f ca="1">IFERROR(IF(0=LEN(ReferenceData!$BK$32),"",ReferenceData!$BK$32),"")</f>
        <v/>
      </c>
      <c r="BL32" t="str">
        <f ca="1">IFERROR(IF(0=LEN(ReferenceData!$BL$32),"",ReferenceData!$BL$32),"")</f>
        <v/>
      </c>
      <c r="BM32" t="str">
        <f ca="1">IFERROR(IF(0=LEN(ReferenceData!$BM$32),"",ReferenceData!$BM$32),"")</f>
        <v/>
      </c>
    </row>
    <row r="33" spans="1:65">
      <c r="A33" t="str">
        <f>IFERROR(IF(0=LEN(ReferenceData!$A$33),"",ReferenceData!$A$33),"")</f>
        <v xml:space="preserve">    Mack-Cali Realty Corp</v>
      </c>
      <c r="B33" t="str">
        <f>IFERROR(IF(0=LEN(ReferenceData!$B$33),"",ReferenceData!$B$33),"")</f>
        <v>CLI US Equity</v>
      </c>
      <c r="C33" t="str">
        <f>IFERROR(IF(0=LEN(ReferenceData!$C$33),"",ReferenceData!$C$33),"")</f>
        <v>IM281</v>
      </c>
      <c r="D33" t="str">
        <f>IFERROR(IF(0=LEN(ReferenceData!$D$33),"",ReferenceData!$D$33),"")</f>
        <v>IS_NON_REAL_ESTATE_INCOME</v>
      </c>
      <c r="E33" t="str">
        <f>IFERROR(IF(0=LEN(ReferenceData!$E$33),"",ReferenceData!$E$33),"")</f>
        <v>动态</v>
      </c>
      <c r="F33" t="str">
        <f ca="1">IFERROR(IF(0=LEN(ReferenceData!$F$33),"",ReferenceData!$F$33),"")</f>
        <v/>
      </c>
      <c r="G33">
        <f ca="1">IFERROR(IF(0=LEN(ReferenceData!$G$33),"",ReferenceData!$G$33),"")</f>
        <v>8.5749999999999993</v>
      </c>
      <c r="H33">
        <f ca="1">IFERROR(IF(0=LEN(ReferenceData!$H$33),"",ReferenceData!$H$33),"")</f>
        <v>9.2240000000000002</v>
      </c>
      <c r="I33">
        <f ca="1">IFERROR(IF(0=LEN(ReferenceData!$I$33),"",ReferenceData!$I$33),"")</f>
        <v>8.7460000000000004</v>
      </c>
      <c r="J33">
        <f ca="1">IFERROR(IF(0=LEN(ReferenceData!$J$33),"",ReferenceData!$J$33),"")</f>
        <v>9.2840000000000007</v>
      </c>
      <c r="K33">
        <f ca="1">IFERROR(IF(0=LEN(ReferenceData!$K$33),"",ReferenceData!$K$33),"")</f>
        <v>8.2309999999999999</v>
      </c>
      <c r="L33">
        <f ca="1">IFERROR(IF(0=LEN(ReferenceData!$L$33),"",ReferenceData!$L$33),"")</f>
        <v>8.3740000000000006</v>
      </c>
      <c r="M33">
        <f ca="1">IFERROR(IF(0=LEN(ReferenceData!$M$33),"",ReferenceData!$M$33),"")</f>
        <v>7.3620000000000001</v>
      </c>
      <c r="N33">
        <f ca="1">IFERROR(IF(0=LEN(ReferenceData!$N$33),"",ReferenceData!$N$33),"")</f>
        <v>8.4190000000000005</v>
      </c>
      <c r="O33">
        <f ca="1">IFERROR(IF(0=LEN(ReferenceData!$O$33),"",ReferenceData!$O$33),"")</f>
        <v>7.9749999999999996</v>
      </c>
      <c r="P33">
        <f ca="1">IFERROR(IF(0=LEN(ReferenceData!$P$33),"",ReferenceData!$P$33),"")</f>
        <v>8.6519999999999992</v>
      </c>
      <c r="Q33">
        <f ca="1">IFERROR(IF(0=LEN(ReferenceData!$Q$33),"",ReferenceData!$Q$33),"")</f>
        <v>8.6289999999999996</v>
      </c>
      <c r="R33">
        <f ca="1">IFERROR(IF(0=LEN(ReferenceData!$R$33),"",ReferenceData!$R$33),"")</f>
        <v>8.9809999999999999</v>
      </c>
      <c r="S33">
        <f ca="1">IFERROR(IF(0=LEN(ReferenceData!$S$33),"",ReferenceData!$S$33),"")</f>
        <v>8.4209999999999994</v>
      </c>
      <c r="T33">
        <f ca="1">IFERROR(IF(0=LEN(ReferenceData!$T$33),"",ReferenceData!$T$33),"")</f>
        <v>8.2690000000000001</v>
      </c>
      <c r="U33">
        <f ca="1">IFERROR(IF(0=LEN(ReferenceData!$U$33),"",ReferenceData!$U$33),"")</f>
        <v>7.8579999999999997</v>
      </c>
      <c r="V33">
        <f ca="1">IFERROR(IF(0=LEN(ReferenceData!$V$33),"",ReferenceData!$V$33),"")</f>
        <v>7.8630000000000004</v>
      </c>
      <c r="W33">
        <f ca="1">IFERROR(IF(0=LEN(ReferenceData!$W$33),"",ReferenceData!$W$33),"")</f>
        <v>8.1950000000000003</v>
      </c>
      <c r="X33">
        <f ca="1">IFERROR(IF(0=LEN(ReferenceData!$X$33),"",ReferenceData!$X$33),"")</f>
        <v>8.8079999999999998</v>
      </c>
      <c r="Y33">
        <f ca="1">IFERROR(IF(0=LEN(ReferenceData!$Y$33),"",ReferenceData!$Y$33),"")</f>
        <v>13.855</v>
      </c>
      <c r="Z33">
        <f ca="1">IFERROR(IF(0=LEN(ReferenceData!$Z$33),"",ReferenceData!$Z$33),"")</f>
        <v>16.41</v>
      </c>
      <c r="AA33">
        <f ca="1">IFERROR(IF(0=LEN(ReferenceData!$AA$33),"",ReferenceData!$AA$33),"")</f>
        <v>12.539</v>
      </c>
      <c r="AB33">
        <f ca="1">IFERROR(IF(0=LEN(ReferenceData!$AB$33),"",ReferenceData!$AB$33),"")</f>
        <v>3.2650000000000001</v>
      </c>
      <c r="AC33">
        <f ca="1">IFERROR(IF(0=LEN(ReferenceData!$AC$33),"",ReferenceData!$AC$33),"")</f>
        <v>7.5140000000000002</v>
      </c>
      <c r="AD33">
        <f ca="1">IFERROR(IF(0=LEN(ReferenceData!$AD$33),"",ReferenceData!$AD$33),"")</f>
        <v>12.515000000000001</v>
      </c>
      <c r="AE33">
        <f ca="1">IFERROR(IF(0=LEN(ReferenceData!$AE$33),"",ReferenceData!$AE$33),"")</f>
        <v>7.4630000000000001</v>
      </c>
      <c r="AF33">
        <f ca="1">IFERROR(IF(0=LEN(ReferenceData!$AF$33),"",ReferenceData!$AF$33),"")</f>
        <v>5.8460000000000001</v>
      </c>
      <c r="AG33">
        <f ca="1">IFERROR(IF(0=LEN(ReferenceData!$AG$33),"",ReferenceData!$AG$33),"")</f>
        <v>7.4279999999999999</v>
      </c>
      <c r="AH33">
        <f ca="1">IFERROR(IF(0=LEN(ReferenceData!$AH$33),"",ReferenceData!$AH$33),"")</f>
        <v>9.3219999999999992</v>
      </c>
      <c r="AI33">
        <f ca="1">IFERROR(IF(0=LEN(ReferenceData!$AI$33),"",ReferenceData!$AI$33),"")</f>
        <v>18.925000000000001</v>
      </c>
      <c r="AJ33">
        <f ca="1">IFERROR(IF(0=LEN(ReferenceData!$AJ$33),"",ReferenceData!$AJ$33),"")</f>
        <v>21.472000000000001</v>
      </c>
      <c r="AK33">
        <f ca="1">IFERROR(IF(0=LEN(ReferenceData!$AK$33),"",ReferenceData!$AK$33),"")</f>
        <v>27.256</v>
      </c>
      <c r="AL33">
        <f ca="1">IFERROR(IF(0=LEN(ReferenceData!$AL$33),"",ReferenceData!$AL$33),"")</f>
        <v>15.771000000000001</v>
      </c>
      <c r="AM33">
        <f ca="1">IFERROR(IF(0=LEN(ReferenceData!$AM$33),"",ReferenceData!$AM$33),"")</f>
        <v>12.013999999999999</v>
      </c>
      <c r="AN33">
        <f ca="1">IFERROR(IF(0=LEN(ReferenceData!$AN$33),"",ReferenceData!$AN$33),"")</f>
        <v>13.093</v>
      </c>
      <c r="AO33">
        <f ca="1">IFERROR(IF(0=LEN(ReferenceData!$AO$33),"",ReferenceData!$AO$33),"")</f>
        <v>10.308999999999999</v>
      </c>
      <c r="AP33">
        <f ca="1">IFERROR(IF(0=LEN(ReferenceData!$AP$33),"",ReferenceData!$AP$33),"")</f>
        <v>9.391</v>
      </c>
      <c r="AQ33" t="str">
        <f ca="1">IFERROR(IF(0=LEN(ReferenceData!$AQ$33),"",ReferenceData!$AQ$33),"")</f>
        <v/>
      </c>
      <c r="AR33" t="str">
        <f ca="1">IFERROR(IF(0=LEN(ReferenceData!$AR$33),"",ReferenceData!$AR$33),"")</f>
        <v/>
      </c>
      <c r="AS33" t="str">
        <f ca="1">IFERROR(IF(0=LEN(ReferenceData!$AS$33),"",ReferenceData!$AS$33),"")</f>
        <v/>
      </c>
      <c r="AT33" t="str">
        <f ca="1">IFERROR(IF(0=LEN(ReferenceData!$AT$33),"",ReferenceData!$AT$33),"")</f>
        <v/>
      </c>
      <c r="AU33" t="str">
        <f ca="1">IFERROR(IF(0=LEN(ReferenceData!$AU$33),"",ReferenceData!$AU$33),"")</f>
        <v/>
      </c>
      <c r="AV33" t="str">
        <f ca="1">IFERROR(IF(0=LEN(ReferenceData!$AV$33),"",ReferenceData!$AV$33),"")</f>
        <v/>
      </c>
      <c r="AW33" t="str">
        <f ca="1">IFERROR(IF(0=LEN(ReferenceData!$AW$33),"",ReferenceData!$AW$33),"")</f>
        <v/>
      </c>
      <c r="AX33" t="str">
        <f ca="1">IFERROR(IF(0=LEN(ReferenceData!$AX$33),"",ReferenceData!$AX$33),"")</f>
        <v/>
      </c>
      <c r="AY33" t="str">
        <f ca="1">IFERROR(IF(0=LEN(ReferenceData!$AY$33),"",ReferenceData!$AY$33),"")</f>
        <v/>
      </c>
      <c r="AZ33" t="str">
        <f ca="1">IFERROR(IF(0=LEN(ReferenceData!$AZ$33),"",ReferenceData!$AZ$33),"")</f>
        <v/>
      </c>
      <c r="BA33" t="str">
        <f ca="1">IFERROR(IF(0=LEN(ReferenceData!$BA$33),"",ReferenceData!$BA$33),"")</f>
        <v/>
      </c>
      <c r="BB33" t="str">
        <f ca="1">IFERROR(IF(0=LEN(ReferenceData!$BB$33),"",ReferenceData!$BB$33),"")</f>
        <v/>
      </c>
      <c r="BC33" t="str">
        <f ca="1">IFERROR(IF(0=LEN(ReferenceData!$BC$33),"",ReferenceData!$BC$33),"")</f>
        <v/>
      </c>
      <c r="BD33" t="str">
        <f ca="1">IFERROR(IF(0=LEN(ReferenceData!$BD$33),"",ReferenceData!$BD$33),"")</f>
        <v/>
      </c>
      <c r="BE33" t="str">
        <f ca="1">IFERROR(IF(0=LEN(ReferenceData!$BE$33),"",ReferenceData!$BE$33),"")</f>
        <v/>
      </c>
      <c r="BF33" t="str">
        <f ca="1">IFERROR(IF(0=LEN(ReferenceData!$BF$33),"",ReferenceData!$BF$33),"")</f>
        <v/>
      </c>
      <c r="BG33" t="str">
        <f ca="1">IFERROR(IF(0=LEN(ReferenceData!$BG$33),"",ReferenceData!$BG$33),"")</f>
        <v/>
      </c>
      <c r="BH33" t="str">
        <f ca="1">IFERROR(IF(0=LEN(ReferenceData!$BH$33),"",ReferenceData!$BH$33),"")</f>
        <v/>
      </c>
      <c r="BI33" t="str">
        <f ca="1">IFERROR(IF(0=LEN(ReferenceData!$BI$33),"",ReferenceData!$BI$33),"")</f>
        <v/>
      </c>
      <c r="BJ33" t="str">
        <f ca="1">IFERROR(IF(0=LEN(ReferenceData!$BJ$33),"",ReferenceData!$BJ$33),"")</f>
        <v/>
      </c>
      <c r="BK33" t="str">
        <f ca="1">IFERROR(IF(0=LEN(ReferenceData!$BK$33),"",ReferenceData!$BK$33),"")</f>
        <v/>
      </c>
      <c r="BL33" t="str">
        <f ca="1">IFERROR(IF(0=LEN(ReferenceData!$BL$33),"",ReferenceData!$BL$33),"")</f>
        <v/>
      </c>
      <c r="BM33" t="str">
        <f ca="1">IFERROR(IF(0=LEN(ReferenceData!$BM$33),"",ReferenceData!$BM$33),"")</f>
        <v/>
      </c>
    </row>
    <row r="34" spans="1:65">
      <c r="A34" t="str">
        <f>IFERROR(IF(0=LEN(ReferenceData!$A$34),"",ReferenceData!$A$34),"")</f>
        <v xml:space="preserve">    Piedmont Office Realty Trust I</v>
      </c>
      <c r="B34" t="str">
        <f>IFERROR(IF(0=LEN(ReferenceData!$B$34),"",ReferenceData!$B$34),"")</f>
        <v>PDM US Equity</v>
      </c>
      <c r="C34" t="str">
        <f>IFERROR(IF(0=LEN(ReferenceData!$C$34),"",ReferenceData!$C$34),"")</f>
        <v>IM281</v>
      </c>
      <c r="D34" t="str">
        <f>IFERROR(IF(0=LEN(ReferenceData!$D$34),"",ReferenceData!$D$34),"")</f>
        <v>IS_NON_REAL_ESTATE_INCOME</v>
      </c>
      <c r="E34" t="str">
        <f>IFERROR(IF(0=LEN(ReferenceData!$E$34),"",ReferenceData!$E$34),"")</f>
        <v>动态</v>
      </c>
      <c r="F34" t="str">
        <f ca="1">IFERROR(IF(0=LEN(ReferenceData!$F$34),"",ReferenceData!$F$34),"")</f>
        <v/>
      </c>
      <c r="G34">
        <f ca="1">IFERROR(IF(0=LEN(ReferenceData!$G$34),"",ReferenceData!$G$34),"")</f>
        <v>0</v>
      </c>
      <c r="H34">
        <f ca="1">IFERROR(IF(0=LEN(ReferenceData!$H$34),"",ReferenceData!$H$34),"")</f>
        <v>0</v>
      </c>
      <c r="I34">
        <f ca="1">IFERROR(IF(0=LEN(ReferenceData!$I$34),"",ReferenceData!$I$34),"")</f>
        <v>0</v>
      </c>
      <c r="J34">
        <f ca="1">IFERROR(IF(0=LEN(ReferenceData!$J$34),"",ReferenceData!$J$34),"")</f>
        <v>0</v>
      </c>
      <c r="K34">
        <f ca="1">IFERROR(IF(0=LEN(ReferenceData!$K$34),"",ReferenceData!$K$34),"")</f>
        <v>0</v>
      </c>
      <c r="L34">
        <f ca="1">IFERROR(IF(0=LEN(ReferenceData!$L$34),"",ReferenceData!$L$34),"")</f>
        <v>0</v>
      </c>
      <c r="M34">
        <f ca="1">IFERROR(IF(0=LEN(ReferenceData!$M$34),"",ReferenceData!$M$34),"")</f>
        <v>0</v>
      </c>
      <c r="N34">
        <f ca="1">IFERROR(IF(0=LEN(ReferenceData!$N$34),"",ReferenceData!$N$34),"")</f>
        <v>0</v>
      </c>
      <c r="O34">
        <f ca="1">IFERROR(IF(0=LEN(ReferenceData!$O$34),"",ReferenceData!$O$34),"")</f>
        <v>0</v>
      </c>
      <c r="P34">
        <f ca="1">IFERROR(IF(0=LEN(ReferenceData!$P$34),"",ReferenceData!$P$34),"")</f>
        <v>0</v>
      </c>
      <c r="Q34">
        <f ca="1">IFERROR(IF(0=LEN(ReferenceData!$Q$34),"",ReferenceData!$Q$34),"")</f>
        <v>0</v>
      </c>
      <c r="R34">
        <f ca="1">IFERROR(IF(0=LEN(ReferenceData!$R$34),"",ReferenceData!$R$34),"")</f>
        <v>0</v>
      </c>
      <c r="S34">
        <f ca="1">IFERROR(IF(0=LEN(ReferenceData!$S$34),"",ReferenceData!$S$34),"")</f>
        <v>0</v>
      </c>
      <c r="T34">
        <f ca="1">IFERROR(IF(0=LEN(ReferenceData!$T$34),"",ReferenceData!$T$34),"")</f>
        <v>0</v>
      </c>
      <c r="U34">
        <f ca="1">IFERROR(IF(0=LEN(ReferenceData!$U$34),"",ReferenceData!$U$34),"")</f>
        <v>0</v>
      </c>
      <c r="V34">
        <f ca="1">IFERROR(IF(0=LEN(ReferenceData!$V$34),"",ReferenceData!$V$34),"")</f>
        <v>0</v>
      </c>
      <c r="W34">
        <f ca="1">IFERROR(IF(0=LEN(ReferenceData!$W$34),"",ReferenceData!$W$34),"")</f>
        <v>0</v>
      </c>
      <c r="X34">
        <f ca="1">IFERROR(IF(0=LEN(ReferenceData!$X$34),"",ReferenceData!$X$34),"")</f>
        <v>0</v>
      </c>
      <c r="Y34">
        <f ca="1">IFERROR(IF(0=LEN(ReferenceData!$Y$34),"",ReferenceData!$Y$34),"")</f>
        <v>0</v>
      </c>
      <c r="Z34">
        <f ca="1">IFERROR(IF(0=LEN(ReferenceData!$Z$34),"",ReferenceData!$Z$34),"")</f>
        <v>0</v>
      </c>
      <c r="AA34">
        <f ca="1">IFERROR(IF(0=LEN(ReferenceData!$AA$34),"",ReferenceData!$AA$34),"")</f>
        <v>0</v>
      </c>
      <c r="AB34">
        <f ca="1">IFERROR(IF(0=LEN(ReferenceData!$AB$34),"",ReferenceData!$AB$34),"")</f>
        <v>0</v>
      </c>
      <c r="AC34">
        <f ca="1">IFERROR(IF(0=LEN(ReferenceData!$AC$34),"",ReferenceData!$AC$34),"")</f>
        <v>0</v>
      </c>
      <c r="AD34">
        <f ca="1">IFERROR(IF(0=LEN(ReferenceData!$AD$34),"",ReferenceData!$AD$34),"")</f>
        <v>0</v>
      </c>
      <c r="AE34">
        <f ca="1">IFERROR(IF(0=LEN(ReferenceData!$AE$34),"",ReferenceData!$AE$34),"")</f>
        <v>0</v>
      </c>
      <c r="AF34">
        <f ca="1">IFERROR(IF(0=LEN(ReferenceData!$AF$34),"",ReferenceData!$AF$34),"")</f>
        <v>0</v>
      </c>
      <c r="AG34">
        <f ca="1">IFERROR(IF(0=LEN(ReferenceData!$AG$34),"",ReferenceData!$AG$34),"")</f>
        <v>0</v>
      </c>
      <c r="AH34">
        <f ca="1">IFERROR(IF(0=LEN(ReferenceData!$AH$34),"",ReferenceData!$AH$34),"")</f>
        <v>0</v>
      </c>
      <c r="AI34">
        <f ca="1">IFERROR(IF(0=LEN(ReferenceData!$AI$34),"",ReferenceData!$AI$34),"")</f>
        <v>0</v>
      </c>
      <c r="AJ34">
        <f ca="1">IFERROR(IF(0=LEN(ReferenceData!$AJ$34),"",ReferenceData!$AJ$34),"")</f>
        <v>0</v>
      </c>
      <c r="AK34">
        <f ca="1">IFERROR(IF(0=LEN(ReferenceData!$AK$34),"",ReferenceData!$AK$34),"")</f>
        <v>0</v>
      </c>
      <c r="AL34">
        <f ca="1">IFERROR(IF(0=LEN(ReferenceData!$AL$34),"",ReferenceData!$AL$34),"")</f>
        <v>0</v>
      </c>
      <c r="AM34">
        <f ca="1">IFERROR(IF(0=LEN(ReferenceData!$AM$34),"",ReferenceData!$AM$34),"")</f>
        <v>0</v>
      </c>
      <c r="AN34">
        <f ca="1">IFERROR(IF(0=LEN(ReferenceData!$AN$34),"",ReferenceData!$AN$34),"")</f>
        <v>0</v>
      </c>
      <c r="AO34">
        <f ca="1">IFERROR(IF(0=LEN(ReferenceData!$AO$34),"",ReferenceData!$AO$34),"")</f>
        <v>0</v>
      </c>
      <c r="AP34">
        <f ca="1">IFERROR(IF(0=LEN(ReferenceData!$AP$34),"",ReferenceData!$AP$34),"")</f>
        <v>0</v>
      </c>
      <c r="AQ34" t="str">
        <f ca="1">IFERROR(IF(0=LEN(ReferenceData!$AQ$34),"",ReferenceData!$AQ$34),"")</f>
        <v/>
      </c>
      <c r="AR34" t="str">
        <f ca="1">IFERROR(IF(0=LEN(ReferenceData!$AR$34),"",ReferenceData!$AR$34),"")</f>
        <v/>
      </c>
      <c r="AS34" t="str">
        <f ca="1">IFERROR(IF(0=LEN(ReferenceData!$AS$34),"",ReferenceData!$AS$34),"")</f>
        <v/>
      </c>
      <c r="AT34" t="str">
        <f ca="1">IFERROR(IF(0=LEN(ReferenceData!$AT$34),"",ReferenceData!$AT$34),"")</f>
        <v/>
      </c>
      <c r="AU34" t="str">
        <f ca="1">IFERROR(IF(0=LEN(ReferenceData!$AU$34),"",ReferenceData!$AU$34),"")</f>
        <v/>
      </c>
      <c r="AV34" t="str">
        <f ca="1">IFERROR(IF(0=LEN(ReferenceData!$AV$34),"",ReferenceData!$AV$34),"")</f>
        <v/>
      </c>
      <c r="AW34" t="str">
        <f ca="1">IFERROR(IF(0=LEN(ReferenceData!$AW$34),"",ReferenceData!$AW$34),"")</f>
        <v/>
      </c>
      <c r="AX34" t="str">
        <f ca="1">IFERROR(IF(0=LEN(ReferenceData!$AX$34),"",ReferenceData!$AX$34),"")</f>
        <v/>
      </c>
      <c r="AY34" t="str">
        <f ca="1">IFERROR(IF(0=LEN(ReferenceData!$AY$34),"",ReferenceData!$AY$34),"")</f>
        <v/>
      </c>
      <c r="AZ34" t="str">
        <f ca="1">IFERROR(IF(0=LEN(ReferenceData!$AZ$34),"",ReferenceData!$AZ$34),"")</f>
        <v/>
      </c>
      <c r="BA34" t="str">
        <f ca="1">IFERROR(IF(0=LEN(ReferenceData!$BA$34),"",ReferenceData!$BA$34),"")</f>
        <v/>
      </c>
      <c r="BB34" t="str">
        <f ca="1">IFERROR(IF(0=LEN(ReferenceData!$BB$34),"",ReferenceData!$BB$34),"")</f>
        <v/>
      </c>
      <c r="BC34" t="str">
        <f ca="1">IFERROR(IF(0=LEN(ReferenceData!$BC$34),"",ReferenceData!$BC$34),"")</f>
        <v/>
      </c>
      <c r="BD34" t="str">
        <f ca="1">IFERROR(IF(0=LEN(ReferenceData!$BD$34),"",ReferenceData!$BD$34),"")</f>
        <v/>
      </c>
      <c r="BE34" t="str">
        <f ca="1">IFERROR(IF(0=LEN(ReferenceData!$BE$34),"",ReferenceData!$BE$34),"")</f>
        <v/>
      </c>
      <c r="BF34" t="str">
        <f ca="1">IFERROR(IF(0=LEN(ReferenceData!$BF$34),"",ReferenceData!$BF$34),"")</f>
        <v/>
      </c>
      <c r="BG34" t="str">
        <f ca="1">IFERROR(IF(0=LEN(ReferenceData!$BG$34),"",ReferenceData!$BG$34),"")</f>
        <v/>
      </c>
      <c r="BH34" t="str">
        <f ca="1">IFERROR(IF(0=LEN(ReferenceData!$BH$34),"",ReferenceData!$BH$34),"")</f>
        <v/>
      </c>
      <c r="BI34" t="str">
        <f ca="1">IFERROR(IF(0=LEN(ReferenceData!$BI$34),"",ReferenceData!$BI$34),"")</f>
        <v/>
      </c>
      <c r="BJ34" t="str">
        <f ca="1">IFERROR(IF(0=LEN(ReferenceData!$BJ$34),"",ReferenceData!$BJ$34),"")</f>
        <v/>
      </c>
      <c r="BK34" t="str">
        <f ca="1">IFERROR(IF(0=LEN(ReferenceData!$BK$34),"",ReferenceData!$BK$34),"")</f>
        <v/>
      </c>
      <c r="BL34" t="str">
        <f ca="1">IFERROR(IF(0=LEN(ReferenceData!$BL$34),"",ReferenceData!$BL$34),"")</f>
        <v/>
      </c>
      <c r="BM34" t="str">
        <f ca="1">IFERROR(IF(0=LEN(ReferenceData!$BM$34),"",ReferenceData!$BM$34),"")</f>
        <v/>
      </c>
    </row>
    <row r="35" spans="1:65">
      <c r="A35" t="str">
        <f>IFERROR(IF(0=LEN(ReferenceData!$A$35),"",ReferenceData!$A$35),"")</f>
        <v xml:space="preserve">    SL Green Realty Corp</v>
      </c>
      <c r="B35" t="str">
        <f>IFERROR(IF(0=LEN(ReferenceData!$B$35),"",ReferenceData!$B$35),"")</f>
        <v>SLG US Equity</v>
      </c>
      <c r="C35" t="str">
        <f>IFERROR(IF(0=LEN(ReferenceData!$C$35),"",ReferenceData!$C$35),"")</f>
        <v>IM281</v>
      </c>
      <c r="D35" t="str">
        <f>IFERROR(IF(0=LEN(ReferenceData!$D$35),"",ReferenceData!$D$35),"")</f>
        <v>IS_NON_REAL_ESTATE_INCOME</v>
      </c>
      <c r="E35" t="str">
        <f>IFERROR(IF(0=LEN(ReferenceData!$E$35),"",ReferenceData!$E$35),"")</f>
        <v>动态</v>
      </c>
      <c r="F35" t="str">
        <f ca="1">IFERROR(IF(0=LEN(ReferenceData!$F$35),"",ReferenceData!$F$35),"")</f>
        <v/>
      </c>
      <c r="G35">
        <f ca="1">IFERROR(IF(0=LEN(ReferenceData!$G$35),"",ReferenceData!$G$35),"")</f>
        <v>54.472000000000001</v>
      </c>
      <c r="H35">
        <f ca="1">IFERROR(IF(0=LEN(ReferenceData!$H$35),"",ReferenceData!$H$35),"")</f>
        <v>55.085999999999999</v>
      </c>
      <c r="I35">
        <f ca="1">IFERROR(IF(0=LEN(ReferenceData!$I$35),"",ReferenceData!$I$35),"")</f>
        <v>76.123000000000005</v>
      </c>
      <c r="J35">
        <f ca="1">IFERROR(IF(0=LEN(ReferenceData!$J$35),"",ReferenceData!$J$35),"")</f>
        <v>51.86</v>
      </c>
      <c r="K35">
        <f ca="1">IFERROR(IF(0=LEN(ReferenceData!$K$35),"",ReferenceData!$K$35),"")</f>
        <v>44.872</v>
      </c>
      <c r="L35">
        <f ca="1">IFERROR(IF(0=LEN(ReferenceData!$L$35),"",ReferenceData!$L$35),"")</f>
        <v>82.069000000000003</v>
      </c>
      <c r="M35">
        <f ca="1">IFERROR(IF(0=LEN(ReferenceData!$M$35),"",ReferenceData!$M$35),"")</f>
        <v>152.18899999999999</v>
      </c>
      <c r="N35">
        <f ca="1">IFERROR(IF(0=LEN(ReferenceData!$N$35),"",ReferenceData!$N$35),"")</f>
        <v>64.225999999999999</v>
      </c>
      <c r="O35">
        <f ca="1">IFERROR(IF(0=LEN(ReferenceData!$O$35),"",ReferenceData!$O$35),"")</f>
        <v>57.546999999999997</v>
      </c>
      <c r="P35">
        <f ca="1">IFERROR(IF(0=LEN(ReferenceData!$P$35),"",ReferenceData!$P$35),"")</f>
        <v>65.346999999999994</v>
      </c>
      <c r="Q35">
        <f ca="1">IFERROR(IF(0=LEN(ReferenceData!$Q$35),"",ReferenceData!$Q$35),"")</f>
        <v>63.441000000000003</v>
      </c>
      <c r="R35">
        <f ca="1">IFERROR(IF(0=LEN(ReferenceData!$R$35),"",ReferenceData!$R$35),"")</f>
        <v>52.000999999999998</v>
      </c>
      <c r="S35">
        <f ca="1">IFERROR(IF(0=LEN(ReferenceData!$S$35),"",ReferenceData!$S$35),"")</f>
        <v>48.271000000000001</v>
      </c>
      <c r="T35">
        <f ca="1">IFERROR(IF(0=LEN(ReferenceData!$T$35),"",ReferenceData!$T$35),"")</f>
        <v>55.155000000000001</v>
      </c>
      <c r="U35">
        <f ca="1">IFERROR(IF(0=LEN(ReferenceData!$U$35),"",ReferenceData!$U$35),"")</f>
        <v>62.448</v>
      </c>
      <c r="V35">
        <f ca="1">IFERROR(IF(0=LEN(ReferenceData!$V$35),"",ReferenceData!$V$35),"")</f>
        <v>68.662000000000006</v>
      </c>
      <c r="W35">
        <f ca="1">IFERROR(IF(0=LEN(ReferenceData!$W$35),"",ReferenceData!$W$35),"")</f>
        <v>53.576000000000001</v>
      </c>
      <c r="X35">
        <f ca="1">IFERROR(IF(0=LEN(ReferenceData!$X$35),"",ReferenceData!$X$35),"")</f>
        <v>54.317</v>
      </c>
      <c r="Y35">
        <f ca="1">IFERROR(IF(0=LEN(ReferenceData!$Y$35),"",ReferenceData!$Y$35),"")</f>
        <v>52.454000000000001</v>
      </c>
      <c r="Z35">
        <f ca="1">IFERROR(IF(0=LEN(ReferenceData!$Z$35),"",ReferenceData!$Z$35),"")</f>
        <v>58.473999999999997</v>
      </c>
      <c r="AA35">
        <f ca="1">IFERROR(IF(0=LEN(ReferenceData!$AA$35),"",ReferenceData!$AA$35),"")</f>
        <v>41.305</v>
      </c>
      <c r="AB35">
        <f ca="1">IFERROR(IF(0=LEN(ReferenceData!$AB$35),"",ReferenceData!$AB$35),"")</f>
        <v>37.140999999999998</v>
      </c>
      <c r="AC35">
        <f ca="1">IFERROR(IF(0=LEN(ReferenceData!$AC$35),"",ReferenceData!$AC$35),"")</f>
        <v>39.729999999999997</v>
      </c>
      <c r="AD35">
        <f ca="1">IFERROR(IF(0=LEN(ReferenceData!$AD$35),"",ReferenceData!$AD$35),"")</f>
        <v>36.715000000000003</v>
      </c>
      <c r="AE35">
        <f ca="1">IFERROR(IF(0=LEN(ReferenceData!$AE$35),"",ReferenceData!$AE$35),"")</f>
        <v>34.384</v>
      </c>
      <c r="AF35">
        <f ca="1">IFERROR(IF(0=LEN(ReferenceData!$AF$35),"",ReferenceData!$AF$35),"")</f>
        <v>24.509</v>
      </c>
      <c r="AG35">
        <f ca="1">IFERROR(IF(0=LEN(ReferenceData!$AG$35),"",ReferenceData!$AG$35),"")</f>
        <v>25.076000000000001</v>
      </c>
      <c r="AH35">
        <f ca="1">IFERROR(IF(0=LEN(ReferenceData!$AH$35),"",ReferenceData!$AH$35),"")</f>
        <v>71.926000000000002</v>
      </c>
      <c r="AI35">
        <f ca="1">IFERROR(IF(0=LEN(ReferenceData!$AI$35),"",ReferenceData!$AI$35),"")</f>
        <v>32.960999999999999</v>
      </c>
      <c r="AJ35">
        <f ca="1">IFERROR(IF(0=LEN(ReferenceData!$AJ$35),"",ReferenceData!$AJ$35),"")</f>
        <v>92.441999999999993</v>
      </c>
      <c r="AK35">
        <f ca="1">IFERROR(IF(0=LEN(ReferenceData!$AK$35),"",ReferenceData!$AK$35),"")</f>
        <v>29.664999999999999</v>
      </c>
      <c r="AL35">
        <f ca="1">IFERROR(IF(0=LEN(ReferenceData!$AL$35),"",ReferenceData!$AL$35),"")</f>
        <v>28.577999999999999</v>
      </c>
      <c r="AM35">
        <f ca="1">IFERROR(IF(0=LEN(ReferenceData!$AM$35),"",ReferenceData!$AM$35),"")</f>
        <v>23.856000000000002</v>
      </c>
      <c r="AN35">
        <f ca="1">IFERROR(IF(0=LEN(ReferenceData!$AN$35),"",ReferenceData!$AN$35),"")</f>
        <v>27.254000000000001</v>
      </c>
      <c r="AO35">
        <f ca="1">IFERROR(IF(0=LEN(ReferenceData!$AO$35),"",ReferenceData!$AO$35),"")</f>
        <v>28.698</v>
      </c>
      <c r="AP35">
        <f ca="1">IFERROR(IF(0=LEN(ReferenceData!$AP$35),"",ReferenceData!$AP$35),"")</f>
        <v>33.179000000000002</v>
      </c>
      <c r="AQ35" t="str">
        <f ca="1">IFERROR(IF(0=LEN(ReferenceData!$AQ$35),"",ReferenceData!$AQ$35),"")</f>
        <v/>
      </c>
      <c r="AR35" t="str">
        <f ca="1">IFERROR(IF(0=LEN(ReferenceData!$AR$35),"",ReferenceData!$AR$35),"")</f>
        <v/>
      </c>
      <c r="AS35" t="str">
        <f ca="1">IFERROR(IF(0=LEN(ReferenceData!$AS$35),"",ReferenceData!$AS$35),"")</f>
        <v/>
      </c>
      <c r="AT35" t="str">
        <f ca="1">IFERROR(IF(0=LEN(ReferenceData!$AT$35),"",ReferenceData!$AT$35),"")</f>
        <v/>
      </c>
      <c r="AU35" t="str">
        <f ca="1">IFERROR(IF(0=LEN(ReferenceData!$AU$35),"",ReferenceData!$AU$35),"")</f>
        <v/>
      </c>
      <c r="AV35" t="str">
        <f ca="1">IFERROR(IF(0=LEN(ReferenceData!$AV$35),"",ReferenceData!$AV$35),"")</f>
        <v/>
      </c>
      <c r="AW35" t="str">
        <f ca="1">IFERROR(IF(0=LEN(ReferenceData!$AW$35),"",ReferenceData!$AW$35),"")</f>
        <v/>
      </c>
      <c r="AX35" t="str">
        <f ca="1">IFERROR(IF(0=LEN(ReferenceData!$AX$35),"",ReferenceData!$AX$35),"")</f>
        <v/>
      </c>
      <c r="AY35" t="str">
        <f ca="1">IFERROR(IF(0=LEN(ReferenceData!$AY$35),"",ReferenceData!$AY$35),"")</f>
        <v/>
      </c>
      <c r="AZ35" t="str">
        <f ca="1">IFERROR(IF(0=LEN(ReferenceData!$AZ$35),"",ReferenceData!$AZ$35),"")</f>
        <v/>
      </c>
      <c r="BA35" t="str">
        <f ca="1">IFERROR(IF(0=LEN(ReferenceData!$BA$35),"",ReferenceData!$BA$35),"")</f>
        <v/>
      </c>
      <c r="BB35" t="str">
        <f ca="1">IFERROR(IF(0=LEN(ReferenceData!$BB$35),"",ReferenceData!$BB$35),"")</f>
        <v/>
      </c>
      <c r="BC35" t="str">
        <f ca="1">IFERROR(IF(0=LEN(ReferenceData!$BC$35),"",ReferenceData!$BC$35),"")</f>
        <v/>
      </c>
      <c r="BD35" t="str">
        <f ca="1">IFERROR(IF(0=LEN(ReferenceData!$BD$35),"",ReferenceData!$BD$35),"")</f>
        <v/>
      </c>
      <c r="BE35" t="str">
        <f ca="1">IFERROR(IF(0=LEN(ReferenceData!$BE$35),"",ReferenceData!$BE$35),"")</f>
        <v/>
      </c>
      <c r="BF35" t="str">
        <f ca="1">IFERROR(IF(0=LEN(ReferenceData!$BF$35),"",ReferenceData!$BF$35),"")</f>
        <v/>
      </c>
      <c r="BG35" t="str">
        <f ca="1">IFERROR(IF(0=LEN(ReferenceData!$BG$35),"",ReferenceData!$BG$35),"")</f>
        <v/>
      </c>
      <c r="BH35" t="str">
        <f ca="1">IFERROR(IF(0=LEN(ReferenceData!$BH$35),"",ReferenceData!$BH$35),"")</f>
        <v/>
      </c>
      <c r="BI35" t="str">
        <f ca="1">IFERROR(IF(0=LEN(ReferenceData!$BI$35),"",ReferenceData!$BI$35),"")</f>
        <v/>
      </c>
      <c r="BJ35" t="str">
        <f ca="1">IFERROR(IF(0=LEN(ReferenceData!$BJ$35),"",ReferenceData!$BJ$35),"")</f>
        <v/>
      </c>
      <c r="BK35" t="str">
        <f ca="1">IFERROR(IF(0=LEN(ReferenceData!$BK$35),"",ReferenceData!$BK$35),"")</f>
        <v/>
      </c>
      <c r="BL35" t="str">
        <f ca="1">IFERROR(IF(0=LEN(ReferenceData!$BL$35),"",ReferenceData!$BL$35),"")</f>
        <v/>
      </c>
      <c r="BM35" t="str">
        <f ca="1">IFERROR(IF(0=LEN(ReferenceData!$BM$35),"",ReferenceData!$BM$35),"")</f>
        <v/>
      </c>
    </row>
    <row r="36" spans="1:65">
      <c r="A36" t="str">
        <f>IFERROR(IF(0=LEN(ReferenceData!$A$36),"",ReferenceData!$A$36),"")</f>
        <v xml:space="preserve">    Vornado Realty Trust</v>
      </c>
      <c r="B36" t="str">
        <f>IFERROR(IF(0=LEN(ReferenceData!$B$36),"",ReferenceData!$B$36),"")</f>
        <v>VNO US Equity</v>
      </c>
      <c r="C36" t="str">
        <f>IFERROR(IF(0=LEN(ReferenceData!$C$36),"",ReferenceData!$C$36),"")</f>
        <v>IM281</v>
      </c>
      <c r="D36" t="str">
        <f>IFERROR(IF(0=LEN(ReferenceData!$D$36),"",ReferenceData!$D$36),"")</f>
        <v>IS_NON_REAL_ESTATE_INCOME</v>
      </c>
      <c r="E36" t="str">
        <f>IFERROR(IF(0=LEN(ReferenceData!$E$36),"",ReferenceData!$E$36),"")</f>
        <v>动态</v>
      </c>
      <c r="F36" t="str">
        <f ca="1">IFERROR(IF(0=LEN(ReferenceData!$F$36),"",ReferenceData!$F$36),"")</f>
        <v/>
      </c>
      <c r="G36">
        <f ca="1">IFERROR(IF(0=LEN(ReferenceData!$G$36),"",ReferenceData!$G$36),"")</f>
        <v>0</v>
      </c>
      <c r="H36">
        <f ca="1">IFERROR(IF(0=LEN(ReferenceData!$H$36),"",ReferenceData!$H$36),"")</f>
        <v>0</v>
      </c>
      <c r="I36">
        <f ca="1">IFERROR(IF(0=LEN(ReferenceData!$I$36),"",ReferenceData!$I$36),"")</f>
        <v>0</v>
      </c>
      <c r="J36">
        <f ca="1">IFERROR(IF(0=LEN(ReferenceData!$J$36),"",ReferenceData!$J$36),"")</f>
        <v>0</v>
      </c>
      <c r="K36">
        <f ca="1">IFERROR(IF(0=LEN(ReferenceData!$K$36),"",ReferenceData!$K$36),"")</f>
        <v>0</v>
      </c>
      <c r="L36">
        <f ca="1">IFERROR(IF(0=LEN(ReferenceData!$L$36),"",ReferenceData!$L$36),"")</f>
        <v>0</v>
      </c>
      <c r="M36">
        <f ca="1">IFERROR(IF(0=LEN(ReferenceData!$M$36),"",ReferenceData!$M$36),"")</f>
        <v>0</v>
      </c>
      <c r="N36">
        <f ca="1">IFERROR(IF(0=LEN(ReferenceData!$N$36),"",ReferenceData!$N$36),"")</f>
        <v>0</v>
      </c>
      <c r="O36">
        <f ca="1">IFERROR(IF(0=LEN(ReferenceData!$O$36),"",ReferenceData!$O$36),"")</f>
        <v>0</v>
      </c>
      <c r="P36">
        <f ca="1">IFERROR(IF(0=LEN(ReferenceData!$P$36),"",ReferenceData!$P$36),"")</f>
        <v>0</v>
      </c>
      <c r="Q36">
        <f ca="1">IFERROR(IF(0=LEN(ReferenceData!$Q$36),"",ReferenceData!$Q$36),"")</f>
        <v>0</v>
      </c>
      <c r="R36">
        <f ca="1">IFERROR(IF(0=LEN(ReferenceData!$R$36),"",ReferenceData!$R$36),"")</f>
        <v>0</v>
      </c>
      <c r="S36">
        <f ca="1">IFERROR(IF(0=LEN(ReferenceData!$S$36),"",ReferenceData!$S$36),"")</f>
        <v>0</v>
      </c>
      <c r="T36">
        <f ca="1">IFERROR(IF(0=LEN(ReferenceData!$T$36),"",ReferenceData!$T$36),"")</f>
        <v>0</v>
      </c>
      <c r="U36">
        <f ca="1">IFERROR(IF(0=LEN(ReferenceData!$U$36),"",ReferenceData!$U$36),"")</f>
        <v>0</v>
      </c>
      <c r="V36">
        <f ca="1">IFERROR(IF(0=LEN(ReferenceData!$V$36),"",ReferenceData!$V$36),"")</f>
        <v>0</v>
      </c>
      <c r="W36">
        <f ca="1">IFERROR(IF(0=LEN(ReferenceData!$W$36),"",ReferenceData!$W$36),"")</f>
        <v>0</v>
      </c>
      <c r="X36">
        <f ca="1">IFERROR(IF(0=LEN(ReferenceData!$X$36),"",ReferenceData!$X$36),"")</f>
        <v>0</v>
      </c>
      <c r="Y36">
        <f ca="1">IFERROR(IF(0=LEN(ReferenceData!$Y$36),"",ReferenceData!$Y$36),"")</f>
        <v>0</v>
      </c>
      <c r="Z36">
        <f ca="1">IFERROR(IF(0=LEN(ReferenceData!$Z$36),"",ReferenceData!$Z$36),"")</f>
        <v>0</v>
      </c>
      <c r="AA36">
        <f ca="1">IFERROR(IF(0=LEN(ReferenceData!$AA$36),"",ReferenceData!$AA$36),"")</f>
        <v>0</v>
      </c>
      <c r="AB36">
        <f ca="1">IFERROR(IF(0=LEN(ReferenceData!$AB$36),"",ReferenceData!$AB$36),"")</f>
        <v>0</v>
      </c>
      <c r="AC36">
        <f ca="1">IFERROR(IF(0=LEN(ReferenceData!$AC$36),"",ReferenceData!$AC$36),"")</f>
        <v>0</v>
      </c>
      <c r="AD36">
        <f ca="1">IFERROR(IF(0=LEN(ReferenceData!$AD$36),"",ReferenceData!$AD$36),"")</f>
        <v>0</v>
      </c>
      <c r="AE36">
        <f ca="1">IFERROR(IF(0=LEN(ReferenceData!$AE$36),"",ReferenceData!$AE$36),"")</f>
        <v>0</v>
      </c>
      <c r="AF36">
        <f ca="1">IFERROR(IF(0=LEN(ReferenceData!$AF$36),"",ReferenceData!$AF$36),"")</f>
        <v>0</v>
      </c>
      <c r="AG36">
        <f ca="1">IFERROR(IF(0=LEN(ReferenceData!$AG$36),"",ReferenceData!$AG$36),"")</f>
        <v>0</v>
      </c>
      <c r="AH36">
        <f ca="1">IFERROR(IF(0=LEN(ReferenceData!$AH$36),"",ReferenceData!$AH$36),"")</f>
        <v>0</v>
      </c>
      <c r="AI36">
        <f ca="1">IFERROR(IF(0=LEN(ReferenceData!$AI$36),"",ReferenceData!$AI$36),"")</f>
        <v>0</v>
      </c>
      <c r="AJ36">
        <f ca="1">IFERROR(IF(0=LEN(ReferenceData!$AJ$36),"",ReferenceData!$AJ$36),"")</f>
        <v>0</v>
      </c>
      <c r="AK36">
        <f ca="1">IFERROR(IF(0=LEN(ReferenceData!$AK$36),"",ReferenceData!$AK$36),"")</f>
        <v>0</v>
      </c>
      <c r="AL36">
        <f ca="1">IFERROR(IF(0=LEN(ReferenceData!$AL$36),"",ReferenceData!$AL$36),"")</f>
        <v>0</v>
      </c>
      <c r="AM36">
        <f ca="1">IFERROR(IF(0=LEN(ReferenceData!$AM$36),"",ReferenceData!$AM$36),"")</f>
        <v>0</v>
      </c>
      <c r="AN36">
        <f ca="1">IFERROR(IF(0=LEN(ReferenceData!$AN$36),"",ReferenceData!$AN$36),"")</f>
        <v>0</v>
      </c>
      <c r="AO36">
        <f ca="1">IFERROR(IF(0=LEN(ReferenceData!$AO$36),"",ReferenceData!$AO$36),"")</f>
        <v>0</v>
      </c>
      <c r="AP36">
        <f ca="1">IFERROR(IF(0=LEN(ReferenceData!$AP$36),"",ReferenceData!$AP$36),"")</f>
        <v>0</v>
      </c>
      <c r="AQ36" t="str">
        <f ca="1">IFERROR(IF(0=LEN(ReferenceData!$AQ$36),"",ReferenceData!$AQ$36),"")</f>
        <v/>
      </c>
      <c r="AR36" t="str">
        <f ca="1">IFERROR(IF(0=LEN(ReferenceData!$AR$36),"",ReferenceData!$AR$36),"")</f>
        <v/>
      </c>
      <c r="AS36" t="str">
        <f ca="1">IFERROR(IF(0=LEN(ReferenceData!$AS$36),"",ReferenceData!$AS$36),"")</f>
        <v/>
      </c>
      <c r="AT36" t="str">
        <f ca="1">IFERROR(IF(0=LEN(ReferenceData!$AT$36),"",ReferenceData!$AT$36),"")</f>
        <v/>
      </c>
      <c r="AU36" t="str">
        <f ca="1">IFERROR(IF(0=LEN(ReferenceData!$AU$36),"",ReferenceData!$AU$36),"")</f>
        <v/>
      </c>
      <c r="AV36" t="str">
        <f ca="1">IFERROR(IF(0=LEN(ReferenceData!$AV$36),"",ReferenceData!$AV$36),"")</f>
        <v/>
      </c>
      <c r="AW36" t="str">
        <f ca="1">IFERROR(IF(0=LEN(ReferenceData!$AW$36),"",ReferenceData!$AW$36),"")</f>
        <v/>
      </c>
      <c r="AX36" t="str">
        <f ca="1">IFERROR(IF(0=LEN(ReferenceData!$AX$36),"",ReferenceData!$AX$36),"")</f>
        <v/>
      </c>
      <c r="AY36" t="str">
        <f ca="1">IFERROR(IF(0=LEN(ReferenceData!$AY$36),"",ReferenceData!$AY$36),"")</f>
        <v/>
      </c>
      <c r="AZ36" t="str">
        <f ca="1">IFERROR(IF(0=LEN(ReferenceData!$AZ$36),"",ReferenceData!$AZ$36),"")</f>
        <v/>
      </c>
      <c r="BA36" t="str">
        <f ca="1">IFERROR(IF(0=LEN(ReferenceData!$BA$36),"",ReferenceData!$BA$36),"")</f>
        <v/>
      </c>
      <c r="BB36" t="str">
        <f ca="1">IFERROR(IF(0=LEN(ReferenceData!$BB$36),"",ReferenceData!$BB$36),"")</f>
        <v/>
      </c>
      <c r="BC36" t="str">
        <f ca="1">IFERROR(IF(0=LEN(ReferenceData!$BC$36),"",ReferenceData!$BC$36),"")</f>
        <v/>
      </c>
      <c r="BD36" t="str">
        <f ca="1">IFERROR(IF(0=LEN(ReferenceData!$BD$36),"",ReferenceData!$BD$36),"")</f>
        <v/>
      </c>
      <c r="BE36" t="str">
        <f ca="1">IFERROR(IF(0=LEN(ReferenceData!$BE$36),"",ReferenceData!$BE$36),"")</f>
        <v/>
      </c>
      <c r="BF36" t="str">
        <f ca="1">IFERROR(IF(0=LEN(ReferenceData!$BF$36),"",ReferenceData!$BF$36),"")</f>
        <v/>
      </c>
      <c r="BG36" t="str">
        <f ca="1">IFERROR(IF(0=LEN(ReferenceData!$BG$36),"",ReferenceData!$BG$36),"")</f>
        <v/>
      </c>
      <c r="BH36" t="str">
        <f ca="1">IFERROR(IF(0=LEN(ReferenceData!$BH$36),"",ReferenceData!$BH$36),"")</f>
        <v/>
      </c>
      <c r="BI36" t="str">
        <f ca="1">IFERROR(IF(0=LEN(ReferenceData!$BI$36),"",ReferenceData!$BI$36),"")</f>
        <v/>
      </c>
      <c r="BJ36" t="str">
        <f ca="1">IFERROR(IF(0=LEN(ReferenceData!$BJ$36),"",ReferenceData!$BJ$36),"")</f>
        <v/>
      </c>
      <c r="BK36" t="str">
        <f ca="1">IFERROR(IF(0=LEN(ReferenceData!$BK$36),"",ReferenceData!$BK$36),"")</f>
        <v/>
      </c>
      <c r="BL36" t="str">
        <f ca="1">IFERROR(IF(0=LEN(ReferenceData!$BL$36),"",ReferenceData!$BL$36),"")</f>
        <v/>
      </c>
      <c r="BM36" t="str">
        <f ca="1">IFERROR(IF(0=LEN(ReferenceData!$BM$36),"",ReferenceData!$BM$36),"")</f>
        <v/>
      </c>
    </row>
    <row r="37" spans="1:65">
      <c r="A37" t="str">
        <f>IFERROR(IF(0=LEN(ReferenceData!$A$37),"",ReferenceData!$A$37),"")</f>
        <v>总收入</v>
      </c>
      <c r="B37" t="str">
        <f>IFERROR(IF(0=LEN(ReferenceData!$B$37),"",ReferenceData!$B$37),"")</f>
        <v/>
      </c>
      <c r="C37" t="str">
        <f>IFERROR(IF(0=LEN(ReferenceData!$C$37),"",ReferenceData!$C$37),"")</f>
        <v/>
      </c>
      <c r="D37" t="str">
        <f>IFERROR(IF(0=LEN(ReferenceData!$D$37),"",ReferenceData!$D$37),"")</f>
        <v/>
      </c>
      <c r="E37" t="str">
        <f>IFERROR(IF(0=LEN(ReferenceData!$E$37),"",ReferenceData!$E$37),"")</f>
        <v>Median</v>
      </c>
      <c r="F37" t="str">
        <f ca="1">IFERROR(IF(0=LEN(ReferenceData!$F$37),"",ReferenceData!$F$37),"")</f>
        <v/>
      </c>
      <c r="G37">
        <f ca="1">IFERROR(IF(0=LEN(ReferenceData!$G$37),"",ReferenceData!$G$37),"")</f>
        <v>170.214</v>
      </c>
      <c r="H37">
        <f ca="1">IFERROR(IF(0=LEN(ReferenceData!$H$37),"",ReferenceData!$H$37),"")</f>
        <v>170.10149999999999</v>
      </c>
      <c r="I37">
        <f ca="1">IFERROR(IF(0=LEN(ReferenceData!$I$37),"",ReferenceData!$I$37),"")</f>
        <v>170.02449999999999</v>
      </c>
      <c r="J37">
        <f ca="1">IFERROR(IF(0=LEN(ReferenceData!$J$37),"",ReferenceData!$J$37),"")</f>
        <v>159.64749999999998</v>
      </c>
      <c r="K37">
        <f ca="1">IFERROR(IF(0=LEN(ReferenceData!$K$37),"",ReferenceData!$K$37),"")</f>
        <v>160.68849999999998</v>
      </c>
      <c r="L37">
        <f ca="1">IFERROR(IF(0=LEN(ReferenceData!$L$37),"",ReferenceData!$L$37),"")</f>
        <v>161.893</v>
      </c>
      <c r="M37">
        <f ca="1">IFERROR(IF(0=LEN(ReferenceData!$M$37),"",ReferenceData!$M$37),"")</f>
        <v>154.68</v>
      </c>
      <c r="N37">
        <f ca="1">IFERROR(IF(0=LEN(ReferenceData!$N$37),"",ReferenceData!$N$37),"")</f>
        <v>149.18450000000001</v>
      </c>
      <c r="O37">
        <f ca="1">IFERROR(IF(0=LEN(ReferenceData!$O$37),"",ReferenceData!$O$37),"")</f>
        <v>150.70249999999999</v>
      </c>
      <c r="P37">
        <f ca="1">IFERROR(IF(0=LEN(ReferenceData!$P$37),"",ReferenceData!$P$37),"")</f>
        <v>151.6645</v>
      </c>
      <c r="Q37">
        <f ca="1">IFERROR(IF(0=LEN(ReferenceData!$Q$37),"",ReferenceData!$Q$37),"")</f>
        <v>148.55500000000001</v>
      </c>
      <c r="R37">
        <f ca="1">IFERROR(IF(0=LEN(ReferenceData!$R$37),"",ReferenceData!$R$37),"")</f>
        <v>155.51249999999999</v>
      </c>
      <c r="S37">
        <f ca="1">IFERROR(IF(0=LEN(ReferenceData!$S$37),"",ReferenceData!$S$37),"")</f>
        <v>147.3905</v>
      </c>
      <c r="T37">
        <f ca="1">IFERROR(IF(0=LEN(ReferenceData!$T$37),"",ReferenceData!$T$37),"")</f>
        <v>152.822</v>
      </c>
      <c r="U37">
        <f ca="1">IFERROR(IF(0=LEN(ReferenceData!$U$37),"",ReferenceData!$U$37),"")</f>
        <v>151.61099999999999</v>
      </c>
      <c r="V37">
        <f ca="1">IFERROR(IF(0=LEN(ReferenceData!$V$37),"",ReferenceData!$V$37),"")</f>
        <v>150.2835</v>
      </c>
      <c r="W37">
        <f ca="1">IFERROR(IF(0=LEN(ReferenceData!$W$37),"",ReferenceData!$W$37),"")</f>
        <v>145.24599999999998</v>
      </c>
      <c r="X37">
        <f ca="1">IFERROR(IF(0=LEN(ReferenceData!$X$37),"",ReferenceData!$X$37),"")</f>
        <v>144.108</v>
      </c>
      <c r="Y37">
        <f ca="1">IFERROR(IF(0=LEN(ReferenceData!$Y$37),"",ReferenceData!$Y$37),"")</f>
        <v>138.5855</v>
      </c>
      <c r="Z37">
        <f ca="1">IFERROR(IF(0=LEN(ReferenceData!$Z$37),"",ReferenceData!$Z$37),"")</f>
        <v>135.85250000000002</v>
      </c>
      <c r="AA37">
        <f ca="1">IFERROR(IF(0=LEN(ReferenceData!$AA$37),"",ReferenceData!$AA$37),"")</f>
        <v>134.51499999999999</v>
      </c>
      <c r="AB37">
        <f ca="1">IFERROR(IF(0=LEN(ReferenceData!$AB$37),"",ReferenceData!$AB$37),"")</f>
        <v>139.614</v>
      </c>
      <c r="AC37">
        <f ca="1">IFERROR(IF(0=LEN(ReferenceData!$AC$37),"",ReferenceData!$AC$37),"")</f>
        <v>136.387</v>
      </c>
      <c r="AD37">
        <f ca="1">IFERROR(IF(0=LEN(ReferenceData!$AD$37),"",ReferenceData!$AD$37),"")</f>
        <v>137.93950000000001</v>
      </c>
      <c r="AE37">
        <f ca="1">IFERROR(IF(0=LEN(ReferenceData!$AE$37),"",ReferenceData!$AE$37),"")</f>
        <v>138.55449999999999</v>
      </c>
      <c r="AF37">
        <f ca="1">IFERROR(IF(0=LEN(ReferenceData!$AF$37),"",ReferenceData!$AF$37),"")</f>
        <v>148.27250000000001</v>
      </c>
      <c r="AG37">
        <f ca="1">IFERROR(IF(0=LEN(ReferenceData!$AG$37),"",ReferenceData!$AG$37),"")</f>
        <v>146.07150000000001</v>
      </c>
      <c r="AH37">
        <f ca="1">IFERROR(IF(0=LEN(ReferenceData!$AH$37),"",ReferenceData!$AH$37),"")</f>
        <v>144.1285</v>
      </c>
      <c r="AI37">
        <f ca="1">IFERROR(IF(0=LEN(ReferenceData!$AI$37),"",ReferenceData!$AI$37),"")</f>
        <v>145.1395</v>
      </c>
      <c r="AJ37">
        <f ca="1">IFERROR(IF(0=LEN(ReferenceData!$AJ$37),"",ReferenceData!$AJ$37),"")</f>
        <v>143.036</v>
      </c>
      <c r="AK37">
        <f ca="1">IFERROR(IF(0=LEN(ReferenceData!$AK$37),"",ReferenceData!$AK$37),"")</f>
        <v>142.178</v>
      </c>
      <c r="AL37">
        <f ca="1">IFERROR(IF(0=LEN(ReferenceData!$AL$37),"",ReferenceData!$AL$37),"")</f>
        <v>148.21850000000001</v>
      </c>
      <c r="AM37">
        <f ca="1">IFERROR(IF(0=LEN(ReferenceData!$AM$37),"",ReferenceData!$AM$37),"")</f>
        <v>165.459</v>
      </c>
      <c r="AN37">
        <f ca="1">IFERROR(IF(0=LEN(ReferenceData!$AN$37),"",ReferenceData!$AN$37),"")</f>
        <v>170.5455</v>
      </c>
      <c r="AO37">
        <f ca="1">IFERROR(IF(0=LEN(ReferenceData!$AO$37),"",ReferenceData!$AO$37),"")</f>
        <v>167.904</v>
      </c>
      <c r="AP37">
        <f ca="1">IFERROR(IF(0=LEN(ReferenceData!$AP$37),"",ReferenceData!$AP$37),"")</f>
        <v>167.3725</v>
      </c>
      <c r="AQ37">
        <f ca="1">IFERROR(IF(0=LEN(ReferenceData!$AQ$37),"",ReferenceData!$AQ$37),"")</f>
        <v>168.30600000000001</v>
      </c>
      <c r="AR37">
        <f ca="1">IFERROR(IF(0=LEN(ReferenceData!$AR$37),"",ReferenceData!$AR$37),"")</f>
        <v>191.08799999999999</v>
      </c>
      <c r="AS37">
        <f ca="1">IFERROR(IF(0=LEN(ReferenceData!$AS$37),"",ReferenceData!$AS$37),"")</f>
        <v>152.161</v>
      </c>
      <c r="AT37">
        <f ca="1">IFERROR(IF(0=LEN(ReferenceData!$AT$37),"",ReferenceData!$AT$37),"")</f>
        <v>159.09299999999999</v>
      </c>
      <c r="AU37">
        <f ca="1">IFERROR(IF(0=LEN(ReferenceData!$AU$37),"",ReferenceData!$AU$37),"")</f>
        <v>159.46100000000001</v>
      </c>
      <c r="AV37">
        <f ca="1">IFERROR(IF(0=LEN(ReferenceData!$AV$37),"",ReferenceData!$AV$37),"")</f>
        <v>163.13999999999999</v>
      </c>
      <c r="AW37">
        <f ca="1">IFERROR(IF(0=LEN(ReferenceData!$AW$37),"",ReferenceData!$AW$37),"")</f>
        <v>152.22</v>
      </c>
      <c r="AX37">
        <f ca="1">IFERROR(IF(0=LEN(ReferenceData!$AX$37),"",ReferenceData!$AX$37),"")</f>
        <v>165.584</v>
      </c>
      <c r="AY37">
        <f ca="1">IFERROR(IF(0=LEN(ReferenceData!$AY$37),"",ReferenceData!$AY$37),"")</f>
        <v>145.30500000000001</v>
      </c>
      <c r="AZ37">
        <f ca="1">IFERROR(IF(0=LEN(ReferenceData!$AZ$37),"",ReferenceData!$AZ$37),"")</f>
        <v>151.64699999999999</v>
      </c>
      <c r="BA37">
        <f ca="1">IFERROR(IF(0=LEN(ReferenceData!$BA$37),"",ReferenceData!$BA$37),"")</f>
        <v>141.577</v>
      </c>
      <c r="BB37">
        <f ca="1">IFERROR(IF(0=LEN(ReferenceData!$BB$37),"",ReferenceData!$BB$37),"")</f>
        <v>139.56</v>
      </c>
      <c r="BC37">
        <f ca="1">IFERROR(IF(0=LEN(ReferenceData!$BC$37),"",ReferenceData!$BC$37),"")</f>
        <v>106.423</v>
      </c>
      <c r="BD37">
        <f ca="1">IFERROR(IF(0=LEN(ReferenceData!$BD$37),"",ReferenceData!$BD$37),"")</f>
        <v>115.598</v>
      </c>
      <c r="BE37">
        <f ca="1">IFERROR(IF(0=LEN(ReferenceData!$BE$37),"",ReferenceData!$BE$37),"")</f>
        <v>102.64</v>
      </c>
      <c r="BF37">
        <f ca="1">IFERROR(IF(0=LEN(ReferenceData!$BF$37),"",ReferenceData!$BF$37),"")</f>
        <v>104.10299999999999</v>
      </c>
      <c r="BG37">
        <f ca="1">IFERROR(IF(0=LEN(ReferenceData!$BG$37),"",ReferenceData!$BG$37),"")</f>
        <v>96.138000000000005</v>
      </c>
      <c r="BH37">
        <f ca="1">IFERROR(IF(0=LEN(ReferenceData!$BH$37),"",ReferenceData!$BH$37),"")</f>
        <v>103.504</v>
      </c>
      <c r="BI37">
        <f ca="1">IFERROR(IF(0=LEN(ReferenceData!$BI$37),"",ReferenceData!$BI$37),"")</f>
        <v>108.36</v>
      </c>
      <c r="BJ37">
        <f ca="1">IFERROR(IF(0=LEN(ReferenceData!$BJ$37),"",ReferenceData!$BJ$37),"")</f>
        <v>119.706</v>
      </c>
      <c r="BK37">
        <f ca="1">IFERROR(IF(0=LEN(ReferenceData!$BK$37),"",ReferenceData!$BK$37),"")</f>
        <v>125.4110031</v>
      </c>
      <c r="BL37">
        <f ca="1">IFERROR(IF(0=LEN(ReferenceData!$BL$37),"",ReferenceData!$BL$37),"")</f>
        <v>107.20500180000001</v>
      </c>
      <c r="BM37">
        <f ca="1">IFERROR(IF(0=LEN(ReferenceData!$BM$37),"",ReferenceData!$BM$37),"")</f>
        <v>85.842002870000002</v>
      </c>
    </row>
    <row r="38" spans="1:65">
      <c r="A38" t="str">
        <f>IFERROR(IF(0=LEN(ReferenceData!$A$38),"",ReferenceData!$A$38),"")</f>
        <v xml:space="preserve">    Boston Properties Inc</v>
      </c>
      <c r="B38" t="str">
        <f>IFERROR(IF(0=LEN(ReferenceData!$B$38),"",ReferenceData!$B$38),"")</f>
        <v>BXP US Equity</v>
      </c>
      <c r="C38" t="str">
        <f>IFERROR(IF(0=LEN(ReferenceData!$C$38),"",ReferenceData!$C$38),"")</f>
        <v>IS010</v>
      </c>
      <c r="D38" t="str">
        <f>IFERROR(IF(0=LEN(ReferenceData!$D$38),"",ReferenceData!$D$38),"")</f>
        <v>SALES_REV_TURN</v>
      </c>
      <c r="E38" t="str">
        <f>IFERROR(IF(0=LEN(ReferenceData!$E$38),"",ReferenceData!$E$38),"")</f>
        <v>动态</v>
      </c>
      <c r="F38" t="str">
        <f ca="1">IFERROR(IF(0=LEN(ReferenceData!$F$38),"",ReferenceData!$F$38),"")</f>
        <v/>
      </c>
      <c r="G38">
        <f ca="1">IFERROR(IF(0=LEN(ReferenceData!$G$38),"",ReferenceData!$G$38),"")</f>
        <v>655.22900000000004</v>
      </c>
      <c r="H38">
        <f ca="1">IFERROR(IF(0=LEN(ReferenceData!$H$38),"",ReferenceData!$H$38),"")</f>
        <v>657.71199999999999</v>
      </c>
      <c r="I38">
        <f ca="1">IFERROR(IF(0=LEN(ReferenceData!$I$38),"",ReferenceData!$I$38),"")</f>
        <v>656.90700000000004</v>
      </c>
      <c r="J38">
        <f ca="1">IFERROR(IF(0=LEN(ReferenceData!$J$38),"",ReferenceData!$J$38),"")</f>
        <v>632.22799999999995</v>
      </c>
      <c r="K38">
        <f ca="1">IFERROR(IF(0=LEN(ReferenceData!$K$38),"",ReferenceData!$K$38),"")</f>
        <v>636.06100000000004</v>
      </c>
      <c r="L38">
        <f ca="1">IFERROR(IF(0=LEN(ReferenceData!$L$38),"",ReferenceData!$L$38),"")</f>
        <v>625.22799999999995</v>
      </c>
      <c r="M38">
        <f ca="1">IFERROR(IF(0=LEN(ReferenceData!$M$38),"",ReferenceData!$M$38),"")</f>
        <v>623.54600000000005</v>
      </c>
      <c r="N38">
        <f ca="1">IFERROR(IF(0=LEN(ReferenceData!$N$38),"",ReferenceData!$N$38),"")</f>
        <v>665.98500000000001</v>
      </c>
      <c r="O38">
        <f ca="1">IFERROR(IF(0=LEN(ReferenceData!$O$38),"",ReferenceData!$O$38),"")</f>
        <v>624.24</v>
      </c>
      <c r="P38">
        <f ca="1">IFERROR(IF(0=LEN(ReferenceData!$P$38),"",ReferenceData!$P$38),"")</f>
        <v>629.88400000000001</v>
      </c>
      <c r="Q38">
        <f ca="1">IFERROR(IF(0=LEN(ReferenceData!$Q$38),"",ReferenceData!$Q$38),"")</f>
        <v>618.221</v>
      </c>
      <c r="R38">
        <f ca="1">IFERROR(IF(0=LEN(ReferenceData!$R$38),"",ReferenceData!$R$38),"")</f>
        <v>618.476</v>
      </c>
      <c r="S38">
        <f ca="1">IFERROR(IF(0=LEN(ReferenceData!$S$38),"",ReferenceData!$S$38),"")</f>
        <v>613.70699999999999</v>
      </c>
      <c r="T38">
        <f ca="1">IFERROR(IF(0=LEN(ReferenceData!$T$38),"",ReferenceData!$T$38),"")</f>
        <v>618.803</v>
      </c>
      <c r="U38">
        <f ca="1">IFERROR(IF(0=LEN(ReferenceData!$U$38),"",ReferenceData!$U$38),"")</f>
        <v>589.79399999999998</v>
      </c>
      <c r="V38">
        <f ca="1">IFERROR(IF(0=LEN(ReferenceData!$V$38),"",ReferenceData!$V$38),"")</f>
        <v>574.69399999999996</v>
      </c>
      <c r="W38">
        <f ca="1">IFERROR(IF(0=LEN(ReferenceData!$W$38),"",ReferenceData!$W$38),"")</f>
        <v>576.19899999999996</v>
      </c>
      <c r="X38">
        <f ca="1">IFERROR(IF(0=LEN(ReferenceData!$X$38),"",ReferenceData!$X$38),"")</f>
        <v>571.48099999999999</v>
      </c>
      <c r="Y38">
        <f ca="1">IFERROR(IF(0=LEN(ReferenceData!$Y$38),"",ReferenceData!$Y$38),"")</f>
        <v>510.03300000000002</v>
      </c>
      <c r="Z38">
        <f ca="1">IFERROR(IF(0=LEN(ReferenceData!$Z$38),"",ReferenceData!$Z$38),"")</f>
        <v>477.82600000000002</v>
      </c>
      <c r="AA38">
        <f ca="1">IFERROR(IF(0=LEN(ReferenceData!$AA$38),"",ReferenceData!$AA$38),"")</f>
        <v>478.04700000000003</v>
      </c>
      <c r="AB38">
        <f ca="1">IFERROR(IF(0=LEN(ReferenceData!$AB$38),"",ReferenceData!$AB$38),"")</f>
        <v>470.904</v>
      </c>
      <c r="AC38">
        <f ca="1">IFERROR(IF(0=LEN(ReferenceData!$AC$38),"",ReferenceData!$AC$38),"")</f>
        <v>471.34899999999999</v>
      </c>
      <c r="AD38">
        <f ca="1">IFERROR(IF(0=LEN(ReferenceData!$AD$38),"",ReferenceData!$AD$38),"")</f>
        <v>443.69299999999998</v>
      </c>
      <c r="AE38">
        <f ca="1">IFERROR(IF(0=LEN(ReferenceData!$AE$38),"",ReferenceData!$AE$38),"")</f>
        <v>450.52800000000002</v>
      </c>
      <c r="AF38">
        <f ca="1">IFERROR(IF(0=LEN(ReferenceData!$AF$38),"",ReferenceData!$AF$38),"")</f>
        <v>449.70299999999997</v>
      </c>
      <c r="AG38">
        <f ca="1">IFERROR(IF(0=LEN(ReferenceData!$AG$38),"",ReferenceData!$AG$38),"")</f>
        <v>433.86700000000002</v>
      </c>
      <c r="AH38">
        <f ca="1">IFERROR(IF(0=LEN(ReferenceData!$AH$38),"",ReferenceData!$AH$38),"")</f>
        <v>417.214</v>
      </c>
      <c r="AI38">
        <f ca="1">IFERROR(IF(0=LEN(ReferenceData!$AI$38),"",ReferenceData!$AI$38),"")</f>
        <v>392.48200000000003</v>
      </c>
      <c r="AJ38">
        <f ca="1">IFERROR(IF(0=LEN(ReferenceData!$AJ$38),"",ReferenceData!$AJ$38),"")</f>
        <v>386.41</v>
      </c>
      <c r="AK38">
        <f ca="1">IFERROR(IF(0=LEN(ReferenceData!$AK$38),"",ReferenceData!$AK$38),"")</f>
        <v>395.95800000000003</v>
      </c>
      <c r="AL38">
        <f ca="1">IFERROR(IF(0=LEN(ReferenceData!$AL$38),"",ReferenceData!$AL$38),"")</f>
        <v>378.07100000000003</v>
      </c>
      <c r="AM38">
        <f ca="1">IFERROR(IF(0=LEN(ReferenceData!$AM$38),"",ReferenceData!$AM$38),"")</f>
        <v>376.12799999999999</v>
      </c>
      <c r="AN38">
        <f ca="1">IFERROR(IF(0=LEN(ReferenceData!$AN$38),"",ReferenceData!$AN$38),"")</f>
        <v>377.303</v>
      </c>
      <c r="AO38">
        <f ca="1">IFERROR(IF(0=LEN(ReferenceData!$AO$38),"",ReferenceData!$AO$38),"")</f>
        <v>389.49</v>
      </c>
      <c r="AP38">
        <f ca="1">IFERROR(IF(0=LEN(ReferenceData!$AP$38),"",ReferenceData!$AP$38),"")</f>
        <v>377.54399999999998</v>
      </c>
      <c r="AQ38">
        <f ca="1">IFERROR(IF(0=LEN(ReferenceData!$AQ$38),"",ReferenceData!$AQ$38),"")</f>
        <v>390.3</v>
      </c>
      <c r="AR38">
        <f ca="1">IFERROR(IF(0=LEN(ReferenceData!$AR$38),"",ReferenceData!$AR$38),"")</f>
        <v>357.988</v>
      </c>
      <c r="AS38">
        <f ca="1">IFERROR(IF(0=LEN(ReferenceData!$AS$38),"",ReferenceData!$AS$38),"")</f>
        <v>368.68</v>
      </c>
      <c r="AT38">
        <f ca="1">IFERROR(IF(0=LEN(ReferenceData!$AT$38),"",ReferenceData!$AT$38),"")</f>
        <v>371.43200000000002</v>
      </c>
      <c r="AU38">
        <f ca="1">IFERROR(IF(0=LEN(ReferenceData!$AU$38),"",ReferenceData!$AU$38),"")</f>
        <v>380.79</v>
      </c>
      <c r="AV38">
        <f ca="1">IFERROR(IF(0=LEN(ReferenceData!$AV$38),"",ReferenceData!$AV$38),"")</f>
        <v>368.584</v>
      </c>
      <c r="AW38">
        <f ca="1">IFERROR(IF(0=LEN(ReferenceData!$AW$38),"",ReferenceData!$AW$38),"")</f>
        <v>372.21300000000002</v>
      </c>
      <c r="AX38">
        <f ca="1">IFERROR(IF(0=LEN(ReferenceData!$AX$38),"",ReferenceData!$AX$38),"")</f>
        <v>360.70299999999997</v>
      </c>
      <c r="AY38">
        <f ca="1">IFERROR(IF(0=LEN(ReferenceData!$AY$38),"",ReferenceData!$AY$38),"")</f>
        <v>352.66899999999998</v>
      </c>
      <c r="AZ38">
        <f ca="1">IFERROR(IF(0=LEN(ReferenceData!$AZ$38),"",ReferenceData!$AZ$38),"")</f>
        <v>359.49700000000001</v>
      </c>
      <c r="BA38">
        <f ca="1">IFERROR(IF(0=LEN(ReferenceData!$BA$38),"",ReferenceData!$BA$38),"")</f>
        <v>357.911</v>
      </c>
      <c r="BB38">
        <f ca="1">IFERROR(IF(0=LEN(ReferenceData!$BB$38),"",ReferenceData!$BB$38),"")</f>
        <v>347.55</v>
      </c>
      <c r="BC38">
        <f ca="1">IFERROR(IF(0=LEN(ReferenceData!$BC$38),"",ReferenceData!$BC$38),"")</f>
        <v>366.33300000000003</v>
      </c>
      <c r="BD38">
        <f ca="1">IFERROR(IF(0=LEN(ReferenceData!$BD$38),"",ReferenceData!$BD$38),"")</f>
        <v>359.09399999999999</v>
      </c>
      <c r="BE38">
        <f ca="1">IFERROR(IF(0=LEN(ReferenceData!$BE$38),"",ReferenceData!$BE$38),"")</f>
        <v>357.935</v>
      </c>
      <c r="BF38">
        <f ca="1">IFERROR(IF(0=LEN(ReferenceData!$BF$38),"",ReferenceData!$BF$38),"")</f>
        <v>354.27300000000002</v>
      </c>
      <c r="BG38">
        <f ca="1">IFERROR(IF(0=LEN(ReferenceData!$BG$38),"",ReferenceData!$BG$38),"")</f>
        <v>359.31599999999997</v>
      </c>
      <c r="BH38">
        <f ca="1">IFERROR(IF(0=LEN(ReferenceData!$BH$38),"",ReferenceData!$BH$38),"")</f>
        <v>359.137</v>
      </c>
      <c r="BI38">
        <f ca="1">IFERROR(IF(0=LEN(ReferenceData!$BI$38),"",ReferenceData!$BI$38),"")</f>
        <v>345.13299999999998</v>
      </c>
      <c r="BJ38">
        <f ca="1">IFERROR(IF(0=LEN(ReferenceData!$BJ$38),"",ReferenceData!$BJ$38),"")</f>
        <v>333.654</v>
      </c>
      <c r="BK38">
        <f ca="1">IFERROR(IF(0=LEN(ReferenceData!$BK$38),"",ReferenceData!$BK$38),"")</f>
        <v>333.90499899999998</v>
      </c>
      <c r="BL38">
        <f ca="1">IFERROR(IF(0=LEN(ReferenceData!$BL$38),"",ReferenceData!$BL$38),"")</f>
        <v>328.08999599999999</v>
      </c>
      <c r="BM38">
        <f ca="1">IFERROR(IF(0=LEN(ReferenceData!$BM$38),"",ReferenceData!$BM$38),"")</f>
        <v>321.09500000000003</v>
      </c>
    </row>
    <row r="39" spans="1:65">
      <c r="A39" t="str">
        <f>IFERROR(IF(0=LEN(ReferenceData!$A$39),"",ReferenceData!$A$39),"")</f>
        <v xml:space="preserve">    Brandywine Realty Trust</v>
      </c>
      <c r="B39" t="str">
        <f>IFERROR(IF(0=LEN(ReferenceData!$B$39),"",ReferenceData!$B$39),"")</f>
        <v>BDN US Equity</v>
      </c>
      <c r="C39" t="str">
        <f>IFERROR(IF(0=LEN(ReferenceData!$C$39),"",ReferenceData!$C$39),"")</f>
        <v>IS010</v>
      </c>
      <c r="D39" t="str">
        <f>IFERROR(IF(0=LEN(ReferenceData!$D$39),"",ReferenceData!$D$39),"")</f>
        <v>SALES_REV_TURN</v>
      </c>
      <c r="E39" t="str">
        <f>IFERROR(IF(0=LEN(ReferenceData!$E$39),"",ReferenceData!$E$39),"")</f>
        <v>动态</v>
      </c>
      <c r="F39" t="str">
        <f ca="1">IFERROR(IF(0=LEN(ReferenceData!$F$39),"",ReferenceData!$F$39),"")</f>
        <v/>
      </c>
      <c r="G39">
        <f ca="1">IFERROR(IF(0=LEN(ReferenceData!$G$39),"",ReferenceData!$G$39),"")</f>
        <v>133.34399999999999</v>
      </c>
      <c r="H39">
        <f ca="1">IFERROR(IF(0=LEN(ReferenceData!$H$39),"",ReferenceData!$H$39),"")</f>
        <v>128.43799999999999</v>
      </c>
      <c r="I39">
        <f ca="1">IFERROR(IF(0=LEN(ReferenceData!$I$39),"",ReferenceData!$I$39),"")</f>
        <v>127.791</v>
      </c>
      <c r="J39">
        <f ca="1">IFERROR(IF(0=LEN(ReferenceData!$J$39),"",ReferenceData!$J$39),"")</f>
        <v>130.91999999999999</v>
      </c>
      <c r="K39">
        <f ca="1">IFERROR(IF(0=LEN(ReferenceData!$K$39),"",ReferenceData!$K$39),"")</f>
        <v>132.08600000000001</v>
      </c>
      <c r="L39">
        <f ca="1">IFERROR(IF(0=LEN(ReferenceData!$L$39),"",ReferenceData!$L$39),"")</f>
        <v>129.69399999999999</v>
      </c>
      <c r="M39">
        <f ca="1">IFERROR(IF(0=LEN(ReferenceData!$M$39),"",ReferenceData!$M$39),"")</f>
        <v>127.181</v>
      </c>
      <c r="N39">
        <f ca="1">IFERROR(IF(0=LEN(ReferenceData!$N$39),"",ReferenceData!$N$39),"")</f>
        <v>136.50200000000001</v>
      </c>
      <c r="O39">
        <f ca="1">IFERROR(IF(0=LEN(ReferenceData!$O$39),"",ReferenceData!$O$39),"")</f>
        <v>153.99199999999999</v>
      </c>
      <c r="P39">
        <f ca="1">IFERROR(IF(0=LEN(ReferenceData!$P$39),"",ReferenceData!$P$39),"")</f>
        <v>152.58500000000001</v>
      </c>
      <c r="Q39">
        <f ca="1">IFERROR(IF(0=LEN(ReferenceData!$Q$39),"",ReferenceData!$Q$39),"")</f>
        <v>145.648</v>
      </c>
      <c r="R39">
        <f ca="1">IFERROR(IF(0=LEN(ReferenceData!$R$39),"",ReferenceData!$R$39),"")</f>
        <v>150.40600000000001</v>
      </c>
      <c r="S39">
        <f ca="1">IFERROR(IF(0=LEN(ReferenceData!$S$39),"",ReferenceData!$S$39),"")</f>
        <v>147.81</v>
      </c>
      <c r="T39">
        <f ca="1">IFERROR(IF(0=LEN(ReferenceData!$T$39),"",ReferenceData!$T$39),"")</f>
        <v>146.55799999999999</v>
      </c>
      <c r="U39">
        <f ca="1">IFERROR(IF(0=LEN(ReferenceData!$U$39),"",ReferenceData!$U$39),"")</f>
        <v>150.5</v>
      </c>
      <c r="V39">
        <f ca="1">IFERROR(IF(0=LEN(ReferenceData!$V$39),"",ReferenceData!$V$39),"")</f>
        <v>152.114</v>
      </c>
      <c r="W39">
        <f ca="1">IFERROR(IF(0=LEN(ReferenceData!$W$39),"",ReferenceData!$W$39),"")</f>
        <v>138.65799999999999</v>
      </c>
      <c r="X39">
        <f ca="1">IFERROR(IF(0=LEN(ReferenceData!$X$39),"",ReferenceData!$X$39),"")</f>
        <v>143.35400000000001</v>
      </c>
      <c r="Y39">
        <f ca="1">IFERROR(IF(0=LEN(ReferenceData!$Y$39),"",ReferenceData!$Y$39),"")</f>
        <v>140.64400000000001</v>
      </c>
      <c r="Z39">
        <f ca="1">IFERROR(IF(0=LEN(ReferenceData!$Z$39),"",ReferenceData!$Z$39),"")</f>
        <v>139.554</v>
      </c>
      <c r="AA39">
        <f ca="1">IFERROR(IF(0=LEN(ReferenceData!$AA$39),"",ReferenceData!$AA$39),"")</f>
        <v>136.39500000000001</v>
      </c>
      <c r="AB39">
        <f ca="1">IFERROR(IF(0=LEN(ReferenceData!$AB$39),"",ReferenceData!$AB$39),"")</f>
        <v>134.52000000000001</v>
      </c>
      <c r="AC39">
        <f ca="1">IFERROR(IF(0=LEN(ReferenceData!$AC$39),"",ReferenceData!$AC$39),"")</f>
        <v>131.803</v>
      </c>
      <c r="AD39">
        <f ca="1">IFERROR(IF(0=LEN(ReferenceData!$AD$39),"",ReferenceData!$AD$39),"")</f>
        <v>134.53899999999999</v>
      </c>
      <c r="AE39">
        <f ca="1">IFERROR(IF(0=LEN(ReferenceData!$AE$39),"",ReferenceData!$AE$39),"")</f>
        <v>141.48599999999999</v>
      </c>
      <c r="AF39">
        <f ca="1">IFERROR(IF(0=LEN(ReferenceData!$AF$39),"",ReferenceData!$AF$39),"")</f>
        <v>139.40100000000001</v>
      </c>
      <c r="AG39">
        <f ca="1">IFERROR(IF(0=LEN(ReferenceData!$AG$39),"",ReferenceData!$AG$39),"")</f>
        <v>139.249</v>
      </c>
      <c r="AH39">
        <f ca="1">IFERROR(IF(0=LEN(ReferenceData!$AH$39),"",ReferenceData!$AH$39),"")</f>
        <v>144.298</v>
      </c>
      <c r="AI39">
        <f ca="1">IFERROR(IF(0=LEN(ReferenceData!$AI$39),"",ReferenceData!$AI$39),"")</f>
        <v>146.084</v>
      </c>
      <c r="AJ39">
        <f ca="1">IFERROR(IF(0=LEN(ReferenceData!$AJ$39),"",ReferenceData!$AJ$39),"")</f>
        <v>141.49199999999999</v>
      </c>
      <c r="AK39">
        <f ca="1">IFERROR(IF(0=LEN(ReferenceData!$AK$39),"",ReferenceData!$AK$39),"")</f>
        <v>135.49700000000001</v>
      </c>
      <c r="AL39">
        <f ca="1">IFERROR(IF(0=LEN(ReferenceData!$AL$39),"",ReferenceData!$AL$39),"")</f>
        <v>141.434</v>
      </c>
      <c r="AM39">
        <f ca="1">IFERROR(IF(0=LEN(ReferenceData!$AM$39),"",ReferenceData!$AM$39),"")</f>
        <v>146.63499999999999</v>
      </c>
      <c r="AN39">
        <f ca="1">IFERROR(IF(0=LEN(ReferenceData!$AN$39),"",ReferenceData!$AN$39),"")</f>
        <v>145.934</v>
      </c>
      <c r="AO39">
        <f ca="1">IFERROR(IF(0=LEN(ReferenceData!$AO$39),"",ReferenceData!$AO$39),"")</f>
        <v>142.07400000000001</v>
      </c>
      <c r="AP39">
        <f ca="1">IFERROR(IF(0=LEN(ReferenceData!$AP$39),"",ReferenceData!$AP$39),"")</f>
        <v>146.73099999999999</v>
      </c>
      <c r="AQ39">
        <f ca="1">IFERROR(IF(0=LEN(ReferenceData!$AQ$39),"",ReferenceData!$AQ$39),"")</f>
        <v>149.11000000000001</v>
      </c>
      <c r="AR39">
        <f ca="1">IFERROR(IF(0=LEN(ReferenceData!$AR$39),"",ReferenceData!$AR$39),"")</f>
        <v>144.33799999999999</v>
      </c>
      <c r="AS39">
        <f ca="1">IFERROR(IF(0=LEN(ReferenceData!$AS$39),"",ReferenceData!$AS$39),"")</f>
        <v>150.76599999999999</v>
      </c>
      <c r="AT39">
        <f ca="1">IFERROR(IF(0=LEN(ReferenceData!$AT$39),"",ReferenceData!$AT$39),"")</f>
        <v>152.244</v>
      </c>
      <c r="AU39">
        <f ca="1">IFERROR(IF(0=LEN(ReferenceData!$AU$39),"",ReferenceData!$AU$39),"")</f>
        <v>159.46100000000001</v>
      </c>
      <c r="AV39">
        <f ca="1">IFERROR(IF(0=LEN(ReferenceData!$AV$39),"",ReferenceData!$AV$39),"")</f>
        <v>163.13999999999999</v>
      </c>
      <c r="AW39">
        <f ca="1">IFERROR(IF(0=LEN(ReferenceData!$AW$39),"",ReferenceData!$AW$39),"")</f>
        <v>152.22</v>
      </c>
      <c r="AX39">
        <f ca="1">IFERROR(IF(0=LEN(ReferenceData!$AX$39),"",ReferenceData!$AX$39),"")</f>
        <v>165.584</v>
      </c>
      <c r="AY39">
        <f ca="1">IFERROR(IF(0=LEN(ReferenceData!$AY$39),"",ReferenceData!$AY$39),"")</f>
        <v>176.54499999999999</v>
      </c>
      <c r="AZ39">
        <f ca="1">IFERROR(IF(0=LEN(ReferenceData!$AZ$39),"",ReferenceData!$AZ$39),"")</f>
        <v>164.92099999999999</v>
      </c>
      <c r="BA39">
        <f ca="1">IFERROR(IF(0=LEN(ReferenceData!$BA$39),"",ReferenceData!$BA$39),"")</f>
        <v>153.00200000000001</v>
      </c>
      <c r="BB39">
        <f ca="1">IFERROR(IF(0=LEN(ReferenceData!$BB$39),"",ReferenceData!$BB$39),"")</f>
        <v>146.56800000000001</v>
      </c>
      <c r="BC39">
        <f ca="1">IFERROR(IF(0=LEN(ReferenceData!$BC$39),"",ReferenceData!$BC$39),"")</f>
        <v>97.66</v>
      </c>
      <c r="BD39">
        <f ca="1">IFERROR(IF(0=LEN(ReferenceData!$BD$39),"",ReferenceData!$BD$39),"")</f>
        <v>95.331000000000003</v>
      </c>
      <c r="BE39">
        <f ca="1">IFERROR(IF(0=LEN(ReferenceData!$BE$39),"",ReferenceData!$BE$39),"")</f>
        <v>95.751000000000005</v>
      </c>
      <c r="BF39">
        <f ca="1">IFERROR(IF(0=LEN(ReferenceData!$BF$39),"",ReferenceData!$BF$39),"")</f>
        <v>99.703999999999994</v>
      </c>
      <c r="BG39">
        <f ca="1">IFERROR(IF(0=LEN(ReferenceData!$BG$39),"",ReferenceData!$BG$39),"")</f>
        <v>96.138000000000005</v>
      </c>
      <c r="BH39">
        <f ca="1">IFERROR(IF(0=LEN(ReferenceData!$BH$39),"",ReferenceData!$BH$39),"")</f>
        <v>79.457999999999998</v>
      </c>
      <c r="BI39">
        <f ca="1">IFERROR(IF(0=LEN(ReferenceData!$BI$39),"",ReferenceData!$BI$39),"")</f>
        <v>76.754999999999995</v>
      </c>
      <c r="BJ39">
        <f ca="1">IFERROR(IF(0=LEN(ReferenceData!$BJ$39),"",ReferenceData!$BJ$39),"")</f>
        <v>73.86</v>
      </c>
      <c r="BK39" t="str">
        <f ca="1">IFERROR(IF(0=LEN(ReferenceData!$BK$39),"",ReferenceData!$BK$39),"")</f>
        <v/>
      </c>
      <c r="BL39">
        <f ca="1">IFERROR(IF(0=LEN(ReferenceData!$BL$39),"",ReferenceData!$BL$39),"")</f>
        <v>77.003</v>
      </c>
      <c r="BM39">
        <f ca="1">IFERROR(IF(0=LEN(ReferenceData!$BM$39),"",ReferenceData!$BM$39),"")</f>
        <v>74.463999999999999</v>
      </c>
    </row>
    <row r="40" spans="1:65">
      <c r="A40" t="str">
        <f>IFERROR(IF(0=LEN(ReferenceData!$A$40),"",ReferenceData!$A$40),"")</f>
        <v xml:space="preserve">    Columbia Property Trust Inc</v>
      </c>
      <c r="B40" t="str">
        <f>IFERROR(IF(0=LEN(ReferenceData!$B$40),"",ReferenceData!$B$40),"")</f>
        <v>CXP US Equity</v>
      </c>
      <c r="C40" t="str">
        <f>IFERROR(IF(0=LEN(ReferenceData!$C$40),"",ReferenceData!$C$40),"")</f>
        <v>IS010</v>
      </c>
      <c r="D40" t="str">
        <f>IFERROR(IF(0=LEN(ReferenceData!$D$40),"",ReferenceData!$D$40),"")</f>
        <v>SALES_REV_TURN</v>
      </c>
      <c r="E40" t="str">
        <f>IFERROR(IF(0=LEN(ReferenceData!$E$40),"",ReferenceData!$E$40),"")</f>
        <v>动态</v>
      </c>
      <c r="F40" t="str">
        <f ca="1">IFERROR(IF(0=LEN(ReferenceData!$F$40),"",ReferenceData!$F$40),"")</f>
        <v/>
      </c>
      <c r="G40">
        <f ca="1">IFERROR(IF(0=LEN(ReferenceData!$G$40),"",ReferenceData!$G$40),"")</f>
        <v>71.625</v>
      </c>
      <c r="H40">
        <f ca="1">IFERROR(IF(0=LEN(ReferenceData!$H$40),"",ReferenceData!$H$40),"")</f>
        <v>60.362000000000002</v>
      </c>
      <c r="I40">
        <f ca="1">IFERROR(IF(0=LEN(ReferenceData!$I$40),"",ReferenceData!$I$40),"")</f>
        <v>74.856999999999999</v>
      </c>
      <c r="J40">
        <f ca="1">IFERROR(IF(0=LEN(ReferenceData!$J$40),"",ReferenceData!$J$40),"")</f>
        <v>82.156000000000006</v>
      </c>
      <c r="K40">
        <f ca="1">IFERROR(IF(0=LEN(ReferenceData!$K$40),"",ReferenceData!$K$40),"")</f>
        <v>105.768</v>
      </c>
      <c r="L40">
        <f ca="1">IFERROR(IF(0=LEN(ReferenceData!$L$40),"",ReferenceData!$L$40),"")</f>
        <v>113.26600000000001</v>
      </c>
      <c r="M40">
        <f ca="1">IFERROR(IF(0=LEN(ReferenceData!$M$40),"",ReferenceData!$M$40),"")</f>
        <v>127.93</v>
      </c>
      <c r="N40">
        <f ca="1">IFERROR(IF(0=LEN(ReferenceData!$N$40),"",ReferenceData!$N$40),"")</f>
        <v>126.57899999999999</v>
      </c>
      <c r="O40">
        <f ca="1">IFERROR(IF(0=LEN(ReferenceData!$O$40),"",ReferenceData!$O$40),"")</f>
        <v>132.679</v>
      </c>
      <c r="P40">
        <f ca="1">IFERROR(IF(0=LEN(ReferenceData!$P$40),"",ReferenceData!$P$40),"")</f>
        <v>137.71899999999999</v>
      </c>
      <c r="Q40">
        <f ca="1">IFERROR(IF(0=LEN(ReferenceData!$Q$40),"",ReferenceData!$Q$40),"")</f>
        <v>148.124</v>
      </c>
      <c r="R40">
        <f ca="1">IFERROR(IF(0=LEN(ReferenceData!$R$40),"",ReferenceData!$R$40),"")</f>
        <v>147.54300000000001</v>
      </c>
      <c r="S40">
        <f ca="1">IFERROR(IF(0=LEN(ReferenceData!$S$40),"",ReferenceData!$S$40),"")</f>
        <v>137.89099999999999</v>
      </c>
      <c r="T40">
        <f ca="1">IFERROR(IF(0=LEN(ReferenceData!$T$40),"",ReferenceData!$T$40),"")</f>
        <v>136.98099999999999</v>
      </c>
      <c r="U40">
        <f ca="1">IFERROR(IF(0=LEN(ReferenceData!$U$40),"",ReferenceData!$U$40),"")</f>
        <v>136.75700000000001</v>
      </c>
      <c r="V40">
        <f ca="1">IFERROR(IF(0=LEN(ReferenceData!$V$40),"",ReferenceData!$V$40),"")</f>
        <v>129.16800000000001</v>
      </c>
      <c r="W40">
        <f ca="1">IFERROR(IF(0=LEN(ReferenceData!$W$40),"",ReferenceData!$W$40),"")</f>
        <v>133.387</v>
      </c>
      <c r="X40">
        <f ca="1">IFERROR(IF(0=LEN(ReferenceData!$X$40),"",ReferenceData!$X$40),"")</f>
        <v>132.50200000000001</v>
      </c>
      <c r="Y40">
        <f ca="1">IFERROR(IF(0=LEN(ReferenceData!$Y$40),"",ReferenceData!$Y$40),"")</f>
        <v>131.89699999999999</v>
      </c>
      <c r="Z40">
        <f ca="1">IFERROR(IF(0=LEN(ReferenceData!$Z$40),"",ReferenceData!$Z$40),"")</f>
        <v>128.792</v>
      </c>
      <c r="AA40">
        <f ca="1">IFERROR(IF(0=LEN(ReferenceData!$AA$40),"",ReferenceData!$AA$40),"")</f>
        <v>125.503</v>
      </c>
      <c r="AB40">
        <f ca="1">IFERROR(IF(0=LEN(ReferenceData!$AB$40),"",ReferenceData!$AB$40),"")</f>
        <v>144.708</v>
      </c>
      <c r="AC40">
        <f ca="1">IFERROR(IF(0=LEN(ReferenceData!$AC$40),"",ReferenceData!$AC$40),"")</f>
        <v>140.971</v>
      </c>
      <c r="AD40">
        <f ca="1">IFERROR(IF(0=LEN(ReferenceData!$AD$40),"",ReferenceData!$AD$40),"")</f>
        <v>141.34</v>
      </c>
      <c r="AE40">
        <f ca="1">IFERROR(IF(0=LEN(ReferenceData!$AE$40),"",ReferenceData!$AE$40),"")</f>
        <v>122.392</v>
      </c>
      <c r="AF40">
        <f ca="1">IFERROR(IF(0=LEN(ReferenceData!$AF$40),"",ReferenceData!$AF$40),"")</f>
        <v>157.14400000000001</v>
      </c>
      <c r="AG40">
        <f ca="1">IFERROR(IF(0=LEN(ReferenceData!$AG$40),"",ReferenceData!$AG$40),"")</f>
        <v>152.89400000000001</v>
      </c>
      <c r="AH40">
        <f ca="1">IFERROR(IF(0=LEN(ReferenceData!$AH$40),"",ReferenceData!$AH$40),"")</f>
        <v>143.959</v>
      </c>
      <c r="AI40">
        <f ca="1">IFERROR(IF(0=LEN(ReferenceData!$AI$40),"",ReferenceData!$AI$40),"")</f>
        <v>130.66399999999999</v>
      </c>
      <c r="AJ40">
        <f ca="1">IFERROR(IF(0=LEN(ReferenceData!$AJ$40),"",ReferenceData!$AJ$40),"")</f>
        <v>144.58000000000001</v>
      </c>
      <c r="AK40">
        <f ca="1">IFERROR(IF(0=LEN(ReferenceData!$AK$40),"",ReferenceData!$AK$40),"")</f>
        <v>140.089</v>
      </c>
      <c r="AL40">
        <f ca="1">IFERROR(IF(0=LEN(ReferenceData!$AL$40),"",ReferenceData!$AL$40),"")</f>
        <v>135.57400000000001</v>
      </c>
      <c r="AM40">
        <f ca="1">IFERROR(IF(0=LEN(ReferenceData!$AM$40),"",ReferenceData!$AM$40),"")</f>
        <v>152.62799999999999</v>
      </c>
      <c r="AN40">
        <f ca="1">IFERROR(IF(0=LEN(ReferenceData!$AN$40),"",ReferenceData!$AN$40),"")</f>
        <v>137.79400000000001</v>
      </c>
      <c r="AO40">
        <f ca="1">IFERROR(IF(0=LEN(ReferenceData!$AO$40),"",ReferenceData!$AO$40),"")</f>
        <v>139.65299999999999</v>
      </c>
      <c r="AP40">
        <f ca="1">IFERROR(IF(0=LEN(ReferenceData!$AP$40),"",ReferenceData!$AP$40),"")</f>
        <v>137.33699999999999</v>
      </c>
      <c r="AQ40" t="str">
        <f ca="1">IFERROR(IF(0=LEN(ReferenceData!$AQ$40),"",ReferenceData!$AQ$40),"")</f>
        <v/>
      </c>
      <c r="AR40" t="str">
        <f ca="1">IFERROR(IF(0=LEN(ReferenceData!$AR$40),"",ReferenceData!$AR$40),"")</f>
        <v/>
      </c>
      <c r="AS40" t="str">
        <f ca="1">IFERROR(IF(0=LEN(ReferenceData!$AS$40),"",ReferenceData!$AS$40),"")</f>
        <v/>
      </c>
      <c r="AT40" t="str">
        <f ca="1">IFERROR(IF(0=LEN(ReferenceData!$AT$40),"",ReferenceData!$AT$40),"")</f>
        <v/>
      </c>
      <c r="AU40" t="str">
        <f ca="1">IFERROR(IF(0=LEN(ReferenceData!$AU$40),"",ReferenceData!$AU$40),"")</f>
        <v/>
      </c>
      <c r="AV40" t="str">
        <f ca="1">IFERROR(IF(0=LEN(ReferenceData!$AV$40),"",ReferenceData!$AV$40),"")</f>
        <v/>
      </c>
      <c r="AW40" t="str">
        <f ca="1">IFERROR(IF(0=LEN(ReferenceData!$AW$40),"",ReferenceData!$AW$40),"")</f>
        <v/>
      </c>
      <c r="AX40" t="str">
        <f ca="1">IFERROR(IF(0=LEN(ReferenceData!$AX$40),"",ReferenceData!$AX$40),"")</f>
        <v/>
      </c>
      <c r="AY40" t="str">
        <f ca="1">IFERROR(IF(0=LEN(ReferenceData!$AY$40),"",ReferenceData!$AY$40),"")</f>
        <v/>
      </c>
      <c r="AZ40" t="str">
        <f ca="1">IFERROR(IF(0=LEN(ReferenceData!$AZ$40),"",ReferenceData!$AZ$40),"")</f>
        <v/>
      </c>
      <c r="BA40" t="str">
        <f ca="1">IFERROR(IF(0=LEN(ReferenceData!$BA$40),"",ReferenceData!$BA$40),"")</f>
        <v/>
      </c>
      <c r="BB40" t="str">
        <f ca="1">IFERROR(IF(0=LEN(ReferenceData!$BB$40),"",ReferenceData!$BB$40),"")</f>
        <v/>
      </c>
      <c r="BC40" t="str">
        <f ca="1">IFERROR(IF(0=LEN(ReferenceData!$BC$40),"",ReferenceData!$BC$40),"")</f>
        <v/>
      </c>
      <c r="BD40" t="str">
        <f ca="1">IFERROR(IF(0=LEN(ReferenceData!$BD$40),"",ReferenceData!$BD$40),"")</f>
        <v/>
      </c>
      <c r="BE40" t="str">
        <f ca="1">IFERROR(IF(0=LEN(ReferenceData!$BE$40),"",ReferenceData!$BE$40),"")</f>
        <v/>
      </c>
      <c r="BF40" t="str">
        <f ca="1">IFERROR(IF(0=LEN(ReferenceData!$BF$40),"",ReferenceData!$BF$40),"")</f>
        <v/>
      </c>
      <c r="BG40" t="str">
        <f ca="1">IFERROR(IF(0=LEN(ReferenceData!$BG$40),"",ReferenceData!$BG$40),"")</f>
        <v/>
      </c>
      <c r="BH40" t="str">
        <f ca="1">IFERROR(IF(0=LEN(ReferenceData!$BH$40),"",ReferenceData!$BH$40),"")</f>
        <v/>
      </c>
      <c r="BI40" t="str">
        <f ca="1">IFERROR(IF(0=LEN(ReferenceData!$BI$40),"",ReferenceData!$BI$40),"")</f>
        <v/>
      </c>
      <c r="BJ40" t="str">
        <f ca="1">IFERROR(IF(0=LEN(ReferenceData!$BJ$40),"",ReferenceData!$BJ$40),"")</f>
        <v/>
      </c>
      <c r="BK40" t="str">
        <f ca="1">IFERROR(IF(0=LEN(ReferenceData!$BK$40),"",ReferenceData!$BK$40),"")</f>
        <v/>
      </c>
      <c r="BL40" t="str">
        <f ca="1">IFERROR(IF(0=LEN(ReferenceData!$BL$40),"",ReferenceData!$BL$40),"")</f>
        <v/>
      </c>
      <c r="BM40" t="str">
        <f ca="1">IFERROR(IF(0=LEN(ReferenceData!$BM$40),"",ReferenceData!$BM$40),"")</f>
        <v/>
      </c>
    </row>
    <row r="41" spans="1:65">
      <c r="A41" t="str">
        <f>IFERROR(IF(0=LEN(ReferenceData!$A$41),"",ReferenceData!$A$41),"")</f>
        <v xml:space="preserve">    Corporate Office Properties Tr</v>
      </c>
      <c r="B41" t="str">
        <f>IFERROR(IF(0=LEN(ReferenceData!$B$41),"",ReferenceData!$B$41),"")</f>
        <v>OFC US Equity</v>
      </c>
      <c r="C41" t="str">
        <f>IFERROR(IF(0=LEN(ReferenceData!$C$41),"",ReferenceData!$C$41),"")</f>
        <v>IS010</v>
      </c>
      <c r="D41" t="str">
        <f>IFERROR(IF(0=LEN(ReferenceData!$D$41),"",ReferenceData!$D$41),"")</f>
        <v>SALES_REV_TURN</v>
      </c>
      <c r="E41" t="str">
        <f>IFERROR(IF(0=LEN(ReferenceData!$E$41),"",ReferenceData!$E$41),"")</f>
        <v>动态</v>
      </c>
      <c r="F41" t="str">
        <f ca="1">IFERROR(IF(0=LEN(ReferenceData!$F$41),"",ReferenceData!$F$41),"")</f>
        <v/>
      </c>
      <c r="G41">
        <f ca="1">IFERROR(IF(0=LEN(ReferenceData!$G$41),"",ReferenceData!$G$41),"")</f>
        <v>164.56700000000001</v>
      </c>
      <c r="H41">
        <f ca="1">IFERROR(IF(0=LEN(ReferenceData!$H$41),"",ReferenceData!$H$41),"")</f>
        <v>157.017</v>
      </c>
      <c r="I41">
        <f ca="1">IFERROR(IF(0=LEN(ReferenceData!$I$41),"",ReferenceData!$I$41),"")</f>
        <v>151.435</v>
      </c>
      <c r="J41">
        <f ca="1">IFERROR(IF(0=LEN(ReferenceData!$J$41),"",ReferenceData!$J$41),"")</f>
        <v>139.80099999999999</v>
      </c>
      <c r="K41">
        <f ca="1">IFERROR(IF(0=LEN(ReferenceData!$K$41),"",ReferenceData!$K$41),"")</f>
        <v>141.99100000000001</v>
      </c>
      <c r="L41">
        <f ca="1">IFERROR(IF(0=LEN(ReferenceData!$L$41),"",ReferenceData!$L$41),"")</f>
        <v>142.10300000000001</v>
      </c>
      <c r="M41">
        <f ca="1">IFERROR(IF(0=LEN(ReferenceData!$M$41),"",ReferenceData!$M$41),"")</f>
        <v>145.92699999999999</v>
      </c>
      <c r="N41">
        <f ca="1">IFERROR(IF(0=LEN(ReferenceData!$N$41),"",ReferenceData!$N$41),"")</f>
        <v>144.30699999999999</v>
      </c>
      <c r="O41">
        <f ca="1">IFERROR(IF(0=LEN(ReferenceData!$O$41),"",ReferenceData!$O$41),"")</f>
        <v>143.32499999999999</v>
      </c>
      <c r="P41">
        <f ca="1">IFERROR(IF(0=LEN(ReferenceData!$P$41),"",ReferenceData!$P$41),"")</f>
        <v>150.744</v>
      </c>
      <c r="Q41">
        <f ca="1">IFERROR(IF(0=LEN(ReferenceData!$Q$41),"",ReferenceData!$Q$41),"")</f>
        <v>170.363</v>
      </c>
      <c r="R41">
        <f ca="1">IFERROR(IF(0=LEN(ReferenceData!$R$41),"",ReferenceData!$R$41),"")</f>
        <v>161.03399999999999</v>
      </c>
      <c r="S41">
        <f ca="1">IFERROR(IF(0=LEN(ReferenceData!$S$41),"",ReferenceData!$S$41),"")</f>
        <v>146.971</v>
      </c>
      <c r="T41">
        <f ca="1">IFERROR(IF(0=LEN(ReferenceData!$T$41),"",ReferenceData!$T$41),"")</f>
        <v>153.01499999999999</v>
      </c>
      <c r="U41">
        <f ca="1">IFERROR(IF(0=LEN(ReferenceData!$U$41),"",ReferenceData!$U$41),"")</f>
        <v>139.82</v>
      </c>
      <c r="V41">
        <f ca="1">IFERROR(IF(0=LEN(ReferenceData!$V$41),"",ReferenceData!$V$41),"")</f>
        <v>146.667</v>
      </c>
      <c r="W41">
        <f ca="1">IFERROR(IF(0=LEN(ReferenceData!$W$41),"",ReferenceData!$W$41),"")</f>
        <v>128.80199999999999</v>
      </c>
      <c r="X41">
        <f ca="1">IFERROR(IF(0=LEN(ReferenceData!$X$41),"",ReferenceData!$X$41),"")</f>
        <v>131.81200000000001</v>
      </c>
      <c r="Y41">
        <f ca="1">IFERROR(IF(0=LEN(ReferenceData!$Y$41),"",ReferenceData!$Y$41),"")</f>
        <v>136.52699999999999</v>
      </c>
      <c r="Z41">
        <f ca="1">IFERROR(IF(0=LEN(ReferenceData!$Z$41),"",ReferenceData!$Z$41),"")</f>
        <v>126.21899999999999</v>
      </c>
      <c r="AA41">
        <f ca="1">IFERROR(IF(0=LEN(ReferenceData!$AA$41),"",ReferenceData!$AA$41),"")</f>
        <v>132.63499999999999</v>
      </c>
      <c r="AB41">
        <f ca="1">IFERROR(IF(0=LEN(ReferenceData!$AB$41),"",ReferenceData!$AB$41),"")</f>
        <v>130.14400000000001</v>
      </c>
      <c r="AC41">
        <f ca="1">IFERROR(IF(0=LEN(ReferenceData!$AC$41),"",ReferenceData!$AC$41),"")</f>
        <v>127.664</v>
      </c>
      <c r="AD41">
        <f ca="1">IFERROR(IF(0=LEN(ReferenceData!$AD$41),"",ReferenceData!$AD$41),"")</f>
        <v>132.19499999999999</v>
      </c>
      <c r="AE41">
        <f ca="1">IFERROR(IF(0=LEN(ReferenceData!$AE$41),"",ReferenceData!$AE$41),"")</f>
        <v>127.974</v>
      </c>
      <c r="AF41">
        <f ca="1">IFERROR(IF(0=LEN(ReferenceData!$AF$41),"",ReferenceData!$AF$41),"")</f>
        <v>126.70699999999999</v>
      </c>
      <c r="AG41">
        <f ca="1">IFERROR(IF(0=LEN(ReferenceData!$AG$41),"",ReferenceData!$AG$41),"")</f>
        <v>137.11600000000001</v>
      </c>
      <c r="AH41">
        <f ca="1">IFERROR(IF(0=LEN(ReferenceData!$AH$41),"",ReferenceData!$AH$41),"")</f>
        <v>137.489</v>
      </c>
      <c r="AI41">
        <f ca="1">IFERROR(IF(0=LEN(ReferenceData!$AI$41),"",ReferenceData!$AI$41),"")</f>
        <v>144.19499999999999</v>
      </c>
      <c r="AJ41">
        <f ca="1">IFERROR(IF(0=LEN(ReferenceData!$AJ$41),"",ReferenceData!$AJ$41),"")</f>
        <v>124.682</v>
      </c>
      <c r="AK41">
        <f ca="1">IFERROR(IF(0=LEN(ReferenceData!$AK$41),"",ReferenceData!$AK$41),"")</f>
        <v>132.79400000000001</v>
      </c>
      <c r="AL41">
        <f ca="1">IFERROR(IF(0=LEN(ReferenceData!$AL$41),"",ReferenceData!$AL$41),"")</f>
        <v>149.59299999999999</v>
      </c>
      <c r="AM41">
        <f ca="1">IFERROR(IF(0=LEN(ReferenceData!$AM$41),"",ReferenceData!$AM$41),"")</f>
        <v>178.29</v>
      </c>
      <c r="AN41">
        <f ca="1">IFERROR(IF(0=LEN(ReferenceData!$AN$41),"",ReferenceData!$AN$41),"")</f>
        <v>199.453</v>
      </c>
      <c r="AO41">
        <f ca="1">IFERROR(IF(0=LEN(ReferenceData!$AO$41),"",ReferenceData!$AO$41),"")</f>
        <v>208.33099999999999</v>
      </c>
      <c r="AP41">
        <f ca="1">IFERROR(IF(0=LEN(ReferenceData!$AP$41),"",ReferenceData!$AP$41),"")</f>
        <v>180.99700000000001</v>
      </c>
      <c r="AQ41">
        <f ca="1">IFERROR(IF(0=LEN(ReferenceData!$AQ$41),"",ReferenceData!$AQ$41),"")</f>
        <v>168.30600000000001</v>
      </c>
      <c r="AR41">
        <f ca="1">IFERROR(IF(0=LEN(ReferenceData!$AR$41),"",ReferenceData!$AR$41),"")</f>
        <v>191.08799999999999</v>
      </c>
      <c r="AS41">
        <f ca="1">IFERROR(IF(0=LEN(ReferenceData!$AS$41),"",ReferenceData!$AS$41),"")</f>
        <v>120.37</v>
      </c>
      <c r="AT41">
        <f ca="1">IFERROR(IF(0=LEN(ReferenceData!$AT$41),"",ReferenceData!$AT$41),"")</f>
        <v>107.616</v>
      </c>
      <c r="AU41">
        <f ca="1">IFERROR(IF(0=LEN(ReferenceData!$AU$41),"",ReferenceData!$AU$41),"")</f>
        <v>100.465</v>
      </c>
      <c r="AV41">
        <f ca="1">IFERROR(IF(0=LEN(ReferenceData!$AV$41),"",ReferenceData!$AV$41),"")</f>
        <v>105.521</v>
      </c>
      <c r="AW41">
        <f ca="1">IFERROR(IF(0=LEN(ReferenceData!$AW$41),"",ReferenceData!$AW$41),"")</f>
        <v>102.06699999999999</v>
      </c>
      <c r="AX41">
        <f ca="1">IFERROR(IF(0=LEN(ReferenceData!$AX$41),"",ReferenceData!$AX$41),"")</f>
        <v>99.085999999999999</v>
      </c>
      <c r="AY41">
        <f ca="1">IFERROR(IF(0=LEN(ReferenceData!$AY$41),"",ReferenceData!$AY$41),"")</f>
        <v>91.561999999999998</v>
      </c>
      <c r="AZ41">
        <f ca="1">IFERROR(IF(0=LEN(ReferenceData!$AZ$41),"",ReferenceData!$AZ$41),"")</f>
        <v>91.66</v>
      </c>
      <c r="BA41">
        <f ca="1">IFERROR(IF(0=LEN(ReferenceData!$BA$41),"",ReferenceData!$BA$41),"")</f>
        <v>84.909000000000006</v>
      </c>
      <c r="BB41">
        <f ca="1">IFERROR(IF(0=LEN(ReferenceData!$BB$41),"",ReferenceData!$BB$41),"")</f>
        <v>85.531000000000006</v>
      </c>
      <c r="BC41">
        <f ca="1">IFERROR(IF(0=LEN(ReferenceData!$BC$41),"",ReferenceData!$BC$41),"")</f>
        <v>77.013999999999996</v>
      </c>
      <c r="BD41">
        <f ca="1">IFERROR(IF(0=LEN(ReferenceData!$BD$41),"",ReferenceData!$BD$41),"")</f>
        <v>90.792000000000002</v>
      </c>
      <c r="BE41">
        <f ca="1">IFERROR(IF(0=LEN(ReferenceData!$BE$41),"",ReferenceData!$BE$41),"")</f>
        <v>77.475999999999999</v>
      </c>
      <c r="BF41">
        <f ca="1">IFERROR(IF(0=LEN(ReferenceData!$BF$41),"",ReferenceData!$BF$41),"")</f>
        <v>76.025000000000006</v>
      </c>
      <c r="BG41">
        <f ca="1">IFERROR(IF(0=LEN(ReferenceData!$BG$41),"",ReferenceData!$BG$41),"")</f>
        <v>64.47</v>
      </c>
      <c r="BH41">
        <f ca="1">IFERROR(IF(0=LEN(ReferenceData!$BH$41),"",ReferenceData!$BH$41),"")</f>
        <v>59.741999999999997</v>
      </c>
      <c r="BI41">
        <f ca="1">IFERROR(IF(0=LEN(ReferenceData!$BI$41),"",ReferenceData!$BI$41),"")</f>
        <v>60.250999999999998</v>
      </c>
      <c r="BJ41">
        <f ca="1">IFERROR(IF(0=LEN(ReferenceData!$BJ$41),"",ReferenceData!$BJ$41),"")</f>
        <v>56.829000000000001</v>
      </c>
      <c r="BK41">
        <f ca="1">IFERROR(IF(0=LEN(ReferenceData!$BK$41),"",ReferenceData!$BK$41),"")</f>
        <v>46.578998570000003</v>
      </c>
      <c r="BL41">
        <f ca="1">IFERROR(IF(0=LEN(ReferenceData!$BL$41),"",ReferenceData!$BL$41),"")</f>
        <v>65.251000000000005</v>
      </c>
      <c r="BM41">
        <f ca="1">IFERROR(IF(0=LEN(ReferenceData!$BM$41),"",ReferenceData!$BM$41),"")</f>
        <v>43.069000000000003</v>
      </c>
    </row>
    <row r="42" spans="1:65">
      <c r="A42" t="str">
        <f>IFERROR(IF(0=LEN(ReferenceData!$A$42),"",ReferenceData!$A$42),"")</f>
        <v xml:space="preserve">    Highwoods Properties Inc</v>
      </c>
      <c r="B42" t="str">
        <f>IFERROR(IF(0=LEN(ReferenceData!$B$42),"",ReferenceData!$B$42),"")</f>
        <v>HIW US Equity</v>
      </c>
      <c r="C42" t="str">
        <f>IFERROR(IF(0=LEN(ReferenceData!$C$42),"",ReferenceData!$C$42),"")</f>
        <v>IS010</v>
      </c>
      <c r="D42" t="str">
        <f>IFERROR(IF(0=LEN(ReferenceData!$D$42),"",ReferenceData!$D$42),"")</f>
        <v>SALES_REV_TURN</v>
      </c>
      <c r="E42" t="str">
        <f>IFERROR(IF(0=LEN(ReferenceData!$E$42),"",ReferenceData!$E$42),"")</f>
        <v>动态</v>
      </c>
      <c r="F42" t="str">
        <f ca="1">IFERROR(IF(0=LEN(ReferenceData!$F$42),"",ReferenceData!$F$42),"")</f>
        <v/>
      </c>
      <c r="G42">
        <f ca="1">IFERROR(IF(0=LEN(ReferenceData!$G$42),"",ReferenceData!$G$42),"")</f>
        <v>175.86099999999999</v>
      </c>
      <c r="H42">
        <f ca="1">IFERROR(IF(0=LEN(ReferenceData!$H$42),"",ReferenceData!$H$42),"")</f>
        <v>180.185</v>
      </c>
      <c r="I42">
        <f ca="1">IFERROR(IF(0=LEN(ReferenceData!$I$42),"",ReferenceData!$I$42),"")</f>
        <v>177.28299999999999</v>
      </c>
      <c r="J42">
        <f ca="1">IFERROR(IF(0=LEN(ReferenceData!$J$42),"",ReferenceData!$J$42),"")</f>
        <v>169.40799999999999</v>
      </c>
      <c r="K42">
        <f ca="1">IFERROR(IF(0=LEN(ReferenceData!$K$42),"",ReferenceData!$K$42),"")</f>
        <v>167.64599999999999</v>
      </c>
      <c r="L42">
        <f ca="1">IFERROR(IF(0=LEN(ReferenceData!$L$42),"",ReferenceData!$L$42),"")</f>
        <v>166.26900000000001</v>
      </c>
      <c r="M42">
        <f ca="1">IFERROR(IF(0=LEN(ReferenceData!$M$42),"",ReferenceData!$M$42),"")</f>
        <v>166.86</v>
      </c>
      <c r="N42">
        <f ca="1">IFERROR(IF(0=LEN(ReferenceData!$N$42),"",ReferenceData!$N$42),"")</f>
        <v>164.85900000000001</v>
      </c>
      <c r="O42">
        <f ca="1">IFERROR(IF(0=LEN(ReferenceData!$O$42),"",ReferenceData!$O$42),"")</f>
        <v>160.126</v>
      </c>
      <c r="P42">
        <f ca="1">IFERROR(IF(0=LEN(ReferenceData!$P$42),"",ReferenceData!$P$42),"")</f>
        <v>163.73599999999999</v>
      </c>
      <c r="Q42">
        <f ca="1">IFERROR(IF(0=LEN(ReferenceData!$Q$42),"",ReferenceData!$Q$42),"")</f>
        <v>148.54300000000001</v>
      </c>
      <c r="R42">
        <f ca="1">IFERROR(IF(0=LEN(ReferenceData!$R$42),"",ReferenceData!$R$42),"")</f>
        <v>157.31</v>
      </c>
      <c r="S42">
        <f ca="1">IFERROR(IF(0=LEN(ReferenceData!$S$42),"",ReferenceData!$S$42),"")</f>
        <v>140.72399999999999</v>
      </c>
      <c r="T42">
        <f ca="1">IFERROR(IF(0=LEN(ReferenceData!$T$42),"",ReferenceData!$T$42),"")</f>
        <v>152.62899999999999</v>
      </c>
      <c r="U42">
        <f ca="1">IFERROR(IF(0=LEN(ReferenceData!$U$42),"",ReferenceData!$U$42),"")</f>
        <v>152.72200000000001</v>
      </c>
      <c r="V42">
        <f ca="1">IFERROR(IF(0=LEN(ReferenceData!$V$42),"",ReferenceData!$V$42),"")</f>
        <v>148.453</v>
      </c>
      <c r="W42">
        <f ca="1">IFERROR(IF(0=LEN(ReferenceData!$W$42),"",ReferenceData!$W$42),"")</f>
        <v>148.988</v>
      </c>
      <c r="X42">
        <f ca="1">IFERROR(IF(0=LEN(ReferenceData!$X$42),"",ReferenceData!$X$42),"")</f>
        <v>144.827</v>
      </c>
      <c r="Y42">
        <f ca="1">IFERROR(IF(0=LEN(ReferenceData!$Y$42),"",ReferenceData!$Y$42),"")</f>
        <v>132.61799999999999</v>
      </c>
      <c r="Z42">
        <f ca="1">IFERROR(IF(0=LEN(ReferenceData!$Z$42),"",ReferenceData!$Z$42),"")</f>
        <v>130.37700000000001</v>
      </c>
      <c r="AA42">
        <f ca="1">IFERROR(IF(0=LEN(ReferenceData!$AA$42),"",ReferenceData!$AA$42),"")</f>
        <v>126.316</v>
      </c>
      <c r="AB42">
        <f ca="1">IFERROR(IF(0=LEN(ReferenceData!$AB$42),"",ReferenceData!$AB$42),"")</f>
        <v>123.41800000000001</v>
      </c>
      <c r="AC42">
        <f ca="1">IFERROR(IF(0=LEN(ReferenceData!$AC$42),"",ReferenceData!$AC$42),"")</f>
        <v>126.72799999999999</v>
      </c>
      <c r="AD42">
        <f ca="1">IFERROR(IF(0=LEN(ReferenceData!$AD$42),"",ReferenceData!$AD$42),"")</f>
        <v>124.89400000000001</v>
      </c>
      <c r="AE42">
        <f ca="1">IFERROR(IF(0=LEN(ReferenceData!$AE$42),"",ReferenceData!$AE$42),"")</f>
        <v>123.947</v>
      </c>
      <c r="AF42">
        <f ca="1">IFERROR(IF(0=LEN(ReferenceData!$AF$42),"",ReferenceData!$AF$42),"")</f>
        <v>117.265</v>
      </c>
      <c r="AG42">
        <f ca="1">IFERROR(IF(0=LEN(ReferenceData!$AG$42),"",ReferenceData!$AG$42),"")</f>
        <v>114.651</v>
      </c>
      <c r="AH42">
        <f ca="1">IFERROR(IF(0=LEN(ReferenceData!$AH$42),"",ReferenceData!$AH$42),"")</f>
        <v>114.351</v>
      </c>
      <c r="AI42">
        <f ca="1">IFERROR(IF(0=LEN(ReferenceData!$AI$42),"",ReferenceData!$AI$42),"")</f>
        <v>116.779</v>
      </c>
      <c r="AJ42">
        <f ca="1">IFERROR(IF(0=LEN(ReferenceData!$AJ$42),"",ReferenceData!$AJ$42),"")</f>
        <v>115.52800000000001</v>
      </c>
      <c r="AK42">
        <f ca="1">IFERROR(IF(0=LEN(ReferenceData!$AK$42),"",ReferenceData!$AK$42),"")</f>
        <v>113.765</v>
      </c>
      <c r="AL42">
        <f ca="1">IFERROR(IF(0=LEN(ReferenceData!$AL$42),"",ReferenceData!$AL$42),"")</f>
        <v>115.054</v>
      </c>
      <c r="AM42">
        <f ca="1">IFERROR(IF(0=LEN(ReferenceData!$AM$42),"",ReferenceData!$AM$42),"")</f>
        <v>112.709</v>
      </c>
      <c r="AN42">
        <f ca="1">IFERROR(IF(0=LEN(ReferenceData!$AN$42),"",ReferenceData!$AN$42),"")</f>
        <v>113.17</v>
      </c>
      <c r="AO42">
        <f ca="1">IFERROR(IF(0=LEN(ReferenceData!$AO$42),"",ReferenceData!$AO$42),"")</f>
        <v>111.914</v>
      </c>
      <c r="AP42">
        <f ca="1">IFERROR(IF(0=LEN(ReferenceData!$AP$42),"",ReferenceData!$AP$42),"")</f>
        <v>113.22</v>
      </c>
      <c r="AQ42">
        <f ca="1">IFERROR(IF(0=LEN(ReferenceData!$AQ$42),"",ReferenceData!$AQ$42),"")</f>
        <v>111.28</v>
      </c>
      <c r="AR42">
        <f ca="1">IFERROR(IF(0=LEN(ReferenceData!$AR$42),"",ReferenceData!$AR$42),"")</f>
        <v>112.755</v>
      </c>
      <c r="AS42">
        <f ca="1">IFERROR(IF(0=LEN(ReferenceData!$AS$42),"",ReferenceData!$AS$42),"")</f>
        <v>112.828</v>
      </c>
      <c r="AT42">
        <f ca="1">IFERROR(IF(0=LEN(ReferenceData!$AT$42),"",ReferenceData!$AT$42),"")</f>
        <v>113.428</v>
      </c>
      <c r="AU42">
        <f ca="1">IFERROR(IF(0=LEN(ReferenceData!$AU$42),"",ReferenceData!$AU$42),"")</f>
        <v>113.08199999999999</v>
      </c>
      <c r="AV42">
        <f ca="1">IFERROR(IF(0=LEN(ReferenceData!$AV$42),"",ReferenceData!$AV$42),"")</f>
        <v>107.58</v>
      </c>
      <c r="AW42">
        <f ca="1">IFERROR(IF(0=LEN(ReferenceData!$AW$42),"",ReferenceData!$AW$42),"")</f>
        <v>107.261</v>
      </c>
      <c r="AX42">
        <f ca="1">IFERROR(IF(0=LEN(ReferenceData!$AX$42),"",ReferenceData!$AX$42),"")</f>
        <v>107.622</v>
      </c>
      <c r="AY42">
        <f ca="1">IFERROR(IF(0=LEN(ReferenceData!$AY$42),"",ReferenceData!$AY$42),"")</f>
        <v>97.665000000000006</v>
      </c>
      <c r="AZ42">
        <f ca="1">IFERROR(IF(0=LEN(ReferenceData!$AZ$42),"",ReferenceData!$AZ$42),"")</f>
        <v>104.569</v>
      </c>
      <c r="BA42">
        <f ca="1">IFERROR(IF(0=LEN(ReferenceData!$BA$42),"",ReferenceData!$BA$42),"")</f>
        <v>103.983</v>
      </c>
      <c r="BB42">
        <f ca="1">IFERROR(IF(0=LEN(ReferenceData!$BB$42),"",ReferenceData!$BB$42),"")</f>
        <v>103.056</v>
      </c>
      <c r="BC42">
        <f ca="1">IFERROR(IF(0=LEN(ReferenceData!$BC$42),"",ReferenceData!$BC$42),"")</f>
        <v>94.24</v>
      </c>
      <c r="BD42">
        <f ca="1">IFERROR(IF(0=LEN(ReferenceData!$BD$42),"",ReferenceData!$BD$42),"")</f>
        <v>102.17</v>
      </c>
      <c r="BE42">
        <f ca="1">IFERROR(IF(0=LEN(ReferenceData!$BE$42),"",ReferenceData!$BE$42),"")</f>
        <v>102.64</v>
      </c>
      <c r="BF42">
        <f ca="1">IFERROR(IF(0=LEN(ReferenceData!$BF$42),"",ReferenceData!$BF$42),"")</f>
        <v>104.10299999999999</v>
      </c>
      <c r="BG42">
        <f ca="1">IFERROR(IF(0=LEN(ReferenceData!$BG$42),"",ReferenceData!$BG$42),"")</f>
        <v>78.703000000000003</v>
      </c>
      <c r="BH42">
        <f ca="1">IFERROR(IF(0=LEN(ReferenceData!$BH$42),"",ReferenceData!$BH$42),"")</f>
        <v>103.504</v>
      </c>
      <c r="BI42">
        <f ca="1">IFERROR(IF(0=LEN(ReferenceData!$BI$42),"",ReferenceData!$BI$42),"")</f>
        <v>108.36</v>
      </c>
      <c r="BJ42">
        <f ca="1">IFERROR(IF(0=LEN(ReferenceData!$BJ$42),"",ReferenceData!$BJ$42),"")</f>
        <v>119.706</v>
      </c>
      <c r="BK42" t="str">
        <f ca="1">IFERROR(IF(0=LEN(ReferenceData!$BK$42),"",ReferenceData!$BK$42),"")</f>
        <v/>
      </c>
      <c r="BL42">
        <f ca="1">IFERROR(IF(0=LEN(ReferenceData!$BL$42),"",ReferenceData!$BL$42),"")</f>
        <v>139.48099999999999</v>
      </c>
      <c r="BM42">
        <f ca="1">IFERROR(IF(0=LEN(ReferenceData!$BM$42),"",ReferenceData!$BM$42),"")</f>
        <v>128.102</v>
      </c>
    </row>
    <row r="43" spans="1:65">
      <c r="A43" t="str">
        <f>IFERROR(IF(0=LEN(ReferenceData!$A$43),"",ReferenceData!$A$43),"")</f>
        <v xml:space="preserve">    Kilroy Realty Corp</v>
      </c>
      <c r="B43" t="str">
        <f>IFERROR(IF(0=LEN(ReferenceData!$B$43),"",ReferenceData!$B$43),"")</f>
        <v>KRC US Equity</v>
      </c>
      <c r="C43" t="str">
        <f>IFERROR(IF(0=LEN(ReferenceData!$C$43),"",ReferenceData!$C$43),"")</f>
        <v>IS010</v>
      </c>
      <c r="D43" t="str">
        <f>IFERROR(IF(0=LEN(ReferenceData!$D$43),"",ReferenceData!$D$43),"")</f>
        <v>SALES_REV_TURN</v>
      </c>
      <c r="E43" t="str">
        <f>IFERROR(IF(0=LEN(ReferenceData!$E$43),"",ReferenceData!$E$43),"")</f>
        <v>动态</v>
      </c>
      <c r="F43" t="str">
        <f ca="1">IFERROR(IF(0=LEN(ReferenceData!$F$43),"",ReferenceData!$F$43),"")</f>
        <v/>
      </c>
      <c r="G43">
        <f ca="1">IFERROR(IF(0=LEN(ReferenceData!$G$43),"",ReferenceData!$G$43),"")</f>
        <v>177.56100000000001</v>
      </c>
      <c r="H43">
        <f ca="1">IFERROR(IF(0=LEN(ReferenceData!$H$43),"",ReferenceData!$H$43),"")</f>
        <v>181.53399999999999</v>
      </c>
      <c r="I43">
        <f ca="1">IFERROR(IF(0=LEN(ReferenceData!$I$43),"",ReferenceData!$I$43),"")</f>
        <v>180.59800000000001</v>
      </c>
      <c r="J43">
        <f ca="1">IFERROR(IF(0=LEN(ReferenceData!$J$43),"",ReferenceData!$J$43),"")</f>
        <v>179.30799999999999</v>
      </c>
      <c r="K43">
        <f ca="1">IFERROR(IF(0=LEN(ReferenceData!$K$43),"",ReferenceData!$K$43),"")</f>
        <v>168.64500000000001</v>
      </c>
      <c r="L43">
        <f ca="1">IFERROR(IF(0=LEN(ReferenceData!$L$43),"",ReferenceData!$L$43),"")</f>
        <v>168.34800000000001</v>
      </c>
      <c r="M43">
        <f ca="1">IFERROR(IF(0=LEN(ReferenceData!$M$43),"",ReferenceData!$M$43),"")</f>
        <v>160.13300000000001</v>
      </c>
      <c r="N43">
        <f ca="1">IFERROR(IF(0=LEN(ReferenceData!$N$43),"",ReferenceData!$N$43),"")</f>
        <v>145.446</v>
      </c>
      <c r="O43">
        <f ca="1">IFERROR(IF(0=LEN(ReferenceData!$O$43),"",ReferenceData!$O$43),"")</f>
        <v>147.41300000000001</v>
      </c>
      <c r="P43">
        <f ca="1">IFERROR(IF(0=LEN(ReferenceData!$P$43),"",ReferenceData!$P$43),"")</f>
        <v>141.553</v>
      </c>
      <c r="Q43">
        <f ca="1">IFERROR(IF(0=LEN(ReferenceData!$Q$43),"",ReferenceData!$Q$43),"")</f>
        <v>146.227</v>
      </c>
      <c r="R43">
        <f ca="1">IFERROR(IF(0=LEN(ReferenceData!$R$43),"",ReferenceData!$R$43),"")</f>
        <v>146.08199999999999</v>
      </c>
      <c r="S43">
        <f ca="1">IFERROR(IF(0=LEN(ReferenceData!$S$43),"",ReferenceData!$S$43),"")</f>
        <v>141.76499999999999</v>
      </c>
      <c r="T43">
        <f ca="1">IFERROR(IF(0=LEN(ReferenceData!$T$43),"",ReferenceData!$T$43),"")</f>
        <v>129.024</v>
      </c>
      <c r="U43">
        <f ca="1">IFERROR(IF(0=LEN(ReferenceData!$U$43),"",ReferenceData!$U$43),"")</f>
        <v>127.178</v>
      </c>
      <c r="V43">
        <f ca="1">IFERROR(IF(0=LEN(ReferenceData!$V$43),"",ReferenceData!$V$43),"")</f>
        <v>123.758</v>
      </c>
      <c r="W43">
        <f ca="1">IFERROR(IF(0=LEN(ReferenceData!$W$43),"",ReferenceData!$W$43),"")</f>
        <v>118.604</v>
      </c>
      <c r="X43">
        <f ca="1">IFERROR(IF(0=LEN(ReferenceData!$X$43),"",ReferenceData!$X$43),"")</f>
        <v>113.545</v>
      </c>
      <c r="Y43">
        <f ca="1">IFERROR(IF(0=LEN(ReferenceData!$Y$43),"",ReferenceData!$Y$43),"")</f>
        <v>117.83499999999999</v>
      </c>
      <c r="Z43">
        <f ca="1">IFERROR(IF(0=LEN(ReferenceData!$Z$43),"",ReferenceData!$Z$43),"")</f>
        <v>110.964</v>
      </c>
      <c r="AA43">
        <f ca="1">IFERROR(IF(0=LEN(ReferenceData!$AA$43),"",ReferenceData!$AA$43),"")</f>
        <v>111.111</v>
      </c>
      <c r="AB43">
        <f ca="1">IFERROR(IF(0=LEN(ReferenceData!$AB$43),"",ReferenceData!$AB$43),"")</f>
        <v>98.984999999999999</v>
      </c>
      <c r="AC43">
        <f ca="1">IFERROR(IF(0=LEN(ReferenceData!$AC$43),"",ReferenceData!$AC$43),"")</f>
        <v>97.111000000000004</v>
      </c>
      <c r="AD43">
        <f ca="1">IFERROR(IF(0=LEN(ReferenceData!$AD$43),"",ReferenceData!$AD$43),"")</f>
        <v>92.397000000000006</v>
      </c>
      <c r="AE43">
        <f ca="1">IFERROR(IF(0=LEN(ReferenceData!$AE$43),"",ReferenceData!$AE$43),"")</f>
        <v>94.225999999999999</v>
      </c>
      <c r="AF43">
        <f ca="1">IFERROR(IF(0=LEN(ReferenceData!$AF$43),"",ReferenceData!$AF$43),"")</f>
        <v>86.399000000000001</v>
      </c>
      <c r="AG43">
        <f ca="1">IFERROR(IF(0=LEN(ReferenceData!$AG$43),"",ReferenceData!$AG$43),"")</f>
        <v>88.39</v>
      </c>
      <c r="AH43">
        <f ca="1">IFERROR(IF(0=LEN(ReferenceData!$AH$43),"",ReferenceData!$AH$43),"")</f>
        <v>83.772999999999996</v>
      </c>
      <c r="AI43">
        <f ca="1">IFERROR(IF(0=LEN(ReferenceData!$AI$43),"",ReferenceData!$AI$43),"")</f>
        <v>79.308999999999997</v>
      </c>
      <c r="AJ43">
        <f ca="1">IFERROR(IF(0=LEN(ReferenceData!$AJ$43),"",ReferenceData!$AJ$43),"")</f>
        <v>79.275999999999996</v>
      </c>
      <c r="AK43">
        <f ca="1">IFERROR(IF(0=LEN(ReferenceData!$AK$43),"",ReferenceData!$AK$43),"")</f>
        <v>72.415999999999997</v>
      </c>
      <c r="AL43">
        <f ca="1">IFERROR(IF(0=LEN(ReferenceData!$AL$43),"",ReferenceData!$AL$43),"")</f>
        <v>66.819000000000003</v>
      </c>
      <c r="AM43">
        <f ca="1">IFERROR(IF(0=LEN(ReferenceData!$AM$43),"",ReferenceData!$AM$43),"")</f>
        <v>67.379000000000005</v>
      </c>
      <c r="AN43">
        <f ca="1">IFERROR(IF(0=LEN(ReferenceData!$AN$43),"",ReferenceData!$AN$43),"")</f>
        <v>68.494</v>
      </c>
      <c r="AO43">
        <f ca="1">IFERROR(IF(0=LEN(ReferenceData!$AO$43),"",ReferenceData!$AO$43),"")</f>
        <v>71.05</v>
      </c>
      <c r="AP43">
        <f ca="1">IFERROR(IF(0=LEN(ReferenceData!$AP$43),"",ReferenceData!$AP$43),"")</f>
        <v>72.512</v>
      </c>
      <c r="AQ43">
        <f ca="1">IFERROR(IF(0=LEN(ReferenceData!$AQ$43),"",ReferenceData!$AQ$43),"")</f>
        <v>72.284000000000006</v>
      </c>
      <c r="AR43">
        <f ca="1">IFERROR(IF(0=LEN(ReferenceData!$AR$43),"",ReferenceData!$AR$43),"")</f>
        <v>76.945999999999998</v>
      </c>
      <c r="AS43">
        <f ca="1">IFERROR(IF(0=LEN(ReferenceData!$AS$43),"",ReferenceData!$AS$43),"")</f>
        <v>69.475999999999999</v>
      </c>
      <c r="AT43">
        <f ca="1">IFERROR(IF(0=LEN(ReferenceData!$AT$43),"",ReferenceData!$AT$43),"")</f>
        <v>70.802000000000007</v>
      </c>
      <c r="AU43">
        <f ca="1">IFERROR(IF(0=LEN(ReferenceData!$AU$43),"",ReferenceData!$AU$43),"")</f>
        <v>60.929000000000002</v>
      </c>
      <c r="AV43">
        <f ca="1">IFERROR(IF(0=LEN(ReferenceData!$AV$43),"",ReferenceData!$AV$43),"")</f>
        <v>65.117000000000004</v>
      </c>
      <c r="AW43">
        <f ca="1">IFERROR(IF(0=LEN(ReferenceData!$AW$43),"",ReferenceData!$AW$43),"")</f>
        <v>62.18</v>
      </c>
      <c r="AX43">
        <f ca="1">IFERROR(IF(0=LEN(ReferenceData!$AX$43),"",ReferenceData!$AX$43),"")</f>
        <v>61.433</v>
      </c>
      <c r="AY43">
        <f ca="1">IFERROR(IF(0=LEN(ReferenceData!$AY$43),"",ReferenceData!$AY$43),"")</f>
        <v>53.408000000000001</v>
      </c>
      <c r="AZ43">
        <f ca="1">IFERROR(IF(0=LEN(ReferenceData!$AZ$43),"",ReferenceData!$AZ$43),"")</f>
        <v>63.02</v>
      </c>
      <c r="BA43">
        <f ca="1">IFERROR(IF(0=LEN(ReferenceData!$BA$43),"",ReferenceData!$BA$43),"")</f>
        <v>62.838000000000001</v>
      </c>
      <c r="BB43">
        <f ca="1">IFERROR(IF(0=LEN(ReferenceData!$BB$43),"",ReferenceData!$BB$43),"")</f>
        <v>62.274999999999999</v>
      </c>
      <c r="BC43">
        <f ca="1">IFERROR(IF(0=LEN(ReferenceData!$BC$43),"",ReferenceData!$BC$43),"")</f>
        <v>57.718000000000004</v>
      </c>
      <c r="BD43">
        <f ca="1">IFERROR(IF(0=LEN(ReferenceData!$BD$43),"",ReferenceData!$BD$43),"")</f>
        <v>59.518000000000001</v>
      </c>
      <c r="BE43">
        <f ca="1">IFERROR(IF(0=LEN(ReferenceData!$BE$43),"",ReferenceData!$BE$43),"")</f>
        <v>60.252000000000002</v>
      </c>
      <c r="BF43">
        <f ca="1">IFERROR(IF(0=LEN(ReferenceData!$BF$43),"",ReferenceData!$BF$43),"")</f>
        <v>59.470999999999997</v>
      </c>
      <c r="BG43">
        <f ca="1">IFERROR(IF(0=LEN(ReferenceData!$BG$43),"",ReferenceData!$BG$43),"")</f>
        <v>58.085999999999999</v>
      </c>
      <c r="BH43">
        <f ca="1">IFERROR(IF(0=LEN(ReferenceData!$BH$43),"",ReferenceData!$BH$43),"")</f>
        <v>54.576000000000001</v>
      </c>
      <c r="BI43">
        <f ca="1">IFERROR(IF(0=LEN(ReferenceData!$BI$43),"",ReferenceData!$BI$43),"")</f>
        <v>54.552999999999997</v>
      </c>
      <c r="BJ43">
        <f ca="1">IFERROR(IF(0=LEN(ReferenceData!$BJ$43),"",ReferenceData!$BJ$43),"")</f>
        <v>54.881</v>
      </c>
      <c r="BK43">
        <f ca="1">IFERROR(IF(0=LEN(ReferenceData!$BK$43),"",ReferenceData!$BK$43),"")</f>
        <v>53.054000850000001</v>
      </c>
      <c r="BL43">
        <f ca="1">IFERROR(IF(0=LEN(ReferenceData!$BL$43),"",ReferenceData!$BL$43),"")</f>
        <v>68.819000000000003</v>
      </c>
      <c r="BM43">
        <f ca="1">IFERROR(IF(0=LEN(ReferenceData!$BM$43),"",ReferenceData!$BM$43),"")</f>
        <v>48.802</v>
      </c>
    </row>
    <row r="44" spans="1:65">
      <c r="A44" t="str">
        <f>IFERROR(IF(0=LEN(ReferenceData!$A$44),"",ReferenceData!$A$44),"")</f>
        <v xml:space="preserve">    Mack-Cali Realty Corp</v>
      </c>
      <c r="B44" t="str">
        <f>IFERROR(IF(0=LEN(ReferenceData!$B$44),"",ReferenceData!$B$44),"")</f>
        <v>CLI US Equity</v>
      </c>
      <c r="C44" t="str">
        <f>IFERROR(IF(0=LEN(ReferenceData!$C$44),"",ReferenceData!$C$44),"")</f>
        <v>IS010</v>
      </c>
      <c r="D44" t="str">
        <f>IFERROR(IF(0=LEN(ReferenceData!$D$44),"",ReferenceData!$D$44),"")</f>
        <v>SALES_REV_TURN</v>
      </c>
      <c r="E44" t="str">
        <f>IFERROR(IF(0=LEN(ReferenceData!$E$44),"",ReferenceData!$E$44),"")</f>
        <v>动态</v>
      </c>
      <c r="F44" t="str">
        <f ca="1">IFERROR(IF(0=LEN(ReferenceData!$F$44),"",ReferenceData!$F$44),"")</f>
        <v/>
      </c>
      <c r="G44">
        <f ca="1">IFERROR(IF(0=LEN(ReferenceData!$G$44),"",ReferenceData!$G$44),"")</f>
        <v>143.529</v>
      </c>
      <c r="H44">
        <f ca="1">IFERROR(IF(0=LEN(ReferenceData!$H$44),"",ReferenceData!$H$44),"")</f>
        <v>160.018</v>
      </c>
      <c r="I44">
        <f ca="1">IFERROR(IF(0=LEN(ReferenceData!$I$44),"",ReferenceData!$I$44),"")</f>
        <v>162.76599999999999</v>
      </c>
      <c r="J44">
        <f ca="1">IFERROR(IF(0=LEN(ReferenceData!$J$44),"",ReferenceData!$J$44),"")</f>
        <v>149.887</v>
      </c>
      <c r="K44">
        <f ca="1">IFERROR(IF(0=LEN(ReferenceData!$K$44),"",ReferenceData!$K$44),"")</f>
        <v>153.73099999999999</v>
      </c>
      <c r="L44">
        <f ca="1">IFERROR(IF(0=LEN(ReferenceData!$L$44),"",ReferenceData!$L$44),"")</f>
        <v>157.517</v>
      </c>
      <c r="M44">
        <f ca="1">IFERROR(IF(0=LEN(ReferenceData!$M$44),"",ReferenceData!$M$44),"")</f>
        <v>149.227</v>
      </c>
      <c r="N44">
        <f ca="1">IFERROR(IF(0=LEN(ReferenceData!$N$44),"",ReferenceData!$N$44),"")</f>
        <v>152.923</v>
      </c>
      <c r="O44">
        <f ca="1">IFERROR(IF(0=LEN(ReferenceData!$O$44),"",ReferenceData!$O$44),"")</f>
        <v>146.44300000000001</v>
      </c>
      <c r="P44">
        <f ca="1">IFERROR(IF(0=LEN(ReferenceData!$P$44),"",ReferenceData!$P$44),"")</f>
        <v>146.15799999999999</v>
      </c>
      <c r="Q44">
        <f ca="1">IFERROR(IF(0=LEN(ReferenceData!$Q$44),"",ReferenceData!$Q$44),"")</f>
        <v>148.56700000000001</v>
      </c>
      <c r="R44">
        <f ca="1">IFERROR(IF(0=LEN(ReferenceData!$R$44),"",ReferenceData!$R$44),"")</f>
        <v>153.715</v>
      </c>
      <c r="S44">
        <f ca="1">IFERROR(IF(0=LEN(ReferenceData!$S$44),"",ReferenceData!$S$44),"")</f>
        <v>151.41399999999999</v>
      </c>
      <c r="T44">
        <f ca="1">IFERROR(IF(0=LEN(ReferenceData!$T$44),"",ReferenceData!$T$44),"")</f>
        <v>155.489</v>
      </c>
      <c r="U44">
        <f ca="1">IFERROR(IF(0=LEN(ReferenceData!$U$44),"",ReferenceData!$U$44),"")</f>
        <v>160.30000000000001</v>
      </c>
      <c r="V44">
        <f ca="1">IFERROR(IF(0=LEN(ReferenceData!$V$44),"",ReferenceData!$V$44),"")</f>
        <v>169.596</v>
      </c>
      <c r="W44">
        <f ca="1">IFERROR(IF(0=LEN(ReferenceData!$W$44),"",ReferenceData!$W$44),"")</f>
        <v>165.267</v>
      </c>
      <c r="X44">
        <f ca="1">IFERROR(IF(0=LEN(ReferenceData!$X$44),"",ReferenceData!$X$44),"")</f>
        <v>162.505</v>
      </c>
      <c r="Y44">
        <f ca="1">IFERROR(IF(0=LEN(ReferenceData!$Y$44),"",ReferenceData!$Y$44),"")</f>
        <v>168.346</v>
      </c>
      <c r="Z44">
        <f ca="1">IFERROR(IF(0=LEN(ReferenceData!$Z$44),"",ReferenceData!$Z$44),"")</f>
        <v>170.91300000000001</v>
      </c>
      <c r="AA44">
        <f ca="1">IFERROR(IF(0=LEN(ReferenceData!$AA$44),"",ReferenceData!$AA$44),"")</f>
        <v>177.03</v>
      </c>
      <c r="AB44">
        <f ca="1">IFERROR(IF(0=LEN(ReferenceData!$AB$44),"",ReferenceData!$AB$44),"")</f>
        <v>156.797</v>
      </c>
      <c r="AC44">
        <f ca="1">IFERROR(IF(0=LEN(ReferenceData!$AC$44),"",ReferenceData!$AC$44),"")</f>
        <v>172.04499999999999</v>
      </c>
      <c r="AD44">
        <f ca="1">IFERROR(IF(0=LEN(ReferenceData!$AD$44),"",ReferenceData!$AD$44),"")</f>
        <v>177.82300000000001</v>
      </c>
      <c r="AE44">
        <f ca="1">IFERROR(IF(0=LEN(ReferenceData!$AE$44),"",ReferenceData!$AE$44),"")</f>
        <v>175.512</v>
      </c>
      <c r="AF44">
        <f ca="1">IFERROR(IF(0=LEN(ReferenceData!$AF$44),"",ReferenceData!$AF$44),"")</f>
        <v>175.43700000000001</v>
      </c>
      <c r="AG44">
        <f ca="1">IFERROR(IF(0=LEN(ReferenceData!$AG$44),"",ReferenceData!$AG$44),"")</f>
        <v>179.16800000000001</v>
      </c>
      <c r="AH44">
        <f ca="1">IFERROR(IF(0=LEN(ReferenceData!$AH$44),"",ReferenceData!$AH$44),"")</f>
        <v>184.21299999999999</v>
      </c>
      <c r="AI44">
        <f ca="1">IFERROR(IF(0=LEN(ReferenceData!$AI$44),"",ReferenceData!$AI$44),"")</f>
        <v>192.15600000000001</v>
      </c>
      <c r="AJ44">
        <f ca="1">IFERROR(IF(0=LEN(ReferenceData!$AJ$44),"",ReferenceData!$AJ$44),"")</f>
        <v>197.95599999999999</v>
      </c>
      <c r="AK44">
        <f ca="1">IFERROR(IF(0=LEN(ReferenceData!$AK$44),"",ReferenceData!$AK$44),"")</f>
        <v>202.785</v>
      </c>
      <c r="AL44">
        <f ca="1">IFERROR(IF(0=LEN(ReferenceData!$AL$44),"",ReferenceData!$AL$44),"")</f>
        <v>194.583</v>
      </c>
      <c r="AM44">
        <f ca="1">IFERROR(IF(0=LEN(ReferenceData!$AM$44),"",ReferenceData!$AM$44),"")</f>
        <v>192.28899999999999</v>
      </c>
      <c r="AN44">
        <f ca="1">IFERROR(IF(0=LEN(ReferenceData!$AN$44),"",ReferenceData!$AN$44),"")</f>
        <v>192.14699999999999</v>
      </c>
      <c r="AO44">
        <f ca="1">IFERROR(IF(0=LEN(ReferenceData!$AO$44),"",ReferenceData!$AO$44),"")</f>
        <v>187.82300000000001</v>
      </c>
      <c r="AP44">
        <f ca="1">IFERROR(IF(0=LEN(ReferenceData!$AP$44),"",ReferenceData!$AP$44),"")</f>
        <v>186.666</v>
      </c>
      <c r="AQ44">
        <f ca="1">IFERROR(IF(0=LEN(ReferenceData!$AQ$44),"",ReferenceData!$AQ$44),"")</f>
        <v>186.1</v>
      </c>
      <c r="AR44">
        <f ca="1">IFERROR(IF(0=LEN(ReferenceData!$AR$44),"",ReferenceData!$AR$44),"")</f>
        <v>204.62</v>
      </c>
      <c r="AS44">
        <f ca="1">IFERROR(IF(0=LEN(ReferenceData!$AS$44),"",ReferenceData!$AS$44),"")</f>
        <v>193.095</v>
      </c>
      <c r="AT44">
        <f ca="1">IFERROR(IF(0=LEN(ReferenceData!$AT$44),"",ReferenceData!$AT$44),"")</f>
        <v>195.26900000000001</v>
      </c>
      <c r="AU44">
        <f ca="1">IFERROR(IF(0=LEN(ReferenceData!$AU$44),"",ReferenceData!$AU$44),"")</f>
        <v>202.179</v>
      </c>
      <c r="AV44">
        <f ca="1">IFERROR(IF(0=LEN(ReferenceData!$AV$44),"",ReferenceData!$AV$44),"")</f>
        <v>212.881</v>
      </c>
      <c r="AW44">
        <f ca="1">IFERROR(IF(0=LEN(ReferenceData!$AW$44),"",ReferenceData!$AW$44),"")</f>
        <v>202.101</v>
      </c>
      <c r="AX44">
        <f ca="1">IFERROR(IF(0=LEN(ReferenceData!$AX$44),"",ReferenceData!$AX$44),"")</f>
        <v>194.874</v>
      </c>
      <c r="AY44">
        <f ca="1">IFERROR(IF(0=LEN(ReferenceData!$AY$44),"",ReferenceData!$AY$44),"")</f>
        <v>198.86799999999999</v>
      </c>
      <c r="AZ44">
        <f ca="1">IFERROR(IF(0=LEN(ReferenceData!$AZ$44),"",ReferenceData!$AZ$44),"")</f>
        <v>203.73099999999999</v>
      </c>
      <c r="BA44">
        <f ca="1">IFERROR(IF(0=LEN(ReferenceData!$BA$44),"",ReferenceData!$BA$44),"")</f>
        <v>183.18799999999999</v>
      </c>
      <c r="BB44">
        <f ca="1">IFERROR(IF(0=LEN(ReferenceData!$BB$44),"",ReferenceData!$BB$44),"")</f>
        <v>153.84</v>
      </c>
      <c r="BC44">
        <f ca="1">IFERROR(IF(0=LEN(ReferenceData!$BC$44),"",ReferenceData!$BC$44),"")</f>
        <v>131.655</v>
      </c>
      <c r="BD44">
        <f ca="1">IFERROR(IF(0=LEN(ReferenceData!$BD$44),"",ReferenceData!$BD$44),"")</f>
        <v>154.46</v>
      </c>
      <c r="BE44">
        <f ca="1">IFERROR(IF(0=LEN(ReferenceData!$BE$44),"",ReferenceData!$BE$44),"")</f>
        <v>162.47200000000001</v>
      </c>
      <c r="BF44">
        <f ca="1">IFERROR(IF(0=LEN(ReferenceData!$BF$44),"",ReferenceData!$BF$44),"")</f>
        <v>152.4</v>
      </c>
      <c r="BG44">
        <f ca="1">IFERROR(IF(0=LEN(ReferenceData!$BG$44),"",ReferenceData!$BG$44),"")</f>
        <v>149.39699999999999</v>
      </c>
      <c r="BH44">
        <f ca="1">IFERROR(IF(0=LEN(ReferenceData!$BH$44),"",ReferenceData!$BH$44),"")</f>
        <v>148.108</v>
      </c>
      <c r="BI44">
        <f ca="1">IFERROR(IF(0=LEN(ReferenceData!$BI$44),"",ReferenceData!$BI$44),"")</f>
        <v>146.945007</v>
      </c>
      <c r="BJ44">
        <f ca="1">IFERROR(IF(0=LEN(ReferenceData!$BJ$44),"",ReferenceData!$BJ$44),"")</f>
        <v>140.45799299999999</v>
      </c>
      <c r="BK44">
        <f ca="1">IFERROR(IF(0=LEN(ReferenceData!$BK$44),"",ReferenceData!$BK$44),"")</f>
        <v>143.97300720000001</v>
      </c>
      <c r="BL44">
        <f ca="1">IFERROR(IF(0=LEN(ReferenceData!$BL$44),"",ReferenceData!$BL$44),"")</f>
        <v>143.182007</v>
      </c>
      <c r="BM44">
        <f ca="1">IFERROR(IF(0=LEN(ReferenceData!$BM$44),"",ReferenceData!$BM$44),"")</f>
        <v>142.628006</v>
      </c>
    </row>
    <row r="45" spans="1:65">
      <c r="A45" t="str">
        <f>IFERROR(IF(0=LEN(ReferenceData!$A$45),"",ReferenceData!$A$45),"")</f>
        <v xml:space="preserve">    Piedmont Office Realty Trust I</v>
      </c>
      <c r="B45" t="str">
        <f>IFERROR(IF(0=LEN(ReferenceData!$B$45),"",ReferenceData!$B$45),"")</f>
        <v>PDM US Equity</v>
      </c>
      <c r="C45" t="str">
        <f>IFERROR(IF(0=LEN(ReferenceData!$C$45),"",ReferenceData!$C$45),"")</f>
        <v>IS010</v>
      </c>
      <c r="D45" t="str">
        <f>IFERROR(IF(0=LEN(ReferenceData!$D$45),"",ReferenceData!$D$45),"")</f>
        <v>SALES_REV_TURN</v>
      </c>
      <c r="E45" t="str">
        <f>IFERROR(IF(0=LEN(ReferenceData!$E$45),"",ReferenceData!$E$45),"")</f>
        <v>动态</v>
      </c>
      <c r="F45" t="str">
        <f ca="1">IFERROR(IF(0=LEN(ReferenceData!$F$45),"",ReferenceData!$F$45),"")</f>
        <v/>
      </c>
      <c r="G45">
        <f ca="1">IFERROR(IF(0=LEN(ReferenceData!$G$45),"",ReferenceData!$G$45),"")</f>
        <v>139.44399999999999</v>
      </c>
      <c r="H45">
        <f ca="1">IFERROR(IF(0=LEN(ReferenceData!$H$45),"",ReferenceData!$H$45),"")</f>
        <v>137.58699999999999</v>
      </c>
      <c r="I45">
        <f ca="1">IFERROR(IF(0=LEN(ReferenceData!$I$45),"",ReferenceData!$I$45),"")</f>
        <v>148.679</v>
      </c>
      <c r="J45">
        <f ca="1">IFERROR(IF(0=LEN(ReferenceData!$J$45),"",ReferenceData!$J$45),"")</f>
        <v>148.46299999999999</v>
      </c>
      <c r="K45">
        <f ca="1">IFERROR(IF(0=LEN(ReferenceData!$K$45),"",ReferenceData!$K$45),"")</f>
        <v>143.911</v>
      </c>
      <c r="L45">
        <f ca="1">IFERROR(IF(0=LEN(ReferenceData!$L$45),"",ReferenceData!$L$45),"")</f>
        <v>138.48500000000001</v>
      </c>
      <c r="M45">
        <f ca="1">IFERROR(IF(0=LEN(ReferenceData!$M$45),"",ReferenceData!$M$45),"")</f>
        <v>135.30699999999999</v>
      </c>
      <c r="N45">
        <f ca="1">IFERROR(IF(0=LEN(ReferenceData!$N$45),"",ReferenceData!$N$45),"")</f>
        <v>138.012</v>
      </c>
      <c r="O45">
        <f ca="1">IFERROR(IF(0=LEN(ReferenceData!$O$45),"",ReferenceData!$O$45),"")</f>
        <v>139.46100000000001</v>
      </c>
      <c r="P45">
        <f ca="1">IFERROR(IF(0=LEN(ReferenceData!$P$45),"",ReferenceData!$P$45),"")</f>
        <v>148.815</v>
      </c>
      <c r="Q45">
        <f ca="1">IFERROR(IF(0=LEN(ReferenceData!$Q$45),"",ReferenceData!$Q$45),"")</f>
        <v>146.73400000000001</v>
      </c>
      <c r="R45">
        <f ca="1">IFERROR(IF(0=LEN(ReferenceData!$R$45),"",ReferenceData!$R$45),"")</f>
        <v>149.75899999999999</v>
      </c>
      <c r="S45">
        <f ca="1">IFERROR(IF(0=LEN(ReferenceData!$S$45),"",ReferenceData!$S$45),"")</f>
        <v>146.71100000000001</v>
      </c>
      <c r="T45">
        <f ca="1">IFERROR(IF(0=LEN(ReferenceData!$T$45),"",ReferenceData!$T$45),"")</f>
        <v>144.64099999999999</v>
      </c>
      <c r="U45">
        <f ca="1">IFERROR(IF(0=LEN(ReferenceData!$U$45),"",ReferenceData!$U$45),"")</f>
        <v>138.58000000000001</v>
      </c>
      <c r="V45">
        <f ca="1">IFERROR(IF(0=LEN(ReferenceData!$V$45),"",ReferenceData!$V$45),"")</f>
        <v>136.32</v>
      </c>
      <c r="W45">
        <f ca="1">IFERROR(IF(0=LEN(ReferenceData!$W$45),"",ReferenceData!$W$45),"")</f>
        <v>141.50399999999999</v>
      </c>
      <c r="X45">
        <f ca="1">IFERROR(IF(0=LEN(ReferenceData!$X$45),"",ReferenceData!$X$45),"")</f>
        <v>143.38900000000001</v>
      </c>
      <c r="Y45">
        <f ca="1">IFERROR(IF(0=LEN(ReferenceData!$Y$45),"",ReferenceData!$Y$45),"")</f>
        <v>132.565</v>
      </c>
      <c r="Z45">
        <f ca="1">IFERROR(IF(0=LEN(ReferenceData!$Z$45),"",ReferenceData!$Z$45),"")</f>
        <v>132.15100000000001</v>
      </c>
      <c r="AA45">
        <f ca="1">IFERROR(IF(0=LEN(ReferenceData!$AA$45),"",ReferenceData!$AA$45),"")</f>
        <v>132.37899999999999</v>
      </c>
      <c r="AB45">
        <f ca="1">IFERROR(IF(0=LEN(ReferenceData!$AB$45),"",ReferenceData!$AB$45),"")</f>
        <v>132.6</v>
      </c>
      <c r="AC45">
        <f ca="1">IFERROR(IF(0=LEN(ReferenceData!$AC$45),"",ReferenceData!$AC$45),"")</f>
        <v>131.65199999999999</v>
      </c>
      <c r="AD45">
        <f ca="1">IFERROR(IF(0=LEN(ReferenceData!$AD$45),"",ReferenceData!$AD$45),"")</f>
        <v>131.08600000000001</v>
      </c>
      <c r="AE45">
        <f ca="1">IFERROR(IF(0=LEN(ReferenceData!$AE$45),"",ReferenceData!$AE$45),"")</f>
        <v>135.62299999999999</v>
      </c>
      <c r="AF45">
        <f ca="1">IFERROR(IF(0=LEN(ReferenceData!$AF$45),"",ReferenceData!$AF$45),"")</f>
        <v>132.47800000000001</v>
      </c>
      <c r="AG45">
        <f ca="1">IFERROR(IF(0=LEN(ReferenceData!$AG$45),"",ReferenceData!$AG$45),"")</f>
        <v>135.55500000000001</v>
      </c>
      <c r="AH45">
        <f ca="1">IFERROR(IF(0=LEN(ReferenceData!$AH$45),"",ReferenceData!$AH$45),"")</f>
        <v>131.44999999999999</v>
      </c>
      <c r="AI45">
        <f ca="1">IFERROR(IF(0=LEN(ReferenceData!$AI$45),"",ReferenceData!$AI$45),"")</f>
        <v>135.233</v>
      </c>
      <c r="AJ45">
        <f ca="1">IFERROR(IF(0=LEN(ReferenceData!$AJ$45),"",ReferenceData!$AJ$45),"")</f>
        <v>134.11600000000001</v>
      </c>
      <c r="AK45">
        <f ca="1">IFERROR(IF(0=LEN(ReferenceData!$AK$45),"",ReferenceData!$AK$45),"")</f>
        <v>144.267</v>
      </c>
      <c r="AL45">
        <f ca="1">IFERROR(IF(0=LEN(ReferenceData!$AL$45),"",ReferenceData!$AL$45),"")</f>
        <v>146.84399999999999</v>
      </c>
      <c r="AM45">
        <f ca="1">IFERROR(IF(0=LEN(ReferenceData!$AM$45),"",ReferenceData!$AM$45),"")</f>
        <v>149.423</v>
      </c>
      <c r="AN45">
        <f ca="1">IFERROR(IF(0=LEN(ReferenceData!$AN$45),"",ReferenceData!$AN$45),"")</f>
        <v>148.94399999999999</v>
      </c>
      <c r="AO45">
        <f ca="1">IFERROR(IF(0=LEN(ReferenceData!$AO$45),"",ReferenceData!$AO$45),"")</f>
        <v>147.98500000000001</v>
      </c>
      <c r="AP45">
        <f ca="1">IFERROR(IF(0=LEN(ReferenceData!$AP$45),"",ReferenceData!$AP$45),"")</f>
        <v>153.74799999999999</v>
      </c>
      <c r="AQ45">
        <f ca="1">IFERROR(IF(0=LEN(ReferenceData!$AQ$45),"",ReferenceData!$AQ$45),"")</f>
        <v>155.416</v>
      </c>
      <c r="AR45">
        <f ca="1">IFERROR(IF(0=LEN(ReferenceData!$AR$45),"",ReferenceData!$AR$45),"")</f>
        <v>156.37100000000001</v>
      </c>
      <c r="AS45">
        <f ca="1">IFERROR(IF(0=LEN(ReferenceData!$AS$45),"",ReferenceData!$AS$45),"")</f>
        <v>152.161</v>
      </c>
      <c r="AT45">
        <f ca="1">IFERROR(IF(0=LEN(ReferenceData!$AT$45),"",ReferenceData!$AT$45),"")</f>
        <v>159.09299999999999</v>
      </c>
      <c r="AU45">
        <f ca="1">IFERROR(IF(0=LEN(ReferenceData!$AU$45),"",ReferenceData!$AU$45),"")</f>
        <v>146.15700000000001</v>
      </c>
      <c r="AV45">
        <f ca="1">IFERROR(IF(0=LEN(ReferenceData!$AV$45),"",ReferenceData!$AV$45),"")</f>
        <v>150.286</v>
      </c>
      <c r="AW45">
        <f ca="1">IFERROR(IF(0=LEN(ReferenceData!$AW$45),"",ReferenceData!$AW$45),"")</f>
        <v>146.17699999999999</v>
      </c>
      <c r="AX45">
        <f ca="1">IFERROR(IF(0=LEN(ReferenceData!$AX$45),"",ReferenceData!$AX$45),"")</f>
        <v>148.21799999999999</v>
      </c>
      <c r="AY45">
        <f ca="1">IFERROR(IF(0=LEN(ReferenceData!$AY$45),"",ReferenceData!$AY$45),"")</f>
        <v>138.57900000000001</v>
      </c>
      <c r="AZ45">
        <f ca="1">IFERROR(IF(0=LEN(ReferenceData!$AZ$45),"",ReferenceData!$AZ$45),"")</f>
        <v>151.64699999999999</v>
      </c>
      <c r="BA45">
        <f ca="1">IFERROR(IF(0=LEN(ReferenceData!$BA$45),"",ReferenceData!$BA$45),"")</f>
        <v>141.577</v>
      </c>
      <c r="BB45">
        <f ca="1">IFERROR(IF(0=LEN(ReferenceData!$BB$45),"",ReferenceData!$BB$45),"")</f>
        <v>139.56</v>
      </c>
      <c r="BC45">
        <f ca="1">IFERROR(IF(0=LEN(ReferenceData!$BC$45),"",ReferenceData!$BC$45),"")</f>
        <v>136.43799999999999</v>
      </c>
      <c r="BD45">
        <f ca="1">IFERROR(IF(0=LEN(ReferenceData!$BD$45),"",ReferenceData!$BD$45),"")</f>
        <v>141.15899999999999</v>
      </c>
      <c r="BE45">
        <f ca="1">IFERROR(IF(0=LEN(ReferenceData!$BE$45),"",ReferenceData!$BE$45),"")</f>
        <v>148.53700000000001</v>
      </c>
      <c r="BF45">
        <f ca="1">IFERROR(IF(0=LEN(ReferenceData!$BF$45),"",ReferenceData!$BF$45),"")</f>
        <v>143.67400000000001</v>
      </c>
      <c r="BG45">
        <f ca="1">IFERROR(IF(0=LEN(ReferenceData!$BG$45),"",ReferenceData!$BG$45),"")</f>
        <v>130.989</v>
      </c>
      <c r="BH45">
        <f ca="1">IFERROR(IF(0=LEN(ReferenceData!$BH$45),"",ReferenceData!$BH$45),"")</f>
        <v>137.15700000000001</v>
      </c>
      <c r="BI45">
        <f ca="1">IFERROR(IF(0=LEN(ReferenceData!$BI$45),"",ReferenceData!$BI$45),"")</f>
        <v>145.33299260000001</v>
      </c>
      <c r="BJ45">
        <f ca="1">IFERROR(IF(0=LEN(ReferenceData!$BJ$45),"",ReferenceData!$BJ$45),"")</f>
        <v>135.12899780000001</v>
      </c>
      <c r="BK45">
        <f ca="1">IFERROR(IF(0=LEN(ReferenceData!$BK$45),"",ReferenceData!$BK$45),"")</f>
        <v>125.4110031</v>
      </c>
      <c r="BL45">
        <f ca="1">IFERROR(IF(0=LEN(ReferenceData!$BL$45),"",ReferenceData!$BL$45),"")</f>
        <v>107.20500180000001</v>
      </c>
      <c r="BM45">
        <f ca="1">IFERROR(IF(0=LEN(ReferenceData!$BM$45),"",ReferenceData!$BM$45),"")</f>
        <v>85.842002870000002</v>
      </c>
    </row>
    <row r="46" spans="1:65">
      <c r="A46" t="str">
        <f>IFERROR(IF(0=LEN(ReferenceData!$A$46),"",ReferenceData!$A$46),"")</f>
        <v xml:space="preserve">    SL Green Realty Corp</v>
      </c>
      <c r="B46" t="str">
        <f>IFERROR(IF(0=LEN(ReferenceData!$B$46),"",ReferenceData!$B$46),"")</f>
        <v>SLG US Equity</v>
      </c>
      <c r="C46" t="str">
        <f>IFERROR(IF(0=LEN(ReferenceData!$C$46),"",ReferenceData!$C$46),"")</f>
        <v>IS010</v>
      </c>
      <c r="D46" t="str">
        <f>IFERROR(IF(0=LEN(ReferenceData!$D$46),"",ReferenceData!$D$46),"")</f>
        <v>SALES_REV_TURN</v>
      </c>
      <c r="E46" t="str">
        <f>IFERROR(IF(0=LEN(ReferenceData!$E$46),"",ReferenceData!$E$46),"")</f>
        <v>动态</v>
      </c>
      <c r="F46" t="str">
        <f ca="1">IFERROR(IF(0=LEN(ReferenceData!$F$46),"",ReferenceData!$F$46),"")</f>
        <v/>
      </c>
      <c r="G46">
        <f ca="1">IFERROR(IF(0=LEN(ReferenceData!$G$46),"",ReferenceData!$G$46),"")</f>
        <v>361.34199999999998</v>
      </c>
      <c r="H46">
        <f ca="1">IFERROR(IF(0=LEN(ReferenceData!$H$46),"",ReferenceData!$H$46),"")</f>
        <v>374.6</v>
      </c>
      <c r="I46">
        <f ca="1">IFERROR(IF(0=LEN(ReferenceData!$I$46),"",ReferenceData!$I$46),"")</f>
        <v>398.15</v>
      </c>
      <c r="J46">
        <f ca="1">IFERROR(IF(0=LEN(ReferenceData!$J$46),"",ReferenceData!$J$46),"")</f>
        <v>377.38099999999997</v>
      </c>
      <c r="K46">
        <f ca="1">IFERROR(IF(0=LEN(ReferenceData!$K$46),"",ReferenceData!$K$46),"")</f>
        <v>374.24200000000002</v>
      </c>
      <c r="L46">
        <f ca="1">IFERROR(IF(0=LEN(ReferenceData!$L$46),"",ReferenceData!$L$46),"")</f>
        <v>416.68099999999998</v>
      </c>
      <c r="M46">
        <f ca="1">IFERROR(IF(0=LEN(ReferenceData!$M$46),"",ReferenceData!$M$46),"")</f>
        <v>617.61400000000003</v>
      </c>
      <c r="N46">
        <f ca="1">IFERROR(IF(0=LEN(ReferenceData!$N$46),"",ReferenceData!$N$46),"")</f>
        <v>455.44400000000002</v>
      </c>
      <c r="O46">
        <f ca="1">IFERROR(IF(0=LEN(ReferenceData!$O$46),"",ReferenceData!$O$46),"")</f>
        <v>425.39</v>
      </c>
      <c r="P46">
        <f ca="1">IFERROR(IF(0=LEN(ReferenceData!$P$46),"",ReferenceData!$P$46),"")</f>
        <v>432.06599999999997</v>
      </c>
      <c r="Q46">
        <f ca="1">IFERROR(IF(0=LEN(ReferenceData!$Q$46),"",ReferenceData!$Q$46),"")</f>
        <v>409.07400000000001</v>
      </c>
      <c r="R46">
        <f ca="1">IFERROR(IF(0=LEN(ReferenceData!$R$46),"",ReferenceData!$R$46),"")</f>
        <v>396.29899999999998</v>
      </c>
      <c r="S46">
        <f ca="1">IFERROR(IF(0=LEN(ReferenceData!$S$46),"",ReferenceData!$S$46),"")</f>
        <v>386.62700000000001</v>
      </c>
      <c r="T46">
        <f ca="1">IFERROR(IF(0=LEN(ReferenceData!$T$46),"",ReferenceData!$T$46),"")</f>
        <v>390.274</v>
      </c>
      <c r="U46">
        <f ca="1">IFERROR(IF(0=LEN(ReferenceData!$U$46),"",ReferenceData!$U$46),"")</f>
        <v>380.63200000000001</v>
      </c>
      <c r="V46">
        <f ca="1">IFERROR(IF(0=LEN(ReferenceData!$V$46),"",ReferenceData!$V$46),"")</f>
        <v>362.44499999999999</v>
      </c>
      <c r="W46">
        <f ca="1">IFERROR(IF(0=LEN(ReferenceData!$W$46),"",ReferenceData!$W$46),"")</f>
        <v>350.45100000000002</v>
      </c>
      <c r="X46">
        <f ca="1">IFERROR(IF(0=LEN(ReferenceData!$X$46),"",ReferenceData!$X$46),"")</f>
        <v>338.78199999999998</v>
      </c>
      <c r="Y46">
        <f ca="1">IFERROR(IF(0=LEN(ReferenceData!$Y$46),"",ReferenceData!$Y$46),"")</f>
        <v>353.94400000000002</v>
      </c>
      <c r="Z46">
        <f ca="1">IFERROR(IF(0=LEN(ReferenceData!$Z$46),"",ReferenceData!$Z$46),"")</f>
        <v>359.95299999999997</v>
      </c>
      <c r="AA46">
        <f ca="1">IFERROR(IF(0=LEN(ReferenceData!$AA$46),"",ReferenceData!$AA$46),"")</f>
        <v>346.59899999999999</v>
      </c>
      <c r="AB46">
        <f ca="1">IFERROR(IF(0=LEN(ReferenceData!$AB$46),"",ReferenceData!$AB$46),"")</f>
        <v>357.01100000000002</v>
      </c>
      <c r="AC46">
        <f ca="1">IFERROR(IF(0=LEN(ReferenceData!$AC$46),"",ReferenceData!$AC$46),"")</f>
        <v>344.53500000000003</v>
      </c>
      <c r="AD46">
        <f ca="1">IFERROR(IF(0=LEN(ReferenceData!$AD$46),"",ReferenceData!$AD$46),"")</f>
        <v>339.13299999999998</v>
      </c>
      <c r="AE46">
        <f ca="1">IFERROR(IF(0=LEN(ReferenceData!$AE$46),"",ReferenceData!$AE$46),"")</f>
        <v>328.87900000000002</v>
      </c>
      <c r="AF46">
        <f ca="1">IFERROR(IF(0=LEN(ReferenceData!$AF$46),"",ReferenceData!$AF$46),"")</f>
        <v>306.62299999999999</v>
      </c>
      <c r="AG46">
        <f ca="1">IFERROR(IF(0=LEN(ReferenceData!$AG$46),"",ReferenceData!$AG$46),"")</f>
        <v>298.70499999999998</v>
      </c>
      <c r="AH46">
        <f ca="1">IFERROR(IF(0=LEN(ReferenceData!$AH$46),"",ReferenceData!$AH$46),"")</f>
        <v>329.221</v>
      </c>
      <c r="AI46">
        <f ca="1">IFERROR(IF(0=LEN(ReferenceData!$AI$46),"",ReferenceData!$AI$46),"")</f>
        <v>262.78399999999999</v>
      </c>
      <c r="AJ46">
        <f ca="1">IFERROR(IF(0=LEN(ReferenceData!$AJ$46),"",ReferenceData!$AJ$46),"")</f>
        <v>319.15100000000001</v>
      </c>
      <c r="AK46">
        <f ca="1">IFERROR(IF(0=LEN(ReferenceData!$AK$46),"",ReferenceData!$AK$46),"")</f>
        <v>251.572</v>
      </c>
      <c r="AL46">
        <f ca="1">IFERROR(IF(0=LEN(ReferenceData!$AL$46),"",ReferenceData!$AL$46),"")</f>
        <v>250.881</v>
      </c>
      <c r="AM46">
        <f ca="1">IFERROR(IF(0=LEN(ReferenceData!$AM$46),"",ReferenceData!$AM$46),"")</f>
        <v>243.04</v>
      </c>
      <c r="AN46">
        <f ca="1">IFERROR(IF(0=LEN(ReferenceData!$AN$46),"",ReferenceData!$AN$46),"")</f>
        <v>245.76900000000001</v>
      </c>
      <c r="AO46">
        <f ca="1">IFERROR(IF(0=LEN(ReferenceData!$AO$46),"",ReferenceData!$AO$46),"")</f>
        <v>252.005</v>
      </c>
      <c r="AP46">
        <f ca="1">IFERROR(IF(0=LEN(ReferenceData!$AP$46),"",ReferenceData!$AP$46),"")</f>
        <v>262.43700000000001</v>
      </c>
      <c r="AQ46">
        <f ca="1">IFERROR(IF(0=LEN(ReferenceData!$AQ$46),"",ReferenceData!$AQ$46),"")</f>
        <v>269.02499999999998</v>
      </c>
      <c r="AR46">
        <f ca="1">IFERROR(IF(0=LEN(ReferenceData!$AR$46),"",ReferenceData!$AR$46),"")</f>
        <v>268.31299999999999</v>
      </c>
      <c r="AS46">
        <f ca="1">IFERROR(IF(0=LEN(ReferenceData!$AS$46),"",ReferenceData!$AS$46),"")</f>
        <v>290.72199999999998</v>
      </c>
      <c r="AT46">
        <f ca="1">IFERROR(IF(0=LEN(ReferenceData!$AT$46),"",ReferenceData!$AT$46),"")</f>
        <v>254.702</v>
      </c>
      <c r="AU46">
        <f ca="1">IFERROR(IF(0=LEN(ReferenceData!$AU$46),"",ReferenceData!$AU$46),"")</f>
        <v>253.011</v>
      </c>
      <c r="AV46">
        <f ca="1">IFERROR(IF(0=LEN(ReferenceData!$AV$46),"",ReferenceData!$AV$46),"")</f>
        <v>245.251</v>
      </c>
      <c r="AW46">
        <f ca="1">IFERROR(IF(0=LEN(ReferenceData!$AW$46),"",ReferenceData!$AW$46),"")</f>
        <v>251.81100000000001</v>
      </c>
      <c r="AX46">
        <f ca="1">IFERROR(IF(0=LEN(ReferenceData!$AX$46),"",ReferenceData!$AX$46),"")</f>
        <v>285.91800000000001</v>
      </c>
      <c r="AY46">
        <f ca="1">IFERROR(IF(0=LEN(ReferenceData!$AY$46),"",ReferenceData!$AY$46),"")</f>
        <v>145.30500000000001</v>
      </c>
      <c r="AZ46">
        <f ca="1">IFERROR(IF(0=LEN(ReferenceData!$AZ$46),"",ReferenceData!$AZ$46),"")</f>
        <v>129.58799999999999</v>
      </c>
      <c r="BA46">
        <f ca="1">IFERROR(IF(0=LEN(ReferenceData!$BA$46),"",ReferenceData!$BA$46),"")</f>
        <v>123.64</v>
      </c>
      <c r="BB46">
        <f ca="1">IFERROR(IF(0=LEN(ReferenceData!$BB$46),"",ReferenceData!$BB$46),"")</f>
        <v>116.366</v>
      </c>
      <c r="BC46">
        <f ca="1">IFERROR(IF(0=LEN(ReferenceData!$BC$46),"",ReferenceData!$BC$46),"")</f>
        <v>106.423</v>
      </c>
      <c r="BD46">
        <f ca="1">IFERROR(IF(0=LEN(ReferenceData!$BD$46),"",ReferenceData!$BD$46),"")</f>
        <v>115.598</v>
      </c>
      <c r="BE46">
        <f ca="1">IFERROR(IF(0=LEN(ReferenceData!$BE$46),"",ReferenceData!$BE$46),"")</f>
        <v>102.056</v>
      </c>
      <c r="BF46">
        <f ca="1">IFERROR(IF(0=LEN(ReferenceData!$BF$46),"",ReferenceData!$BF$46),"")</f>
        <v>100.11199999999999</v>
      </c>
      <c r="BG46">
        <f ca="1">IFERROR(IF(0=LEN(ReferenceData!$BG$46),"",ReferenceData!$BG$46),"")</f>
        <v>94.113</v>
      </c>
      <c r="BH46">
        <f ca="1">IFERROR(IF(0=LEN(ReferenceData!$BH$46),"",ReferenceData!$BH$46),"")</f>
        <v>85.867999999999995</v>
      </c>
      <c r="BI46">
        <f ca="1">IFERROR(IF(0=LEN(ReferenceData!$BI$46),"",ReferenceData!$BI$46),"")</f>
        <v>89.444999999999993</v>
      </c>
      <c r="BJ46">
        <f ca="1">IFERROR(IF(0=LEN(ReferenceData!$BJ$46),"",ReferenceData!$BJ$46),"")</f>
        <v>87.69</v>
      </c>
      <c r="BK46">
        <f ca="1">IFERROR(IF(0=LEN(ReferenceData!$BK$46),"",ReferenceData!$BK$46),"")</f>
        <v>80.924003600000006</v>
      </c>
      <c r="BL46">
        <f ca="1">IFERROR(IF(0=LEN(ReferenceData!$BL$46),"",ReferenceData!$BL$46),"")</f>
        <v>75.92</v>
      </c>
      <c r="BM46">
        <f ca="1">IFERROR(IF(0=LEN(ReferenceData!$BM$46),"",ReferenceData!$BM$46),"")</f>
        <v>74.350999999999999</v>
      </c>
    </row>
    <row r="47" spans="1:65">
      <c r="A47" t="str">
        <f>IFERROR(IF(0=LEN(ReferenceData!$A$47),"",ReferenceData!$A$47),"")</f>
        <v xml:space="preserve">    Vornado Realty Trust</v>
      </c>
      <c r="B47" t="str">
        <f>IFERROR(IF(0=LEN(ReferenceData!$B$47),"",ReferenceData!$B$47),"")</f>
        <v>VNO US Equity</v>
      </c>
      <c r="C47" t="str">
        <f>IFERROR(IF(0=LEN(ReferenceData!$C$47),"",ReferenceData!$C$47),"")</f>
        <v>IS010</v>
      </c>
      <c r="D47" t="str">
        <f>IFERROR(IF(0=LEN(ReferenceData!$D$47),"",ReferenceData!$D$47),"")</f>
        <v>SALES_REV_TURN</v>
      </c>
      <c r="E47" t="str">
        <f>IFERROR(IF(0=LEN(ReferenceData!$E$47),"",ReferenceData!$E$47),"")</f>
        <v>动态</v>
      </c>
      <c r="F47" t="str">
        <f ca="1">IFERROR(IF(0=LEN(ReferenceData!$F$47),"",ReferenceData!$F$47),"")</f>
        <v/>
      </c>
      <c r="G47">
        <f ca="1">IFERROR(IF(0=LEN(ReferenceData!$G$47),"",ReferenceData!$G$47),"")</f>
        <v>536.226</v>
      </c>
      <c r="H47">
        <f ca="1">IFERROR(IF(0=LEN(ReferenceData!$H$47),"",ReferenceData!$H$47),"")</f>
        <v>528.755</v>
      </c>
      <c r="I47">
        <f ca="1">IFERROR(IF(0=LEN(ReferenceData!$I$47),"",ReferenceData!$I$47),"")</f>
        <v>626.03899999999999</v>
      </c>
      <c r="J47">
        <f ca="1">IFERROR(IF(0=LEN(ReferenceData!$J$47),"",ReferenceData!$J$47),"")</f>
        <v>620.84799999999996</v>
      </c>
      <c r="K47">
        <f ca="1">IFERROR(IF(0=LEN(ReferenceData!$K$47),"",ReferenceData!$K$47),"")</f>
        <v>638.26</v>
      </c>
      <c r="L47">
        <f ca="1">IFERROR(IF(0=LEN(ReferenceData!$L$47),"",ReferenceData!$L$47),"")</f>
        <v>633.197</v>
      </c>
      <c r="M47">
        <f ca="1">IFERROR(IF(0=LEN(ReferenceData!$M$47),"",ReferenceData!$M$47),"")</f>
        <v>621.70799999999997</v>
      </c>
      <c r="N47">
        <f ca="1">IFERROR(IF(0=LEN(ReferenceData!$N$47),"",ReferenceData!$N$47),"")</f>
        <v>613.03700000000003</v>
      </c>
      <c r="O47">
        <f ca="1">IFERROR(IF(0=LEN(ReferenceData!$O$47),"",ReferenceData!$O$47),"")</f>
        <v>651.58100000000002</v>
      </c>
      <c r="P47">
        <f ca="1">IFERROR(IF(0=LEN(ReferenceData!$P$47),"",ReferenceData!$P$47),"")</f>
        <v>627.596</v>
      </c>
      <c r="Q47">
        <f ca="1">IFERROR(IF(0=LEN(ReferenceData!$Q$47),"",ReferenceData!$Q$47),"")</f>
        <v>616.28800000000001</v>
      </c>
      <c r="R47">
        <f ca="1">IFERROR(IF(0=LEN(ReferenceData!$R$47),"",ReferenceData!$R$47),"")</f>
        <v>606.80200000000002</v>
      </c>
      <c r="S47">
        <f ca="1">IFERROR(IF(0=LEN(ReferenceData!$S$47),"",ReferenceData!$S$47),"")</f>
        <v>597.01</v>
      </c>
      <c r="T47">
        <f ca="1">IFERROR(IF(0=LEN(ReferenceData!$T$47),"",ReferenceData!$T$47),"")</f>
        <v>578.71</v>
      </c>
      <c r="U47">
        <f ca="1">IFERROR(IF(0=LEN(ReferenceData!$U$47),"",ReferenceData!$U$47),"")</f>
        <v>574.41099999999994</v>
      </c>
      <c r="V47">
        <f ca="1">IFERROR(IF(0=LEN(ReferenceData!$V$47),"",ReferenceData!$V$47),"")</f>
        <v>562.38099999999997</v>
      </c>
      <c r="W47">
        <f ca="1">IFERROR(IF(0=LEN(ReferenceData!$W$47),"",ReferenceData!$W$47),"")</f>
        <v>649.40300000000002</v>
      </c>
      <c r="X47">
        <f ca="1">IFERROR(IF(0=LEN(ReferenceData!$X$47),"",ReferenceData!$X$47),"")</f>
        <v>668.98900000000003</v>
      </c>
      <c r="Y47">
        <f ca="1">IFERROR(IF(0=LEN(ReferenceData!$Y$47),"",ReferenceData!$Y$47),"")</f>
        <v>671.21600000000001</v>
      </c>
      <c r="Z47">
        <f ca="1">IFERROR(IF(0=LEN(ReferenceData!$Z$47),"",ReferenceData!$Z$47),"")</f>
        <v>718.71299999999997</v>
      </c>
      <c r="AA47">
        <f ca="1">IFERROR(IF(0=LEN(ReferenceData!$AA$47),"",ReferenceData!$AA$47),"")</f>
        <v>686.69299999999998</v>
      </c>
      <c r="AB47">
        <f ca="1">IFERROR(IF(0=LEN(ReferenceData!$AB$47),"",ReferenceData!$AB$47),"")</f>
        <v>703.05200000000002</v>
      </c>
      <c r="AC47">
        <f ca="1">IFERROR(IF(0=LEN(ReferenceData!$AC$47),"",ReferenceData!$AC$47),"")</f>
        <v>677.98299999999995</v>
      </c>
      <c r="AD47">
        <f ca="1">IFERROR(IF(0=LEN(ReferenceData!$AD$47),"",ReferenceData!$AD$47),"")</f>
        <v>669.24099999999999</v>
      </c>
      <c r="AE47">
        <f ca="1">IFERROR(IF(0=LEN(ReferenceData!$AE$47),"",ReferenceData!$AE$47),"")</f>
        <v>689.95899999999995</v>
      </c>
      <c r="AF47">
        <f ca="1">IFERROR(IF(0=LEN(ReferenceData!$AF$47),"",ReferenceData!$AF$47),"")</f>
        <v>687.86</v>
      </c>
      <c r="AG47">
        <f ca="1">IFERROR(IF(0=LEN(ReferenceData!$AG$47),"",ReferenceData!$AG$47),"")</f>
        <v>696.03800000000001</v>
      </c>
      <c r="AH47">
        <f ca="1">IFERROR(IF(0=LEN(ReferenceData!$AH$47),"",ReferenceData!$AH$47),"")</f>
        <v>726.88300000000004</v>
      </c>
      <c r="AI47">
        <f ca="1">IFERROR(IF(0=LEN(ReferenceData!$AI$47),"",ReferenceData!$AI$47),"")</f>
        <v>684.25300000000004</v>
      </c>
      <c r="AJ47">
        <f ca="1">IFERROR(IF(0=LEN(ReferenceData!$AJ$47),"",ReferenceData!$AJ$47),"")</f>
        <v>687.125</v>
      </c>
      <c r="AK47">
        <f ca="1">IFERROR(IF(0=LEN(ReferenceData!$AK$47),"",ReferenceData!$AK$47),"")</f>
        <v>683.98900000000003</v>
      </c>
      <c r="AL47">
        <f ca="1">IFERROR(IF(0=LEN(ReferenceData!$AL$47),"",ReferenceData!$AL$47),"")</f>
        <v>685.31399999999996</v>
      </c>
      <c r="AM47">
        <f ca="1">IFERROR(IF(0=LEN(ReferenceData!$AM$47),"",ReferenceData!$AM$47),"")</f>
        <v>706.55200000000002</v>
      </c>
      <c r="AN47">
        <f ca="1">IFERROR(IF(0=LEN(ReferenceData!$AN$47),"",ReferenceData!$AN$47),"")</f>
        <v>671.21900000000005</v>
      </c>
      <c r="AO47">
        <f ca="1">IFERROR(IF(0=LEN(ReferenceData!$AO$47),"",ReferenceData!$AO$47),"")</f>
        <v>673.79</v>
      </c>
      <c r="AP47">
        <f ca="1">IFERROR(IF(0=LEN(ReferenceData!$AP$47),"",ReferenceData!$AP$47),"")</f>
        <v>678.56600000000003</v>
      </c>
      <c r="AQ47">
        <f ca="1">IFERROR(IF(0=LEN(ReferenceData!$AQ$47),"",ReferenceData!$AQ$47),"")</f>
        <v>695.15300000000002</v>
      </c>
      <c r="AR47">
        <f ca="1">IFERROR(IF(0=LEN(ReferenceData!$AR$47),"",ReferenceData!$AR$47),"")</f>
        <v>676.06799999999998</v>
      </c>
      <c r="AS47">
        <f ca="1">IFERROR(IF(0=LEN(ReferenceData!$AS$47),"",ReferenceData!$AS$47),"")</f>
        <v>674.36500000000001</v>
      </c>
      <c r="AT47">
        <f ca="1">IFERROR(IF(0=LEN(ReferenceData!$AT$47),"",ReferenceData!$AT$47),"")</f>
        <v>649.28200000000004</v>
      </c>
      <c r="AU47">
        <f ca="1">IFERROR(IF(0=LEN(ReferenceData!$AU$47),"",ReferenceData!$AU$47),"")</f>
        <v>657.16600000000005</v>
      </c>
      <c r="AV47">
        <f ca="1">IFERROR(IF(0=LEN(ReferenceData!$AV$47),"",ReferenceData!$AV$47),"")</f>
        <v>637.07799999999997</v>
      </c>
      <c r="AW47">
        <f ca="1">IFERROR(IF(0=LEN(ReferenceData!$AW$47),"",ReferenceData!$AW$47),"")</f>
        <v>583.22</v>
      </c>
      <c r="AX47">
        <f ca="1">IFERROR(IF(0=LEN(ReferenceData!$AX$47),"",ReferenceData!$AX$47),"")</f>
        <v>536.24400000000003</v>
      </c>
      <c r="AY47">
        <f ca="1">IFERROR(IF(0=LEN(ReferenceData!$AY$47),"",ReferenceData!$AY$47),"")</f>
        <v>722.54899999999998</v>
      </c>
      <c r="AZ47">
        <f ca="1">IFERROR(IF(0=LEN(ReferenceData!$AZ$47),"",ReferenceData!$AZ$47),"")</f>
        <v>675.93100000000004</v>
      </c>
      <c r="BA47">
        <f ca="1">IFERROR(IF(0=LEN(ReferenceData!$BA$47),"",ReferenceData!$BA$47),"")</f>
        <v>663.03200000000004</v>
      </c>
      <c r="BB47">
        <f ca="1">IFERROR(IF(0=LEN(ReferenceData!$BB$47),"",ReferenceData!$BB$47),"")</f>
        <v>669.81200000000001</v>
      </c>
      <c r="BC47">
        <f ca="1">IFERROR(IF(0=LEN(ReferenceData!$BC$47),"",ReferenceData!$BC$47),"")</f>
        <v>725.34100000000001</v>
      </c>
      <c r="BD47">
        <f ca="1">IFERROR(IF(0=LEN(ReferenceData!$BD$47),"",ReferenceData!$BD$47),"")</f>
        <v>617.80100000000004</v>
      </c>
      <c r="BE47">
        <f ca="1">IFERROR(IF(0=LEN(ReferenceData!$BE$47),"",ReferenceData!$BE$47),"")</f>
        <v>591.47500000000002</v>
      </c>
      <c r="BF47">
        <f ca="1">IFERROR(IF(0=LEN(ReferenceData!$BF$47),"",ReferenceData!$BF$47),"")</f>
        <v>596.18399999999997</v>
      </c>
      <c r="BG47">
        <f ca="1">IFERROR(IF(0=LEN(ReferenceData!$BG$47),"",ReferenceData!$BG$47),"")</f>
        <v>672.04499999999996</v>
      </c>
      <c r="BH47">
        <f ca="1">IFERROR(IF(0=LEN(ReferenceData!$BH$47),"",ReferenceData!$BH$47),"")</f>
        <v>433.108</v>
      </c>
      <c r="BI47">
        <f ca="1">IFERROR(IF(0=LEN(ReferenceData!$BI$47),"",ReferenceData!$BI$47),"")</f>
        <v>408.60299700000002</v>
      </c>
      <c r="BJ47">
        <f ca="1">IFERROR(IF(0=LEN(ReferenceData!$BJ$47),"",ReferenceData!$BJ$47),"")</f>
        <v>402.29501299999998</v>
      </c>
      <c r="BK47">
        <f ca="1">IFERROR(IF(0=LEN(ReferenceData!$BK$47),"",ReferenceData!$BK$47),"")</f>
        <v>394.52499399999999</v>
      </c>
      <c r="BL47">
        <f ca="1">IFERROR(IF(0=LEN(ReferenceData!$BL$47),"",ReferenceData!$BL$47),"")</f>
        <v>382.96798699999999</v>
      </c>
      <c r="BM47">
        <f ca="1">IFERROR(IF(0=LEN(ReferenceData!$BM$47),"",ReferenceData!$BM$47),"")</f>
        <v>374.76299999999998</v>
      </c>
    </row>
    <row r="48" spans="1:65">
      <c r="A48" t="str">
        <f>IFERROR(IF(0=LEN(ReferenceData!$A$48),"",ReferenceData!$A$48),"")</f>
        <v>营业净利润</v>
      </c>
      <c r="B48" t="str">
        <f>IFERROR(IF(0=LEN(ReferenceData!$B$48),"",ReferenceData!$B$48),"")</f>
        <v/>
      </c>
      <c r="C48" t="str">
        <f>IFERROR(IF(0=LEN(ReferenceData!$C$48),"",ReferenceData!$C$48),"")</f>
        <v/>
      </c>
      <c r="D48" t="str">
        <f>IFERROR(IF(0=LEN(ReferenceData!$D$48),"",ReferenceData!$D$48),"")</f>
        <v/>
      </c>
      <c r="E48" t="str">
        <f>IFERROR(IF(0=LEN(ReferenceData!$E$48),"",ReferenceData!$E$48),"")</f>
        <v>Median</v>
      </c>
      <c r="F48" t="str">
        <f ca="1">IFERROR(IF(0=LEN(ReferenceData!$F$48),"",ReferenceData!$F$48),"")</f>
        <v/>
      </c>
      <c r="G48">
        <f ca="1">IFERROR(IF(0=LEN(ReferenceData!$G$48),"",ReferenceData!$G$48),"")</f>
        <v>100.262</v>
      </c>
      <c r="H48">
        <f ca="1">IFERROR(IF(0=LEN(ReferenceData!$H$48),"",ReferenceData!$H$48),"")</f>
        <v>105.3265</v>
      </c>
      <c r="I48">
        <f ca="1">IFERROR(IF(0=LEN(ReferenceData!$I$48),"",ReferenceData!$I$48),"")</f>
        <v>106.89150000000001</v>
      </c>
      <c r="J48">
        <f ca="1">IFERROR(IF(0=LEN(ReferenceData!$J$48),"",ReferenceData!$J$48),"")</f>
        <v>102.5455</v>
      </c>
      <c r="K48">
        <f ca="1">IFERROR(IF(0=LEN(ReferenceData!$K$48),"",ReferenceData!$K$48),"")</f>
        <v>98.345500000000001</v>
      </c>
      <c r="L48">
        <f ca="1">IFERROR(IF(0=LEN(ReferenceData!$L$48),"",ReferenceData!$L$48),"")</f>
        <v>98.253</v>
      </c>
      <c r="M48">
        <f ca="1">IFERROR(IF(0=LEN(ReferenceData!$M$48),"",ReferenceData!$M$48),"")</f>
        <v>97.563999999999993</v>
      </c>
      <c r="N48">
        <f ca="1">IFERROR(IF(0=LEN(ReferenceData!$N$48),"",ReferenceData!$N$48),"")</f>
        <v>95.551500000000004</v>
      </c>
      <c r="O48">
        <f ca="1">IFERROR(IF(0=LEN(ReferenceData!$O$48),"",ReferenceData!$O$48),"")</f>
        <v>96.959499999999991</v>
      </c>
      <c r="P48">
        <f ca="1">IFERROR(IF(0=LEN(ReferenceData!$P$48),"",ReferenceData!$P$48),"")</f>
        <v>97.063500000000005</v>
      </c>
      <c r="Q48">
        <f ca="1">IFERROR(IF(0=LEN(ReferenceData!$Q$48),"",ReferenceData!$Q$48),"")</f>
        <v>92.118499999999997</v>
      </c>
      <c r="R48">
        <f ca="1">IFERROR(IF(0=LEN(ReferenceData!$R$48),"",ReferenceData!$R$48),"")</f>
        <v>93.335499999999996</v>
      </c>
      <c r="S48">
        <f ca="1">IFERROR(IF(0=LEN(ReferenceData!$S$48),"",ReferenceData!$S$48),"")</f>
        <v>88.551500000000004</v>
      </c>
      <c r="T48">
        <f ca="1">IFERROR(IF(0=LEN(ReferenceData!$T$48),"",ReferenceData!$T$48),"")</f>
        <v>88.744499999999988</v>
      </c>
      <c r="U48">
        <f ca="1">IFERROR(IF(0=LEN(ReferenceData!$U$48),"",ReferenceData!$U$48),"")</f>
        <v>89.705500000000001</v>
      </c>
      <c r="V48">
        <f ca="1">IFERROR(IF(0=LEN(ReferenceData!$V$48),"",ReferenceData!$V$48),"")</f>
        <v>87.4465</v>
      </c>
      <c r="W48">
        <f ca="1">IFERROR(IF(0=LEN(ReferenceData!$W$48),"",ReferenceData!$W$48),"")</f>
        <v>86.225499999999997</v>
      </c>
      <c r="X48">
        <f ca="1">IFERROR(IF(0=LEN(ReferenceData!$X$48),"",ReferenceData!$X$48),"")</f>
        <v>87.742999999999995</v>
      </c>
      <c r="Y48">
        <f ca="1">IFERROR(IF(0=LEN(ReferenceData!$Y$48),"",ReferenceData!$Y$48),"")</f>
        <v>84.757499999999993</v>
      </c>
      <c r="Z48">
        <f ca="1">IFERROR(IF(0=LEN(ReferenceData!$Z$48),"",ReferenceData!$Z$48),"")</f>
        <v>83.697499999999991</v>
      </c>
      <c r="AA48">
        <f ca="1">IFERROR(IF(0=LEN(ReferenceData!$AA$48),"",ReferenceData!$AA$48),"")</f>
        <v>80.338999999999999</v>
      </c>
      <c r="AB48">
        <f ca="1">IFERROR(IF(0=LEN(ReferenceData!$AB$48),"",ReferenceData!$AB$48),"")</f>
        <v>80.880500000000012</v>
      </c>
      <c r="AC48">
        <f ca="1">IFERROR(IF(0=LEN(ReferenceData!$AC$48),"",ReferenceData!$AC$48),"")</f>
        <v>80.505499999999998</v>
      </c>
      <c r="AD48">
        <f ca="1">IFERROR(IF(0=LEN(ReferenceData!$AD$48),"",ReferenceData!$AD$48),"")</f>
        <v>81.3125</v>
      </c>
      <c r="AE48">
        <f ca="1">IFERROR(IF(0=LEN(ReferenceData!$AE$48),"",ReferenceData!$AE$48),"")</f>
        <v>81.16149999999999</v>
      </c>
      <c r="AF48">
        <f ca="1">IFERROR(IF(0=LEN(ReferenceData!$AF$48),"",ReferenceData!$AF$48),"")</f>
        <v>87.00200000000001</v>
      </c>
      <c r="AG48">
        <f ca="1">IFERROR(IF(0=LEN(ReferenceData!$AG$48),"",ReferenceData!$AG$48),"")</f>
        <v>86.402500000000003</v>
      </c>
      <c r="AH48">
        <f ca="1">IFERROR(IF(0=LEN(ReferenceData!$AH$48),"",ReferenceData!$AH$48),"")</f>
        <v>83.594999999999999</v>
      </c>
      <c r="AI48">
        <f ca="1">IFERROR(IF(0=LEN(ReferenceData!$AI$48),"",ReferenceData!$AI$48),"")</f>
        <v>83.213999999999999</v>
      </c>
      <c r="AJ48">
        <f ca="1">IFERROR(IF(0=LEN(ReferenceData!$AJ$48),"",ReferenceData!$AJ$48),"")</f>
        <v>86.244500000000002</v>
      </c>
      <c r="AK48">
        <f ca="1">IFERROR(IF(0=LEN(ReferenceData!$AK$48),"",ReferenceData!$AK$48),"")</f>
        <v>85.28</v>
      </c>
      <c r="AL48">
        <f ca="1">IFERROR(IF(0=LEN(ReferenceData!$AL$48),"",ReferenceData!$AL$48),"")</f>
        <v>86.654499999999999</v>
      </c>
      <c r="AM48">
        <f ca="1">IFERROR(IF(0=LEN(ReferenceData!$AM$48),"",ReferenceData!$AM$48),"")</f>
        <v>92.3035</v>
      </c>
      <c r="AN48">
        <f ca="1">IFERROR(IF(0=LEN(ReferenceData!$AN$48),"",ReferenceData!$AN$48),"")</f>
        <v>90.117999999999995</v>
      </c>
      <c r="AO48">
        <f ca="1">IFERROR(IF(0=LEN(ReferenceData!$AO$48),"",ReferenceData!$AO$48),"")</f>
        <v>89.412000000000006</v>
      </c>
      <c r="AP48">
        <f ca="1">IFERROR(IF(0=LEN(ReferenceData!$AP$48),"",ReferenceData!$AP$48),"")</f>
        <v>89.782499999999999</v>
      </c>
      <c r="AQ48">
        <f ca="1">IFERROR(IF(0=LEN(ReferenceData!$AQ$48),"",ReferenceData!$AQ$48),"")</f>
        <v>100.01900000000001</v>
      </c>
      <c r="AR48">
        <f ca="1">IFERROR(IF(0=LEN(ReferenceData!$AR$48),"",ReferenceData!$AR$48),"")</f>
        <v>101.03400000000001</v>
      </c>
      <c r="AS48">
        <f ca="1">IFERROR(IF(0=LEN(ReferenceData!$AS$48),"",ReferenceData!$AS$48),"")</f>
        <v>96.305000000000007</v>
      </c>
      <c r="AT48">
        <f ca="1">IFERROR(IF(0=LEN(ReferenceData!$AT$48),"",ReferenceData!$AT$48),"")</f>
        <v>101.30200000000001</v>
      </c>
      <c r="AU48">
        <f ca="1">IFERROR(IF(0=LEN(ReferenceData!$AU$48),"",ReferenceData!$AU$48),"")</f>
        <v>96.963999999999999</v>
      </c>
      <c r="AV48">
        <f ca="1">IFERROR(IF(0=LEN(ReferenceData!$AV$48),"",ReferenceData!$AV$48),"")</f>
        <v>99.715999999999994</v>
      </c>
      <c r="AW48">
        <f ca="1">IFERROR(IF(0=LEN(ReferenceData!$AW$48),"",ReferenceData!$AW$48),"")</f>
        <v>91.956000000000003</v>
      </c>
      <c r="AX48">
        <f ca="1">IFERROR(IF(0=LEN(ReferenceData!$AX$48),"",ReferenceData!$AX$48),"")</f>
        <v>90.989000000000004</v>
      </c>
      <c r="AY48">
        <f ca="1">IFERROR(IF(0=LEN(ReferenceData!$AY$48),"",ReferenceData!$AY$48),"")</f>
        <v>80.58</v>
      </c>
      <c r="AZ48">
        <f ca="1">IFERROR(IF(0=LEN(ReferenceData!$AZ$48),"",ReferenceData!$AZ$48),"")</f>
        <v>92.177000000000007</v>
      </c>
      <c r="BA48">
        <f ca="1">IFERROR(IF(0=LEN(ReferenceData!$BA$48),"",ReferenceData!$BA$48),"")</f>
        <v>85.022000000000006</v>
      </c>
      <c r="BB48">
        <f ca="1">IFERROR(IF(0=LEN(ReferenceData!$BB$48),"",ReferenceData!$BB$48),"")</f>
        <v>84.522000000000006</v>
      </c>
      <c r="BC48">
        <f ca="1">IFERROR(IF(0=LEN(ReferenceData!$BC$48),"",ReferenceData!$BC$48),"")</f>
        <v>59.095999999999997</v>
      </c>
      <c r="BD48">
        <f ca="1">IFERROR(IF(0=LEN(ReferenceData!$BD$48),"",ReferenceData!$BD$48),"")</f>
        <v>63.045999999999999</v>
      </c>
      <c r="BE48">
        <f ca="1">IFERROR(IF(0=LEN(ReferenceData!$BE$48),"",ReferenceData!$BE$48),"")</f>
        <v>67.057000000000002</v>
      </c>
      <c r="BF48">
        <f ca="1">IFERROR(IF(0=LEN(ReferenceData!$BF$48),"",ReferenceData!$BF$48),"")</f>
        <v>67.165000000000006</v>
      </c>
      <c r="BG48">
        <f ca="1">IFERROR(IF(0=LEN(ReferenceData!$BG$48),"",ReferenceData!$BG$48),"")</f>
        <v>57.566000000000003</v>
      </c>
      <c r="BH48">
        <f ca="1">IFERROR(IF(0=LEN(ReferenceData!$BH$48),"",ReferenceData!$BH$48),"")</f>
        <v>65.340999999999994</v>
      </c>
      <c r="BI48">
        <f ca="1">IFERROR(IF(0=LEN(ReferenceData!$BI$48),"",ReferenceData!$BI$48),"")</f>
        <v>68.953000000000003</v>
      </c>
      <c r="BJ48">
        <f ca="1">IFERROR(IF(0=LEN(ReferenceData!$BJ$48),"",ReferenceData!$BJ$48),"")</f>
        <v>73.375</v>
      </c>
      <c r="BK48">
        <f ca="1">IFERROR(IF(0=LEN(ReferenceData!$BK$48),"",ReferenceData!$BK$48),"")</f>
        <v>81.134002690000003</v>
      </c>
      <c r="BL48">
        <f ca="1">IFERROR(IF(0=LEN(ReferenceData!$BL$48),"",ReferenceData!$BL$48),"")</f>
        <v>68.578998569999996</v>
      </c>
      <c r="BM48">
        <f ca="1">IFERROR(IF(0=LEN(ReferenceData!$BM$48),"",ReferenceData!$BM$48),"")</f>
        <v>57.333000179999999</v>
      </c>
    </row>
    <row r="49" spans="1:65">
      <c r="A49" t="str">
        <f>IFERROR(IF(0=LEN(ReferenceData!$A$49),"",ReferenceData!$A$49),"")</f>
        <v xml:space="preserve">    Boston Properties Inc</v>
      </c>
      <c r="B49" t="str">
        <f>IFERROR(IF(0=LEN(ReferenceData!$B$49),"",ReferenceData!$B$49),"")</f>
        <v>BXP US Equity</v>
      </c>
      <c r="C49" t="str">
        <f>IFERROR(IF(0=LEN(ReferenceData!$C$49),"",ReferenceData!$C$49),"")</f>
        <v>RR502</v>
      </c>
      <c r="D49" t="str">
        <f>IFERROR(IF(0=LEN(ReferenceData!$D$49),"",ReferenceData!$D$49),"")</f>
        <v>NET_OPER_INCOME</v>
      </c>
      <c r="E49" t="str">
        <f>IFERROR(IF(0=LEN(ReferenceData!$E$49),"",ReferenceData!$E$49),"")</f>
        <v>动态</v>
      </c>
      <c r="F49" t="str">
        <f ca="1">IFERROR(IF(0=LEN(ReferenceData!$F$49),"",ReferenceData!$F$49),"")</f>
        <v/>
      </c>
      <c r="G49">
        <f ca="1">IFERROR(IF(0=LEN(ReferenceData!$G$49),"",ReferenceData!$G$49),"")</f>
        <v>401.47300000000001</v>
      </c>
      <c r="H49">
        <f ca="1">IFERROR(IF(0=LEN(ReferenceData!$H$49),"",ReferenceData!$H$49),"")</f>
        <v>398.86</v>
      </c>
      <c r="I49">
        <f ca="1">IFERROR(IF(0=LEN(ReferenceData!$I$49),"",ReferenceData!$I$49),"")</f>
        <v>404.67399999999998</v>
      </c>
      <c r="J49">
        <f ca="1">IFERROR(IF(0=LEN(ReferenceData!$J$49),"",ReferenceData!$J$49),"")</f>
        <v>389.43</v>
      </c>
      <c r="K49">
        <f ca="1">IFERROR(IF(0=LEN(ReferenceData!$K$49),"",ReferenceData!$K$49),"")</f>
        <v>393.262</v>
      </c>
      <c r="L49">
        <f ca="1">IFERROR(IF(0=LEN(ReferenceData!$L$49),"",ReferenceData!$L$49),"")</f>
        <v>376.19600000000003</v>
      </c>
      <c r="M49">
        <f ca="1">IFERROR(IF(0=LEN(ReferenceData!$M$49),"",ReferenceData!$M$49),"")</f>
        <v>384.822</v>
      </c>
      <c r="N49">
        <f ca="1">IFERROR(IF(0=LEN(ReferenceData!$N$49),"",ReferenceData!$N$49),"")</f>
        <v>430.42200000000003</v>
      </c>
      <c r="O49">
        <f ca="1">IFERROR(IF(0=LEN(ReferenceData!$O$49),"",ReferenceData!$O$49),"")</f>
        <v>388.77100000000002</v>
      </c>
      <c r="P49">
        <f ca="1">IFERROR(IF(0=LEN(ReferenceData!$P$49),"",ReferenceData!$P$49),"")</f>
        <v>389.34399999999999</v>
      </c>
      <c r="Q49">
        <f ca="1">IFERROR(IF(0=LEN(ReferenceData!$Q$49),"",ReferenceData!$Q$49),"")</f>
        <v>381.85899999999998</v>
      </c>
      <c r="R49">
        <f ca="1">IFERROR(IF(0=LEN(ReferenceData!$R$49),"",ReferenceData!$R$49),"")</f>
        <v>380.46499999999997</v>
      </c>
      <c r="S49">
        <f ca="1">IFERROR(IF(0=LEN(ReferenceData!$S$49),"",ReferenceData!$S$49),"")</f>
        <v>384.18400000000003</v>
      </c>
      <c r="T49">
        <f ca="1">IFERROR(IF(0=LEN(ReferenceData!$T$49),"",ReferenceData!$T$49),"")</f>
        <v>357.88499999999999</v>
      </c>
      <c r="U49">
        <f ca="1">IFERROR(IF(0=LEN(ReferenceData!$U$49),"",ReferenceData!$U$49),"")</f>
        <v>341.166</v>
      </c>
      <c r="V49">
        <f ca="1">IFERROR(IF(0=LEN(ReferenceData!$V$49),"",ReferenceData!$V$49),"")</f>
        <v>353.31599999999997</v>
      </c>
      <c r="W49">
        <f ca="1">IFERROR(IF(0=LEN(ReferenceData!$W$49),"",ReferenceData!$W$49),"")</f>
        <v>359.85399999999998</v>
      </c>
      <c r="X49">
        <f ca="1">IFERROR(IF(0=LEN(ReferenceData!$X$49),"",ReferenceData!$X$49),"")</f>
        <v>337.834</v>
      </c>
      <c r="Y49">
        <f ca="1">IFERROR(IF(0=LEN(ReferenceData!$Y$49),"",ReferenceData!$Y$49),"")</f>
        <v>292.01499999999999</v>
      </c>
      <c r="Z49">
        <f ca="1">IFERROR(IF(0=LEN(ReferenceData!$Z$49),"",ReferenceData!$Z$49),"")</f>
        <v>293.42899999999997</v>
      </c>
      <c r="AA49">
        <f ca="1">IFERROR(IF(0=LEN(ReferenceData!$AA$49),"",ReferenceData!$AA$49),"")</f>
        <v>293.238</v>
      </c>
      <c r="AB49">
        <f ca="1">IFERROR(IF(0=LEN(ReferenceData!$AB$49),"",ReferenceData!$AB$49),"")</f>
        <v>269.536</v>
      </c>
      <c r="AC49">
        <f ca="1">IFERROR(IF(0=LEN(ReferenceData!$AC$49),"",ReferenceData!$AC$49),"")</f>
        <v>276.77199999999999</v>
      </c>
      <c r="AD49">
        <f ca="1">IFERROR(IF(0=LEN(ReferenceData!$AD$49),"",ReferenceData!$AD$49),"")</f>
        <v>258.77600000000001</v>
      </c>
      <c r="AE49">
        <f ca="1">IFERROR(IF(0=LEN(ReferenceData!$AE$49),"",ReferenceData!$AE$49),"")</f>
        <v>264.685</v>
      </c>
      <c r="AF49">
        <f ca="1">IFERROR(IF(0=LEN(ReferenceData!$AF$49),"",ReferenceData!$AF$49),"")</f>
        <v>266.20299999999997</v>
      </c>
      <c r="AG49">
        <f ca="1">IFERROR(IF(0=LEN(ReferenceData!$AG$49),"",ReferenceData!$AG$49),"")</f>
        <v>260.23200000000003</v>
      </c>
      <c r="AH49">
        <f ca="1">IFERROR(IF(0=LEN(ReferenceData!$AH$49),"",ReferenceData!$AH$49),"")</f>
        <v>252.572</v>
      </c>
      <c r="AI49">
        <f ca="1">IFERROR(IF(0=LEN(ReferenceData!$AI$49),"",ReferenceData!$AI$49),"")</f>
        <v>239.66800000000001</v>
      </c>
      <c r="AJ49">
        <f ca="1">IFERROR(IF(0=LEN(ReferenceData!$AJ$49),"",ReferenceData!$AJ$49),"")</f>
        <v>234.50299999999999</v>
      </c>
      <c r="AK49">
        <f ca="1">IFERROR(IF(0=LEN(ReferenceData!$AK$49),"",ReferenceData!$AK$49),"")</f>
        <v>245.76300000000001</v>
      </c>
      <c r="AL49">
        <f ca="1">IFERROR(IF(0=LEN(ReferenceData!$AL$49),"",ReferenceData!$AL$49),"")</f>
        <v>231.886</v>
      </c>
      <c r="AM49">
        <f ca="1">IFERROR(IF(0=LEN(ReferenceData!$AM$49),"",ReferenceData!$AM$49),"")</f>
        <v>226.30600000000001</v>
      </c>
      <c r="AN49">
        <f ca="1">IFERROR(IF(0=LEN(ReferenceData!$AN$49),"",ReferenceData!$AN$49),"")</f>
        <v>224.23699999999999</v>
      </c>
      <c r="AO49">
        <f ca="1">IFERROR(IF(0=LEN(ReferenceData!$AO$49),"",ReferenceData!$AO$49),"")</f>
        <v>238.506</v>
      </c>
      <c r="AP49">
        <f ca="1">IFERROR(IF(0=LEN(ReferenceData!$AP$49),"",ReferenceData!$AP$49),"")</f>
        <v>230.36</v>
      </c>
      <c r="AQ49">
        <f ca="1">IFERROR(IF(0=LEN(ReferenceData!$AQ$49),"",ReferenceData!$AQ$49),"")</f>
        <v>244.93799999999999</v>
      </c>
      <c r="AR49">
        <f ca="1">IFERROR(IF(0=LEN(ReferenceData!$AR$49),"",ReferenceData!$AR$49),"")</f>
        <v>220.63900000000001</v>
      </c>
      <c r="AS49">
        <f ca="1">IFERROR(IF(0=LEN(ReferenceData!$AS$49),"",ReferenceData!$AS$49),"")</f>
        <v>229.14500000000001</v>
      </c>
      <c r="AT49">
        <f ca="1">IFERROR(IF(0=LEN(ReferenceData!$AT$49),"",ReferenceData!$AT$49),"")</f>
        <v>228.626</v>
      </c>
      <c r="AU49">
        <f ca="1">IFERROR(IF(0=LEN(ReferenceData!$AU$49),"",ReferenceData!$AU$49),"")</f>
        <v>229.77199999999999</v>
      </c>
      <c r="AV49">
        <f ca="1">IFERROR(IF(0=LEN(ReferenceData!$AV$49),"",ReferenceData!$AV$49),"")</f>
        <v>221.351</v>
      </c>
      <c r="AW49">
        <f ca="1">IFERROR(IF(0=LEN(ReferenceData!$AW$49),"",ReferenceData!$AW$49),"")</f>
        <v>223.67500000000001</v>
      </c>
      <c r="AX49">
        <f ca="1">IFERROR(IF(0=LEN(ReferenceData!$AX$49),"",ReferenceData!$AX$49),"")</f>
        <v>224.13499999999999</v>
      </c>
      <c r="AY49">
        <f ca="1">IFERROR(IF(0=LEN(ReferenceData!$AY$49),"",ReferenceData!$AY$49),"")</f>
        <v>225.011</v>
      </c>
      <c r="AZ49">
        <f ca="1">IFERROR(IF(0=LEN(ReferenceData!$AZ$49),"",ReferenceData!$AZ$49),"")</f>
        <v>225.39099999999999</v>
      </c>
      <c r="BA49">
        <f ca="1">IFERROR(IF(0=LEN(ReferenceData!$BA$49),"",ReferenceData!$BA$49),"")</f>
        <v>231.26</v>
      </c>
      <c r="BB49">
        <f ca="1">IFERROR(IF(0=LEN(ReferenceData!$BB$49),"",ReferenceData!$BB$49),"")</f>
        <v>228.56899999999999</v>
      </c>
      <c r="BC49">
        <f ca="1">IFERROR(IF(0=LEN(ReferenceData!$BC$49),"",ReferenceData!$BC$49),"")</f>
        <v>229.16200000000001</v>
      </c>
      <c r="BD49">
        <f ca="1">IFERROR(IF(0=LEN(ReferenceData!$BD$49),"",ReferenceData!$BD$49),"")</f>
        <v>225.78700000000001</v>
      </c>
      <c r="BE49">
        <f ca="1">IFERROR(IF(0=LEN(ReferenceData!$BE$49),"",ReferenceData!$BE$49),"")</f>
        <v>230.99799999999999</v>
      </c>
      <c r="BF49">
        <f ca="1">IFERROR(IF(0=LEN(ReferenceData!$BF$49),"",ReferenceData!$BF$49),"")</f>
        <v>232.06200000000001</v>
      </c>
      <c r="BG49">
        <f ca="1">IFERROR(IF(0=LEN(ReferenceData!$BG$49),"",ReferenceData!$BG$49),"")</f>
        <v>230.82400000000001</v>
      </c>
      <c r="BH49">
        <f ca="1">IFERROR(IF(0=LEN(ReferenceData!$BH$49),"",ReferenceData!$BH$49),"")</f>
        <v>229.70699999999999</v>
      </c>
      <c r="BI49">
        <f ca="1">IFERROR(IF(0=LEN(ReferenceData!$BI$49),"",ReferenceData!$BI$49),"")</f>
        <v>223.01300000000001</v>
      </c>
      <c r="BJ49">
        <f ca="1">IFERROR(IF(0=LEN(ReferenceData!$BJ$49),"",ReferenceData!$BJ$49),"")</f>
        <v>211.916</v>
      </c>
      <c r="BK49">
        <f ca="1">IFERROR(IF(0=LEN(ReferenceData!$BK$49),"",ReferenceData!$BK$49),"")</f>
        <v>212.70501400000001</v>
      </c>
      <c r="BL49">
        <f ca="1">IFERROR(IF(0=LEN(ReferenceData!$BL$49),"",ReferenceData!$BL$49),"")</f>
        <v>203.45198300000001</v>
      </c>
      <c r="BM49">
        <f ca="1">IFERROR(IF(0=LEN(ReferenceData!$BM$49),"",ReferenceData!$BM$49),"")</f>
        <v>157.90600000000001</v>
      </c>
    </row>
    <row r="50" spans="1:65">
      <c r="A50" t="str">
        <f>IFERROR(IF(0=LEN(ReferenceData!$A$50),"",ReferenceData!$A$50),"")</f>
        <v xml:space="preserve">    Brandywine Realty Trust</v>
      </c>
      <c r="B50" t="str">
        <f>IFERROR(IF(0=LEN(ReferenceData!$B$50),"",ReferenceData!$B$50),"")</f>
        <v>BDN US Equity</v>
      </c>
      <c r="C50" t="str">
        <f>IFERROR(IF(0=LEN(ReferenceData!$C$50),"",ReferenceData!$C$50),"")</f>
        <v>RR502</v>
      </c>
      <c r="D50" t="str">
        <f>IFERROR(IF(0=LEN(ReferenceData!$D$50),"",ReferenceData!$D$50),"")</f>
        <v>NET_OPER_INCOME</v>
      </c>
      <c r="E50" t="str">
        <f>IFERROR(IF(0=LEN(ReferenceData!$E$50),"",ReferenceData!$E$50),"")</f>
        <v>动态</v>
      </c>
      <c r="F50" t="str">
        <f ca="1">IFERROR(IF(0=LEN(ReferenceData!$F$50),"",ReferenceData!$F$50),"")</f>
        <v/>
      </c>
      <c r="G50">
        <f ca="1">IFERROR(IF(0=LEN(ReferenceData!$G$50),"",ReferenceData!$G$50),"")</f>
        <v>78.314999999999998</v>
      </c>
      <c r="H50">
        <f ca="1">IFERROR(IF(0=LEN(ReferenceData!$H$50),"",ReferenceData!$H$50),"")</f>
        <v>76.212999999999994</v>
      </c>
      <c r="I50">
        <f ca="1">IFERROR(IF(0=LEN(ReferenceData!$I$50),"",ReferenceData!$I$50),"")</f>
        <v>76.197000000000003</v>
      </c>
      <c r="J50">
        <f ca="1">IFERROR(IF(0=LEN(ReferenceData!$J$50),"",ReferenceData!$J$50),"")</f>
        <v>78.944000000000003</v>
      </c>
      <c r="K50">
        <f ca="1">IFERROR(IF(0=LEN(ReferenceData!$K$50),"",ReferenceData!$K$50),"")</f>
        <v>77.222999999999999</v>
      </c>
      <c r="L50">
        <f ca="1">IFERROR(IF(0=LEN(ReferenceData!$L$50),"",ReferenceData!$L$50),"")</f>
        <v>77.403000000000006</v>
      </c>
      <c r="M50">
        <f ca="1">IFERROR(IF(0=LEN(ReferenceData!$M$50),"",ReferenceData!$M$50),"")</f>
        <v>76.102000000000004</v>
      </c>
      <c r="N50">
        <f ca="1">IFERROR(IF(0=LEN(ReferenceData!$N$50),"",ReferenceData!$N$50),"")</f>
        <v>80.971000000000004</v>
      </c>
      <c r="O50">
        <f ca="1">IFERROR(IF(0=LEN(ReferenceData!$O$50),"",ReferenceData!$O$50),"")</f>
        <v>90.42</v>
      </c>
      <c r="P50">
        <f ca="1">IFERROR(IF(0=LEN(ReferenceData!$P$50),"",ReferenceData!$P$50),"")</f>
        <v>92.569000000000003</v>
      </c>
      <c r="Q50">
        <f ca="1">IFERROR(IF(0=LEN(ReferenceData!$Q$50),"",ReferenceData!$Q$50),"")</f>
        <v>88.063999999999993</v>
      </c>
      <c r="R50">
        <f ca="1">IFERROR(IF(0=LEN(ReferenceData!$R$50),"",ReferenceData!$R$50),"")</f>
        <v>86.873999999999995</v>
      </c>
      <c r="S50">
        <f ca="1">IFERROR(IF(0=LEN(ReferenceData!$S$50),"",ReferenceData!$S$50),"")</f>
        <v>87.831000000000003</v>
      </c>
      <c r="T50">
        <f ca="1">IFERROR(IF(0=LEN(ReferenceData!$T$50),"",ReferenceData!$T$50),"")</f>
        <v>88.501999999999995</v>
      </c>
      <c r="U50">
        <f ca="1">IFERROR(IF(0=LEN(ReferenceData!$U$50),"",ReferenceData!$U$50),"")</f>
        <v>91.953000000000003</v>
      </c>
      <c r="V50">
        <f ca="1">IFERROR(IF(0=LEN(ReferenceData!$V$50),"",ReferenceData!$V$50),"")</f>
        <v>89.51</v>
      </c>
      <c r="W50">
        <f ca="1">IFERROR(IF(0=LEN(ReferenceData!$W$50),"",ReferenceData!$W$50),"")</f>
        <v>82.173000000000002</v>
      </c>
      <c r="X50">
        <f ca="1">IFERROR(IF(0=LEN(ReferenceData!$X$50),"",ReferenceData!$X$50),"")</f>
        <v>86.256</v>
      </c>
      <c r="Y50">
        <f ca="1">IFERROR(IF(0=LEN(ReferenceData!$Y$50),"",ReferenceData!$Y$50),"")</f>
        <v>84.213999999999999</v>
      </c>
      <c r="Z50">
        <f ca="1">IFERROR(IF(0=LEN(ReferenceData!$Z$50),"",ReferenceData!$Z$50),"")</f>
        <v>83.611999999999995</v>
      </c>
      <c r="AA50">
        <f ca="1">IFERROR(IF(0=LEN(ReferenceData!$AA$50),"",ReferenceData!$AA$50),"")</f>
        <v>80.869</v>
      </c>
      <c r="AB50">
        <f ca="1">IFERROR(IF(0=LEN(ReferenceData!$AB$50),"",ReferenceData!$AB$50),"")</f>
        <v>79.322999999999993</v>
      </c>
      <c r="AC50">
        <f ca="1">IFERROR(IF(0=LEN(ReferenceData!$AC$50),"",ReferenceData!$AC$50),"")</f>
        <v>79.78</v>
      </c>
      <c r="AD50">
        <f ca="1">IFERROR(IF(0=LEN(ReferenceData!$AD$50),"",ReferenceData!$AD$50),"")</f>
        <v>80.132999999999996</v>
      </c>
      <c r="AE50">
        <f ca="1">IFERROR(IF(0=LEN(ReferenceData!$AE$50),"",ReferenceData!$AE$50),"")</f>
        <v>81.691999999999993</v>
      </c>
      <c r="AF50">
        <f ca="1">IFERROR(IF(0=LEN(ReferenceData!$AF$50),"",ReferenceData!$AF$50),"")</f>
        <v>83.075000000000003</v>
      </c>
      <c r="AG50">
        <f ca="1">IFERROR(IF(0=LEN(ReferenceData!$AG$50),"",ReferenceData!$AG$50),"")</f>
        <v>83.506</v>
      </c>
      <c r="AH50">
        <f ca="1">IFERROR(IF(0=LEN(ReferenceData!$AH$50),"",ReferenceData!$AH$50),"")</f>
        <v>82.745000000000005</v>
      </c>
      <c r="AI50">
        <f ca="1">IFERROR(IF(0=LEN(ReferenceData!$AI$50),"",ReferenceData!$AI$50),"")</f>
        <v>84.653000000000006</v>
      </c>
      <c r="AJ50">
        <f ca="1">IFERROR(IF(0=LEN(ReferenceData!$AJ$50),"",ReferenceData!$AJ$50),"")</f>
        <v>82.79</v>
      </c>
      <c r="AK50">
        <f ca="1">IFERROR(IF(0=LEN(ReferenceData!$AK$50),"",ReferenceData!$AK$50),"")</f>
        <v>81.581000000000003</v>
      </c>
      <c r="AL50">
        <f ca="1">IFERROR(IF(0=LEN(ReferenceData!$AL$50),"",ReferenceData!$AL$50),"")</f>
        <v>81.825999999999993</v>
      </c>
      <c r="AM50">
        <f ca="1">IFERROR(IF(0=LEN(ReferenceData!$AM$50),"",ReferenceData!$AM$50),"")</f>
        <v>83.385000000000005</v>
      </c>
      <c r="AN50">
        <f ca="1">IFERROR(IF(0=LEN(ReferenceData!$AN$50),"",ReferenceData!$AN$50),"")</f>
        <v>88.884</v>
      </c>
      <c r="AO50">
        <f ca="1">IFERROR(IF(0=LEN(ReferenceData!$AO$50),"",ReferenceData!$AO$50),"")</f>
        <v>86.465000000000003</v>
      </c>
      <c r="AP50">
        <f ca="1">IFERROR(IF(0=LEN(ReferenceData!$AP$50),"",ReferenceData!$AP$50),"")</f>
        <v>85.480999999999995</v>
      </c>
      <c r="AQ50">
        <f ca="1">IFERROR(IF(0=LEN(ReferenceData!$AQ$50),"",ReferenceData!$AQ$50),"")</f>
        <v>88.980999999999995</v>
      </c>
      <c r="AR50">
        <f ca="1">IFERROR(IF(0=LEN(ReferenceData!$AR$50),"",ReferenceData!$AR$50),"")</f>
        <v>88.111000000000004</v>
      </c>
      <c r="AS50">
        <f ca="1">IFERROR(IF(0=LEN(ReferenceData!$AS$50),"",ReferenceData!$AS$50),"")</f>
        <v>92.087000000000003</v>
      </c>
      <c r="AT50">
        <f ca="1">IFERROR(IF(0=LEN(ReferenceData!$AT$50),"",ReferenceData!$AT$50),"")</f>
        <v>92.73</v>
      </c>
      <c r="AU50">
        <f ca="1">IFERROR(IF(0=LEN(ReferenceData!$AU$50),"",ReferenceData!$AU$50),"")</f>
        <v>96.144000000000005</v>
      </c>
      <c r="AV50">
        <f ca="1">IFERROR(IF(0=LEN(ReferenceData!$AV$50),"",ReferenceData!$AV$50),"")</f>
        <v>99.715999999999994</v>
      </c>
      <c r="AW50">
        <f ca="1">IFERROR(IF(0=LEN(ReferenceData!$AW$50),"",ReferenceData!$AW$50),"")</f>
        <v>91.956000000000003</v>
      </c>
      <c r="AX50">
        <f ca="1">IFERROR(IF(0=LEN(ReferenceData!$AX$50),"",ReferenceData!$AX$50),"")</f>
        <v>102.667</v>
      </c>
      <c r="AY50">
        <f ca="1">IFERROR(IF(0=LEN(ReferenceData!$AY$50),"",ReferenceData!$AY$50),"")</f>
        <v>104.396</v>
      </c>
      <c r="AZ50">
        <f ca="1">IFERROR(IF(0=LEN(ReferenceData!$AZ$50),"",ReferenceData!$AZ$50),"")</f>
        <v>92.177000000000007</v>
      </c>
      <c r="BA50">
        <f ca="1">IFERROR(IF(0=LEN(ReferenceData!$BA$50),"",ReferenceData!$BA$50),"")</f>
        <v>90.070999999999998</v>
      </c>
      <c r="BB50">
        <f ca="1">IFERROR(IF(0=LEN(ReferenceData!$BB$50),"",ReferenceData!$BB$50),"")</f>
        <v>84.522000000000006</v>
      </c>
      <c r="BC50">
        <f ca="1">IFERROR(IF(0=LEN(ReferenceData!$BC$50),"",ReferenceData!$BC$50),"")</f>
        <v>59.095999999999997</v>
      </c>
      <c r="BD50">
        <f ca="1">IFERROR(IF(0=LEN(ReferenceData!$BD$50),"",ReferenceData!$BD$50),"")</f>
        <v>55.59</v>
      </c>
      <c r="BE50">
        <f ca="1">IFERROR(IF(0=LEN(ReferenceData!$BE$50),"",ReferenceData!$BE$50),"")</f>
        <v>55.4</v>
      </c>
      <c r="BF50">
        <f ca="1">IFERROR(IF(0=LEN(ReferenceData!$BF$50),"",ReferenceData!$BF$50),"")</f>
        <v>53.774000000000001</v>
      </c>
      <c r="BG50">
        <f ca="1">IFERROR(IF(0=LEN(ReferenceData!$BG$50),"",ReferenceData!$BG$50),"")</f>
        <v>57.566000000000003</v>
      </c>
      <c r="BH50">
        <f ca="1">IFERROR(IF(0=LEN(ReferenceData!$BH$50),"",ReferenceData!$BH$50),"")</f>
        <v>46.601999999999997</v>
      </c>
      <c r="BI50">
        <f ca="1">IFERROR(IF(0=LEN(ReferenceData!$BI$50),"",ReferenceData!$BI$50),"")</f>
        <v>45.473999999999997</v>
      </c>
      <c r="BJ50">
        <f ca="1">IFERROR(IF(0=LEN(ReferenceData!$BJ$50),"",ReferenceData!$BJ$50),"")</f>
        <v>42.542000000000002</v>
      </c>
      <c r="BK50" t="str">
        <f ca="1">IFERROR(IF(0=LEN(ReferenceData!$BK$50),"",ReferenceData!$BK$50),"")</f>
        <v/>
      </c>
      <c r="BL50">
        <f ca="1">IFERROR(IF(0=LEN(ReferenceData!$BL$50),"",ReferenceData!$BL$50),"")</f>
        <v>46.914999999999999</v>
      </c>
      <c r="BM50">
        <f ca="1">IFERROR(IF(0=LEN(ReferenceData!$BM$50),"",ReferenceData!$BM$50),"")</f>
        <v>47.22</v>
      </c>
    </row>
    <row r="51" spans="1:65">
      <c r="A51" t="str">
        <f>IFERROR(IF(0=LEN(ReferenceData!$A$51),"",ReferenceData!$A$51),"")</f>
        <v xml:space="preserve">    Columbia Property Trust Inc</v>
      </c>
      <c r="B51" t="str">
        <f>IFERROR(IF(0=LEN(ReferenceData!$B$51),"",ReferenceData!$B$51),"")</f>
        <v>CXP US Equity</v>
      </c>
      <c r="C51" t="str">
        <f>IFERROR(IF(0=LEN(ReferenceData!$C$51),"",ReferenceData!$C$51),"")</f>
        <v>RR502</v>
      </c>
      <c r="D51" t="str">
        <f>IFERROR(IF(0=LEN(ReferenceData!$D$51),"",ReferenceData!$D$51),"")</f>
        <v>NET_OPER_INCOME</v>
      </c>
      <c r="E51" t="str">
        <f>IFERROR(IF(0=LEN(ReferenceData!$E$51),"",ReferenceData!$E$51),"")</f>
        <v>动态</v>
      </c>
      <c r="F51" t="str">
        <f ca="1">IFERROR(IF(0=LEN(ReferenceData!$F$51),"",ReferenceData!$F$51),"")</f>
        <v/>
      </c>
      <c r="G51">
        <f ca="1">IFERROR(IF(0=LEN(ReferenceData!$G$51),"",ReferenceData!$G$51),"")</f>
        <v>45.720999999999997</v>
      </c>
      <c r="H51">
        <f ca="1">IFERROR(IF(0=LEN(ReferenceData!$H$51),"",ReferenceData!$H$51),"")</f>
        <v>41.606999999999999</v>
      </c>
      <c r="I51">
        <f ca="1">IFERROR(IF(0=LEN(ReferenceData!$I$51),"",ReferenceData!$I$51),"")</f>
        <v>52.756999999999998</v>
      </c>
      <c r="J51">
        <f ca="1">IFERROR(IF(0=LEN(ReferenceData!$J$51),"",ReferenceData!$J$51),"")</f>
        <v>54.366999999999997</v>
      </c>
      <c r="K51">
        <f ca="1">IFERROR(IF(0=LEN(ReferenceData!$K$51),"",ReferenceData!$K$51),"")</f>
        <v>61.573999999999998</v>
      </c>
      <c r="L51">
        <f ca="1">IFERROR(IF(0=LEN(ReferenceData!$L$51),"",ReferenceData!$L$51),"")</f>
        <v>62.561999999999998</v>
      </c>
      <c r="M51">
        <f ca="1">IFERROR(IF(0=LEN(ReferenceData!$M$51),"",ReferenceData!$M$51),"")</f>
        <v>75.757999999999996</v>
      </c>
      <c r="N51">
        <f ca="1">IFERROR(IF(0=LEN(ReferenceData!$N$51),"",ReferenceData!$N$51),"")</f>
        <v>75.918999999999997</v>
      </c>
      <c r="O51">
        <f ca="1">IFERROR(IF(0=LEN(ReferenceData!$O$51),"",ReferenceData!$O$51),"")</f>
        <v>78.575000000000003</v>
      </c>
      <c r="P51">
        <f ca="1">IFERROR(IF(0=LEN(ReferenceData!$P$51),"",ReferenceData!$P$51),"")</f>
        <v>76.757000000000005</v>
      </c>
      <c r="Q51">
        <f ca="1">IFERROR(IF(0=LEN(ReferenceData!$Q$51),"",ReferenceData!$Q$51),"")</f>
        <v>87.427000000000007</v>
      </c>
      <c r="R51">
        <f ca="1">IFERROR(IF(0=LEN(ReferenceData!$R$51),"",ReferenceData!$R$51),"")</f>
        <v>85.813000000000002</v>
      </c>
      <c r="S51">
        <f ca="1">IFERROR(IF(0=LEN(ReferenceData!$S$51),"",ReferenceData!$S$51),"")</f>
        <v>81.959000000000003</v>
      </c>
      <c r="T51">
        <f ca="1">IFERROR(IF(0=LEN(ReferenceData!$T$51),"",ReferenceData!$T$51),"")</f>
        <v>75.388000000000005</v>
      </c>
      <c r="U51">
        <f ca="1">IFERROR(IF(0=LEN(ReferenceData!$U$51),"",ReferenceData!$U$51),"")</f>
        <v>86.055999999999997</v>
      </c>
      <c r="V51">
        <f ca="1">IFERROR(IF(0=LEN(ReferenceData!$V$51),"",ReferenceData!$V$51),"")</f>
        <v>81.697000000000003</v>
      </c>
      <c r="W51">
        <f ca="1">IFERROR(IF(0=LEN(ReferenceData!$W$51),"",ReferenceData!$W$51),"")</f>
        <v>82.956999999999994</v>
      </c>
      <c r="X51">
        <f ca="1">IFERROR(IF(0=LEN(ReferenceData!$X$51),"",ReferenceData!$X$51),"")</f>
        <v>80.242999999999995</v>
      </c>
      <c r="Y51">
        <f ca="1">IFERROR(IF(0=LEN(ReferenceData!$Y$51),"",ReferenceData!$Y$51),"")</f>
        <v>82.915999999999997</v>
      </c>
      <c r="Z51">
        <f ca="1">IFERROR(IF(0=LEN(ReferenceData!$Z$51),"",ReferenceData!$Z$51),"")</f>
        <v>76.686999999999998</v>
      </c>
      <c r="AA51">
        <f ca="1">IFERROR(IF(0=LEN(ReferenceData!$AA$51),"",ReferenceData!$AA$51),"")</f>
        <v>68.566000000000003</v>
      </c>
      <c r="AB51">
        <f ca="1">IFERROR(IF(0=LEN(ReferenceData!$AB$51),"",ReferenceData!$AB$51),"")</f>
        <v>79.644000000000005</v>
      </c>
      <c r="AC51">
        <f ca="1">IFERROR(IF(0=LEN(ReferenceData!$AC$51),"",ReferenceData!$AC$51),"")</f>
        <v>80.167000000000002</v>
      </c>
      <c r="AD51">
        <f ca="1">IFERROR(IF(0=LEN(ReferenceData!$AD$51),"",ReferenceData!$AD$51),"")</f>
        <v>82.108999999999995</v>
      </c>
      <c r="AE51">
        <f ca="1">IFERROR(IF(0=LEN(ReferenceData!$AE$51),"",ReferenceData!$AE$51),"")</f>
        <v>68.94</v>
      </c>
      <c r="AF51">
        <f ca="1">IFERROR(IF(0=LEN(ReferenceData!$AF$51),"",ReferenceData!$AF$51),"")</f>
        <v>90.929000000000002</v>
      </c>
      <c r="AG51">
        <f ca="1">IFERROR(IF(0=LEN(ReferenceData!$AG$51),"",ReferenceData!$AG$51),"")</f>
        <v>89.299000000000007</v>
      </c>
      <c r="AH51">
        <f ca="1">IFERROR(IF(0=LEN(ReferenceData!$AH$51),"",ReferenceData!$AH$51),"")</f>
        <v>84.444999999999993</v>
      </c>
      <c r="AI51">
        <f ca="1">IFERROR(IF(0=LEN(ReferenceData!$AI$51),"",ReferenceData!$AI$51),"")</f>
        <v>74.414000000000001</v>
      </c>
      <c r="AJ51">
        <f ca="1">IFERROR(IF(0=LEN(ReferenceData!$AJ$51),"",ReferenceData!$AJ$51),"")</f>
        <v>82.468999999999994</v>
      </c>
      <c r="AK51">
        <f ca="1">IFERROR(IF(0=LEN(ReferenceData!$AK$51),"",ReferenceData!$AK$51),"")</f>
        <v>79.561999999999998</v>
      </c>
      <c r="AL51">
        <f ca="1">IFERROR(IF(0=LEN(ReferenceData!$AL$51),"",ReferenceData!$AL$51),"")</f>
        <v>77.510000000000005</v>
      </c>
      <c r="AM51">
        <f ca="1">IFERROR(IF(0=LEN(ReferenceData!$AM$51),"",ReferenceData!$AM$51),"")</f>
        <v>92.465000000000003</v>
      </c>
      <c r="AN51">
        <f ca="1">IFERROR(IF(0=LEN(ReferenceData!$AN$51),"",ReferenceData!$AN$51),"")</f>
        <v>75.98</v>
      </c>
      <c r="AO51">
        <f ca="1">IFERROR(IF(0=LEN(ReferenceData!$AO$51),"",ReferenceData!$AO$51),"")</f>
        <v>77.962000000000003</v>
      </c>
      <c r="AP51">
        <f ca="1">IFERROR(IF(0=LEN(ReferenceData!$AP$51),"",ReferenceData!$AP$51),"")</f>
        <v>77.143000000000001</v>
      </c>
      <c r="AQ51" t="str">
        <f ca="1">IFERROR(IF(0=LEN(ReferenceData!$AQ$51),"",ReferenceData!$AQ$51),"")</f>
        <v/>
      </c>
      <c r="AR51" t="str">
        <f ca="1">IFERROR(IF(0=LEN(ReferenceData!$AR$51),"",ReferenceData!$AR$51),"")</f>
        <v/>
      </c>
      <c r="AS51" t="str">
        <f ca="1">IFERROR(IF(0=LEN(ReferenceData!$AS$51),"",ReferenceData!$AS$51),"")</f>
        <v/>
      </c>
      <c r="AT51" t="str">
        <f ca="1">IFERROR(IF(0=LEN(ReferenceData!$AT$51),"",ReferenceData!$AT$51),"")</f>
        <v/>
      </c>
      <c r="AU51" t="str">
        <f ca="1">IFERROR(IF(0=LEN(ReferenceData!$AU$51),"",ReferenceData!$AU$51),"")</f>
        <v/>
      </c>
      <c r="AV51" t="str">
        <f ca="1">IFERROR(IF(0=LEN(ReferenceData!$AV$51),"",ReferenceData!$AV$51),"")</f>
        <v/>
      </c>
      <c r="AW51" t="str">
        <f ca="1">IFERROR(IF(0=LEN(ReferenceData!$AW$51),"",ReferenceData!$AW$51),"")</f>
        <v/>
      </c>
      <c r="AX51" t="str">
        <f ca="1">IFERROR(IF(0=LEN(ReferenceData!$AX$51),"",ReferenceData!$AX$51),"")</f>
        <v/>
      </c>
      <c r="AY51" t="str">
        <f ca="1">IFERROR(IF(0=LEN(ReferenceData!$AY$51),"",ReferenceData!$AY$51),"")</f>
        <v/>
      </c>
      <c r="AZ51" t="str">
        <f ca="1">IFERROR(IF(0=LEN(ReferenceData!$AZ$51),"",ReferenceData!$AZ$51),"")</f>
        <v/>
      </c>
      <c r="BA51" t="str">
        <f ca="1">IFERROR(IF(0=LEN(ReferenceData!$BA$51),"",ReferenceData!$BA$51),"")</f>
        <v/>
      </c>
      <c r="BB51" t="str">
        <f ca="1">IFERROR(IF(0=LEN(ReferenceData!$BB$51),"",ReferenceData!$BB$51),"")</f>
        <v/>
      </c>
      <c r="BC51" t="str">
        <f ca="1">IFERROR(IF(0=LEN(ReferenceData!$BC$51),"",ReferenceData!$BC$51),"")</f>
        <v/>
      </c>
      <c r="BD51" t="str">
        <f ca="1">IFERROR(IF(0=LEN(ReferenceData!$BD$51),"",ReferenceData!$BD$51),"")</f>
        <v/>
      </c>
      <c r="BE51" t="str">
        <f ca="1">IFERROR(IF(0=LEN(ReferenceData!$BE$51),"",ReferenceData!$BE$51),"")</f>
        <v/>
      </c>
      <c r="BF51" t="str">
        <f ca="1">IFERROR(IF(0=LEN(ReferenceData!$BF$51),"",ReferenceData!$BF$51),"")</f>
        <v/>
      </c>
      <c r="BG51" t="str">
        <f ca="1">IFERROR(IF(0=LEN(ReferenceData!$BG$51),"",ReferenceData!$BG$51),"")</f>
        <v/>
      </c>
      <c r="BH51" t="str">
        <f ca="1">IFERROR(IF(0=LEN(ReferenceData!$BH$51),"",ReferenceData!$BH$51),"")</f>
        <v/>
      </c>
      <c r="BI51" t="str">
        <f ca="1">IFERROR(IF(0=LEN(ReferenceData!$BI$51),"",ReferenceData!$BI$51),"")</f>
        <v/>
      </c>
      <c r="BJ51" t="str">
        <f ca="1">IFERROR(IF(0=LEN(ReferenceData!$BJ$51),"",ReferenceData!$BJ$51),"")</f>
        <v/>
      </c>
      <c r="BK51" t="str">
        <f ca="1">IFERROR(IF(0=LEN(ReferenceData!$BK$51),"",ReferenceData!$BK$51),"")</f>
        <v/>
      </c>
      <c r="BL51" t="str">
        <f ca="1">IFERROR(IF(0=LEN(ReferenceData!$BL$51),"",ReferenceData!$BL$51),"")</f>
        <v/>
      </c>
      <c r="BM51" t="str">
        <f ca="1">IFERROR(IF(0=LEN(ReferenceData!$BM$51),"",ReferenceData!$BM$51),"")</f>
        <v/>
      </c>
    </row>
    <row r="52" spans="1:65">
      <c r="A52" t="str">
        <f>IFERROR(IF(0=LEN(ReferenceData!$A$52),"",ReferenceData!$A$52),"")</f>
        <v xml:space="preserve">    Corporate Office Properties Tr</v>
      </c>
      <c r="B52" t="str">
        <f>IFERROR(IF(0=LEN(ReferenceData!$B$52),"",ReferenceData!$B$52),"")</f>
        <v>OFC US Equity</v>
      </c>
      <c r="C52" t="str">
        <f>IFERROR(IF(0=LEN(ReferenceData!$C$52),"",ReferenceData!$C$52),"")</f>
        <v>RR502</v>
      </c>
      <c r="D52" t="str">
        <f>IFERROR(IF(0=LEN(ReferenceData!$D$52),"",ReferenceData!$D$52),"")</f>
        <v>NET_OPER_INCOME</v>
      </c>
      <c r="E52" t="str">
        <f>IFERROR(IF(0=LEN(ReferenceData!$E$52),"",ReferenceData!$E$52),"")</f>
        <v>动态</v>
      </c>
      <c r="F52" t="str">
        <f ca="1">IFERROR(IF(0=LEN(ReferenceData!$F$52),"",ReferenceData!$F$52),"")</f>
        <v/>
      </c>
      <c r="G52">
        <f ca="1">IFERROR(IF(0=LEN(ReferenceData!$G$52),"",ReferenceData!$G$52),"")</f>
        <v>80.236000000000004</v>
      </c>
      <c r="H52">
        <f ca="1">IFERROR(IF(0=LEN(ReferenceData!$H$52),"",ReferenceData!$H$52),"")</f>
        <v>80.863</v>
      </c>
      <c r="I52">
        <f ca="1">IFERROR(IF(0=LEN(ReferenceData!$I$52),"",ReferenceData!$I$52),"")</f>
        <v>79.668999999999997</v>
      </c>
      <c r="J52">
        <f ca="1">IFERROR(IF(0=LEN(ReferenceData!$J$52),"",ReferenceData!$J$52),"")</f>
        <v>78.248000000000005</v>
      </c>
      <c r="K52">
        <f ca="1">IFERROR(IF(0=LEN(ReferenceData!$K$52),"",ReferenceData!$K$52),"")</f>
        <v>80.436999999999998</v>
      </c>
      <c r="L52">
        <f ca="1">IFERROR(IF(0=LEN(ReferenceData!$L$52),"",ReferenceData!$L$52),"")</f>
        <v>81.001999999999995</v>
      </c>
      <c r="M52">
        <f ca="1">IFERROR(IF(0=LEN(ReferenceData!$M$52),"",ReferenceData!$M$52),"")</f>
        <v>85.783000000000001</v>
      </c>
      <c r="N52">
        <f ca="1">IFERROR(IF(0=LEN(ReferenceData!$N$52),"",ReferenceData!$N$52),"")</f>
        <v>81.212000000000003</v>
      </c>
      <c r="O52">
        <f ca="1">IFERROR(IF(0=LEN(ReferenceData!$O$52),"",ReferenceData!$O$52),"")</f>
        <v>85.978999999999999</v>
      </c>
      <c r="P52">
        <f ca="1">IFERROR(IF(0=LEN(ReferenceData!$P$52),"",ReferenceData!$P$52),"")</f>
        <v>84.789000000000001</v>
      </c>
      <c r="Q52">
        <f ca="1">IFERROR(IF(0=LEN(ReferenceData!$Q$52),"",ReferenceData!$Q$52),"")</f>
        <v>81.772999999999996</v>
      </c>
      <c r="R52">
        <f ca="1">IFERROR(IF(0=LEN(ReferenceData!$R$52),"",ReferenceData!$R$52),"")</f>
        <v>72.028999999999996</v>
      </c>
      <c r="S52">
        <f ca="1">IFERROR(IF(0=LEN(ReferenceData!$S$52),"",ReferenceData!$S$52),"")</f>
        <v>77.278999999999996</v>
      </c>
      <c r="T52">
        <f ca="1">IFERROR(IF(0=LEN(ReferenceData!$T$52),"",ReferenceData!$T$52),"")</f>
        <v>75.22</v>
      </c>
      <c r="U52">
        <f ca="1">IFERROR(IF(0=LEN(ReferenceData!$U$52),"",ReferenceData!$U$52),"")</f>
        <v>72.186999999999998</v>
      </c>
      <c r="V52">
        <f ca="1">IFERROR(IF(0=LEN(ReferenceData!$V$52),"",ReferenceData!$V$52),"")</f>
        <v>75.105000000000004</v>
      </c>
      <c r="W52">
        <f ca="1">IFERROR(IF(0=LEN(ReferenceData!$W$52),"",ReferenceData!$W$52),"")</f>
        <v>74.37</v>
      </c>
      <c r="X52">
        <f ca="1">IFERROR(IF(0=LEN(ReferenceData!$X$52),"",ReferenceData!$X$52),"")</f>
        <v>73.459999999999994</v>
      </c>
      <c r="Y52">
        <f ca="1">IFERROR(IF(0=LEN(ReferenceData!$Y$52),"",ReferenceData!$Y$52),"")</f>
        <v>74.399000000000001</v>
      </c>
      <c r="Z52">
        <f ca="1">IFERROR(IF(0=LEN(ReferenceData!$Z$52),"",ReferenceData!$Z$52),"")</f>
        <v>71.569000000000003</v>
      </c>
      <c r="AA52">
        <f ca="1">IFERROR(IF(0=LEN(ReferenceData!$AA$52),"",ReferenceData!$AA$52),"")</f>
        <v>69.927000000000007</v>
      </c>
      <c r="AB52">
        <f ca="1">IFERROR(IF(0=LEN(ReferenceData!$AB$52),"",ReferenceData!$AB$52),"")</f>
        <v>72.061999999999998</v>
      </c>
      <c r="AC52">
        <f ca="1">IFERROR(IF(0=LEN(ReferenceData!$AC$52),"",ReferenceData!$AC$52),"")</f>
        <v>71.227999999999994</v>
      </c>
      <c r="AD52">
        <f ca="1">IFERROR(IF(0=LEN(ReferenceData!$AD$52),"",ReferenceData!$AD$52),"")</f>
        <v>69.408000000000001</v>
      </c>
      <c r="AE52">
        <f ca="1">IFERROR(IF(0=LEN(ReferenceData!$AE$52),"",ReferenceData!$AE$52),"")</f>
        <v>68.957999999999998</v>
      </c>
      <c r="AF52">
        <f ca="1">IFERROR(IF(0=LEN(ReferenceData!$AF$52),"",ReferenceData!$AF$52),"")</f>
        <v>66.308999999999997</v>
      </c>
      <c r="AG52">
        <f ca="1">IFERROR(IF(0=LEN(ReferenceData!$AG$52),"",ReferenceData!$AG$52),"")</f>
        <v>68.569000000000003</v>
      </c>
      <c r="AH52">
        <f ca="1">IFERROR(IF(0=LEN(ReferenceData!$AH$52),"",ReferenceData!$AH$52),"")</f>
        <v>69.400000000000006</v>
      </c>
      <c r="AI52">
        <f ca="1">IFERROR(IF(0=LEN(ReferenceData!$AI$52),"",ReferenceData!$AI$52),"")</f>
        <v>71.822999999999993</v>
      </c>
      <c r="AJ52">
        <f ca="1">IFERROR(IF(0=LEN(ReferenceData!$AJ$52),"",ReferenceData!$AJ$52),"")</f>
        <v>68.061000000000007</v>
      </c>
      <c r="AK52">
        <f ca="1">IFERROR(IF(0=LEN(ReferenceData!$AK$52),"",ReferenceData!$AK$52),"")</f>
        <v>67.468999999999994</v>
      </c>
      <c r="AL52">
        <f ca="1">IFERROR(IF(0=LEN(ReferenceData!$AL$52),"",ReferenceData!$AL$52),"")</f>
        <v>64.093000000000004</v>
      </c>
      <c r="AM52">
        <f ca="1">IFERROR(IF(0=LEN(ReferenceData!$AM$52),"",ReferenceData!$AM$52),"")</f>
        <v>66.17</v>
      </c>
      <c r="AN52">
        <f ca="1">IFERROR(IF(0=LEN(ReferenceData!$AN$52),"",ReferenceData!$AN$52),"")</f>
        <v>65.608999999999995</v>
      </c>
      <c r="AO52">
        <f ca="1">IFERROR(IF(0=LEN(ReferenceData!$AO$52),"",ReferenceData!$AO$52),"")</f>
        <v>67.906999999999996</v>
      </c>
      <c r="AP52">
        <f ca="1">IFERROR(IF(0=LEN(ReferenceData!$AP$52),"",ReferenceData!$AP$52),"")</f>
        <v>67.144000000000005</v>
      </c>
      <c r="AQ52">
        <f ca="1">IFERROR(IF(0=LEN(ReferenceData!$AQ$52),"",ReferenceData!$AQ$52),"")</f>
        <v>66.194999999999993</v>
      </c>
      <c r="AR52">
        <f ca="1">IFERROR(IF(0=LEN(ReferenceData!$AR$52),"",ReferenceData!$AR$52),"")</f>
        <v>65.231999999999999</v>
      </c>
      <c r="AS52">
        <f ca="1">IFERROR(IF(0=LEN(ReferenceData!$AS$52),"",ReferenceData!$AS$52),"")</f>
        <v>63.988999999999997</v>
      </c>
      <c r="AT52">
        <f ca="1">IFERROR(IF(0=LEN(ReferenceData!$AT$52),"",ReferenceData!$AT$52),"")</f>
        <v>62.46</v>
      </c>
      <c r="AU52">
        <f ca="1">IFERROR(IF(0=LEN(ReferenceData!$AU$52),"",ReferenceData!$AU$52),"")</f>
        <v>60.966000000000001</v>
      </c>
      <c r="AV52">
        <f ca="1">IFERROR(IF(0=LEN(ReferenceData!$AV$52),"",ReferenceData!$AV$52),"")</f>
        <v>62.921999999999997</v>
      </c>
      <c r="AW52">
        <f ca="1">IFERROR(IF(0=LEN(ReferenceData!$AW$52),"",ReferenceData!$AW$52),"")</f>
        <v>61.341999999999999</v>
      </c>
      <c r="AX52">
        <f ca="1">IFERROR(IF(0=LEN(ReferenceData!$AX$52),"",ReferenceData!$AX$52),"")</f>
        <v>57.426000000000002</v>
      </c>
      <c r="AY52">
        <f ca="1">IFERROR(IF(0=LEN(ReferenceData!$AY$52),"",ReferenceData!$AY$52),"")</f>
        <v>51.494999999999997</v>
      </c>
      <c r="AZ52">
        <f ca="1">IFERROR(IF(0=LEN(ReferenceData!$AZ$52),"",ReferenceData!$AZ$52),"")</f>
        <v>51.886000000000003</v>
      </c>
      <c r="BA52">
        <f ca="1">IFERROR(IF(0=LEN(ReferenceData!$BA$52),"",ReferenceData!$BA$52),"")</f>
        <v>49.128999999999998</v>
      </c>
      <c r="BB52">
        <f ca="1">IFERROR(IF(0=LEN(ReferenceData!$BB$52),"",ReferenceData!$BB$52),"")</f>
        <v>48.161000000000001</v>
      </c>
      <c r="BC52">
        <f ca="1">IFERROR(IF(0=LEN(ReferenceData!$BC$52),"",ReferenceData!$BC$52),"")</f>
        <v>44.451999999999998</v>
      </c>
      <c r="BD52">
        <f ca="1">IFERROR(IF(0=LEN(ReferenceData!$BD$52),"",ReferenceData!$BD$52),"")</f>
        <v>42.735999999999997</v>
      </c>
      <c r="BE52">
        <f ca="1">IFERROR(IF(0=LEN(ReferenceData!$BE$52),"",ReferenceData!$BE$52),"")</f>
        <v>41.872999999999998</v>
      </c>
      <c r="BF52">
        <f ca="1">IFERROR(IF(0=LEN(ReferenceData!$BF$52),"",ReferenceData!$BF$52),"")</f>
        <v>40.759</v>
      </c>
      <c r="BG52">
        <f ca="1">IFERROR(IF(0=LEN(ReferenceData!$BG$52),"",ReferenceData!$BG$52),"")</f>
        <v>40.415999999999997</v>
      </c>
      <c r="BH52">
        <f ca="1">IFERROR(IF(0=LEN(ReferenceData!$BH$52),"",ReferenceData!$BH$52),"")</f>
        <v>36.487000000000002</v>
      </c>
      <c r="BI52">
        <f ca="1">IFERROR(IF(0=LEN(ReferenceData!$BI$52),"",ReferenceData!$BI$52),"")</f>
        <v>39.244999999999997</v>
      </c>
      <c r="BJ52">
        <f ca="1">IFERROR(IF(0=LEN(ReferenceData!$BJ$52),"",ReferenceData!$BJ$52),"")</f>
        <v>33.932000000000002</v>
      </c>
      <c r="BK52">
        <f ca="1">IFERROR(IF(0=LEN(ReferenceData!$BK$52),"",ReferenceData!$BK$52),"")</f>
        <v>32.709998130000002</v>
      </c>
      <c r="BL52">
        <f ca="1">IFERROR(IF(0=LEN(ReferenceData!$BL$52),"",ReferenceData!$BL$52),"")</f>
        <v>32.372999999999998</v>
      </c>
      <c r="BM52">
        <f ca="1">IFERROR(IF(0=LEN(ReferenceData!$BM$52),"",ReferenceData!$BM$52),"")</f>
        <v>29.777000000000001</v>
      </c>
    </row>
    <row r="53" spans="1:65">
      <c r="A53" t="str">
        <f>IFERROR(IF(0=LEN(ReferenceData!$A$53),"",ReferenceData!$A$53),"")</f>
        <v xml:space="preserve">    Highwoods Properties Inc</v>
      </c>
      <c r="B53" t="str">
        <f>IFERROR(IF(0=LEN(ReferenceData!$B$53),"",ReferenceData!$B$53),"")</f>
        <v>HIW US Equity</v>
      </c>
      <c r="C53" t="str">
        <f>IFERROR(IF(0=LEN(ReferenceData!$C$53),"",ReferenceData!$C$53),"")</f>
        <v>RR502</v>
      </c>
      <c r="D53" t="str">
        <f>IFERROR(IF(0=LEN(ReferenceData!$D$53),"",ReferenceData!$D$53),"")</f>
        <v>NET_OPER_INCOME</v>
      </c>
      <c r="E53" t="str">
        <f>IFERROR(IF(0=LEN(ReferenceData!$E$53),"",ReferenceData!$E$53),"")</f>
        <v>动态</v>
      </c>
      <c r="F53" t="str">
        <f ca="1">IFERROR(IF(0=LEN(ReferenceData!$F$53),"",ReferenceData!$F$53),"")</f>
        <v/>
      </c>
      <c r="G53">
        <f ca="1">IFERROR(IF(0=LEN(ReferenceData!$G$53),"",ReferenceData!$G$53),"")</f>
        <v>116.45699999999999</v>
      </c>
      <c r="H53">
        <f ca="1">IFERROR(IF(0=LEN(ReferenceData!$H$53),"",ReferenceData!$H$53),"")</f>
        <v>118.95099999999999</v>
      </c>
      <c r="I53">
        <f ca="1">IFERROR(IF(0=LEN(ReferenceData!$I$53),"",ReferenceData!$I$53),"")</f>
        <v>118.429</v>
      </c>
      <c r="J53">
        <f ca="1">IFERROR(IF(0=LEN(ReferenceData!$J$53),"",ReferenceData!$J$53),"")</f>
        <v>112.012</v>
      </c>
      <c r="K53">
        <f ca="1">IFERROR(IF(0=LEN(ReferenceData!$K$53),"",ReferenceData!$K$53),"")</f>
        <v>110.276</v>
      </c>
      <c r="L53">
        <f ca="1">IFERROR(IF(0=LEN(ReferenceData!$L$53),"",ReferenceData!$L$53),"")</f>
        <v>107.649</v>
      </c>
      <c r="M53">
        <f ca="1">IFERROR(IF(0=LEN(ReferenceData!$M$53),"",ReferenceData!$M$53),"")</f>
        <v>109.345</v>
      </c>
      <c r="N53">
        <f ca="1">IFERROR(IF(0=LEN(ReferenceData!$N$53),"",ReferenceData!$N$53),"")</f>
        <v>107.279</v>
      </c>
      <c r="O53">
        <f ca="1">IFERROR(IF(0=LEN(ReferenceData!$O$53),"",ReferenceData!$O$53),"")</f>
        <v>103.499</v>
      </c>
      <c r="P53">
        <f ca="1">IFERROR(IF(0=LEN(ReferenceData!$P$53),"",ReferenceData!$P$53),"")</f>
        <v>103.97799999999999</v>
      </c>
      <c r="Q53">
        <f ca="1">IFERROR(IF(0=LEN(ReferenceData!$Q$53),"",ReferenceData!$Q$53),"")</f>
        <v>96.173000000000002</v>
      </c>
      <c r="R53">
        <f ca="1">IFERROR(IF(0=LEN(ReferenceData!$R$53),"",ReferenceData!$R$53),"")</f>
        <v>99.796999999999997</v>
      </c>
      <c r="S53">
        <f ca="1">IFERROR(IF(0=LEN(ReferenceData!$S$53),"",ReferenceData!$S$53),"")</f>
        <v>89.272000000000006</v>
      </c>
      <c r="T53">
        <f ca="1">IFERROR(IF(0=LEN(ReferenceData!$T$53),"",ReferenceData!$T$53),"")</f>
        <v>95.245999999999995</v>
      </c>
      <c r="U53">
        <f ca="1">IFERROR(IF(0=LEN(ReferenceData!$U$53),"",ReferenceData!$U$53),"")</f>
        <v>97.447000000000003</v>
      </c>
      <c r="V53">
        <f ca="1">IFERROR(IF(0=LEN(ReferenceData!$V$53),"",ReferenceData!$V$53),"")</f>
        <v>92.063000000000002</v>
      </c>
      <c r="W53">
        <f ca="1">IFERROR(IF(0=LEN(ReferenceData!$W$53),"",ReferenceData!$W$53),"")</f>
        <v>93.656999999999996</v>
      </c>
      <c r="X53">
        <f ca="1">IFERROR(IF(0=LEN(ReferenceData!$X$53),"",ReferenceData!$X$53),"")</f>
        <v>90.724999999999994</v>
      </c>
      <c r="Y53">
        <f ca="1">IFERROR(IF(0=LEN(ReferenceData!$Y$53),"",ReferenceData!$Y$53),"")</f>
        <v>85.301000000000002</v>
      </c>
      <c r="Z53">
        <f ca="1">IFERROR(IF(0=LEN(ReferenceData!$Z$53),"",ReferenceData!$Z$53),"")</f>
        <v>83.783000000000001</v>
      </c>
      <c r="AA53">
        <f ca="1">IFERROR(IF(0=LEN(ReferenceData!$AA$53),"",ReferenceData!$AA$53),"")</f>
        <v>79.808999999999997</v>
      </c>
      <c r="AB53">
        <f ca="1">IFERROR(IF(0=LEN(ReferenceData!$AB$53),"",ReferenceData!$AB$53),"")</f>
        <v>77.513999999999996</v>
      </c>
      <c r="AC53">
        <f ca="1">IFERROR(IF(0=LEN(ReferenceData!$AC$53),"",ReferenceData!$AC$53),"")</f>
        <v>80.843999999999994</v>
      </c>
      <c r="AD53">
        <f ca="1">IFERROR(IF(0=LEN(ReferenceData!$AD$53),"",ReferenceData!$AD$53),"")</f>
        <v>80.516000000000005</v>
      </c>
      <c r="AE53">
        <f ca="1">IFERROR(IF(0=LEN(ReferenceData!$AE$53),"",ReferenceData!$AE$53),"")</f>
        <v>78.451999999999998</v>
      </c>
      <c r="AF53">
        <f ca="1">IFERROR(IF(0=LEN(ReferenceData!$AF$53),"",ReferenceData!$AF$53),"")</f>
        <v>73.233999999999995</v>
      </c>
      <c r="AG53">
        <f ca="1">IFERROR(IF(0=LEN(ReferenceData!$AG$53),"",ReferenceData!$AG$53),"")</f>
        <v>74.72</v>
      </c>
      <c r="AH53">
        <f ca="1">IFERROR(IF(0=LEN(ReferenceData!$AH$53),"",ReferenceData!$AH$53),"")</f>
        <v>73.417000000000002</v>
      </c>
      <c r="AI53">
        <f ca="1">IFERROR(IF(0=LEN(ReferenceData!$AI$53),"",ReferenceData!$AI$53),"")</f>
        <v>76.337999999999994</v>
      </c>
      <c r="AJ53">
        <f ca="1">IFERROR(IF(0=LEN(ReferenceData!$AJ$53),"",ReferenceData!$AJ$53),"")</f>
        <v>72.188999999999993</v>
      </c>
      <c r="AK53">
        <f ca="1">IFERROR(IF(0=LEN(ReferenceData!$AK$53),"",ReferenceData!$AK$53),"")</f>
        <v>75.622</v>
      </c>
      <c r="AL53">
        <f ca="1">IFERROR(IF(0=LEN(ReferenceData!$AL$53),"",ReferenceData!$AL$53),"")</f>
        <v>73.338999999999999</v>
      </c>
      <c r="AM53">
        <f ca="1">IFERROR(IF(0=LEN(ReferenceData!$AM$53),"",ReferenceData!$AM$53),"")</f>
        <v>71.64</v>
      </c>
      <c r="AN53">
        <f ca="1">IFERROR(IF(0=LEN(ReferenceData!$AN$53),"",ReferenceData!$AN$53),"")</f>
        <v>70.605999999999995</v>
      </c>
      <c r="AO53">
        <f ca="1">IFERROR(IF(0=LEN(ReferenceData!$AO$53),"",ReferenceData!$AO$53),"")</f>
        <v>73.013000000000005</v>
      </c>
      <c r="AP53">
        <f ca="1">IFERROR(IF(0=LEN(ReferenceData!$AP$53),"",ReferenceData!$AP$53),"")</f>
        <v>72.531000000000006</v>
      </c>
      <c r="AQ53">
        <f ca="1">IFERROR(IF(0=LEN(ReferenceData!$AQ$53),"",ReferenceData!$AQ$53),"")</f>
        <v>69.414000000000001</v>
      </c>
      <c r="AR53">
        <f ca="1">IFERROR(IF(0=LEN(ReferenceData!$AR$53),"",ReferenceData!$AR$53),"")</f>
        <v>71.843999999999994</v>
      </c>
      <c r="AS53">
        <f ca="1">IFERROR(IF(0=LEN(ReferenceData!$AS$53),"",ReferenceData!$AS$53),"")</f>
        <v>72.326999999999998</v>
      </c>
      <c r="AT53">
        <f ca="1">IFERROR(IF(0=LEN(ReferenceData!$AT$53),"",ReferenceData!$AT$53),"")</f>
        <v>74.853999999999999</v>
      </c>
      <c r="AU53">
        <f ca="1">IFERROR(IF(0=LEN(ReferenceData!$AU$53),"",ReferenceData!$AU$53),"")</f>
        <v>72.603999999999999</v>
      </c>
      <c r="AV53">
        <f ca="1">IFERROR(IF(0=LEN(ReferenceData!$AV$53),"",ReferenceData!$AV$53),"")</f>
        <v>68.897999999999996</v>
      </c>
      <c r="AW53">
        <f ca="1">IFERROR(IF(0=LEN(ReferenceData!$AW$53),"",ReferenceData!$AW$53),"")</f>
        <v>67.558999999999997</v>
      </c>
      <c r="AX53">
        <f ca="1">IFERROR(IF(0=LEN(ReferenceData!$AX$53),"",ReferenceData!$AX$53),"")</f>
        <v>68.171999999999997</v>
      </c>
      <c r="AY53">
        <f ca="1">IFERROR(IF(0=LEN(ReferenceData!$AY$53),"",ReferenceData!$AY$53),"")</f>
        <v>63.396999999999998</v>
      </c>
      <c r="AZ53">
        <f ca="1">IFERROR(IF(0=LEN(ReferenceData!$AZ$53),"",ReferenceData!$AZ$53),"")</f>
        <v>64.5</v>
      </c>
      <c r="BA53">
        <f ca="1">IFERROR(IF(0=LEN(ReferenceData!$BA$53),"",ReferenceData!$BA$53),"")</f>
        <v>65.941999999999993</v>
      </c>
      <c r="BB53">
        <f ca="1">IFERROR(IF(0=LEN(ReferenceData!$BB$53),"",ReferenceData!$BB$53),"")</f>
        <v>64.962000000000003</v>
      </c>
      <c r="BC53">
        <f ca="1">IFERROR(IF(0=LEN(ReferenceData!$BC$53),"",ReferenceData!$BC$53),"")</f>
        <v>57.231999999999999</v>
      </c>
      <c r="BD53">
        <f ca="1">IFERROR(IF(0=LEN(ReferenceData!$BD$53),"",ReferenceData!$BD$53),"")</f>
        <v>63.045999999999999</v>
      </c>
      <c r="BE53">
        <f ca="1">IFERROR(IF(0=LEN(ReferenceData!$BE$53),"",ReferenceData!$BE$53),"")</f>
        <v>67.057000000000002</v>
      </c>
      <c r="BF53">
        <f ca="1">IFERROR(IF(0=LEN(ReferenceData!$BF$53),"",ReferenceData!$BF$53),"")</f>
        <v>67.165000000000006</v>
      </c>
      <c r="BG53">
        <f ca="1">IFERROR(IF(0=LEN(ReferenceData!$BG$53),"",ReferenceData!$BG$53),"")</f>
        <v>53.293999999999997</v>
      </c>
      <c r="BH53">
        <f ca="1">IFERROR(IF(0=LEN(ReferenceData!$BH$53),"",ReferenceData!$BH$53),"")</f>
        <v>65.340999999999994</v>
      </c>
      <c r="BI53">
        <f ca="1">IFERROR(IF(0=LEN(ReferenceData!$BI$53),"",ReferenceData!$BI$53),"")</f>
        <v>68.953000000000003</v>
      </c>
      <c r="BJ53">
        <f ca="1">IFERROR(IF(0=LEN(ReferenceData!$BJ$53),"",ReferenceData!$BJ$53),"")</f>
        <v>73.375</v>
      </c>
      <c r="BK53" t="str">
        <f ca="1">IFERROR(IF(0=LEN(ReferenceData!$BK$53),"",ReferenceData!$BK$53),"")</f>
        <v/>
      </c>
      <c r="BL53">
        <f ca="1">IFERROR(IF(0=LEN(ReferenceData!$BL$53),"",ReferenceData!$BL$53),"")</f>
        <v>78.781000000000006</v>
      </c>
      <c r="BM53">
        <f ca="1">IFERROR(IF(0=LEN(ReferenceData!$BM$53),"",ReferenceData!$BM$53),"")</f>
        <v>82.236000000000004</v>
      </c>
    </row>
    <row r="54" spans="1:65">
      <c r="A54" t="str">
        <f>IFERROR(IF(0=LEN(ReferenceData!$A$54),"",ReferenceData!$A$54),"")</f>
        <v xml:space="preserve">    Kilroy Realty Corp</v>
      </c>
      <c r="B54" t="str">
        <f>IFERROR(IF(0=LEN(ReferenceData!$B$54),"",ReferenceData!$B$54),"")</f>
        <v>KRC US Equity</v>
      </c>
      <c r="C54" t="str">
        <f>IFERROR(IF(0=LEN(ReferenceData!$C$54),"",ReferenceData!$C$54),"")</f>
        <v>RR502</v>
      </c>
      <c r="D54" t="str">
        <f>IFERROR(IF(0=LEN(ReferenceData!$D$54),"",ReferenceData!$D$54),"")</f>
        <v>NET_OPER_INCOME</v>
      </c>
      <c r="E54" t="str">
        <f>IFERROR(IF(0=LEN(ReferenceData!$E$54),"",ReferenceData!$E$54),"")</f>
        <v>动态</v>
      </c>
      <c r="F54" t="str">
        <f ca="1">IFERROR(IF(0=LEN(ReferenceData!$F$54),"",ReferenceData!$F$54),"")</f>
        <v/>
      </c>
      <c r="G54">
        <f ca="1">IFERROR(IF(0=LEN(ReferenceData!$G$54),"",ReferenceData!$G$54),"")</f>
        <v>127.187</v>
      </c>
      <c r="H54">
        <f ca="1">IFERROR(IF(0=LEN(ReferenceData!$H$54),"",ReferenceData!$H$54),"")</f>
        <v>128.61600000000001</v>
      </c>
      <c r="I54">
        <f ca="1">IFERROR(IF(0=LEN(ReferenceData!$I$54),"",ReferenceData!$I$54),"")</f>
        <v>126.798</v>
      </c>
      <c r="J54">
        <f ca="1">IFERROR(IF(0=LEN(ReferenceData!$J$54),"",ReferenceData!$J$54),"")</f>
        <v>125.09699999999999</v>
      </c>
      <c r="K54">
        <f ca="1">IFERROR(IF(0=LEN(ReferenceData!$K$54),"",ReferenceData!$K$54),"")</f>
        <v>122.14</v>
      </c>
      <c r="L54">
        <f ca="1">IFERROR(IF(0=LEN(ReferenceData!$L$54),"",ReferenceData!$L$54),"")</f>
        <v>117.485</v>
      </c>
      <c r="M54">
        <f ca="1">IFERROR(IF(0=LEN(ReferenceData!$M$54),"",ReferenceData!$M$54),"")</f>
        <v>115.95699999999999</v>
      </c>
      <c r="N54">
        <f ca="1">IFERROR(IF(0=LEN(ReferenceData!$N$54),"",ReferenceData!$N$54),"")</f>
        <v>107.333</v>
      </c>
      <c r="O54">
        <f ca="1">IFERROR(IF(0=LEN(ReferenceData!$O$54),"",ReferenceData!$O$54),"")</f>
        <v>106.20699999999999</v>
      </c>
      <c r="P54">
        <f ca="1">IFERROR(IF(0=LEN(ReferenceData!$P$54),"",ReferenceData!$P$54),"")</f>
        <v>101.55800000000001</v>
      </c>
      <c r="Q54">
        <f ca="1">IFERROR(IF(0=LEN(ReferenceData!$Q$54),"",ReferenceData!$Q$54),"")</f>
        <v>105.515</v>
      </c>
      <c r="R54">
        <f ca="1">IFERROR(IF(0=LEN(ReferenceData!$R$54),"",ReferenceData!$R$54),"")</f>
        <v>107.152</v>
      </c>
      <c r="S54">
        <f ca="1">IFERROR(IF(0=LEN(ReferenceData!$S$54),"",ReferenceData!$S$54),"")</f>
        <v>102.431</v>
      </c>
      <c r="T54">
        <f ca="1">IFERROR(IF(0=LEN(ReferenceData!$T$54),"",ReferenceData!$T$54),"")</f>
        <v>88.986999999999995</v>
      </c>
      <c r="U54">
        <f ca="1">IFERROR(IF(0=LEN(ReferenceData!$U$54),"",ReferenceData!$U$54),"")</f>
        <v>87.457999999999998</v>
      </c>
      <c r="V54">
        <f ca="1">IFERROR(IF(0=LEN(ReferenceData!$V$54),"",ReferenceData!$V$54),"")</f>
        <v>85.382999999999996</v>
      </c>
      <c r="W54">
        <f ca="1">IFERROR(IF(0=LEN(ReferenceData!$W$54),"",ReferenceData!$W$54),"")</f>
        <v>82.676000000000002</v>
      </c>
      <c r="X54">
        <f ca="1">IFERROR(IF(0=LEN(ReferenceData!$X$54),"",ReferenceData!$X$54),"")</f>
        <v>77.45</v>
      </c>
      <c r="Y54">
        <f ca="1">IFERROR(IF(0=LEN(ReferenceData!$Y$54),"",ReferenceData!$Y$54),"")</f>
        <v>77.665000000000006</v>
      </c>
      <c r="Z54">
        <f ca="1">IFERROR(IF(0=LEN(ReferenceData!$Z$54),"",ReferenceData!$Z$54),"")</f>
        <v>77.421000000000006</v>
      </c>
      <c r="AA54">
        <f ca="1">IFERROR(IF(0=LEN(ReferenceData!$AA$54),"",ReferenceData!$AA$54),"")</f>
        <v>77.965999999999994</v>
      </c>
      <c r="AB54">
        <f ca="1">IFERROR(IF(0=LEN(ReferenceData!$AB$54),"",ReferenceData!$AB$54),"")</f>
        <v>68.228999999999999</v>
      </c>
      <c r="AC54">
        <f ca="1">IFERROR(IF(0=LEN(ReferenceData!$AC$54),"",ReferenceData!$AC$54),"")</f>
        <v>67.894999999999996</v>
      </c>
      <c r="AD54">
        <f ca="1">IFERROR(IF(0=LEN(ReferenceData!$AD$54),"",ReferenceData!$AD$54),"")</f>
        <v>66.924999999999997</v>
      </c>
      <c r="AE54">
        <f ca="1">IFERROR(IF(0=LEN(ReferenceData!$AE$54),"",ReferenceData!$AE$54),"")</f>
        <v>63.895000000000003</v>
      </c>
      <c r="AF54">
        <f ca="1">IFERROR(IF(0=LEN(ReferenceData!$AF$54),"",ReferenceData!$AF$54),"")</f>
        <v>60.073</v>
      </c>
      <c r="AG54">
        <f ca="1">IFERROR(IF(0=LEN(ReferenceData!$AG$54),"",ReferenceData!$AG$54),"")</f>
        <v>61.381</v>
      </c>
      <c r="AH54">
        <f ca="1">IFERROR(IF(0=LEN(ReferenceData!$AH$54),"",ReferenceData!$AH$54),"")</f>
        <v>57.280999999999999</v>
      </c>
      <c r="AI54">
        <f ca="1">IFERROR(IF(0=LEN(ReferenceData!$AI$54),"",ReferenceData!$AI$54),"")</f>
        <v>55.892000000000003</v>
      </c>
      <c r="AJ54">
        <f ca="1">IFERROR(IF(0=LEN(ReferenceData!$AJ$54),"",ReferenceData!$AJ$54),"")</f>
        <v>54.570999999999998</v>
      </c>
      <c r="AK54">
        <f ca="1">IFERROR(IF(0=LEN(ReferenceData!$AK$54),"",ReferenceData!$AK$54),"")</f>
        <v>50.125999999999998</v>
      </c>
      <c r="AL54">
        <f ca="1">IFERROR(IF(0=LEN(ReferenceData!$AL$54),"",ReferenceData!$AL$54),"")</f>
        <v>48.375999999999998</v>
      </c>
      <c r="AM54">
        <f ca="1">IFERROR(IF(0=LEN(ReferenceData!$AM$54),"",ReferenceData!$AM$54),"")</f>
        <v>48.329000000000001</v>
      </c>
      <c r="AN54">
        <f ca="1">IFERROR(IF(0=LEN(ReferenceData!$AN$54),"",ReferenceData!$AN$54),"")</f>
        <v>49.055</v>
      </c>
      <c r="AO54">
        <f ca="1">IFERROR(IF(0=LEN(ReferenceData!$AO$54),"",ReferenceData!$AO$54),"")</f>
        <v>50.844000000000001</v>
      </c>
      <c r="AP54">
        <f ca="1">IFERROR(IF(0=LEN(ReferenceData!$AP$54),"",ReferenceData!$AP$54),"")</f>
        <v>51.862000000000002</v>
      </c>
      <c r="AQ54">
        <f ca="1">IFERROR(IF(0=LEN(ReferenceData!$AQ$54),"",ReferenceData!$AQ$54),"")</f>
        <v>52.46</v>
      </c>
      <c r="AR54">
        <f ca="1">IFERROR(IF(0=LEN(ReferenceData!$AR$54),"",ReferenceData!$AR$54),"")</f>
        <v>52.591999999999999</v>
      </c>
      <c r="AS54">
        <f ca="1">IFERROR(IF(0=LEN(ReferenceData!$AS$54),"",ReferenceData!$AS$54),"")</f>
        <v>51.915999999999997</v>
      </c>
      <c r="AT54">
        <f ca="1">IFERROR(IF(0=LEN(ReferenceData!$AT$54),"",ReferenceData!$AT$54),"")</f>
        <v>53.136000000000003</v>
      </c>
      <c r="AU54">
        <f ca="1">IFERROR(IF(0=LEN(ReferenceData!$AU$54),"",ReferenceData!$AU$54),"")</f>
        <v>52.073999999999998</v>
      </c>
      <c r="AV54">
        <f ca="1">IFERROR(IF(0=LEN(ReferenceData!$AV$54),"",ReferenceData!$AV$54),"")</f>
        <v>47.927</v>
      </c>
      <c r="AW54">
        <f ca="1">IFERROR(IF(0=LEN(ReferenceData!$AW$54),"",ReferenceData!$AW$54),"")</f>
        <v>44.569000000000003</v>
      </c>
      <c r="AX54">
        <f ca="1">IFERROR(IF(0=LEN(ReferenceData!$AX$54),"",ReferenceData!$AX$54),"")</f>
        <v>45.406999999999996</v>
      </c>
      <c r="AY54">
        <f ca="1">IFERROR(IF(0=LEN(ReferenceData!$AY$54),"",ReferenceData!$AY$54),"")</f>
        <v>44.244999999999997</v>
      </c>
      <c r="AZ54">
        <f ca="1">IFERROR(IF(0=LEN(ReferenceData!$AZ$54),"",ReferenceData!$AZ$54),"")</f>
        <v>45.554000000000002</v>
      </c>
      <c r="BA54">
        <f ca="1">IFERROR(IF(0=LEN(ReferenceData!$BA$54),"",ReferenceData!$BA$54),"")</f>
        <v>46.478000000000002</v>
      </c>
      <c r="BB54">
        <f ca="1">IFERROR(IF(0=LEN(ReferenceData!$BB$54),"",ReferenceData!$BB$54),"")</f>
        <v>45.832000000000001</v>
      </c>
      <c r="BC54">
        <f ca="1">IFERROR(IF(0=LEN(ReferenceData!$BC$54),"",ReferenceData!$BC$54),"")</f>
        <v>44.371000000000002</v>
      </c>
      <c r="BD54">
        <f ca="1">IFERROR(IF(0=LEN(ReferenceData!$BD$54),"",ReferenceData!$BD$54),"")</f>
        <v>43.957999999999998</v>
      </c>
      <c r="BE54">
        <f ca="1">IFERROR(IF(0=LEN(ReferenceData!$BE$54),"",ReferenceData!$BE$54),"")</f>
        <v>44.945999999999998</v>
      </c>
      <c r="BF54">
        <f ca="1">IFERROR(IF(0=LEN(ReferenceData!$BF$54),"",ReferenceData!$BF$54),"")</f>
        <v>45.110999999999997</v>
      </c>
      <c r="BG54">
        <f ca="1">IFERROR(IF(0=LEN(ReferenceData!$BG$54),"",ReferenceData!$BG$54),"")</f>
        <v>43.305</v>
      </c>
      <c r="BH54">
        <f ca="1">IFERROR(IF(0=LEN(ReferenceData!$BH$54),"",ReferenceData!$BH$54),"")</f>
        <v>41.804000000000002</v>
      </c>
      <c r="BI54">
        <f ca="1">IFERROR(IF(0=LEN(ReferenceData!$BI$54),"",ReferenceData!$BI$54),"")</f>
        <v>41.234000000000002</v>
      </c>
      <c r="BJ54">
        <f ca="1">IFERROR(IF(0=LEN(ReferenceData!$BJ$54),"",ReferenceData!$BJ$54),"")</f>
        <v>40.052999999999997</v>
      </c>
      <c r="BK54">
        <f ca="1">IFERROR(IF(0=LEN(ReferenceData!$BK$54),"",ReferenceData!$BK$54),"")</f>
        <v>39.137999530000002</v>
      </c>
      <c r="BL54">
        <f ca="1">IFERROR(IF(0=LEN(ReferenceData!$BL$54),"",ReferenceData!$BL$54),"")</f>
        <v>38.408999999999999</v>
      </c>
      <c r="BM54">
        <f ca="1">IFERROR(IF(0=LEN(ReferenceData!$BM$54),"",ReferenceData!$BM$54),"")</f>
        <v>37.380000000000003</v>
      </c>
    </row>
    <row r="55" spans="1:65">
      <c r="A55" t="str">
        <f>IFERROR(IF(0=LEN(ReferenceData!$A$55),"",ReferenceData!$A$55),"")</f>
        <v xml:space="preserve">    Mack-Cali Realty Corp</v>
      </c>
      <c r="B55" t="str">
        <f>IFERROR(IF(0=LEN(ReferenceData!$B$55),"",ReferenceData!$B$55),"")</f>
        <v>CLI US Equity</v>
      </c>
      <c r="C55" t="str">
        <f>IFERROR(IF(0=LEN(ReferenceData!$C$55),"",ReferenceData!$C$55),"")</f>
        <v>RR502</v>
      </c>
      <c r="D55" t="str">
        <f>IFERROR(IF(0=LEN(ReferenceData!$D$55),"",ReferenceData!$D$55),"")</f>
        <v>NET_OPER_INCOME</v>
      </c>
      <c r="E55" t="str">
        <f>IFERROR(IF(0=LEN(ReferenceData!$E$55),"",ReferenceData!$E$55),"")</f>
        <v>动态</v>
      </c>
      <c r="F55" t="str">
        <f ca="1">IFERROR(IF(0=LEN(ReferenceData!$F$55),"",ReferenceData!$F$55),"")</f>
        <v/>
      </c>
      <c r="G55">
        <f ca="1">IFERROR(IF(0=LEN(ReferenceData!$G$55),"",ReferenceData!$G$55),"")</f>
        <v>80.968000000000004</v>
      </c>
      <c r="H55">
        <f ca="1">IFERROR(IF(0=LEN(ReferenceData!$H$55),"",ReferenceData!$H$55),"")</f>
        <v>91.701999999999998</v>
      </c>
      <c r="I55">
        <f ca="1">IFERROR(IF(0=LEN(ReferenceData!$I$55),"",ReferenceData!$I$55),"")</f>
        <v>95.353999999999999</v>
      </c>
      <c r="J55">
        <f ca="1">IFERROR(IF(0=LEN(ReferenceData!$J$55),"",ReferenceData!$J$55),"")</f>
        <v>81.006</v>
      </c>
      <c r="K55">
        <f ca="1">IFERROR(IF(0=LEN(ReferenceData!$K$55),"",ReferenceData!$K$55),"")</f>
        <v>85.76</v>
      </c>
      <c r="L55">
        <f ca="1">IFERROR(IF(0=LEN(ReferenceData!$L$55),"",ReferenceData!$L$55),"")</f>
        <v>88.856999999999999</v>
      </c>
      <c r="M55">
        <f ca="1">IFERROR(IF(0=LEN(ReferenceData!$M$55),"",ReferenceData!$M$55),"")</f>
        <v>84.47</v>
      </c>
      <c r="N55">
        <f ca="1">IFERROR(IF(0=LEN(ReferenceData!$N$55),"",ReferenceData!$N$55),"")</f>
        <v>80.968000000000004</v>
      </c>
      <c r="O55">
        <f ca="1">IFERROR(IF(0=LEN(ReferenceData!$O$55),"",ReferenceData!$O$55),"")</f>
        <v>77.622</v>
      </c>
      <c r="P55">
        <f ca="1">IFERROR(IF(0=LEN(ReferenceData!$P$55),"",ReferenceData!$P$55),"")</f>
        <v>80.656000000000006</v>
      </c>
      <c r="Q55">
        <f ca="1">IFERROR(IF(0=LEN(ReferenceData!$Q$55),"",ReferenceData!$Q$55),"")</f>
        <v>79.284999999999997</v>
      </c>
      <c r="R55">
        <f ca="1">IFERROR(IF(0=LEN(ReferenceData!$R$55),"",ReferenceData!$R$55),"")</f>
        <v>76.478999999999999</v>
      </c>
      <c r="S55">
        <f ca="1">IFERROR(IF(0=LEN(ReferenceData!$S$55),"",ReferenceData!$S$55),"")</f>
        <v>78.816000000000003</v>
      </c>
      <c r="T55">
        <f ca="1">IFERROR(IF(0=LEN(ReferenceData!$T$55),"",ReferenceData!$T$55),"")</f>
        <v>82.846000000000004</v>
      </c>
      <c r="U55">
        <f ca="1">IFERROR(IF(0=LEN(ReferenceData!$U$55),"",ReferenceData!$U$55),"")</f>
        <v>86.653999999999996</v>
      </c>
      <c r="V55">
        <f ca="1">IFERROR(IF(0=LEN(ReferenceData!$V$55),"",ReferenceData!$V$55),"")</f>
        <v>79.879000000000005</v>
      </c>
      <c r="W55">
        <f ca="1">IFERROR(IF(0=LEN(ReferenceData!$W$55),"",ReferenceData!$W$55),"")</f>
        <v>89.21</v>
      </c>
      <c r="X55">
        <f ca="1">IFERROR(IF(0=LEN(ReferenceData!$X$55),"",ReferenceData!$X$55),"")</f>
        <v>89.23</v>
      </c>
      <c r="Y55">
        <f ca="1">IFERROR(IF(0=LEN(ReferenceData!$Y$55),"",ReferenceData!$Y$55),"")</f>
        <v>95.590999999999994</v>
      </c>
      <c r="Z55">
        <f ca="1">IFERROR(IF(0=LEN(ReferenceData!$Z$55),"",ReferenceData!$Z$55),"")</f>
        <v>91.257999999999996</v>
      </c>
      <c r="AA55">
        <f ca="1">IFERROR(IF(0=LEN(ReferenceData!$AA$55),"",ReferenceData!$AA$55),"")</f>
        <v>95.974999999999994</v>
      </c>
      <c r="AB55">
        <f ca="1">IFERROR(IF(0=LEN(ReferenceData!$AB$55),"",ReferenceData!$AB$55),"")</f>
        <v>92.152000000000001</v>
      </c>
      <c r="AC55">
        <f ca="1">IFERROR(IF(0=LEN(ReferenceData!$AC$55),"",ReferenceData!$AC$55),"")</f>
        <v>99.977000000000004</v>
      </c>
      <c r="AD55">
        <f ca="1">IFERROR(IF(0=LEN(ReferenceData!$AD$55),"",ReferenceData!$AD$55),"")</f>
        <v>101.348</v>
      </c>
      <c r="AE55">
        <f ca="1">IFERROR(IF(0=LEN(ReferenceData!$AE$55),"",ReferenceData!$AE$55),"")</f>
        <v>99.6</v>
      </c>
      <c r="AF55">
        <f ca="1">IFERROR(IF(0=LEN(ReferenceData!$AF$55),"",ReferenceData!$AF$55),"")</f>
        <v>107.881</v>
      </c>
      <c r="AG55">
        <f ca="1">IFERROR(IF(0=LEN(ReferenceData!$AG$55),"",ReferenceData!$AG$55),"")</f>
        <v>102.68300000000001</v>
      </c>
      <c r="AH55">
        <f ca="1">IFERROR(IF(0=LEN(ReferenceData!$AH$55),"",ReferenceData!$AH$55),"")</f>
        <v>100.008</v>
      </c>
      <c r="AI55">
        <f ca="1">IFERROR(IF(0=LEN(ReferenceData!$AI$55),"",ReferenceData!$AI$55),"")</f>
        <v>105.318</v>
      </c>
      <c r="AJ55">
        <f ca="1">IFERROR(IF(0=LEN(ReferenceData!$AJ$55),"",ReferenceData!$AJ$55),"")</f>
        <v>103.395</v>
      </c>
      <c r="AK55">
        <f ca="1">IFERROR(IF(0=LEN(ReferenceData!$AK$55),"",ReferenceData!$AK$55),"")</f>
        <v>105.13500000000001</v>
      </c>
      <c r="AL55">
        <f ca="1">IFERROR(IF(0=LEN(ReferenceData!$AL$55),"",ReferenceData!$AL$55),"")</f>
        <v>108.14400000000001</v>
      </c>
      <c r="AM55">
        <f ca="1">IFERROR(IF(0=LEN(ReferenceData!$AM$55),"",ReferenceData!$AM$55),"")</f>
        <v>110.004</v>
      </c>
      <c r="AN55">
        <f ca="1">IFERROR(IF(0=LEN(ReferenceData!$AN$55),"",ReferenceData!$AN$55),"")</f>
        <v>113.065</v>
      </c>
      <c r="AO55">
        <f ca="1">IFERROR(IF(0=LEN(ReferenceData!$AO$55),"",ReferenceData!$AO$55),"")</f>
        <v>111.646</v>
      </c>
      <c r="AP55">
        <f ca="1">IFERROR(IF(0=LEN(ReferenceData!$AP$55),"",ReferenceData!$AP$55),"")</f>
        <v>104.985</v>
      </c>
      <c r="AQ55">
        <f ca="1">IFERROR(IF(0=LEN(ReferenceData!$AQ$55),"",ReferenceData!$AQ$55),"")</f>
        <v>113.57599999999999</v>
      </c>
      <c r="AR55">
        <f ca="1">IFERROR(IF(0=LEN(ReferenceData!$AR$55),"",ReferenceData!$AR$55),"")</f>
        <v>103.542</v>
      </c>
      <c r="AS55">
        <f ca="1">IFERROR(IF(0=LEN(ReferenceData!$AS$55),"",ReferenceData!$AS$55),"")</f>
        <v>103.736</v>
      </c>
      <c r="AT55">
        <f ca="1">IFERROR(IF(0=LEN(ReferenceData!$AT$55),"",ReferenceData!$AT$55),"")</f>
        <v>102.89</v>
      </c>
      <c r="AU55">
        <f ca="1">IFERROR(IF(0=LEN(ReferenceData!$AU$55),"",ReferenceData!$AU$55),"")</f>
        <v>105.91200000000001</v>
      </c>
      <c r="AV55">
        <f ca="1">IFERROR(IF(0=LEN(ReferenceData!$AV$55),"",ReferenceData!$AV$55),"")</f>
        <v>101.56399999999999</v>
      </c>
      <c r="AW55">
        <f ca="1">IFERROR(IF(0=LEN(ReferenceData!$AW$55),"",ReferenceData!$AW$55),"")</f>
        <v>101.71899999999999</v>
      </c>
      <c r="AX55">
        <f ca="1">IFERROR(IF(0=LEN(ReferenceData!$AX$55),"",ReferenceData!$AX$55),"")</f>
        <v>100.136</v>
      </c>
      <c r="AY55">
        <f ca="1">IFERROR(IF(0=LEN(ReferenceData!$AY$55),"",ReferenceData!$AY$55),"")</f>
        <v>98.97</v>
      </c>
      <c r="AZ55">
        <f ca="1">IFERROR(IF(0=LEN(ReferenceData!$AZ$55),"",ReferenceData!$AZ$55),"")</f>
        <v>100.449</v>
      </c>
      <c r="BA55">
        <f ca="1">IFERROR(IF(0=LEN(ReferenceData!$BA$55),"",ReferenceData!$BA$55),"")</f>
        <v>96.349000000000004</v>
      </c>
      <c r="BB55">
        <f ca="1">IFERROR(IF(0=LEN(ReferenceData!$BB$55),"",ReferenceData!$BB$55),"")</f>
        <v>93.433999999999997</v>
      </c>
      <c r="BC55">
        <f ca="1">IFERROR(IF(0=LEN(ReferenceData!$BC$55),"",ReferenceData!$BC$55),"")</f>
        <v>83.191999999999993</v>
      </c>
      <c r="BD55">
        <f ca="1">IFERROR(IF(0=LEN(ReferenceData!$BD$55),"",ReferenceData!$BD$55),"")</f>
        <v>93.637</v>
      </c>
      <c r="BE55">
        <f ca="1">IFERROR(IF(0=LEN(ReferenceData!$BE$55),"",ReferenceData!$BE$55),"")</f>
        <v>101.622</v>
      </c>
      <c r="BF55">
        <f ca="1">IFERROR(IF(0=LEN(ReferenceData!$BF$55),"",ReferenceData!$BF$55),"")</f>
        <v>100.12</v>
      </c>
      <c r="BG55">
        <f ca="1">IFERROR(IF(0=LEN(ReferenceData!$BG$55),"",ReferenceData!$BG$55),"")</f>
        <v>99.576999999999998</v>
      </c>
      <c r="BH55">
        <f ca="1">IFERROR(IF(0=LEN(ReferenceData!$BH$55),"",ReferenceData!$BH$55),"")</f>
        <v>100.83499999999999</v>
      </c>
      <c r="BI55">
        <f ca="1">IFERROR(IF(0=LEN(ReferenceData!$BI$55),"",ReferenceData!$BI$55),"")</f>
        <v>100.607006</v>
      </c>
      <c r="BJ55">
        <f ca="1">IFERROR(IF(0=LEN(ReferenceData!$BJ$55),"",ReferenceData!$BJ$55),"")</f>
        <v>95.011005999999995</v>
      </c>
      <c r="BK55">
        <f ca="1">IFERROR(IF(0=LEN(ReferenceData!$BK$55),"",ReferenceData!$BK$55),"")</f>
        <v>98.507991790000005</v>
      </c>
      <c r="BL55">
        <f ca="1">IFERROR(IF(0=LEN(ReferenceData!$BL$55),"",ReferenceData!$BL$55),"")</f>
        <v>99.052002000000002</v>
      </c>
      <c r="BM55">
        <f ca="1">IFERROR(IF(0=LEN(ReferenceData!$BM$55),"",ReferenceData!$BM$55),"")</f>
        <v>100.476006</v>
      </c>
    </row>
    <row r="56" spans="1:65">
      <c r="A56" t="str">
        <f>IFERROR(IF(0=LEN(ReferenceData!$A$56),"",ReferenceData!$A$56),"")</f>
        <v xml:space="preserve">    Piedmont Office Realty Trust I</v>
      </c>
      <c r="B56" t="str">
        <f>IFERROR(IF(0=LEN(ReferenceData!$B$56),"",ReferenceData!$B$56),"")</f>
        <v>PDM US Equity</v>
      </c>
      <c r="C56" t="str">
        <f>IFERROR(IF(0=LEN(ReferenceData!$C$56),"",ReferenceData!$C$56),"")</f>
        <v>RR502</v>
      </c>
      <c r="D56" t="str">
        <f>IFERROR(IF(0=LEN(ReferenceData!$D$56),"",ReferenceData!$D$56),"")</f>
        <v>NET_OPER_INCOME</v>
      </c>
      <c r="E56" t="str">
        <f>IFERROR(IF(0=LEN(ReferenceData!$E$56),"",ReferenceData!$E$56),"")</f>
        <v>动态</v>
      </c>
      <c r="F56" t="str">
        <f ca="1">IFERROR(IF(0=LEN(ReferenceData!$F$56),"",ReferenceData!$F$56),"")</f>
        <v/>
      </c>
      <c r="G56">
        <f ca="1">IFERROR(IF(0=LEN(ReferenceData!$G$56),"",ReferenceData!$G$56),"")</f>
        <v>84.066999999999993</v>
      </c>
      <c r="H56">
        <f ca="1">IFERROR(IF(0=LEN(ReferenceData!$H$56),"",ReferenceData!$H$56),"")</f>
        <v>83.497</v>
      </c>
      <c r="I56">
        <f ca="1">IFERROR(IF(0=LEN(ReferenceData!$I$56),"",ReferenceData!$I$56),"")</f>
        <v>92.9</v>
      </c>
      <c r="J56">
        <f ca="1">IFERROR(IF(0=LEN(ReferenceData!$J$56),"",ReferenceData!$J$56),"")</f>
        <v>93.078999999999994</v>
      </c>
      <c r="K56">
        <f ca="1">IFERROR(IF(0=LEN(ReferenceData!$K$56),"",ReferenceData!$K$56),"")</f>
        <v>86.415000000000006</v>
      </c>
      <c r="L56">
        <f ca="1">IFERROR(IF(0=LEN(ReferenceData!$L$56),"",ReferenceData!$L$56),"")</f>
        <v>83.617999999999995</v>
      </c>
      <c r="M56">
        <f ca="1">IFERROR(IF(0=LEN(ReferenceData!$M$56),"",ReferenceData!$M$56),"")</f>
        <v>83.015000000000001</v>
      </c>
      <c r="N56">
        <f ca="1">IFERROR(IF(0=LEN(ReferenceData!$N$56),"",ReferenceData!$N$56),"")</f>
        <v>83.823999999999998</v>
      </c>
      <c r="O56">
        <f ca="1">IFERROR(IF(0=LEN(ReferenceData!$O$56),"",ReferenceData!$O$56),"")</f>
        <v>84.852999999999994</v>
      </c>
      <c r="P56">
        <f ca="1">IFERROR(IF(0=LEN(ReferenceData!$P$56),"",ReferenceData!$P$56),"")</f>
        <v>87.138000000000005</v>
      </c>
      <c r="Q56">
        <f ca="1">IFERROR(IF(0=LEN(ReferenceData!$Q$56),"",ReferenceData!$Q$56),"")</f>
        <v>85.254999999999995</v>
      </c>
      <c r="R56">
        <f ca="1">IFERROR(IF(0=LEN(ReferenceData!$R$56),"",ReferenceData!$R$56),"")</f>
        <v>85.522999999999996</v>
      </c>
      <c r="S56">
        <f ca="1">IFERROR(IF(0=LEN(ReferenceData!$S$56),"",ReferenceData!$S$56),"")</f>
        <v>84.709000000000003</v>
      </c>
      <c r="T56">
        <f ca="1">IFERROR(IF(0=LEN(ReferenceData!$T$56),"",ReferenceData!$T$56),"")</f>
        <v>82.614000000000004</v>
      </c>
      <c r="U56">
        <f ca="1">IFERROR(IF(0=LEN(ReferenceData!$U$56),"",ReferenceData!$U$56),"")</f>
        <v>81.444000000000003</v>
      </c>
      <c r="V56">
        <f ca="1">IFERROR(IF(0=LEN(ReferenceData!$V$56),"",ReferenceData!$V$56),"")</f>
        <v>78.049000000000007</v>
      </c>
      <c r="W56">
        <f ca="1">IFERROR(IF(0=LEN(ReferenceData!$W$56),"",ReferenceData!$W$56),"")</f>
        <v>83.241</v>
      </c>
      <c r="X56">
        <f ca="1">IFERROR(IF(0=LEN(ReferenceData!$X$56),"",ReferenceData!$X$56),"")</f>
        <v>85.251999999999995</v>
      </c>
      <c r="Y56">
        <f ca="1">IFERROR(IF(0=LEN(ReferenceData!$Y$56),"",ReferenceData!$Y$56),"")</f>
        <v>80.341999999999999</v>
      </c>
      <c r="Z56">
        <f ca="1">IFERROR(IF(0=LEN(ReferenceData!$Z$56),"",ReferenceData!$Z$56),"")</f>
        <v>79.995999999999995</v>
      </c>
      <c r="AA56">
        <f ca="1">IFERROR(IF(0=LEN(ReferenceData!$AA$56),"",ReferenceData!$AA$56),"")</f>
        <v>78.358999999999995</v>
      </c>
      <c r="AB56">
        <f ca="1">IFERROR(IF(0=LEN(ReferenceData!$AB$56),"",ReferenceData!$AB$56),"")</f>
        <v>82.117000000000004</v>
      </c>
      <c r="AC56">
        <f ca="1">IFERROR(IF(0=LEN(ReferenceData!$AC$56),"",ReferenceData!$AC$56),"")</f>
        <v>79.103999999999999</v>
      </c>
      <c r="AD56">
        <f ca="1">IFERROR(IF(0=LEN(ReferenceData!$AD$56),"",ReferenceData!$AD$56),"")</f>
        <v>79.394999999999996</v>
      </c>
      <c r="AE56">
        <f ca="1">IFERROR(IF(0=LEN(ReferenceData!$AE$56),"",ReferenceData!$AE$56),"")</f>
        <v>80.631</v>
      </c>
      <c r="AF56">
        <f ca="1">IFERROR(IF(0=LEN(ReferenceData!$AF$56),"",ReferenceData!$AF$56),"")</f>
        <v>81.771000000000001</v>
      </c>
      <c r="AG56">
        <f ca="1">IFERROR(IF(0=LEN(ReferenceData!$AG$56),"",ReferenceData!$AG$56),"")</f>
        <v>82.605000000000004</v>
      </c>
      <c r="AH56">
        <f ca="1">IFERROR(IF(0=LEN(ReferenceData!$AH$56),"",ReferenceData!$AH$56),"")</f>
        <v>82.632999999999996</v>
      </c>
      <c r="AI56">
        <f ca="1">IFERROR(IF(0=LEN(ReferenceData!$AI$56),"",ReferenceData!$AI$56),"")</f>
        <v>81.775000000000006</v>
      </c>
      <c r="AJ56">
        <f ca="1">IFERROR(IF(0=LEN(ReferenceData!$AJ$56),"",ReferenceData!$AJ$56),"")</f>
        <v>89.698999999999998</v>
      </c>
      <c r="AK56">
        <f ca="1">IFERROR(IF(0=LEN(ReferenceData!$AK$56),"",ReferenceData!$AK$56),"")</f>
        <v>88.978999999999999</v>
      </c>
      <c r="AL56">
        <f ca="1">IFERROR(IF(0=LEN(ReferenceData!$AL$56),"",ReferenceData!$AL$56),"")</f>
        <v>91.483000000000004</v>
      </c>
      <c r="AM56">
        <f ca="1">IFERROR(IF(0=LEN(ReferenceData!$AM$56),"",ReferenceData!$AM$56),"")</f>
        <v>92.141999999999996</v>
      </c>
      <c r="AN56">
        <f ca="1">IFERROR(IF(0=LEN(ReferenceData!$AN$56),"",ReferenceData!$AN$56),"")</f>
        <v>91.352000000000004</v>
      </c>
      <c r="AO56">
        <f ca="1">IFERROR(IF(0=LEN(ReferenceData!$AO$56),"",ReferenceData!$AO$56),"")</f>
        <v>92.358999999999995</v>
      </c>
      <c r="AP56">
        <f ca="1">IFERROR(IF(0=LEN(ReferenceData!$AP$56),"",ReferenceData!$AP$56),"")</f>
        <v>94.084000000000003</v>
      </c>
      <c r="AQ56">
        <f ca="1">IFERROR(IF(0=LEN(ReferenceData!$AQ$56),"",ReferenceData!$AQ$56),"")</f>
        <v>100.01900000000001</v>
      </c>
      <c r="AR56">
        <f ca="1">IFERROR(IF(0=LEN(ReferenceData!$AR$56),"",ReferenceData!$AR$56),"")</f>
        <v>101.03400000000001</v>
      </c>
      <c r="AS56">
        <f ca="1">IFERROR(IF(0=LEN(ReferenceData!$AS$56),"",ReferenceData!$AS$56),"")</f>
        <v>96.305000000000007</v>
      </c>
      <c r="AT56">
        <f ca="1">IFERROR(IF(0=LEN(ReferenceData!$AT$56),"",ReferenceData!$AT$56),"")</f>
        <v>101.30200000000001</v>
      </c>
      <c r="AU56">
        <f ca="1">IFERROR(IF(0=LEN(ReferenceData!$AU$56),"",ReferenceData!$AU$56),"")</f>
        <v>96.963999999999999</v>
      </c>
      <c r="AV56">
        <f ca="1">IFERROR(IF(0=LEN(ReferenceData!$AV$56),"",ReferenceData!$AV$56),"")</f>
        <v>93.313000000000002</v>
      </c>
      <c r="AW56">
        <f ca="1">IFERROR(IF(0=LEN(ReferenceData!$AW$56),"",ReferenceData!$AW$56),"")</f>
        <v>91.206000000000003</v>
      </c>
      <c r="AX56">
        <f ca="1">IFERROR(IF(0=LEN(ReferenceData!$AX$56),"",ReferenceData!$AX$56),"")</f>
        <v>86.498999999999995</v>
      </c>
      <c r="AY56">
        <f ca="1">IFERROR(IF(0=LEN(ReferenceData!$AY$56),"",ReferenceData!$AY$56),"")</f>
        <v>80.58</v>
      </c>
      <c r="AZ56">
        <f ca="1">IFERROR(IF(0=LEN(ReferenceData!$AZ$56),"",ReferenceData!$AZ$56),"")</f>
        <v>93.96</v>
      </c>
      <c r="BA56">
        <f ca="1">IFERROR(IF(0=LEN(ReferenceData!$BA$56),"",ReferenceData!$BA$56),"")</f>
        <v>85.022000000000006</v>
      </c>
      <c r="BB56">
        <f ca="1">IFERROR(IF(0=LEN(ReferenceData!$BB$56),"",ReferenceData!$BB$56),"")</f>
        <v>84.888999999999996</v>
      </c>
      <c r="BC56">
        <f ca="1">IFERROR(IF(0=LEN(ReferenceData!$BC$56),"",ReferenceData!$BC$56),"")</f>
        <v>84.721000000000004</v>
      </c>
      <c r="BD56">
        <f ca="1">IFERROR(IF(0=LEN(ReferenceData!$BD$56),"",ReferenceData!$BD$56),"")</f>
        <v>86.399000000000001</v>
      </c>
      <c r="BE56">
        <f ca="1">IFERROR(IF(0=LEN(ReferenceData!$BE$56),"",ReferenceData!$BE$56),"")</f>
        <v>92.72</v>
      </c>
      <c r="BF56">
        <f ca="1">IFERROR(IF(0=LEN(ReferenceData!$BF$56),"",ReferenceData!$BF$56),"")</f>
        <v>91.149000000000001</v>
      </c>
      <c r="BG56">
        <f ca="1">IFERROR(IF(0=LEN(ReferenceData!$BG$56),"",ReferenceData!$BG$56),"")</f>
        <v>90.338999999999999</v>
      </c>
      <c r="BH56">
        <f ca="1">IFERROR(IF(0=LEN(ReferenceData!$BH$56),"",ReferenceData!$BH$56),"")</f>
        <v>84.718000000000004</v>
      </c>
      <c r="BI56">
        <f ca="1">IFERROR(IF(0=LEN(ReferenceData!$BI$56),"",ReferenceData!$BI$56),"")</f>
        <v>95.977005000000005</v>
      </c>
      <c r="BJ56">
        <f ca="1">IFERROR(IF(0=LEN(ReferenceData!$BJ$56),"",ReferenceData!$BJ$56),"")</f>
        <v>87.242000579999996</v>
      </c>
      <c r="BK56">
        <f ca="1">IFERROR(IF(0=LEN(ReferenceData!$BK$56),"",ReferenceData!$BK$56),"")</f>
        <v>81.134002690000003</v>
      </c>
      <c r="BL56">
        <f ca="1">IFERROR(IF(0=LEN(ReferenceData!$BL$56),"",ReferenceData!$BL$56),"")</f>
        <v>68.578998569999996</v>
      </c>
      <c r="BM56">
        <f ca="1">IFERROR(IF(0=LEN(ReferenceData!$BM$56),"",ReferenceData!$BM$56),"")</f>
        <v>57.333000179999999</v>
      </c>
    </row>
    <row r="57" spans="1:65">
      <c r="A57" t="str">
        <f>IFERROR(IF(0=LEN(ReferenceData!$A$57),"",ReferenceData!$A$57),"")</f>
        <v xml:space="preserve">    SL Green Realty Corp</v>
      </c>
      <c r="B57" t="str">
        <f>IFERROR(IF(0=LEN(ReferenceData!$B$57),"",ReferenceData!$B$57),"")</f>
        <v>SLG US Equity</v>
      </c>
      <c r="C57" t="str">
        <f>IFERROR(IF(0=LEN(ReferenceData!$C$57),"",ReferenceData!$C$57),"")</f>
        <v>RR502</v>
      </c>
      <c r="D57" t="str">
        <f>IFERROR(IF(0=LEN(ReferenceData!$D$57),"",ReferenceData!$D$57),"")</f>
        <v>NET_OPER_INCOME</v>
      </c>
      <c r="E57" t="str">
        <f>IFERROR(IF(0=LEN(ReferenceData!$E$57),"",ReferenceData!$E$57),"")</f>
        <v>动态</v>
      </c>
      <c r="F57" t="str">
        <f ca="1">IFERROR(IF(0=LEN(ReferenceData!$F$57),"",ReferenceData!$F$57),"")</f>
        <v/>
      </c>
      <c r="G57">
        <f ca="1">IFERROR(IF(0=LEN(ReferenceData!$G$57),"",ReferenceData!$G$57),"")</f>
        <v>168.333</v>
      </c>
      <c r="H57">
        <f ca="1">IFERROR(IF(0=LEN(ReferenceData!$H$57),"",ReferenceData!$H$57),"")</f>
        <v>171.12</v>
      </c>
      <c r="I57">
        <f ca="1">IFERROR(IF(0=LEN(ReferenceData!$I$57),"",ReferenceData!$I$57),"")</f>
        <v>181.922</v>
      </c>
      <c r="J57">
        <f ca="1">IFERROR(IF(0=LEN(ReferenceData!$J$57),"",ReferenceData!$J$57),"")</f>
        <v>181.63900000000001</v>
      </c>
      <c r="K57">
        <f ca="1">IFERROR(IF(0=LEN(ReferenceData!$K$57),"",ReferenceData!$K$57),"")</f>
        <v>182.01499999999999</v>
      </c>
      <c r="L57">
        <f ca="1">IFERROR(IF(0=LEN(ReferenceData!$L$57),"",ReferenceData!$L$57),"")</f>
        <v>182.71600000000001</v>
      </c>
      <c r="M57">
        <f ca="1">IFERROR(IF(0=LEN(ReferenceData!$M$57),"",ReferenceData!$M$57),"")</f>
        <v>319.67</v>
      </c>
      <c r="N57">
        <f ca="1">IFERROR(IF(0=LEN(ReferenceData!$N$57),"",ReferenceData!$N$57),"")</f>
        <v>241.71600000000001</v>
      </c>
      <c r="O57">
        <f ca="1">IFERROR(IF(0=LEN(ReferenceData!$O$57),"",ReferenceData!$O$57),"")</f>
        <v>223.76599999999999</v>
      </c>
      <c r="P57">
        <f ca="1">IFERROR(IF(0=LEN(ReferenceData!$P$57),"",ReferenceData!$P$57),"")</f>
        <v>218.81</v>
      </c>
      <c r="Q57">
        <f ca="1">IFERROR(IF(0=LEN(ReferenceData!$Q$57),"",ReferenceData!$Q$57),"")</f>
        <v>211.14699999999999</v>
      </c>
      <c r="R57">
        <f ca="1">IFERROR(IF(0=LEN(ReferenceData!$R$57),"",ReferenceData!$R$57),"")</f>
        <v>203.61</v>
      </c>
      <c r="S57">
        <f ca="1">IFERROR(IF(0=LEN(ReferenceData!$S$57),"",ReferenceData!$S$57),"")</f>
        <v>200.904</v>
      </c>
      <c r="T57">
        <f ca="1">IFERROR(IF(0=LEN(ReferenceData!$T$57),"",ReferenceData!$T$57),"")</f>
        <v>199.37200000000001</v>
      </c>
      <c r="U57">
        <f ca="1">IFERROR(IF(0=LEN(ReferenceData!$U$57),"",ReferenceData!$U$57),"")</f>
        <v>189.24199999999999</v>
      </c>
      <c r="V57">
        <f ca="1">IFERROR(IF(0=LEN(ReferenceData!$V$57),"",ReferenceData!$V$57),"")</f>
        <v>163.49100000000001</v>
      </c>
      <c r="W57">
        <f ca="1">IFERROR(IF(0=LEN(ReferenceData!$W$57),"",ReferenceData!$W$57),"")</f>
        <v>165.02600000000001</v>
      </c>
      <c r="X57">
        <f ca="1">IFERROR(IF(0=LEN(ReferenceData!$X$57),"",ReferenceData!$X$57),"")</f>
        <v>152.22200000000001</v>
      </c>
      <c r="Y57">
        <f ca="1">IFERROR(IF(0=LEN(ReferenceData!$Y$57),"",ReferenceData!$Y$57),"")</f>
        <v>173.2</v>
      </c>
      <c r="Z57">
        <f ca="1">IFERROR(IF(0=LEN(ReferenceData!$Z$57),"",ReferenceData!$Z$57),"")</f>
        <v>169.73699999999999</v>
      </c>
      <c r="AA57">
        <f ca="1">IFERROR(IF(0=LEN(ReferenceData!$AA$57),"",ReferenceData!$AA$57),"")</f>
        <v>170.68799999999999</v>
      </c>
      <c r="AB57">
        <f ca="1">IFERROR(IF(0=LEN(ReferenceData!$AB$57),"",ReferenceData!$AB$57),"")</f>
        <v>175.352</v>
      </c>
      <c r="AC57">
        <f ca="1">IFERROR(IF(0=LEN(ReferenceData!$AC$57),"",ReferenceData!$AC$57),"")</f>
        <v>176.22499999999999</v>
      </c>
      <c r="AD57">
        <f ca="1">IFERROR(IF(0=LEN(ReferenceData!$AD$57),"",ReferenceData!$AD$57),"")</f>
        <v>168.87799999999999</v>
      </c>
      <c r="AE57">
        <f ca="1">IFERROR(IF(0=LEN(ReferenceData!$AE$57),"",ReferenceData!$AE$57),"")</f>
        <v>168.27199999999999</v>
      </c>
      <c r="AF57">
        <f ca="1">IFERROR(IF(0=LEN(ReferenceData!$AF$57),"",ReferenceData!$AF$57),"")</f>
        <v>159.643</v>
      </c>
      <c r="AG57">
        <f ca="1">IFERROR(IF(0=LEN(ReferenceData!$AG$57),"",ReferenceData!$AG$57),"")</f>
        <v>159.446</v>
      </c>
      <c r="AH57">
        <f ca="1">IFERROR(IF(0=LEN(ReferenceData!$AH$57),"",ReferenceData!$AH$57),"")</f>
        <v>149.096</v>
      </c>
      <c r="AI57">
        <f ca="1">IFERROR(IF(0=LEN(ReferenceData!$AI$57),"",ReferenceData!$AI$57),"")</f>
        <v>129.04</v>
      </c>
      <c r="AJ57">
        <f ca="1">IFERROR(IF(0=LEN(ReferenceData!$AJ$57),"",ReferenceData!$AJ$57),"")</f>
        <v>124.97499999999999</v>
      </c>
      <c r="AK57">
        <f ca="1">IFERROR(IF(0=LEN(ReferenceData!$AK$57),"",ReferenceData!$AK$57),"")</f>
        <v>124.286</v>
      </c>
      <c r="AL57">
        <f ca="1">IFERROR(IF(0=LEN(ReferenceData!$AL$57),"",ReferenceData!$AL$57),"")</f>
        <v>120.724</v>
      </c>
      <c r="AM57">
        <f ca="1">IFERROR(IF(0=LEN(ReferenceData!$AM$57),"",ReferenceData!$AM$57),"")</f>
        <v>123.941</v>
      </c>
      <c r="AN57">
        <f ca="1">IFERROR(IF(0=LEN(ReferenceData!$AN$57),"",ReferenceData!$AN$57),"")</f>
        <v>122.068</v>
      </c>
      <c r="AO57">
        <f ca="1">IFERROR(IF(0=LEN(ReferenceData!$AO$57),"",ReferenceData!$AO$57),"")</f>
        <v>126.63200000000001</v>
      </c>
      <c r="AP57">
        <f ca="1">IFERROR(IF(0=LEN(ReferenceData!$AP$57),"",ReferenceData!$AP$57),"")</f>
        <v>129.37</v>
      </c>
      <c r="AQ57">
        <f ca="1">IFERROR(IF(0=LEN(ReferenceData!$AQ$57),"",ReferenceData!$AQ$57),"")</f>
        <v>126.1</v>
      </c>
      <c r="AR57">
        <f ca="1">IFERROR(IF(0=LEN(ReferenceData!$AR$57),"",ReferenceData!$AR$57),"")</f>
        <v>129.11799999999999</v>
      </c>
      <c r="AS57">
        <f ca="1">IFERROR(IF(0=LEN(ReferenceData!$AS$57),"",ReferenceData!$AS$57),"")</f>
        <v>127.252</v>
      </c>
      <c r="AT57">
        <f ca="1">IFERROR(IF(0=LEN(ReferenceData!$AT$57),"",ReferenceData!$AT$57),"")</f>
        <v>129.35499999999999</v>
      </c>
      <c r="AU57">
        <f ca="1">IFERROR(IF(0=LEN(ReferenceData!$AU$57),"",ReferenceData!$AU$57),"")</f>
        <v>112.697</v>
      </c>
      <c r="AV57">
        <f ca="1">IFERROR(IF(0=LEN(ReferenceData!$AV$57),"",ReferenceData!$AV$57),"")</f>
        <v>114.116</v>
      </c>
      <c r="AW57">
        <f ca="1">IFERROR(IF(0=LEN(ReferenceData!$AW$57),"",ReferenceData!$AW$57),"")</f>
        <v>106.687</v>
      </c>
      <c r="AX57">
        <f ca="1">IFERROR(IF(0=LEN(ReferenceData!$AX$57),"",ReferenceData!$AX$57),"")</f>
        <v>90.989000000000004</v>
      </c>
      <c r="AY57">
        <f ca="1">IFERROR(IF(0=LEN(ReferenceData!$AY$57),"",ReferenceData!$AY$57),"")</f>
        <v>38.279000000000003</v>
      </c>
      <c r="AZ57">
        <f ca="1">IFERROR(IF(0=LEN(ReferenceData!$AZ$57),"",ReferenceData!$AZ$57),"")</f>
        <v>49.804000000000002</v>
      </c>
      <c r="BA57">
        <f ca="1">IFERROR(IF(0=LEN(ReferenceData!$BA$57),"",ReferenceData!$BA$57),"")</f>
        <v>46.098999999999997</v>
      </c>
      <c r="BB57">
        <f ca="1">IFERROR(IF(0=LEN(ReferenceData!$BB$57),"",ReferenceData!$BB$57),"")</f>
        <v>42.593000000000004</v>
      </c>
      <c r="BC57">
        <f ca="1">IFERROR(IF(0=LEN(ReferenceData!$BC$57),"",ReferenceData!$BC$57),"")</f>
        <v>42.256999999999998</v>
      </c>
      <c r="BD57">
        <f ca="1">IFERROR(IF(0=LEN(ReferenceData!$BD$57),"",ReferenceData!$BD$57),"")</f>
        <v>41.363</v>
      </c>
      <c r="BE57">
        <f ca="1">IFERROR(IF(0=LEN(ReferenceData!$BE$57),"",ReferenceData!$BE$57),"")</f>
        <v>41.326000000000001</v>
      </c>
      <c r="BF57">
        <f ca="1">IFERROR(IF(0=LEN(ReferenceData!$BF$57),"",ReferenceData!$BF$57),"")</f>
        <v>39.36</v>
      </c>
      <c r="BG57">
        <f ca="1">IFERROR(IF(0=LEN(ReferenceData!$BG$57),"",ReferenceData!$BG$57),"")</f>
        <v>40.994999999999997</v>
      </c>
      <c r="BH57">
        <f ca="1">IFERROR(IF(0=LEN(ReferenceData!$BH$57),"",ReferenceData!$BH$57),"")</f>
        <v>28.85</v>
      </c>
      <c r="BI57">
        <f ca="1">IFERROR(IF(0=LEN(ReferenceData!$BI$57),"",ReferenceData!$BI$57),"")</f>
        <v>35.447000000000003</v>
      </c>
      <c r="BJ57">
        <f ca="1">IFERROR(IF(0=LEN(ReferenceData!$BJ$57),"",ReferenceData!$BJ$57),"")</f>
        <v>31.809000000000001</v>
      </c>
      <c r="BK57">
        <f ca="1">IFERROR(IF(0=LEN(ReferenceData!$BK$57),"",ReferenceData!$BK$57),"")</f>
        <v>33.123004909999999</v>
      </c>
      <c r="BL57">
        <f ca="1">IFERROR(IF(0=LEN(ReferenceData!$BL$57),"",ReferenceData!$BL$57),"")</f>
        <v>32.018999999999998</v>
      </c>
      <c r="BM57">
        <f ca="1">IFERROR(IF(0=LEN(ReferenceData!$BM$57),"",ReferenceData!$BM$57),"")</f>
        <v>36.204000000000001</v>
      </c>
    </row>
    <row r="58" spans="1:65">
      <c r="A58" t="str">
        <f>IFERROR(IF(0=LEN(ReferenceData!$A$58),"",ReferenceData!$A$58),"")</f>
        <v xml:space="preserve">    Vornado Realty Trust</v>
      </c>
      <c r="B58" t="str">
        <f>IFERROR(IF(0=LEN(ReferenceData!$B$58),"",ReferenceData!$B$58),"")</f>
        <v>VNO US Equity</v>
      </c>
      <c r="C58" t="str">
        <f>IFERROR(IF(0=LEN(ReferenceData!$C$58),"",ReferenceData!$C$58),"")</f>
        <v>RR502</v>
      </c>
      <c r="D58" t="str">
        <f>IFERROR(IF(0=LEN(ReferenceData!$D$58),"",ReferenceData!$D$58),"")</f>
        <v>NET_OPER_INCOME</v>
      </c>
      <c r="E58" t="str">
        <f>IFERROR(IF(0=LEN(ReferenceData!$E$58),"",ReferenceData!$E$58),"")</f>
        <v>动态</v>
      </c>
      <c r="F58" t="str">
        <f ca="1">IFERROR(IF(0=LEN(ReferenceData!$F$58),"",ReferenceData!$F$58),"")</f>
        <v/>
      </c>
      <c r="G58">
        <f ca="1">IFERROR(IF(0=LEN(ReferenceData!$G$58),"",ReferenceData!$G$58),"")</f>
        <v>311.21499999999997</v>
      </c>
      <c r="H58">
        <f ca="1">IFERROR(IF(0=LEN(ReferenceData!$H$58),"",ReferenceData!$H$58),"")</f>
        <v>303.529</v>
      </c>
      <c r="I58">
        <f ca="1">IFERROR(IF(0=LEN(ReferenceData!$I$58),"",ReferenceData!$I$58),"")</f>
        <v>369.35199999999998</v>
      </c>
      <c r="J58">
        <f ca="1">IFERROR(IF(0=LEN(ReferenceData!$J$58),"",ReferenceData!$J$58),"")</f>
        <v>359.94099999999997</v>
      </c>
      <c r="K58">
        <f ca="1">IFERROR(IF(0=LEN(ReferenceData!$K$58),"",ReferenceData!$K$58),"")</f>
        <v>376.23700000000002</v>
      </c>
      <c r="L58">
        <f ca="1">IFERROR(IF(0=LEN(ReferenceData!$L$58),"",ReferenceData!$L$58),"")</f>
        <v>372.37099999999998</v>
      </c>
      <c r="M58">
        <f ca="1">IFERROR(IF(0=LEN(ReferenceData!$M$58),"",ReferenceData!$M$58),"")</f>
        <v>376.57</v>
      </c>
      <c r="N58">
        <f ca="1">IFERROR(IF(0=LEN(ReferenceData!$N$58),"",ReferenceData!$N$58),"")</f>
        <v>356.68799999999999</v>
      </c>
      <c r="O58">
        <f ca="1">IFERROR(IF(0=LEN(ReferenceData!$O$58),"",ReferenceData!$O$58),"")</f>
        <v>394.07600000000002</v>
      </c>
      <c r="P58">
        <f ca="1">IFERROR(IF(0=LEN(ReferenceData!$P$58),"",ReferenceData!$P$58),"")</f>
        <v>371.03500000000003</v>
      </c>
      <c r="Q58">
        <f ca="1">IFERROR(IF(0=LEN(ReferenceData!$Q$58),"",ReferenceData!$Q$58),"")</f>
        <v>373.59800000000001</v>
      </c>
      <c r="R58">
        <f ca="1">IFERROR(IF(0=LEN(ReferenceData!$R$58),"",ReferenceData!$R$58),"")</f>
        <v>352.30900000000003</v>
      </c>
      <c r="S58">
        <f ca="1">IFERROR(IF(0=LEN(ReferenceData!$S$58),"",ReferenceData!$S$58),"")</f>
        <v>350.44600000000003</v>
      </c>
      <c r="T58">
        <f ca="1">IFERROR(IF(0=LEN(ReferenceData!$T$58),"",ReferenceData!$T$58),"")</f>
        <v>338.62200000000001</v>
      </c>
      <c r="U58">
        <f ca="1">IFERROR(IF(0=LEN(ReferenceData!$U$58),"",ReferenceData!$U$58),"")</f>
        <v>344.01299999999998</v>
      </c>
      <c r="V58">
        <f ca="1">IFERROR(IF(0=LEN(ReferenceData!$V$58),"",ReferenceData!$V$58),"")</f>
        <v>325.82</v>
      </c>
      <c r="W58">
        <f ca="1">IFERROR(IF(0=LEN(ReferenceData!$W$58),"",ReferenceData!$W$58),"")</f>
        <v>389.21800000000002</v>
      </c>
      <c r="X58">
        <f ca="1">IFERROR(IF(0=LEN(ReferenceData!$X$58),"",ReferenceData!$X$58),"")</f>
        <v>403.97399999999999</v>
      </c>
      <c r="Y58">
        <f ca="1">IFERROR(IF(0=LEN(ReferenceData!$Y$58),"",ReferenceData!$Y$58),"")</f>
        <v>396.89699999999999</v>
      </c>
      <c r="Z58">
        <f ca="1">IFERROR(IF(0=LEN(ReferenceData!$Z$58),"",ReferenceData!$Z$58),"")</f>
        <v>441.59199999999998</v>
      </c>
      <c r="AA58">
        <f ca="1">IFERROR(IF(0=LEN(ReferenceData!$AA$58),"",ReferenceData!$AA$58),"")</f>
        <v>377.48200000000003</v>
      </c>
      <c r="AB58">
        <f ca="1">IFERROR(IF(0=LEN(ReferenceData!$AB$58),"",ReferenceData!$AB$58),"")</f>
        <v>371.10899999999998</v>
      </c>
      <c r="AC58">
        <f ca="1">IFERROR(IF(0=LEN(ReferenceData!$AC$58),"",ReferenceData!$AC$58),"")</f>
        <v>380.56299999999999</v>
      </c>
      <c r="AD58">
        <f ca="1">IFERROR(IF(0=LEN(ReferenceData!$AD$58),"",ReferenceData!$AD$58),"")</f>
        <v>369.73399999999998</v>
      </c>
      <c r="AE58">
        <f ca="1">IFERROR(IF(0=LEN(ReferenceData!$AE$58),"",ReferenceData!$AE$58),"")</f>
        <v>418.887</v>
      </c>
      <c r="AF58">
        <f ca="1">IFERROR(IF(0=LEN(ReferenceData!$AF$58),"",ReferenceData!$AF$58),"")</f>
        <v>391.60399999999998</v>
      </c>
      <c r="AG58">
        <f ca="1">IFERROR(IF(0=LEN(ReferenceData!$AG$58),"",ReferenceData!$AG$58),"")</f>
        <v>408.87</v>
      </c>
      <c r="AH58">
        <f ca="1">IFERROR(IF(0=LEN(ReferenceData!$AH$58),"",ReferenceData!$AH$58),"")</f>
        <v>402.24299999999999</v>
      </c>
      <c r="AI58">
        <f ca="1">IFERROR(IF(0=LEN(ReferenceData!$AI$58),"",ReferenceData!$AI$58),"")</f>
        <v>413.024</v>
      </c>
      <c r="AJ58">
        <f ca="1">IFERROR(IF(0=LEN(ReferenceData!$AJ$58),"",ReferenceData!$AJ$58),"")</f>
        <v>412.048</v>
      </c>
      <c r="AK58">
        <f ca="1">IFERROR(IF(0=LEN(ReferenceData!$AK$58),"",ReferenceData!$AK$58),"")</f>
        <v>422.14400000000001</v>
      </c>
      <c r="AL58">
        <f ca="1">IFERROR(IF(0=LEN(ReferenceData!$AL$58),"",ReferenceData!$AL$58),"")</f>
        <v>410.62099999999998</v>
      </c>
      <c r="AM58">
        <f ca="1">IFERROR(IF(0=LEN(ReferenceData!$AM$58),"",ReferenceData!$AM$58),"")</f>
        <v>438.88</v>
      </c>
      <c r="AN58">
        <f ca="1">IFERROR(IF(0=LEN(ReferenceData!$AN$58),"",ReferenceData!$AN$58),"")</f>
        <v>405.267</v>
      </c>
      <c r="AO58">
        <f ca="1">IFERROR(IF(0=LEN(ReferenceData!$AO$58),"",ReferenceData!$AO$58),"")</f>
        <v>404.07900000000001</v>
      </c>
      <c r="AP58">
        <f ca="1">IFERROR(IF(0=LEN(ReferenceData!$AP$58),"",ReferenceData!$AP$58),"")</f>
        <v>399.66800000000001</v>
      </c>
      <c r="AQ58">
        <f ca="1">IFERROR(IF(0=LEN(ReferenceData!$AQ$58),"",ReferenceData!$AQ$58),"")</f>
        <v>419.09899999999999</v>
      </c>
      <c r="AR58">
        <f ca="1">IFERROR(IF(0=LEN(ReferenceData!$AR$58),"",ReferenceData!$AR$58),"")</f>
        <v>399.95299999999997</v>
      </c>
      <c r="AS58">
        <f ca="1">IFERROR(IF(0=LEN(ReferenceData!$AS$58),"",ReferenceData!$AS$58),"")</f>
        <v>418.00700000000001</v>
      </c>
      <c r="AT58">
        <f ca="1">IFERROR(IF(0=LEN(ReferenceData!$AT$58),"",ReferenceData!$AT$58),"")</f>
        <v>388.03100000000001</v>
      </c>
      <c r="AU58">
        <f ca="1">IFERROR(IF(0=LEN(ReferenceData!$AU$58),"",ReferenceData!$AU$58),"")</f>
        <v>403.54500000000002</v>
      </c>
      <c r="AV58">
        <f ca="1">IFERROR(IF(0=LEN(ReferenceData!$AV$58),"",ReferenceData!$AV$58),"")</f>
        <v>378.07799999999997</v>
      </c>
      <c r="AW58">
        <f ca="1">IFERROR(IF(0=LEN(ReferenceData!$AW$58),"",ReferenceData!$AW$58),"")</f>
        <v>356.00799999999998</v>
      </c>
      <c r="AX58">
        <f ca="1">IFERROR(IF(0=LEN(ReferenceData!$AX$58),"",ReferenceData!$AX$58),"")</f>
        <v>323.44200000000001</v>
      </c>
      <c r="AY58">
        <f ca="1">IFERROR(IF(0=LEN(ReferenceData!$AY$58),"",ReferenceData!$AY$58),"")</f>
        <v>356.24200000000002</v>
      </c>
      <c r="AZ58">
        <f ca="1">IFERROR(IF(0=LEN(ReferenceData!$AZ$58),"",ReferenceData!$AZ$58),"")</f>
        <v>329.36599999999999</v>
      </c>
      <c r="BA58">
        <f ca="1">IFERROR(IF(0=LEN(ReferenceData!$BA$58),"",ReferenceData!$BA$58),"")</f>
        <v>343.18099999999998</v>
      </c>
      <c r="BB58">
        <f ca="1">IFERROR(IF(0=LEN(ReferenceData!$BB$58),"",ReferenceData!$BB$58),"")</f>
        <v>315.42200000000003</v>
      </c>
      <c r="BC58">
        <f ca="1">IFERROR(IF(0=LEN(ReferenceData!$BC$58),"",ReferenceData!$BC$58),"")</f>
        <v>325.13299999999998</v>
      </c>
      <c r="BD58">
        <f ca="1">IFERROR(IF(0=LEN(ReferenceData!$BD$58),"",ReferenceData!$BD$58),"")</f>
        <v>301.47500000000002</v>
      </c>
      <c r="BE58">
        <f ca="1">IFERROR(IF(0=LEN(ReferenceData!$BE$58),"",ReferenceData!$BE$58),"")</f>
        <v>309.04500000000002</v>
      </c>
      <c r="BF58">
        <f ca="1">IFERROR(IF(0=LEN(ReferenceData!$BF$58),"",ReferenceData!$BF$58),"")</f>
        <v>300.101</v>
      </c>
      <c r="BG58">
        <f ca="1">IFERROR(IF(0=LEN(ReferenceData!$BG$58),"",ReferenceData!$BG$58),"")</f>
        <v>281.13900000000001</v>
      </c>
      <c r="BH58">
        <f ca="1">IFERROR(IF(0=LEN(ReferenceData!$BH$58),"",ReferenceData!$BH$58),"")</f>
        <v>254.86500000000001</v>
      </c>
      <c r="BI58">
        <f ca="1">IFERROR(IF(0=LEN(ReferenceData!$BI$58),"",ReferenceData!$BI$58),"")</f>
        <v>255.56701100000001</v>
      </c>
      <c r="BJ58">
        <f ca="1">IFERROR(IF(0=LEN(ReferenceData!$BJ$58),"",ReferenceData!$BJ$58),"")</f>
        <v>238.68400800000001</v>
      </c>
      <c r="BK58">
        <f ca="1">IFERROR(IF(0=LEN(ReferenceData!$BK$58),"",ReferenceData!$BK$58),"")</f>
        <v>232.529989</v>
      </c>
      <c r="BL58">
        <f ca="1">IFERROR(IF(0=LEN(ReferenceData!$BL$58),"",ReferenceData!$BL$58),"")</f>
        <v>231.32500400000001</v>
      </c>
      <c r="BM58">
        <f ca="1">IFERROR(IF(0=LEN(ReferenceData!$BM$58),"",ReferenceData!$BM$58),"")</f>
        <v>231.491984</v>
      </c>
    </row>
    <row r="59" spans="1:65">
      <c r="A59" t="str">
        <f>IFERROR(IF(0=LEN(ReferenceData!$A$59),"",ReferenceData!$A$59),"")</f>
        <v>EBITDA</v>
      </c>
      <c r="B59" t="str">
        <f>IFERROR(IF(0=LEN(ReferenceData!$B$59),"",ReferenceData!$B$59),"")</f>
        <v/>
      </c>
      <c r="C59" t="str">
        <f>IFERROR(IF(0=LEN(ReferenceData!$C$59),"",ReferenceData!$C$59),"")</f>
        <v/>
      </c>
      <c r="D59" t="str">
        <f>IFERROR(IF(0=LEN(ReferenceData!$D$59),"",ReferenceData!$D$59),"")</f>
        <v/>
      </c>
      <c r="E59" t="str">
        <f>IFERROR(IF(0=LEN(ReferenceData!$E$59),"",ReferenceData!$E$59),"")</f>
        <v>Median</v>
      </c>
      <c r="F59" t="str">
        <f ca="1">IFERROR(IF(0=LEN(ReferenceData!$F$59),"",ReferenceData!$F$59),"")</f>
        <v/>
      </c>
      <c r="G59">
        <f ca="1">IFERROR(IF(0=LEN(ReferenceData!$G$59),"",ReferenceData!$G$59),"")</f>
        <v>89.404499999999999</v>
      </c>
      <c r="H59">
        <f ca="1">IFERROR(IF(0=LEN(ReferenceData!$H$59),"",ReferenceData!$H$59),"")</f>
        <v>94.657499999999999</v>
      </c>
      <c r="I59">
        <f ca="1">IFERROR(IF(0=LEN(ReferenceData!$I$59),"",ReferenceData!$I$59),"")</f>
        <v>97.276499999999999</v>
      </c>
      <c r="J59">
        <f ca="1">IFERROR(IF(0=LEN(ReferenceData!$J$59),"",ReferenceData!$J$59),"")</f>
        <v>92.359499999999997</v>
      </c>
      <c r="K59">
        <f ca="1">IFERROR(IF(0=LEN(ReferenceData!$K$59),"",ReferenceData!$K$59),"")</f>
        <v>90.957999999999998</v>
      </c>
      <c r="L59">
        <f ca="1">IFERROR(IF(0=LEN(ReferenceData!$L$59),"",ReferenceData!$L$59),"")</f>
        <v>87.269499999999994</v>
      </c>
      <c r="M59">
        <f ca="1">IFERROR(IF(0=LEN(ReferenceData!$M$59),"",ReferenceData!$M$59),"")</f>
        <v>86.968999999999994</v>
      </c>
      <c r="N59">
        <f ca="1">IFERROR(IF(0=LEN(ReferenceData!$N$59),"",ReferenceData!$N$59),"")</f>
        <v>84.97999999999999</v>
      </c>
      <c r="O59">
        <f ca="1">IFERROR(IF(0=LEN(ReferenceData!$O$59),"",ReferenceData!$O$59),"")</f>
        <v>85.670500000000004</v>
      </c>
      <c r="P59">
        <f ca="1">IFERROR(IF(0=LEN(ReferenceData!$P$59),"",ReferenceData!$P$59),"")</f>
        <v>87.413499999999999</v>
      </c>
      <c r="Q59">
        <f ca="1">IFERROR(IF(0=LEN(ReferenceData!$Q$59),"",ReferenceData!$Q$59),"")</f>
        <v>87.960499999999996</v>
      </c>
      <c r="R59">
        <f ca="1">IFERROR(IF(0=LEN(ReferenceData!$R$59),"",ReferenceData!$R$59),"")</f>
        <v>84.19</v>
      </c>
      <c r="S59">
        <f ca="1">IFERROR(IF(0=LEN(ReferenceData!$S$59),"",ReferenceData!$S$59),"")</f>
        <v>81.225500000000011</v>
      </c>
      <c r="T59">
        <f ca="1">IFERROR(IF(0=LEN(ReferenceData!$T$59),"",ReferenceData!$T$59),"")</f>
        <v>81.387499999999989</v>
      </c>
      <c r="U59">
        <f ca="1">IFERROR(IF(0=LEN(ReferenceData!$U$59),"",ReferenceData!$U$59),"")</f>
        <v>82.582999999999998</v>
      </c>
      <c r="V59">
        <f ca="1">IFERROR(IF(0=LEN(ReferenceData!$V$59),"",ReferenceData!$V$59),"")</f>
        <v>78.6905</v>
      </c>
      <c r="W59">
        <f ca="1">IFERROR(IF(0=LEN(ReferenceData!$W$59),"",ReferenceData!$W$59),"")</f>
        <v>78.295000000000002</v>
      </c>
      <c r="X59">
        <f ca="1">IFERROR(IF(0=LEN(ReferenceData!$X$59),"",ReferenceData!$X$59),"")</f>
        <v>81.273499999999999</v>
      </c>
      <c r="Y59">
        <f ca="1">IFERROR(IF(0=LEN(ReferenceData!$Y$59),"",ReferenceData!$Y$59),"")</f>
        <v>82.358999999999995</v>
      </c>
      <c r="Z59">
        <f ca="1">IFERROR(IF(0=LEN(ReferenceData!$Z$59),"",ReferenceData!$Z$59),"")</f>
        <v>76.626499999999993</v>
      </c>
      <c r="AA59">
        <f ca="1">IFERROR(IF(0=LEN(ReferenceData!$AA$59),"",ReferenceData!$AA$59),"")</f>
        <v>73.17949999999999</v>
      </c>
      <c r="AB59">
        <f ca="1">IFERROR(IF(0=LEN(ReferenceData!$AB$59),"",ReferenceData!$AB$59),"")</f>
        <v>80.304000000000002</v>
      </c>
      <c r="AC59">
        <f ca="1">IFERROR(IF(0=LEN(ReferenceData!$AC$59),"",ReferenceData!$AC$59),"")</f>
        <v>78.917000000000002</v>
      </c>
      <c r="AD59">
        <f ca="1">IFERROR(IF(0=LEN(ReferenceData!$AD$59),"",ReferenceData!$AD$59),"")</f>
        <v>81.23</v>
      </c>
      <c r="AE59">
        <f ca="1">IFERROR(IF(0=LEN(ReferenceData!$AE$59),"",ReferenceData!$AE$59),"")</f>
        <v>76.085499999999996</v>
      </c>
      <c r="AF59">
        <f ca="1">IFERROR(IF(0=LEN(ReferenceData!$AF$59),"",ReferenceData!$AF$59),"")</f>
        <v>86.126499999999993</v>
      </c>
      <c r="AG59">
        <f ca="1">IFERROR(IF(0=LEN(ReferenceData!$AG$59),"",ReferenceData!$AG$59),"")</f>
        <v>84.014499999999998</v>
      </c>
      <c r="AH59">
        <f ca="1">IFERROR(IF(0=LEN(ReferenceData!$AH$59),"",ReferenceData!$AH$59),"")</f>
        <v>78.688999999999993</v>
      </c>
      <c r="AI59">
        <f ca="1">IFERROR(IF(0=LEN(ReferenceData!$AI$59),"",ReferenceData!$AI$59),"")</f>
        <v>80.516999999999996</v>
      </c>
      <c r="AJ59">
        <f ca="1">IFERROR(IF(0=LEN(ReferenceData!$AJ$59),"",ReferenceData!$AJ$59),"")</f>
        <v>83.954499999999996</v>
      </c>
      <c r="AK59">
        <f ca="1">IFERROR(IF(0=LEN(ReferenceData!$AK$59),"",ReferenceData!$AK$59),"")</f>
        <v>78.488</v>
      </c>
      <c r="AL59">
        <f ca="1">IFERROR(IF(0=LEN(ReferenceData!$AL$59),"",ReferenceData!$AL$59),"")</f>
        <v>80.272999999999996</v>
      </c>
      <c r="AM59">
        <f ca="1">IFERROR(IF(0=LEN(ReferenceData!$AM$59),"",ReferenceData!$AM$59),"")</f>
        <v>87.068999999999988</v>
      </c>
      <c r="AN59">
        <f ca="1">IFERROR(IF(0=LEN(ReferenceData!$AN$59),"",ReferenceData!$AN$59),"")</f>
        <v>82.478000000000009</v>
      </c>
      <c r="AO59">
        <f ca="1">IFERROR(IF(0=LEN(ReferenceData!$AO$59),"",ReferenceData!$AO$59),"")</f>
        <v>81.881</v>
      </c>
      <c r="AP59">
        <f ca="1">IFERROR(IF(0=LEN(ReferenceData!$AP$59),"",ReferenceData!$AP$59),"")</f>
        <v>80.829499999999996</v>
      </c>
      <c r="AQ59">
        <f ca="1">IFERROR(IF(0=LEN(ReferenceData!$AQ$59),"",ReferenceData!$AQ$59),"")</f>
        <v>64.906999999999996</v>
      </c>
      <c r="AR59">
        <f ca="1">IFERROR(IF(0=LEN(ReferenceData!$AR$59),"",ReferenceData!$AR$59),"")</f>
        <v>94.094999999999999</v>
      </c>
      <c r="AS59">
        <f ca="1">IFERROR(IF(0=LEN(ReferenceData!$AS$59),"",ReferenceData!$AS$59),"")</f>
        <v>87.135000000000005</v>
      </c>
      <c r="AT59">
        <f ca="1">IFERROR(IF(0=LEN(ReferenceData!$AT$59),"",ReferenceData!$AT$59),"")</f>
        <v>94.212000000000003</v>
      </c>
      <c r="AU59">
        <f ca="1">IFERROR(IF(0=LEN(ReferenceData!$AU$59),"",ReferenceData!$AU$59),"")</f>
        <v>89.102999999999994</v>
      </c>
      <c r="AV59">
        <f ca="1">IFERROR(IF(0=LEN(ReferenceData!$AV$59),"",ReferenceData!$AV$59),"")</f>
        <v>92.417000000000002</v>
      </c>
      <c r="AW59">
        <f ca="1">IFERROR(IF(0=LEN(ReferenceData!$AW$59),"",ReferenceData!$AW$59),"")</f>
        <v>84.34</v>
      </c>
      <c r="AX59">
        <f ca="1">IFERROR(IF(0=LEN(ReferenceData!$AX$59),"",ReferenceData!$AX$59),"")</f>
        <v>92.093999999999994</v>
      </c>
      <c r="AY59">
        <f ca="1">IFERROR(IF(0=LEN(ReferenceData!$AY$59),"",ReferenceData!$AY$59),"")</f>
        <v>77.442999999999998</v>
      </c>
      <c r="AZ59">
        <f ca="1">IFERROR(IF(0=LEN(ReferenceData!$AZ$59),"",ReferenceData!$AZ$59),"")</f>
        <v>88.823999999999998</v>
      </c>
      <c r="BA59">
        <f ca="1">IFERROR(IF(0=LEN(ReferenceData!$BA$59),"",ReferenceData!$BA$59),"")</f>
        <v>80.356999999999999</v>
      </c>
      <c r="BB59">
        <f ca="1">IFERROR(IF(0=LEN(ReferenceData!$BB$59),"",ReferenceData!$BB$59),"")</f>
        <v>82.78</v>
      </c>
      <c r="BC59">
        <f ca="1">IFERROR(IF(0=LEN(ReferenceData!$BC$59),"",ReferenceData!$BC$59),"")</f>
        <v>51.725000000000001</v>
      </c>
      <c r="BD59">
        <f ca="1">IFERROR(IF(0=LEN(ReferenceData!$BD$59),"",ReferenceData!$BD$59),"")</f>
        <v>60.493000000000002</v>
      </c>
      <c r="BE59">
        <f ca="1">IFERROR(IF(0=LEN(ReferenceData!$BE$59),"",ReferenceData!$BE$59),"")</f>
        <v>65.438999999999993</v>
      </c>
      <c r="BF59">
        <f ca="1">IFERROR(IF(0=LEN(ReferenceData!$BF$59),"",ReferenceData!$BF$59),"")</f>
        <v>66.965999999999994</v>
      </c>
      <c r="BG59">
        <f ca="1">IFERROR(IF(0=LEN(ReferenceData!$BG$59),"",ReferenceData!$BG$59),"")</f>
        <v>56.823999999999998</v>
      </c>
      <c r="BH59">
        <f ca="1">IFERROR(IF(0=LEN(ReferenceData!$BH$59),"",ReferenceData!$BH$59),"")</f>
        <v>60.436</v>
      </c>
      <c r="BI59">
        <f ca="1">IFERROR(IF(0=LEN(ReferenceData!$BI$59),"",ReferenceData!$BI$59),"")</f>
        <v>67.480999999999995</v>
      </c>
      <c r="BJ59">
        <f ca="1">IFERROR(IF(0=LEN(ReferenceData!$BJ$59),"",ReferenceData!$BJ$59),"")</f>
        <v>66.695999999999998</v>
      </c>
      <c r="BK59">
        <f ca="1">IFERROR(IF(0=LEN(ReferenceData!$BK$59),"",ReferenceData!$BK$59),"")</f>
        <v>72.940001010000003</v>
      </c>
      <c r="BL59">
        <f ca="1">IFERROR(IF(0=LEN(ReferenceData!$BL$59),"",ReferenceData!$BL$59),"")</f>
        <v>65.222000600000001</v>
      </c>
      <c r="BM59">
        <f ca="1">IFERROR(IF(0=LEN(ReferenceData!$BM$59),"",ReferenceData!$BM$59),"")</f>
        <v>56.414999010000002</v>
      </c>
    </row>
    <row r="60" spans="1:65">
      <c r="A60" t="str">
        <f>IFERROR(IF(0=LEN(ReferenceData!$A$60),"",ReferenceData!$A$60),"")</f>
        <v xml:space="preserve">    Boston Properties Inc</v>
      </c>
      <c r="B60" t="str">
        <f>IFERROR(IF(0=LEN(ReferenceData!$B$60),"",ReferenceData!$B$60),"")</f>
        <v>BXP US Equity</v>
      </c>
      <c r="C60" t="str">
        <f>IFERROR(IF(0=LEN(ReferenceData!$C$60),"",ReferenceData!$C$60),"")</f>
        <v>RR009</v>
      </c>
      <c r="D60" t="str">
        <f>IFERROR(IF(0=LEN(ReferenceData!$D$60),"",ReferenceData!$D$60),"")</f>
        <v>EBITDA</v>
      </c>
      <c r="E60" t="str">
        <f>IFERROR(IF(0=LEN(ReferenceData!$E$60),"",ReferenceData!$E$60),"")</f>
        <v>动态</v>
      </c>
      <c r="F60" t="str">
        <f ca="1">IFERROR(IF(0=LEN(ReferenceData!$F$60),"",ReferenceData!$F$60),"")</f>
        <v/>
      </c>
      <c r="G60">
        <f ca="1">IFERROR(IF(0=LEN(ReferenceData!$G$60),"",ReferenceData!$G$60),"")</f>
        <v>383.72500000000002</v>
      </c>
      <c r="H60">
        <f ca="1">IFERROR(IF(0=LEN(ReferenceData!$H$60),"",ReferenceData!$H$60),"")</f>
        <v>385.89299999999997</v>
      </c>
      <c r="I60">
        <f ca="1">IFERROR(IF(0=LEN(ReferenceData!$I$60),"",ReferenceData!$I$60),"")</f>
        <v>390.60899999999998</v>
      </c>
      <c r="J60">
        <f ca="1">IFERROR(IF(0=LEN(ReferenceData!$J$60),"",ReferenceData!$J$60),"")</f>
        <v>365.43</v>
      </c>
      <c r="K60">
        <f ca="1">IFERROR(IF(0=LEN(ReferenceData!$K$60),"",ReferenceData!$K$60),"")</f>
        <v>375.858</v>
      </c>
      <c r="L60">
        <f ca="1">IFERROR(IF(0=LEN(ReferenceData!$L$60),"",ReferenceData!$L$60),"")</f>
        <v>361.35300000000001</v>
      </c>
      <c r="M60">
        <f ca="1">IFERROR(IF(0=LEN(ReferenceData!$M$60),"",ReferenceData!$M$60),"")</f>
        <v>371.29899999999998</v>
      </c>
      <c r="N60">
        <f ca="1">IFERROR(IF(0=LEN(ReferenceData!$N$60),"",ReferenceData!$N$60),"")</f>
        <v>409.80099999999999</v>
      </c>
      <c r="O60">
        <f ca="1">IFERROR(IF(0=LEN(ReferenceData!$O$60),"",ReferenceData!$O$60),"")</f>
        <v>374.94</v>
      </c>
      <c r="P60">
        <f ca="1">IFERROR(IF(0=LEN(ReferenceData!$P$60),"",ReferenceData!$P$60),"")</f>
        <v>380.76499999999999</v>
      </c>
      <c r="Q60">
        <f ca="1">IFERROR(IF(0=LEN(ReferenceData!$Q$60),"",ReferenceData!$Q$60),"")</f>
        <v>372.77</v>
      </c>
      <c r="R60">
        <f ca="1">IFERROR(IF(0=LEN(ReferenceData!$R$60),"",ReferenceData!$R$60),"")</f>
        <v>360.43200000000002</v>
      </c>
      <c r="S60">
        <f ca="1">IFERROR(IF(0=LEN(ReferenceData!$S$60),"",ReferenceData!$S$60),"")</f>
        <v>371.279</v>
      </c>
      <c r="T60">
        <f ca="1">IFERROR(IF(0=LEN(ReferenceData!$T$60),"",ReferenceData!$T$60),"")</f>
        <v>372.048</v>
      </c>
      <c r="U60">
        <f ca="1">IFERROR(IF(0=LEN(ReferenceData!$U$60),"",ReferenceData!$U$60),"")</f>
        <v>355.90100000000001</v>
      </c>
      <c r="V60">
        <f ca="1">IFERROR(IF(0=LEN(ReferenceData!$V$60),"",ReferenceData!$V$60),"")</f>
        <v>331.16699999999997</v>
      </c>
      <c r="W60">
        <f ca="1">IFERROR(IF(0=LEN(ReferenceData!$W$60),"",ReferenceData!$W$60),"")</f>
        <v>350.40100000000001</v>
      </c>
      <c r="X60">
        <f ca="1">IFERROR(IF(0=LEN(ReferenceData!$X$60),"",ReferenceData!$X$60),"")</f>
        <v>340.94600000000003</v>
      </c>
      <c r="Y60">
        <f ca="1">IFERROR(IF(0=LEN(ReferenceData!$Y$60),"",ReferenceData!$Y$60),"")</f>
        <v>302.97699999999998</v>
      </c>
      <c r="Z60">
        <f ca="1">IFERROR(IF(0=LEN(ReferenceData!$Z$60),"",ReferenceData!$Z$60),"")</f>
        <v>249.19300000000001</v>
      </c>
      <c r="AA60">
        <f ca="1">IFERROR(IF(0=LEN(ReferenceData!$AA$60),"",ReferenceData!$AA$60),"")</f>
        <v>288.40499999999997</v>
      </c>
      <c r="AB60">
        <f ca="1">IFERROR(IF(0=LEN(ReferenceData!$AB$60),"",ReferenceData!$AB$60),"")</f>
        <v>274.18200000000002</v>
      </c>
      <c r="AC60">
        <f ca="1">IFERROR(IF(0=LEN(ReferenceData!$AC$60),"",ReferenceData!$AC$60),"")</f>
        <v>285.39400000000001</v>
      </c>
      <c r="AD60">
        <f ca="1">IFERROR(IF(0=LEN(ReferenceData!$AD$60),"",ReferenceData!$AD$60),"")</f>
        <v>253.43199999999999</v>
      </c>
      <c r="AE60">
        <f ca="1">IFERROR(IF(0=LEN(ReferenceData!$AE$60),"",ReferenceData!$AE$60),"")</f>
        <v>270.71899999999999</v>
      </c>
      <c r="AF60">
        <f ca="1">IFERROR(IF(0=LEN(ReferenceData!$AF$60),"",ReferenceData!$AF$60),"")</f>
        <v>273.32499999999999</v>
      </c>
      <c r="AG60">
        <f ca="1">IFERROR(IF(0=LEN(ReferenceData!$AG$60),"",ReferenceData!$AG$60),"")</f>
        <v>264.69200000000001</v>
      </c>
      <c r="AH60">
        <f ca="1">IFERROR(IF(0=LEN(ReferenceData!$AH$60),"",ReferenceData!$AH$60),"")</f>
        <v>247.321</v>
      </c>
      <c r="AI60">
        <f ca="1">IFERROR(IF(0=LEN(ReferenceData!$AI$60),"",ReferenceData!$AI$60),"")</f>
        <v>241.654</v>
      </c>
      <c r="AJ60">
        <f ca="1">IFERROR(IF(0=LEN(ReferenceData!$AJ$60),"",ReferenceData!$AJ$60),"")</f>
        <v>234.029</v>
      </c>
      <c r="AK60">
        <f ca="1">IFERROR(IF(0=LEN(ReferenceData!$AK$60),"",ReferenceData!$AK$60),"")</f>
        <v>248.93700000000001</v>
      </c>
      <c r="AL60">
        <f ca="1">IFERROR(IF(0=LEN(ReferenceData!$AL$60),"",ReferenceData!$AL$60),"")</f>
        <v>220.99600000000001</v>
      </c>
      <c r="AM60">
        <f ca="1">IFERROR(IF(0=LEN(ReferenceData!$AM$60),"",ReferenceData!$AM$60),"")</f>
        <v>226.501</v>
      </c>
      <c r="AN60">
        <f ca="1">IFERROR(IF(0=LEN(ReferenceData!$AN$60),"",ReferenceData!$AN$60),"")</f>
        <v>222.876</v>
      </c>
      <c r="AO60">
        <f ca="1">IFERROR(IF(0=LEN(ReferenceData!$AO$60),"",ReferenceData!$AO$60),"")</f>
        <v>240.869</v>
      </c>
      <c r="AP60">
        <f ca="1">IFERROR(IF(0=LEN(ReferenceData!$AP$60),"",ReferenceData!$AP$60),"")</f>
        <v>203.02500000000001</v>
      </c>
      <c r="AQ60">
        <f ca="1">IFERROR(IF(0=LEN(ReferenceData!$AQ$60),"",ReferenceData!$AQ$60),"")</f>
        <v>241.423</v>
      </c>
      <c r="AR60">
        <f ca="1">IFERROR(IF(0=LEN(ReferenceData!$AR$60),"",ReferenceData!$AR$60),"")</f>
        <v>205.197</v>
      </c>
      <c r="AS60">
        <f ca="1">IFERROR(IF(0=LEN(ReferenceData!$AS$60),"",ReferenceData!$AS$60),"")</f>
        <v>225.661</v>
      </c>
      <c r="AT60">
        <f ca="1">IFERROR(IF(0=LEN(ReferenceData!$AT$60),"",ReferenceData!$AT$60),"")</f>
        <v>228.214</v>
      </c>
      <c r="AU60">
        <f ca="1">IFERROR(IF(0=LEN(ReferenceData!$AU$60),"",ReferenceData!$AU$60),"")</f>
        <v>238.90600000000001</v>
      </c>
      <c r="AV60">
        <f ca="1">IFERROR(IF(0=LEN(ReferenceData!$AV$60),"",ReferenceData!$AV$60),"")</f>
        <v>229.31399999999999</v>
      </c>
      <c r="AW60">
        <f ca="1">IFERROR(IF(0=LEN(ReferenceData!$AW$60),"",ReferenceData!$AW$60),"")</f>
        <v>237.20699999999999</v>
      </c>
      <c r="AX60">
        <f ca="1">IFERROR(IF(0=LEN(ReferenceData!$AX$60),"",ReferenceData!$AX$60),"")</f>
        <v>226.32400000000001</v>
      </c>
      <c r="AY60">
        <f ca="1">IFERROR(IF(0=LEN(ReferenceData!$AY$60),"",ReferenceData!$AY$60),"")</f>
        <v>227.20599999999999</v>
      </c>
      <c r="AZ60">
        <f ca="1">IFERROR(IF(0=LEN(ReferenceData!$AZ$60),"",ReferenceData!$AZ$60),"")</f>
        <v>230.233</v>
      </c>
      <c r="BA60">
        <f ca="1">IFERROR(IF(0=LEN(ReferenceData!$BA$60),"",ReferenceData!$BA$60),"")</f>
        <v>227.70400000000001</v>
      </c>
      <c r="BB60">
        <f ca="1">IFERROR(IF(0=LEN(ReferenceData!$BB$60),"",ReferenceData!$BB$60),"")</f>
        <v>216.63499999999999</v>
      </c>
      <c r="BC60">
        <f ca="1">IFERROR(IF(0=LEN(ReferenceData!$BC$60),"",ReferenceData!$BC$60),"")</f>
        <v>224.851</v>
      </c>
      <c r="BD60">
        <f ca="1">IFERROR(IF(0=LEN(ReferenceData!$BD$60),"",ReferenceData!$BD$60),"")</f>
        <v>222.642</v>
      </c>
      <c r="BE60">
        <f ca="1">IFERROR(IF(0=LEN(ReferenceData!$BE$60),"",ReferenceData!$BE$60),"")</f>
        <v>224.92599999999999</v>
      </c>
      <c r="BF60">
        <f ca="1">IFERROR(IF(0=LEN(ReferenceData!$BF$60),"",ReferenceData!$BF$60),"")</f>
        <v>220.53299999999999</v>
      </c>
      <c r="BG60">
        <f ca="1">IFERROR(IF(0=LEN(ReferenceData!$BG$60),"",ReferenceData!$BG$60),"")</f>
        <v>222.55500000000001</v>
      </c>
      <c r="BH60">
        <f ca="1">IFERROR(IF(0=LEN(ReferenceData!$BH$60),"",ReferenceData!$BH$60),"")</f>
        <v>224.75200000000001</v>
      </c>
      <c r="BI60">
        <f ca="1">IFERROR(IF(0=LEN(ReferenceData!$BI$60),"",ReferenceData!$BI$60),"")</f>
        <v>217.51600099999999</v>
      </c>
      <c r="BJ60">
        <f ca="1">IFERROR(IF(0=LEN(ReferenceData!$BJ$60),"",ReferenceData!$BJ$60),"")</f>
        <v>208.659999</v>
      </c>
      <c r="BK60">
        <f ca="1">IFERROR(IF(0=LEN(ReferenceData!$BK$60),"",ReferenceData!$BK$60),"")</f>
        <v>208.41699600000001</v>
      </c>
      <c r="BL60">
        <f ca="1">IFERROR(IF(0=LEN(ReferenceData!$BL$60),"",ReferenceData!$BL$60),"")</f>
        <v>198.53500399999999</v>
      </c>
      <c r="BM60">
        <f ca="1">IFERROR(IF(0=LEN(ReferenceData!$BM$60),"",ReferenceData!$BM$60),"")</f>
        <v>127.791</v>
      </c>
    </row>
    <row r="61" spans="1:65">
      <c r="A61" t="str">
        <f>IFERROR(IF(0=LEN(ReferenceData!$A$61),"",ReferenceData!$A$61),"")</f>
        <v xml:space="preserve">    Brandywine Realty Trust</v>
      </c>
      <c r="B61" t="str">
        <f>IFERROR(IF(0=LEN(ReferenceData!$B$61),"",ReferenceData!$B$61),"")</f>
        <v>BDN US Equity</v>
      </c>
      <c r="C61" t="str">
        <f>IFERROR(IF(0=LEN(ReferenceData!$C$61),"",ReferenceData!$C$61),"")</f>
        <v>RR009</v>
      </c>
      <c r="D61" t="str">
        <f>IFERROR(IF(0=LEN(ReferenceData!$D$61),"",ReferenceData!$D$61),"")</f>
        <v>EBITDA</v>
      </c>
      <c r="E61" t="str">
        <f>IFERROR(IF(0=LEN(ReferenceData!$E$61),"",ReferenceData!$E$61),"")</f>
        <v>动态</v>
      </c>
      <c r="F61" t="str">
        <f ca="1">IFERROR(IF(0=LEN(ReferenceData!$F$61),"",ReferenceData!$F$61),"")</f>
        <v/>
      </c>
      <c r="G61">
        <f ca="1">IFERROR(IF(0=LEN(ReferenceData!$G$61),"",ReferenceData!$G$61),"")</f>
        <v>72.212999999999994</v>
      </c>
      <c r="H61">
        <f ca="1">IFERROR(IF(0=LEN(ReferenceData!$H$61),"",ReferenceData!$H$61),"")</f>
        <v>71.412000000000006</v>
      </c>
      <c r="I61">
        <f ca="1">IFERROR(IF(0=LEN(ReferenceData!$I$61),"",ReferenceData!$I$61),"")</f>
        <v>70.096000000000004</v>
      </c>
      <c r="J61">
        <f ca="1">IFERROR(IF(0=LEN(ReferenceData!$J$61),"",ReferenceData!$J$61),"")</f>
        <v>66.346000000000004</v>
      </c>
      <c r="K61">
        <f ca="1">IFERROR(IF(0=LEN(ReferenceData!$K$61),"",ReferenceData!$K$61),"")</f>
        <v>44.179000000000002</v>
      </c>
      <c r="L61">
        <f ca="1">IFERROR(IF(0=LEN(ReferenceData!$L$61),"",ReferenceData!$L$61),"")</f>
        <v>71.356999999999999</v>
      </c>
      <c r="M61">
        <f ca="1">IFERROR(IF(0=LEN(ReferenceData!$M$61),"",ReferenceData!$M$61),"")</f>
        <v>63.851999999999997</v>
      </c>
      <c r="N61">
        <f ca="1">IFERROR(IF(0=LEN(ReferenceData!$N$61),"",ReferenceData!$N$61),"")</f>
        <v>62.984999999999999</v>
      </c>
      <c r="O61">
        <f ca="1">IFERROR(IF(0=LEN(ReferenceData!$O$61),"",ReferenceData!$O$61),"")</f>
        <v>2.8210000000000002</v>
      </c>
      <c r="P61">
        <f ca="1">IFERROR(IF(0=LEN(ReferenceData!$P$61),"",ReferenceData!$P$61),"")</f>
        <v>83.71</v>
      </c>
      <c r="Q61">
        <f ca="1">IFERROR(IF(0=LEN(ReferenceData!$Q$61),"",ReferenceData!$Q$61),"")</f>
        <v>81.165000000000006</v>
      </c>
      <c r="R61">
        <f ca="1">IFERROR(IF(0=LEN(ReferenceData!$R$61),"",ReferenceData!$R$61),"")</f>
        <v>78.055999999999997</v>
      </c>
      <c r="S61">
        <f ca="1">IFERROR(IF(0=LEN(ReferenceData!$S$61),"",ReferenceData!$S$61),"")</f>
        <v>77.271000000000001</v>
      </c>
      <c r="T61">
        <f ca="1">IFERROR(IF(0=LEN(ReferenceData!$T$61),"",ReferenceData!$T$61),"")</f>
        <v>81.918999999999997</v>
      </c>
      <c r="U61">
        <f ca="1">IFERROR(IF(0=LEN(ReferenceData!$U$61),"",ReferenceData!$U$61),"")</f>
        <v>85.046999999999997</v>
      </c>
      <c r="V61">
        <f ca="1">IFERROR(IF(0=LEN(ReferenceData!$V$61),"",ReferenceData!$V$61),"")</f>
        <v>80.001999999999995</v>
      </c>
      <c r="W61">
        <f ca="1">IFERROR(IF(0=LEN(ReferenceData!$W$61),"",ReferenceData!$W$61),"")</f>
        <v>68.385000000000005</v>
      </c>
      <c r="X61">
        <f ca="1">IFERROR(IF(0=LEN(ReferenceData!$X$61),"",ReferenceData!$X$61),"")</f>
        <v>79.003</v>
      </c>
      <c r="Y61">
        <f ca="1">IFERROR(IF(0=LEN(ReferenceData!$Y$61),"",ReferenceData!$Y$61),"")</f>
        <v>77.463999999999999</v>
      </c>
      <c r="Z61">
        <f ca="1">IFERROR(IF(0=LEN(ReferenceData!$Z$61),"",ReferenceData!$Z$61),"")</f>
        <v>76.991</v>
      </c>
      <c r="AA61">
        <f ca="1">IFERROR(IF(0=LEN(ReferenceData!$AA$61),"",ReferenceData!$AA$61),"")</f>
        <v>-73.111999999999995</v>
      </c>
      <c r="AB61">
        <f ca="1">IFERROR(IF(0=LEN(ReferenceData!$AB$61),"",ReferenceData!$AB$61),"")</f>
        <v>75.11</v>
      </c>
      <c r="AC61">
        <f ca="1">IFERROR(IF(0=LEN(ReferenceData!$AC$61),"",ReferenceData!$AC$61),"")</f>
        <v>75.781000000000006</v>
      </c>
      <c r="AD61">
        <f ca="1">IFERROR(IF(0=LEN(ReferenceData!$AD$61),"",ReferenceData!$AD$61),"")</f>
        <v>77.533000000000001</v>
      </c>
      <c r="AE61">
        <f ca="1">IFERROR(IF(0=LEN(ReferenceData!$AE$61),"",ReferenceData!$AE$61),"")</f>
        <v>78.02</v>
      </c>
      <c r="AF61">
        <f ca="1">IFERROR(IF(0=LEN(ReferenceData!$AF$61),"",ReferenceData!$AF$61),"")</f>
        <v>78.774000000000001</v>
      </c>
      <c r="AG61">
        <f ca="1">IFERROR(IF(0=LEN(ReferenceData!$AG$61),"",ReferenceData!$AG$61),"")</f>
        <v>79.897999999999996</v>
      </c>
      <c r="AH61">
        <f ca="1">IFERROR(IF(0=LEN(ReferenceData!$AH$61),"",ReferenceData!$AH$61),"")</f>
        <v>77.772000000000006</v>
      </c>
      <c r="AI61">
        <f ca="1">IFERROR(IF(0=LEN(ReferenceData!$AI$61),"",ReferenceData!$AI$61),"")</f>
        <v>79.644000000000005</v>
      </c>
      <c r="AJ61">
        <f ca="1">IFERROR(IF(0=LEN(ReferenceData!$AJ$61),"",ReferenceData!$AJ$61),"")</f>
        <v>78.263999999999996</v>
      </c>
      <c r="AK61">
        <f ca="1">IFERROR(IF(0=LEN(ReferenceData!$AK$61),"",ReferenceData!$AK$61),"")</f>
        <v>73.728999999999999</v>
      </c>
      <c r="AL61">
        <f ca="1">IFERROR(IF(0=LEN(ReferenceData!$AL$61),"",ReferenceData!$AL$61),"")</f>
        <v>75.570999999999998</v>
      </c>
      <c r="AM61">
        <f ca="1">IFERROR(IF(0=LEN(ReferenceData!$AM$61),"",ReferenceData!$AM$61),"")</f>
        <v>67.945999999999998</v>
      </c>
      <c r="AN61">
        <f ca="1">IFERROR(IF(0=LEN(ReferenceData!$AN$61),"",ReferenceData!$AN$61),"")</f>
        <v>76.305999999999997</v>
      </c>
      <c r="AO61">
        <f ca="1">IFERROR(IF(0=LEN(ReferenceData!$AO$61),"",ReferenceData!$AO$61),"")</f>
        <v>79.239999999999995</v>
      </c>
      <c r="AP61">
        <f ca="1">IFERROR(IF(0=LEN(ReferenceData!$AP$61),"",ReferenceData!$AP$61),"")</f>
        <v>76.58</v>
      </c>
      <c r="AQ61">
        <f ca="1">IFERROR(IF(0=LEN(ReferenceData!$AQ$61),"",ReferenceData!$AQ$61),"")</f>
        <v>64.906999999999996</v>
      </c>
      <c r="AR61">
        <f ca="1">IFERROR(IF(0=LEN(ReferenceData!$AR$61),"",ReferenceData!$AR$61),"")</f>
        <v>78.766999999999996</v>
      </c>
      <c r="AS61">
        <f ca="1">IFERROR(IF(0=LEN(ReferenceData!$AS$61),"",ReferenceData!$AS$61),"")</f>
        <v>86.801000000000002</v>
      </c>
      <c r="AT61">
        <f ca="1">IFERROR(IF(0=LEN(ReferenceData!$AT$61),"",ReferenceData!$AT$61),"")</f>
        <v>86.87</v>
      </c>
      <c r="AU61">
        <f ca="1">IFERROR(IF(0=LEN(ReferenceData!$AU$61),"",ReferenceData!$AU$61),"")</f>
        <v>89.025000000000006</v>
      </c>
      <c r="AV61">
        <f ca="1">IFERROR(IF(0=LEN(ReferenceData!$AV$61),"",ReferenceData!$AV$61),"")</f>
        <v>92.417000000000002</v>
      </c>
      <c r="AW61">
        <f ca="1">IFERROR(IF(0=LEN(ReferenceData!$AW$61),"",ReferenceData!$AW$61),"")</f>
        <v>84.34</v>
      </c>
      <c r="AX61">
        <f ca="1">IFERROR(IF(0=LEN(ReferenceData!$AX$61),"",ReferenceData!$AX$61),"")</f>
        <v>92.093999999999994</v>
      </c>
      <c r="AY61">
        <f ca="1">IFERROR(IF(0=LEN(ReferenceData!$AY$61),"",ReferenceData!$AY$61),"")</f>
        <v>97.727000000000004</v>
      </c>
      <c r="AZ61">
        <f ca="1">IFERROR(IF(0=LEN(ReferenceData!$AZ$61),"",ReferenceData!$AZ$61),"")</f>
        <v>99.471999999999994</v>
      </c>
      <c r="BA61">
        <f ca="1">IFERROR(IF(0=LEN(ReferenceData!$BA$61),"",ReferenceData!$BA$61),"")</f>
        <v>94.138999999999996</v>
      </c>
      <c r="BB61">
        <f ca="1">IFERROR(IF(0=LEN(ReferenceData!$BB$61),"",ReferenceData!$BB$61),"")</f>
        <v>87.631</v>
      </c>
      <c r="BC61">
        <f ca="1">IFERROR(IF(0=LEN(ReferenceData!$BC$61),"",ReferenceData!$BC$61),"")</f>
        <v>26.623000000000001</v>
      </c>
      <c r="BD61">
        <f ca="1">IFERROR(IF(0=LEN(ReferenceData!$BD$61),"",ReferenceData!$BD$61),"")</f>
        <v>53.426000000000002</v>
      </c>
      <c r="BE61">
        <f ca="1">IFERROR(IF(0=LEN(ReferenceData!$BE$61),"",ReferenceData!$BE$61),"")</f>
        <v>52.616</v>
      </c>
      <c r="BF61">
        <f ca="1">IFERROR(IF(0=LEN(ReferenceData!$BF$61),"",ReferenceData!$BF$61),"")</f>
        <v>53.652000000000001</v>
      </c>
      <c r="BG61">
        <f ca="1">IFERROR(IF(0=LEN(ReferenceData!$BG$61),"",ReferenceData!$BG$61),"")</f>
        <v>56.823999999999998</v>
      </c>
      <c r="BH61">
        <f ca="1">IFERROR(IF(0=LEN(ReferenceData!$BH$61),"",ReferenceData!$BH$61),"")</f>
        <v>15.515000000000001</v>
      </c>
      <c r="BI61">
        <f ca="1">IFERROR(IF(0=LEN(ReferenceData!$BI$61),"",ReferenceData!$BI$61),"")</f>
        <v>45.2</v>
      </c>
      <c r="BJ61">
        <f ca="1">IFERROR(IF(0=LEN(ReferenceData!$BJ$61),"",ReferenceData!$BJ$61),"")</f>
        <v>39.170999999999999</v>
      </c>
      <c r="BK61" t="str">
        <f ca="1">IFERROR(IF(0=LEN(ReferenceData!$BK$61),"",ReferenceData!$BK$61),"")</f>
        <v/>
      </c>
      <c r="BL61">
        <f ca="1">IFERROR(IF(0=LEN(ReferenceData!$BL$61),"",ReferenceData!$BL$61),"")</f>
        <v>45.283000000000001</v>
      </c>
      <c r="BM61">
        <f ca="1">IFERROR(IF(0=LEN(ReferenceData!$BM$61),"",ReferenceData!$BM$61),"")</f>
        <v>43.323</v>
      </c>
    </row>
    <row r="62" spans="1:65">
      <c r="A62" t="str">
        <f>IFERROR(IF(0=LEN(ReferenceData!$A$62),"",ReferenceData!$A$62),"")</f>
        <v xml:space="preserve">    Columbia Property Trust Inc</v>
      </c>
      <c r="B62" t="str">
        <f>IFERROR(IF(0=LEN(ReferenceData!$B$62),"",ReferenceData!$B$62),"")</f>
        <v>CXP US Equity</v>
      </c>
      <c r="C62" t="str">
        <f>IFERROR(IF(0=LEN(ReferenceData!$C$62),"",ReferenceData!$C$62),"")</f>
        <v>RR009</v>
      </c>
      <c r="D62" t="str">
        <f>IFERROR(IF(0=LEN(ReferenceData!$D$62),"",ReferenceData!$D$62),"")</f>
        <v>EBITDA</v>
      </c>
      <c r="E62" t="str">
        <f>IFERROR(IF(0=LEN(ReferenceData!$E$62),"",ReferenceData!$E$62),"")</f>
        <v>动态</v>
      </c>
      <c r="F62" t="str">
        <f ca="1">IFERROR(IF(0=LEN(ReferenceData!$F$62),"",ReferenceData!$F$62),"")</f>
        <v/>
      </c>
      <c r="G62">
        <f ca="1">IFERROR(IF(0=LEN(ReferenceData!$G$62),"",ReferenceData!$G$62),"")</f>
        <v>37.320999999999998</v>
      </c>
      <c r="H62">
        <f ca="1">IFERROR(IF(0=LEN(ReferenceData!$H$62),"",ReferenceData!$H$62),"")</f>
        <v>34.316000000000003</v>
      </c>
      <c r="I62">
        <f ca="1">IFERROR(IF(0=LEN(ReferenceData!$I$62),"",ReferenceData!$I$62),"")</f>
        <v>43.284999999999997</v>
      </c>
      <c r="J62">
        <f ca="1">IFERROR(IF(0=LEN(ReferenceData!$J$62),"",ReferenceData!$J$62),"")</f>
        <v>46.35</v>
      </c>
      <c r="K62">
        <f ca="1">IFERROR(IF(0=LEN(ReferenceData!$K$62),"",ReferenceData!$K$62),"")</f>
        <v>57.978999999999999</v>
      </c>
      <c r="L62">
        <f ca="1">IFERROR(IF(0=LEN(ReferenceData!$L$62),"",ReferenceData!$L$62),"")</f>
        <v>60.683999999999997</v>
      </c>
      <c r="M62">
        <f ca="1">IFERROR(IF(0=LEN(ReferenceData!$M$62),"",ReferenceData!$M$62),"")</f>
        <v>72.92</v>
      </c>
      <c r="N62">
        <f ca="1">IFERROR(IF(0=LEN(ReferenceData!$N$62),"",ReferenceData!$N$62),"")</f>
        <v>68.77</v>
      </c>
      <c r="O62">
        <f ca="1">IFERROR(IF(0=LEN(ReferenceData!$O$62),"",ReferenceData!$O$62),"")</f>
        <v>74.448999999999998</v>
      </c>
      <c r="P62">
        <f ca="1">IFERROR(IF(0=LEN(ReferenceData!$P$62),"",ReferenceData!$P$62),"")</f>
        <v>74.5</v>
      </c>
      <c r="Q62">
        <f ca="1">IFERROR(IF(0=LEN(ReferenceData!$Q$62),"",ReferenceData!$Q$62),"")</f>
        <v>85.100999999999999</v>
      </c>
      <c r="R62">
        <f ca="1">IFERROR(IF(0=LEN(ReferenceData!$R$62),"",ReferenceData!$R$62),"")</f>
        <v>80.02</v>
      </c>
      <c r="S62">
        <f ca="1">IFERROR(IF(0=LEN(ReferenceData!$S$62),"",ReferenceData!$S$62),"")</f>
        <v>66.816999999999993</v>
      </c>
      <c r="T62">
        <f ca="1">IFERROR(IF(0=LEN(ReferenceData!$T$62),"",ReferenceData!$T$62),"")</f>
        <v>73.352999999999994</v>
      </c>
      <c r="U62">
        <f ca="1">IFERROR(IF(0=LEN(ReferenceData!$U$62),"",ReferenceData!$U$62),"")</f>
        <v>75.691000000000003</v>
      </c>
      <c r="V62">
        <f ca="1">IFERROR(IF(0=LEN(ReferenceData!$V$62),"",ReferenceData!$V$62),"")</f>
        <v>64.986000000000004</v>
      </c>
      <c r="W62">
        <f ca="1">IFERROR(IF(0=LEN(ReferenceData!$W$62),"",ReferenceData!$W$62),"")</f>
        <v>78.091999999999999</v>
      </c>
      <c r="X62">
        <f ca="1">IFERROR(IF(0=LEN(ReferenceData!$X$62),"",ReferenceData!$X$62),"")</f>
        <v>84.817999999999998</v>
      </c>
      <c r="Y62">
        <f ca="1">IFERROR(IF(0=LEN(ReferenceData!$Y$62),"",ReferenceData!$Y$62),"")</f>
        <v>85.962999999999994</v>
      </c>
      <c r="Z62">
        <f ca="1">IFERROR(IF(0=LEN(ReferenceData!$Z$62),"",ReferenceData!$Z$62),"")</f>
        <v>50.165999999999997</v>
      </c>
      <c r="AA62">
        <f ca="1">IFERROR(IF(0=LEN(ReferenceData!$AA$62),"",ReferenceData!$AA$62),"")</f>
        <v>72.911000000000001</v>
      </c>
      <c r="AB62">
        <f ca="1">IFERROR(IF(0=LEN(ReferenceData!$AB$62),"",ReferenceData!$AB$62),"")</f>
        <v>83.114999999999995</v>
      </c>
      <c r="AC62">
        <f ca="1">IFERROR(IF(0=LEN(ReferenceData!$AC$62),"",ReferenceData!$AC$62),"")</f>
        <v>82.052999999999997</v>
      </c>
      <c r="AD62">
        <f ca="1">IFERROR(IF(0=LEN(ReferenceData!$AD$62),"",ReferenceData!$AD$62),"")</f>
        <v>84.927000000000007</v>
      </c>
      <c r="AE62">
        <f ca="1">IFERROR(IF(0=LEN(ReferenceData!$AE$62),"",ReferenceData!$AE$62),"")</f>
        <v>59.994999999999997</v>
      </c>
      <c r="AF62">
        <f ca="1">IFERROR(IF(0=LEN(ReferenceData!$AF$62),"",ReferenceData!$AF$62),"")</f>
        <v>92.054000000000002</v>
      </c>
      <c r="AG62">
        <f ca="1">IFERROR(IF(0=LEN(ReferenceData!$AG$62),"",ReferenceData!$AG$62),"")</f>
        <v>88.131</v>
      </c>
      <c r="AH62">
        <f ca="1">IFERROR(IF(0=LEN(ReferenceData!$AH$62),"",ReferenceData!$AH$62),"")</f>
        <v>74.647999999999996</v>
      </c>
      <c r="AI62">
        <f ca="1">IFERROR(IF(0=LEN(ReferenceData!$AI$62),"",ReferenceData!$AI$62),"")</f>
        <v>81.39</v>
      </c>
      <c r="AJ62">
        <f ca="1">IFERROR(IF(0=LEN(ReferenceData!$AJ$62),"",ReferenceData!$AJ$62),"")</f>
        <v>82.299000000000007</v>
      </c>
      <c r="AK62">
        <f ca="1">IFERROR(IF(0=LEN(ReferenceData!$AK$62),"",ReferenceData!$AK$62),"")</f>
        <v>75.774000000000001</v>
      </c>
      <c r="AL62">
        <f ca="1">IFERROR(IF(0=LEN(ReferenceData!$AL$62),"",ReferenceData!$AL$62),"")</f>
        <v>73.671999999999997</v>
      </c>
      <c r="AM62">
        <f ca="1">IFERROR(IF(0=LEN(ReferenceData!$AM$62),"",ReferenceData!$AM$62),"")</f>
        <v>88.35</v>
      </c>
      <c r="AN62">
        <f ca="1">IFERROR(IF(0=LEN(ReferenceData!$AN$62),"",ReferenceData!$AN$62),"")</f>
        <v>74.906999999999996</v>
      </c>
      <c r="AO62">
        <f ca="1">IFERROR(IF(0=LEN(ReferenceData!$AO$62),"",ReferenceData!$AO$62),"")</f>
        <v>72.355000000000004</v>
      </c>
      <c r="AP62">
        <f ca="1">IFERROR(IF(0=LEN(ReferenceData!$AP$62),"",ReferenceData!$AP$62),"")</f>
        <v>67.503</v>
      </c>
      <c r="AQ62" t="str">
        <f ca="1">IFERROR(IF(0=LEN(ReferenceData!$AQ$62),"",ReferenceData!$AQ$62),"")</f>
        <v/>
      </c>
      <c r="AR62" t="str">
        <f ca="1">IFERROR(IF(0=LEN(ReferenceData!$AR$62),"",ReferenceData!$AR$62),"")</f>
        <v/>
      </c>
      <c r="AS62" t="str">
        <f ca="1">IFERROR(IF(0=LEN(ReferenceData!$AS$62),"",ReferenceData!$AS$62),"")</f>
        <v/>
      </c>
      <c r="AT62" t="str">
        <f ca="1">IFERROR(IF(0=LEN(ReferenceData!$AT$62),"",ReferenceData!$AT$62),"")</f>
        <v/>
      </c>
      <c r="AU62" t="str">
        <f ca="1">IFERROR(IF(0=LEN(ReferenceData!$AU$62),"",ReferenceData!$AU$62),"")</f>
        <v/>
      </c>
      <c r="AV62" t="str">
        <f ca="1">IFERROR(IF(0=LEN(ReferenceData!$AV$62),"",ReferenceData!$AV$62),"")</f>
        <v/>
      </c>
      <c r="AW62" t="str">
        <f ca="1">IFERROR(IF(0=LEN(ReferenceData!$AW$62),"",ReferenceData!$AW$62),"")</f>
        <v/>
      </c>
      <c r="AX62" t="str">
        <f ca="1">IFERROR(IF(0=LEN(ReferenceData!$AX$62),"",ReferenceData!$AX$62),"")</f>
        <v/>
      </c>
      <c r="AY62" t="str">
        <f ca="1">IFERROR(IF(0=LEN(ReferenceData!$AY$62),"",ReferenceData!$AY$62),"")</f>
        <v/>
      </c>
      <c r="AZ62" t="str">
        <f ca="1">IFERROR(IF(0=LEN(ReferenceData!$AZ$62),"",ReferenceData!$AZ$62),"")</f>
        <v/>
      </c>
      <c r="BA62" t="str">
        <f ca="1">IFERROR(IF(0=LEN(ReferenceData!$BA$62),"",ReferenceData!$BA$62),"")</f>
        <v/>
      </c>
      <c r="BB62" t="str">
        <f ca="1">IFERROR(IF(0=LEN(ReferenceData!$BB$62),"",ReferenceData!$BB$62),"")</f>
        <v/>
      </c>
      <c r="BC62" t="str">
        <f ca="1">IFERROR(IF(0=LEN(ReferenceData!$BC$62),"",ReferenceData!$BC$62),"")</f>
        <v/>
      </c>
      <c r="BD62" t="str">
        <f ca="1">IFERROR(IF(0=LEN(ReferenceData!$BD$62),"",ReferenceData!$BD$62),"")</f>
        <v/>
      </c>
      <c r="BE62" t="str">
        <f ca="1">IFERROR(IF(0=LEN(ReferenceData!$BE$62),"",ReferenceData!$BE$62),"")</f>
        <v/>
      </c>
      <c r="BF62" t="str">
        <f ca="1">IFERROR(IF(0=LEN(ReferenceData!$BF$62),"",ReferenceData!$BF$62),"")</f>
        <v/>
      </c>
      <c r="BG62" t="str">
        <f ca="1">IFERROR(IF(0=LEN(ReferenceData!$BG$62),"",ReferenceData!$BG$62),"")</f>
        <v/>
      </c>
      <c r="BH62" t="str">
        <f ca="1">IFERROR(IF(0=LEN(ReferenceData!$BH$62),"",ReferenceData!$BH$62),"")</f>
        <v/>
      </c>
      <c r="BI62" t="str">
        <f ca="1">IFERROR(IF(0=LEN(ReferenceData!$BI$62),"",ReferenceData!$BI$62),"")</f>
        <v/>
      </c>
      <c r="BJ62" t="str">
        <f ca="1">IFERROR(IF(0=LEN(ReferenceData!$BJ$62),"",ReferenceData!$BJ$62),"")</f>
        <v/>
      </c>
      <c r="BK62" t="str">
        <f ca="1">IFERROR(IF(0=LEN(ReferenceData!$BK$62),"",ReferenceData!$BK$62),"")</f>
        <v/>
      </c>
      <c r="BL62" t="str">
        <f ca="1">IFERROR(IF(0=LEN(ReferenceData!$BL$62),"",ReferenceData!$BL$62),"")</f>
        <v/>
      </c>
      <c r="BM62" t="str">
        <f ca="1">IFERROR(IF(0=LEN(ReferenceData!$BM$62),"",ReferenceData!$BM$62),"")</f>
        <v/>
      </c>
    </row>
    <row r="63" spans="1:65">
      <c r="A63" t="str">
        <f>IFERROR(IF(0=LEN(ReferenceData!$A$63),"",ReferenceData!$A$63),"")</f>
        <v xml:space="preserve">    Corporate Office Properties Tr</v>
      </c>
      <c r="B63" t="str">
        <f>IFERROR(IF(0=LEN(ReferenceData!$B$63),"",ReferenceData!$B$63),"")</f>
        <v>OFC US Equity</v>
      </c>
      <c r="C63" t="str">
        <f>IFERROR(IF(0=LEN(ReferenceData!$C$63),"",ReferenceData!$C$63),"")</f>
        <v>RR009</v>
      </c>
      <c r="D63" t="str">
        <f>IFERROR(IF(0=LEN(ReferenceData!$D$63),"",ReferenceData!$D$63),"")</f>
        <v>EBITDA</v>
      </c>
      <c r="E63" t="str">
        <f>IFERROR(IF(0=LEN(ReferenceData!$E$63),"",ReferenceData!$E$63),"")</f>
        <v>动态</v>
      </c>
      <c r="F63" t="str">
        <f ca="1">IFERROR(IF(0=LEN(ReferenceData!$F$63),"",ReferenceData!$F$63),"")</f>
        <v/>
      </c>
      <c r="G63">
        <f ca="1">IFERROR(IF(0=LEN(ReferenceData!$G$63),"",ReferenceData!$G$63),"")</f>
        <v>59.384999999999998</v>
      </c>
      <c r="H63">
        <f ca="1">IFERROR(IF(0=LEN(ReferenceData!$H$63),"",ReferenceData!$H$63),"")</f>
        <v>73.953999999999994</v>
      </c>
      <c r="I63">
        <f ca="1">IFERROR(IF(0=LEN(ReferenceData!$I$63),"",ReferenceData!$I$63),"")</f>
        <v>69.995999999999995</v>
      </c>
      <c r="J63">
        <f ca="1">IFERROR(IF(0=LEN(ReferenceData!$J$63),"",ReferenceData!$J$63),"")</f>
        <v>69.003</v>
      </c>
      <c r="K63">
        <f ca="1">IFERROR(IF(0=LEN(ReferenceData!$K$63),"",ReferenceData!$K$63),"")</f>
        <v>70.882999999999996</v>
      </c>
      <c r="L63">
        <f ca="1">IFERROR(IF(0=LEN(ReferenceData!$L$63),"",ReferenceData!$L$63),"")</f>
        <v>44.052999999999997</v>
      </c>
      <c r="M63">
        <f ca="1">IFERROR(IF(0=LEN(ReferenceData!$M$63),"",ReferenceData!$M$63),"")</f>
        <v>6.7510000000000003</v>
      </c>
      <c r="N63">
        <f ca="1">IFERROR(IF(0=LEN(ReferenceData!$N$63),"",ReferenceData!$N$63),"")</f>
        <v>65.593000000000004</v>
      </c>
      <c r="O63">
        <f ca="1">IFERROR(IF(0=LEN(ReferenceData!$O$63),"",ReferenceData!$O$63),"")</f>
        <v>56.889000000000003</v>
      </c>
      <c r="P63">
        <f ca="1">IFERROR(IF(0=LEN(ReferenceData!$P$63),"",ReferenceData!$P$63),"")</f>
        <v>70.986000000000004</v>
      </c>
      <c r="Q63">
        <f ca="1">IFERROR(IF(0=LEN(ReferenceData!$Q$63),"",ReferenceData!$Q$63),"")</f>
        <v>71.784000000000006</v>
      </c>
      <c r="R63">
        <f ca="1">IFERROR(IF(0=LEN(ReferenceData!$R$63),"",ReferenceData!$R$63),"")</f>
        <v>62.665999999999997</v>
      </c>
      <c r="S63">
        <f ca="1">IFERROR(IF(0=LEN(ReferenceData!$S$63),"",ReferenceData!$S$63),"")</f>
        <v>69.019000000000005</v>
      </c>
      <c r="T63">
        <f ca="1">IFERROR(IF(0=LEN(ReferenceData!$T$63),"",ReferenceData!$T$63),"")</f>
        <v>68.201999999999998</v>
      </c>
      <c r="U63">
        <f ca="1">IFERROR(IF(0=LEN(ReferenceData!$U$63),"",ReferenceData!$U$63),"")</f>
        <v>63.573999999999998</v>
      </c>
      <c r="V63">
        <f ca="1">IFERROR(IF(0=LEN(ReferenceData!$V$63),"",ReferenceData!$V$63),"")</f>
        <v>69.307000000000002</v>
      </c>
      <c r="W63">
        <f ca="1">IFERROR(IF(0=LEN(ReferenceData!$W$63),"",ReferenceData!$W$63),"")</f>
        <v>66.66</v>
      </c>
      <c r="X63">
        <f ca="1">IFERROR(IF(0=LEN(ReferenceData!$X$63),"",ReferenceData!$X$63),"")</f>
        <v>60.384999999999998</v>
      </c>
      <c r="Y63">
        <f ca="1">IFERROR(IF(0=LEN(ReferenceData!$Y$63),"",ReferenceData!$Y$63),"")</f>
        <v>69.691000000000003</v>
      </c>
      <c r="Z63">
        <f ca="1">IFERROR(IF(0=LEN(ReferenceData!$Z$63),"",ReferenceData!$Z$63),"")</f>
        <v>64.947000000000003</v>
      </c>
      <c r="AA63">
        <f ca="1">IFERROR(IF(0=LEN(ReferenceData!$AA$63),"",ReferenceData!$AA$63),"")</f>
        <v>62.36</v>
      </c>
      <c r="AB63">
        <f ca="1">IFERROR(IF(0=LEN(ReferenceData!$AB$63),"",ReferenceData!$AB$63),"")</f>
        <v>22.696000000000002</v>
      </c>
      <c r="AC63">
        <f ca="1">IFERROR(IF(0=LEN(ReferenceData!$AC$63),"",ReferenceData!$AC$63),"")</f>
        <v>65.789000000000001</v>
      </c>
      <c r="AD63">
        <f ca="1">IFERROR(IF(0=LEN(ReferenceData!$AD$63),"",ReferenceData!$AD$63),"")</f>
        <v>67.897000000000006</v>
      </c>
      <c r="AE63">
        <f ca="1">IFERROR(IF(0=LEN(ReferenceData!$AE$63),"",ReferenceData!$AE$63),"")</f>
        <v>24.623999999999999</v>
      </c>
      <c r="AF63">
        <f ca="1">IFERROR(IF(0=LEN(ReferenceData!$AF$63),"",ReferenceData!$AF$63),"")</f>
        <v>64.338999999999999</v>
      </c>
      <c r="AG63">
        <f ca="1">IFERROR(IF(0=LEN(ReferenceData!$AG$63),"",ReferenceData!$AG$63),"")</f>
        <v>46.405999999999999</v>
      </c>
      <c r="AH63">
        <f ca="1">IFERROR(IF(0=LEN(ReferenceData!$AH$63),"",ReferenceData!$AH$63),"")</f>
        <v>37.652000000000001</v>
      </c>
      <c r="AI63">
        <f ca="1">IFERROR(IF(0=LEN(ReferenceData!$AI$63),"",ReferenceData!$AI$63),"")</f>
        <v>68.822999999999993</v>
      </c>
      <c r="AJ63">
        <f ca="1">IFERROR(IF(0=LEN(ReferenceData!$AJ$63),"",ReferenceData!$AJ$63),"")</f>
        <v>61.250999999999998</v>
      </c>
      <c r="AK63">
        <f ca="1">IFERROR(IF(0=LEN(ReferenceData!$AK$63),"",ReferenceData!$AK$63),"")</f>
        <v>63.201000000000001</v>
      </c>
      <c r="AL63">
        <f ca="1">IFERROR(IF(0=LEN(ReferenceData!$AL$63),"",ReferenceData!$AL$63),"")</f>
        <v>59.661000000000001</v>
      </c>
      <c r="AM63">
        <f ca="1">IFERROR(IF(0=LEN(ReferenceData!$AM$63),"",ReferenceData!$AM$63),"")</f>
        <v>33.238999999999997</v>
      </c>
      <c r="AN63">
        <f ca="1">IFERROR(IF(0=LEN(ReferenceData!$AN$63),"",ReferenceData!$AN$63),"")</f>
        <v>88.65</v>
      </c>
      <c r="AO63">
        <f ca="1">IFERROR(IF(0=LEN(ReferenceData!$AO$63),"",ReferenceData!$AO$63),"")</f>
        <v>64.578000000000003</v>
      </c>
      <c r="AP63">
        <f ca="1">IFERROR(IF(0=LEN(ReferenceData!$AP$63),"",ReferenceData!$AP$63),"")</f>
        <v>63.274000000000001</v>
      </c>
      <c r="AQ63">
        <f ca="1">IFERROR(IF(0=LEN(ReferenceData!$AQ$63),"",ReferenceData!$AQ$63),"")</f>
        <v>61.445999999999998</v>
      </c>
      <c r="AR63">
        <f ca="1">IFERROR(IF(0=LEN(ReferenceData!$AR$63),"",ReferenceData!$AR$63),"")</f>
        <v>61.874000000000002</v>
      </c>
      <c r="AS63">
        <f ca="1">IFERROR(IF(0=LEN(ReferenceData!$AS$63),"",ReferenceData!$AS$63),"")</f>
        <v>58.844000000000001</v>
      </c>
      <c r="AT63">
        <f ca="1">IFERROR(IF(0=LEN(ReferenceData!$AT$63),"",ReferenceData!$AT$63),"")</f>
        <v>57.07</v>
      </c>
      <c r="AU63">
        <f ca="1">IFERROR(IF(0=LEN(ReferenceData!$AU$63),"",ReferenceData!$AU$63),"")</f>
        <v>56.738999999999997</v>
      </c>
      <c r="AV63">
        <f ca="1">IFERROR(IF(0=LEN(ReferenceData!$AV$63),"",ReferenceData!$AV$63),"")</f>
        <v>58.161000000000001</v>
      </c>
      <c r="AW63">
        <f ca="1">IFERROR(IF(0=LEN(ReferenceData!$AW$63),"",ReferenceData!$AW$63),"")</f>
        <v>57.042000000000002</v>
      </c>
      <c r="AX63">
        <f ca="1">IFERROR(IF(0=LEN(ReferenceData!$AX$63),"",ReferenceData!$AX$63),"")</f>
        <v>53.366999999999997</v>
      </c>
      <c r="AY63">
        <f ca="1">IFERROR(IF(0=LEN(ReferenceData!$AY$63),"",ReferenceData!$AY$63),"")</f>
        <v>47.381</v>
      </c>
      <c r="AZ63">
        <f ca="1">IFERROR(IF(0=LEN(ReferenceData!$AZ$63),"",ReferenceData!$AZ$63),"")</f>
        <v>48.887</v>
      </c>
      <c r="BA63">
        <f ca="1">IFERROR(IF(0=LEN(ReferenceData!$BA$63),"",ReferenceData!$BA$63),"")</f>
        <v>46.758000000000003</v>
      </c>
      <c r="BB63">
        <f ca="1">IFERROR(IF(0=LEN(ReferenceData!$BB$63),"",ReferenceData!$BB$63),"")</f>
        <v>45.468000000000004</v>
      </c>
      <c r="BC63">
        <f ca="1">IFERROR(IF(0=LEN(ReferenceData!$BC$63),"",ReferenceData!$BC$63),"")</f>
        <v>41.930999999999997</v>
      </c>
      <c r="BD63">
        <f ca="1">IFERROR(IF(0=LEN(ReferenceData!$BD$63),"",ReferenceData!$BD$63),"")</f>
        <v>40.381</v>
      </c>
      <c r="BE63">
        <f ca="1">IFERROR(IF(0=LEN(ReferenceData!$BE$63),"",ReferenceData!$BE$63),"")</f>
        <v>39.537999999999997</v>
      </c>
      <c r="BF63">
        <f ca="1">IFERROR(IF(0=LEN(ReferenceData!$BF$63),"",ReferenceData!$BF$63),"")</f>
        <v>38.889000000000003</v>
      </c>
      <c r="BG63">
        <f ca="1">IFERROR(IF(0=LEN(ReferenceData!$BG$63),"",ReferenceData!$BG$63),"")</f>
        <v>37.950000000000003</v>
      </c>
      <c r="BH63">
        <f ca="1">IFERROR(IF(0=LEN(ReferenceData!$BH$63),"",ReferenceData!$BH$63),"")</f>
        <v>34.46</v>
      </c>
      <c r="BI63">
        <f ca="1">IFERROR(IF(0=LEN(ReferenceData!$BI$63),"",ReferenceData!$BI$63),"")</f>
        <v>36.966000000000001</v>
      </c>
      <c r="BJ63">
        <f ca="1">IFERROR(IF(0=LEN(ReferenceData!$BJ$63),"",ReferenceData!$BJ$63),"")</f>
        <v>32.188000000000002</v>
      </c>
      <c r="BK63">
        <f ca="1">IFERROR(IF(0=LEN(ReferenceData!$BK$63),"",ReferenceData!$BK$63),"")</f>
        <v>29.96299934</v>
      </c>
      <c r="BL63">
        <f ca="1">IFERROR(IF(0=LEN(ReferenceData!$BL$63),"",ReferenceData!$BL$63),"")</f>
        <v>31.178999999999998</v>
      </c>
      <c r="BM63">
        <f ca="1">IFERROR(IF(0=LEN(ReferenceData!$BM$63),"",ReferenceData!$BM$63),"")</f>
        <v>27.928999999999998</v>
      </c>
    </row>
    <row r="64" spans="1:65">
      <c r="A64" t="str">
        <f>IFERROR(IF(0=LEN(ReferenceData!$A$64),"",ReferenceData!$A$64),"")</f>
        <v xml:space="preserve">    Highwoods Properties Inc</v>
      </c>
      <c r="B64" t="str">
        <f>IFERROR(IF(0=LEN(ReferenceData!$B$64),"",ReferenceData!$B$64),"")</f>
        <v>HIW US Equity</v>
      </c>
      <c r="C64" t="str">
        <f>IFERROR(IF(0=LEN(ReferenceData!$C$64),"",ReferenceData!$C$64),"")</f>
        <v>RR009</v>
      </c>
      <c r="D64" t="str">
        <f>IFERROR(IF(0=LEN(ReferenceData!$D$64),"",ReferenceData!$D$64),"")</f>
        <v>EBITDA</v>
      </c>
      <c r="E64" t="str">
        <f>IFERROR(IF(0=LEN(ReferenceData!$E$64),"",ReferenceData!$E$64),"")</f>
        <v>动态</v>
      </c>
      <c r="F64" t="str">
        <f ca="1">IFERROR(IF(0=LEN(ReferenceData!$F$64),"",ReferenceData!$F$64),"")</f>
        <v/>
      </c>
      <c r="G64">
        <f ca="1">IFERROR(IF(0=LEN(ReferenceData!$G$64),"",ReferenceData!$G$64),"")</f>
        <v>106.596</v>
      </c>
      <c r="H64">
        <f ca="1">IFERROR(IF(0=LEN(ReferenceData!$H$64),"",ReferenceData!$H$64),"")</f>
        <v>108.259</v>
      </c>
      <c r="I64">
        <f ca="1">IFERROR(IF(0=LEN(ReferenceData!$I$64),"",ReferenceData!$I$64),"")</f>
        <v>109.379</v>
      </c>
      <c r="J64">
        <f ca="1">IFERROR(IF(0=LEN(ReferenceData!$J$64),"",ReferenceData!$J$64),"")</f>
        <v>100.52200000000001</v>
      </c>
      <c r="K64">
        <f ca="1">IFERROR(IF(0=LEN(ReferenceData!$K$64),"",ReferenceData!$K$64),"")</f>
        <v>101.45</v>
      </c>
      <c r="L64">
        <f ca="1">IFERROR(IF(0=LEN(ReferenceData!$L$64),"",ReferenceData!$L$64),"")</f>
        <v>97.786000000000001</v>
      </c>
      <c r="M64">
        <f ca="1">IFERROR(IF(0=LEN(ReferenceData!$M$64),"",ReferenceData!$M$64),"")</f>
        <v>101.018</v>
      </c>
      <c r="N64">
        <f ca="1">IFERROR(IF(0=LEN(ReferenceData!$N$64),"",ReferenceData!$N$64),"")</f>
        <v>96.141999999999996</v>
      </c>
      <c r="O64">
        <f ca="1">IFERROR(IF(0=LEN(ReferenceData!$O$64),"",ReferenceData!$O$64),"")</f>
        <v>98.352000000000004</v>
      </c>
      <c r="P64">
        <f ca="1">IFERROR(IF(0=LEN(ReferenceData!$P$64),"",ReferenceData!$P$64),"")</f>
        <v>94.796000000000006</v>
      </c>
      <c r="Q64">
        <f ca="1">IFERROR(IF(0=LEN(ReferenceData!$Q$64),"",ReferenceData!$Q$64),"")</f>
        <v>90.82</v>
      </c>
      <c r="R64">
        <f ca="1">IFERROR(IF(0=LEN(ReferenceData!$R$64),"",ReferenceData!$R$64),"")</f>
        <v>88.36</v>
      </c>
      <c r="S64">
        <f ca="1">IFERROR(IF(0=LEN(ReferenceData!$S$64),"",ReferenceData!$S$64),"")</f>
        <v>83.9</v>
      </c>
      <c r="T64">
        <f ca="1">IFERROR(IF(0=LEN(ReferenceData!$T$64),"",ReferenceData!$T$64),"")</f>
        <v>87.72</v>
      </c>
      <c r="U64">
        <f ca="1">IFERROR(IF(0=LEN(ReferenceData!$U$64),"",ReferenceData!$U$64),"")</f>
        <v>88.126000000000005</v>
      </c>
      <c r="V64">
        <f ca="1">IFERROR(IF(0=LEN(ReferenceData!$V$64),"",ReferenceData!$V$64),"")</f>
        <v>81.349000000000004</v>
      </c>
      <c r="W64">
        <f ca="1">IFERROR(IF(0=LEN(ReferenceData!$W$64),"",ReferenceData!$W$64),"")</f>
        <v>84.659000000000006</v>
      </c>
      <c r="X64">
        <f ca="1">IFERROR(IF(0=LEN(ReferenceData!$X$64),"",ReferenceData!$X$64),"")</f>
        <v>83.206999999999994</v>
      </c>
      <c r="Y64">
        <f ca="1">IFERROR(IF(0=LEN(ReferenceData!$Y$64),"",ReferenceData!$Y$64),"")</f>
        <v>78.754999999999995</v>
      </c>
      <c r="Z64">
        <f ca="1">IFERROR(IF(0=LEN(ReferenceData!$Z$64),"",ReferenceData!$Z$64),"")</f>
        <v>75.405000000000001</v>
      </c>
      <c r="AA64">
        <f ca="1">IFERROR(IF(0=LEN(ReferenceData!$AA$64),"",ReferenceData!$AA$64),"")</f>
        <v>73.216999999999999</v>
      </c>
      <c r="AB64">
        <f ca="1">IFERROR(IF(0=LEN(ReferenceData!$AB$64),"",ReferenceData!$AB$64),"")</f>
        <v>69.399000000000001</v>
      </c>
      <c r="AC64">
        <f ca="1">IFERROR(IF(0=LEN(ReferenceData!$AC$64),"",ReferenceData!$AC$64),"")</f>
        <v>73.551000000000002</v>
      </c>
      <c r="AD64">
        <f ca="1">IFERROR(IF(0=LEN(ReferenceData!$AD$64),"",ReferenceData!$AD$64),"")</f>
        <v>72.375</v>
      </c>
      <c r="AE64">
        <f ca="1">IFERROR(IF(0=LEN(ReferenceData!$AE$64),"",ReferenceData!$AE$64),"")</f>
        <v>72.028999999999996</v>
      </c>
      <c r="AF64">
        <f ca="1">IFERROR(IF(0=LEN(ReferenceData!$AF$64),"",ReferenceData!$AF$64),"")</f>
        <v>59.862000000000002</v>
      </c>
      <c r="AG64">
        <f ca="1">IFERROR(IF(0=LEN(ReferenceData!$AG$64),"",ReferenceData!$AG$64),"")</f>
        <v>67.52</v>
      </c>
      <c r="AH64">
        <f ca="1">IFERROR(IF(0=LEN(ReferenceData!$AH$64),"",ReferenceData!$AH$64),"")</f>
        <v>65.88</v>
      </c>
      <c r="AI64">
        <f ca="1">IFERROR(IF(0=LEN(ReferenceData!$AI$64),"",ReferenceData!$AI$64),"")</f>
        <v>43.96</v>
      </c>
      <c r="AJ64">
        <f ca="1">IFERROR(IF(0=LEN(ReferenceData!$AJ$64),"",ReferenceData!$AJ$64),"")</f>
        <v>63.405000000000001</v>
      </c>
      <c r="AK64">
        <f ca="1">IFERROR(IF(0=LEN(ReferenceData!$AK$64),"",ReferenceData!$AK$64),"")</f>
        <v>68.917000000000002</v>
      </c>
      <c r="AL64">
        <f ca="1">IFERROR(IF(0=LEN(ReferenceData!$AL$64),"",ReferenceData!$AL$64),"")</f>
        <v>65.015000000000001</v>
      </c>
      <c r="AM64">
        <f ca="1">IFERROR(IF(0=LEN(ReferenceData!$AM$64),"",ReferenceData!$AM$64),"")</f>
        <v>49.473999999999997</v>
      </c>
      <c r="AN64">
        <f ca="1">IFERROR(IF(0=LEN(ReferenceData!$AN$64),"",ReferenceData!$AN$64),"")</f>
        <v>61.442999999999998</v>
      </c>
      <c r="AO64">
        <f ca="1">IFERROR(IF(0=LEN(ReferenceData!$AO$64),"",ReferenceData!$AO$64),"")</f>
        <v>62.256999999999998</v>
      </c>
      <c r="AP64">
        <f ca="1">IFERROR(IF(0=LEN(ReferenceData!$AP$64),"",ReferenceData!$AP$64),"")</f>
        <v>64.756</v>
      </c>
      <c r="AQ64">
        <f ca="1">IFERROR(IF(0=LEN(ReferenceData!$AQ$64),"",ReferenceData!$AQ$64),"")</f>
        <v>55.594000000000001</v>
      </c>
      <c r="AR64">
        <f ca="1">IFERROR(IF(0=LEN(ReferenceData!$AR$64),"",ReferenceData!$AR$64),"")</f>
        <v>63.734999999999999</v>
      </c>
      <c r="AS64">
        <f ca="1">IFERROR(IF(0=LEN(ReferenceData!$AS$64),"",ReferenceData!$AS$64),"")</f>
        <v>57.429000000000002</v>
      </c>
      <c r="AT64">
        <f ca="1">IFERROR(IF(0=LEN(ReferenceData!$AT$64),"",ReferenceData!$AT$64),"")</f>
        <v>61.753</v>
      </c>
      <c r="AU64">
        <f ca="1">IFERROR(IF(0=LEN(ReferenceData!$AU$64),"",ReferenceData!$AU$64),"")</f>
        <v>60.491</v>
      </c>
      <c r="AV64">
        <f ca="1">IFERROR(IF(0=LEN(ReferenceData!$AV$64),"",ReferenceData!$AV$64),"")</f>
        <v>59.438000000000002</v>
      </c>
      <c r="AW64">
        <f ca="1">IFERROR(IF(0=LEN(ReferenceData!$AW$64),"",ReferenceData!$AW$64),"")</f>
        <v>55.938000000000002</v>
      </c>
      <c r="AX64">
        <f ca="1">IFERROR(IF(0=LEN(ReferenceData!$AX$64),"",ReferenceData!$AX$64),"")</f>
        <v>57.081000000000003</v>
      </c>
      <c r="AY64">
        <f ca="1">IFERROR(IF(0=LEN(ReferenceData!$AY$64),"",ReferenceData!$AY$64),"")</f>
        <v>36.552999999999997</v>
      </c>
      <c r="AZ64">
        <f ca="1">IFERROR(IF(0=LEN(ReferenceData!$AZ$64),"",ReferenceData!$AZ$64),"")</f>
        <v>59.844000000000001</v>
      </c>
      <c r="BA64">
        <f ca="1">IFERROR(IF(0=LEN(ReferenceData!$BA$64),"",ReferenceData!$BA$64),"")</f>
        <v>59.518999999999998</v>
      </c>
      <c r="BB64">
        <f ca="1">IFERROR(IF(0=LEN(ReferenceData!$BB$64),"",ReferenceData!$BB$64),"")</f>
        <v>60.198</v>
      </c>
      <c r="BC64">
        <f ca="1">IFERROR(IF(0=LEN(ReferenceData!$BC$64),"",ReferenceData!$BC$64),"")</f>
        <v>40.223999999999997</v>
      </c>
      <c r="BD64">
        <f ca="1">IFERROR(IF(0=LEN(ReferenceData!$BD$64),"",ReferenceData!$BD$64),"")</f>
        <v>60.493000000000002</v>
      </c>
      <c r="BE64">
        <f ca="1">IFERROR(IF(0=LEN(ReferenceData!$BE$64),"",ReferenceData!$BE$64),"")</f>
        <v>65.438999999999993</v>
      </c>
      <c r="BF64">
        <f ca="1">IFERROR(IF(0=LEN(ReferenceData!$BF$64),"",ReferenceData!$BF$64),"")</f>
        <v>66.965999999999994</v>
      </c>
      <c r="BG64">
        <f ca="1">IFERROR(IF(0=LEN(ReferenceData!$BG$64),"",ReferenceData!$BG$64),"")</f>
        <v>38.892000000000003</v>
      </c>
      <c r="BH64">
        <f ca="1">IFERROR(IF(0=LEN(ReferenceData!$BH$64),"",ReferenceData!$BH$64),"")</f>
        <v>60.436</v>
      </c>
      <c r="BI64">
        <f ca="1">IFERROR(IF(0=LEN(ReferenceData!$BI$64),"",ReferenceData!$BI$64),"")</f>
        <v>67.480999999999995</v>
      </c>
      <c r="BJ64">
        <f ca="1">IFERROR(IF(0=LEN(ReferenceData!$BJ$64),"",ReferenceData!$BJ$64),"")</f>
        <v>66.695999999999998</v>
      </c>
      <c r="BK64" t="str">
        <f ca="1">IFERROR(IF(0=LEN(ReferenceData!$BK$64),"",ReferenceData!$BK$64),"")</f>
        <v/>
      </c>
      <c r="BL64">
        <f ca="1">IFERROR(IF(0=LEN(ReferenceData!$BL$64),"",ReferenceData!$BL$64),"")</f>
        <v>158.44900000000001</v>
      </c>
      <c r="BM64">
        <f ca="1">IFERROR(IF(0=LEN(ReferenceData!$BM$64),"",ReferenceData!$BM$64),"")</f>
        <v>77.903000000000006</v>
      </c>
    </row>
    <row r="65" spans="1:65">
      <c r="A65" t="str">
        <f>IFERROR(IF(0=LEN(ReferenceData!$A$65),"",ReferenceData!$A$65),"")</f>
        <v xml:space="preserve">    Kilroy Realty Corp</v>
      </c>
      <c r="B65" t="str">
        <f>IFERROR(IF(0=LEN(ReferenceData!$B$65),"",ReferenceData!$B$65),"")</f>
        <v>KRC US Equity</v>
      </c>
      <c r="C65" t="str">
        <f>IFERROR(IF(0=LEN(ReferenceData!$C$65),"",ReferenceData!$C$65),"")</f>
        <v>RR009</v>
      </c>
      <c r="D65" t="str">
        <f>IFERROR(IF(0=LEN(ReferenceData!$D$65),"",ReferenceData!$D$65),"")</f>
        <v>EBITDA</v>
      </c>
      <c r="E65" t="str">
        <f>IFERROR(IF(0=LEN(ReferenceData!$E$65),"",ReferenceData!$E$65),"")</f>
        <v>动态</v>
      </c>
      <c r="F65" t="str">
        <f ca="1">IFERROR(IF(0=LEN(ReferenceData!$F$65),"",ReferenceData!$F$65),"")</f>
        <v/>
      </c>
      <c r="G65">
        <f ca="1">IFERROR(IF(0=LEN(ReferenceData!$G$65),"",ReferenceData!$G$65),"")</f>
        <v>110.691</v>
      </c>
      <c r="H65">
        <f ca="1">IFERROR(IF(0=LEN(ReferenceData!$H$65),"",ReferenceData!$H$65),"")</f>
        <v>114.98099999999999</v>
      </c>
      <c r="I65">
        <f ca="1">IFERROR(IF(0=LEN(ReferenceData!$I$65),"",ReferenceData!$I$65),"")</f>
        <v>114.492</v>
      </c>
      <c r="J65">
        <f ca="1">IFERROR(IF(0=LEN(ReferenceData!$J$65),"",ReferenceData!$J$65),"")</f>
        <v>112.23</v>
      </c>
      <c r="K65">
        <f ca="1">IFERROR(IF(0=LEN(ReferenceData!$K$65),"",ReferenceData!$K$65),"")</f>
        <v>106.17</v>
      </c>
      <c r="L65">
        <f ca="1">IFERROR(IF(0=LEN(ReferenceData!$L$65),"",ReferenceData!$L$65),"")</f>
        <v>109.167</v>
      </c>
      <c r="M65">
        <f ca="1">IFERROR(IF(0=LEN(ReferenceData!$M$65),"",ReferenceData!$M$65),"")</f>
        <v>101.60599999999999</v>
      </c>
      <c r="N65">
        <f ca="1">IFERROR(IF(0=LEN(ReferenceData!$N$65),"",ReferenceData!$N$65),"")</f>
        <v>94.120999999999995</v>
      </c>
      <c r="O65">
        <f ca="1">IFERROR(IF(0=LEN(ReferenceData!$O$65),"",ReferenceData!$O$65),"")</f>
        <v>94.242000000000004</v>
      </c>
      <c r="P65">
        <f ca="1">IFERROR(IF(0=LEN(ReferenceData!$P$65),"",ReferenceData!$P$65),"")</f>
        <v>91.117000000000004</v>
      </c>
      <c r="Q65">
        <f ca="1">IFERROR(IF(0=LEN(ReferenceData!$Q$65),"",ReferenceData!$Q$65),"")</f>
        <v>93.438000000000002</v>
      </c>
      <c r="R65">
        <f ca="1">IFERROR(IF(0=LEN(ReferenceData!$R$65),"",ReferenceData!$R$65),"")</f>
        <v>94.867000000000004</v>
      </c>
      <c r="S65">
        <f ca="1">IFERROR(IF(0=LEN(ReferenceData!$S$65),"",ReferenceData!$S$65),"")</f>
        <v>91.003</v>
      </c>
      <c r="T65">
        <f ca="1">IFERROR(IF(0=LEN(ReferenceData!$T$65),"",ReferenceData!$T$65),"")</f>
        <v>80.855999999999995</v>
      </c>
      <c r="U65">
        <f ca="1">IFERROR(IF(0=LEN(ReferenceData!$U$65),"",ReferenceData!$U$65),"")</f>
        <v>79.340999999999994</v>
      </c>
      <c r="V65">
        <f ca="1">IFERROR(IF(0=LEN(ReferenceData!$V$65),"",ReferenceData!$V$65),"")</f>
        <v>77.379000000000005</v>
      </c>
      <c r="W65">
        <f ca="1">IFERROR(IF(0=LEN(ReferenceData!$W$65),"",ReferenceData!$W$65),"")</f>
        <v>73.477999999999994</v>
      </c>
      <c r="X65">
        <f ca="1">IFERROR(IF(0=LEN(ReferenceData!$X$65),"",ReferenceData!$X$65),"")</f>
        <v>72.576999999999998</v>
      </c>
      <c r="Y65">
        <f ca="1">IFERROR(IF(0=LEN(ReferenceData!$Y$65),"",ReferenceData!$Y$65),"")</f>
        <v>76.319999999999993</v>
      </c>
      <c r="Z65">
        <f ca="1">IFERROR(IF(0=LEN(ReferenceData!$Z$65),"",ReferenceData!$Z$65),"")</f>
        <v>70.573999999999998</v>
      </c>
      <c r="AA65">
        <f ca="1">IFERROR(IF(0=LEN(ReferenceData!$AA$65),"",ReferenceData!$AA$65),"")</f>
        <v>106.75</v>
      </c>
      <c r="AB65">
        <f ca="1">IFERROR(IF(0=LEN(ReferenceData!$AB$65),"",ReferenceData!$AB$65),"")</f>
        <v>66.311999999999998</v>
      </c>
      <c r="AC65">
        <f ca="1">IFERROR(IF(0=LEN(ReferenceData!$AC$65),"",ReferenceData!$AC$65),"")</f>
        <v>63.87</v>
      </c>
      <c r="AD65">
        <f ca="1">IFERROR(IF(0=LEN(ReferenceData!$AD$65),"",ReferenceData!$AD$65),"")</f>
        <v>61.124000000000002</v>
      </c>
      <c r="AE65">
        <f ca="1">IFERROR(IF(0=LEN(ReferenceData!$AE$65),"",ReferenceData!$AE$65),"")</f>
        <v>63.927999999999997</v>
      </c>
      <c r="AF65">
        <f ca="1">IFERROR(IF(0=LEN(ReferenceData!$AF$65),"",ReferenceData!$AF$65),"")</f>
        <v>58.015000000000001</v>
      </c>
      <c r="AG65">
        <f ca="1">IFERROR(IF(0=LEN(ReferenceData!$AG$65),"",ReferenceData!$AG$65),"")</f>
        <v>56.926000000000002</v>
      </c>
      <c r="AH65">
        <f ca="1">IFERROR(IF(0=LEN(ReferenceData!$AH$65),"",ReferenceData!$AH$65),"")</f>
        <v>52.319000000000003</v>
      </c>
      <c r="AI65">
        <f ca="1">IFERROR(IF(0=LEN(ReferenceData!$AI$65),"",ReferenceData!$AI$65),"")</f>
        <v>71.325000000000003</v>
      </c>
      <c r="AJ65">
        <f ca="1">IFERROR(IF(0=LEN(ReferenceData!$AJ$65),"",ReferenceData!$AJ$65),"")</f>
        <v>28.305</v>
      </c>
      <c r="AK65">
        <f ca="1">IFERROR(IF(0=LEN(ReferenceData!$AK$65),"",ReferenceData!$AK$65),"")</f>
        <v>44.305</v>
      </c>
      <c r="AL65">
        <f ca="1">IFERROR(IF(0=LEN(ReferenceData!$AL$65),"",ReferenceData!$AL$65),"")</f>
        <v>41.7</v>
      </c>
      <c r="AM65">
        <f ca="1">IFERROR(IF(0=LEN(ReferenceData!$AM$65),"",ReferenceData!$AM$65),"")</f>
        <v>52.286000000000001</v>
      </c>
      <c r="AN65">
        <f ca="1">IFERROR(IF(0=LEN(ReferenceData!$AN$65),"",ReferenceData!$AN$65),"")</f>
        <v>43.526000000000003</v>
      </c>
      <c r="AO65">
        <f ca="1">IFERROR(IF(0=LEN(ReferenceData!$AO$65),"",ReferenceData!$AO$65),"")</f>
        <v>45.866999999999997</v>
      </c>
      <c r="AP65">
        <f ca="1">IFERROR(IF(0=LEN(ReferenceData!$AP$65),"",ReferenceData!$AP$65),"")</f>
        <v>45.195</v>
      </c>
      <c r="AQ65">
        <f ca="1">IFERROR(IF(0=LEN(ReferenceData!$AQ$65),"",ReferenceData!$AQ$65),"")</f>
        <v>46.981999999999999</v>
      </c>
      <c r="AR65">
        <f ca="1">IFERROR(IF(0=LEN(ReferenceData!$AR$65),"",ReferenceData!$AR$65),"")</f>
        <v>51.914999999999999</v>
      </c>
      <c r="AS65">
        <f ca="1">IFERROR(IF(0=LEN(ReferenceData!$AS$65),"",ReferenceData!$AS$65),"")</f>
        <v>43.735999999999997</v>
      </c>
      <c r="AT65">
        <f ca="1">IFERROR(IF(0=LEN(ReferenceData!$AT$65),"",ReferenceData!$AT$65),"")</f>
        <v>47.238999999999997</v>
      </c>
      <c r="AU65">
        <f ca="1">IFERROR(IF(0=LEN(ReferenceData!$AU$65),"",ReferenceData!$AU$65),"")</f>
        <v>28.989000000000001</v>
      </c>
      <c r="AV65">
        <f ca="1">IFERROR(IF(0=LEN(ReferenceData!$AV$65),"",ReferenceData!$AV$65),"")</f>
        <v>42.695</v>
      </c>
      <c r="AW65">
        <f ca="1">IFERROR(IF(0=LEN(ReferenceData!$AW$65),"",ReferenceData!$AW$65),"")</f>
        <v>41.365000000000002</v>
      </c>
      <c r="AX65">
        <f ca="1">IFERROR(IF(0=LEN(ReferenceData!$AX$65),"",ReferenceData!$AX$65),"")</f>
        <v>41.500999999999998</v>
      </c>
      <c r="AY65">
        <f ca="1">IFERROR(IF(0=LEN(ReferenceData!$AY$65),"",ReferenceData!$AY$65),"")</f>
        <v>34.091000000000001</v>
      </c>
      <c r="AZ65">
        <f ca="1">IFERROR(IF(0=LEN(ReferenceData!$AZ$65),"",ReferenceData!$AZ$65),"")</f>
        <v>40.231000000000002</v>
      </c>
      <c r="BA65">
        <f ca="1">IFERROR(IF(0=LEN(ReferenceData!$BA$65),"",ReferenceData!$BA$65),"")</f>
        <v>42.881</v>
      </c>
      <c r="BB65">
        <f ca="1">IFERROR(IF(0=LEN(ReferenceData!$BB$65),"",ReferenceData!$BB$65),"")</f>
        <v>42.716999999999999</v>
      </c>
      <c r="BC65">
        <f ca="1">IFERROR(IF(0=LEN(ReferenceData!$BC$65),"",ReferenceData!$BC$65),"")</f>
        <v>19.658999999999999</v>
      </c>
      <c r="BD65">
        <f ca="1">IFERROR(IF(0=LEN(ReferenceData!$BD$65),"",ReferenceData!$BD$65),"")</f>
        <v>25.547000000000001</v>
      </c>
      <c r="BE65">
        <f ca="1">IFERROR(IF(0=LEN(ReferenceData!$BE$65),"",ReferenceData!$BE$65),"")</f>
        <v>29.125</v>
      </c>
      <c r="BF65">
        <f ca="1">IFERROR(IF(0=LEN(ReferenceData!$BF$65),"",ReferenceData!$BF$65),"")</f>
        <v>39.238</v>
      </c>
      <c r="BG65">
        <f ca="1">IFERROR(IF(0=LEN(ReferenceData!$BG$65),"",ReferenceData!$BG$65),"")</f>
        <v>32.557000000000002</v>
      </c>
      <c r="BH65">
        <f ca="1">IFERROR(IF(0=LEN(ReferenceData!$BH$65),"",ReferenceData!$BH$65),"")</f>
        <v>34.402999999999999</v>
      </c>
      <c r="BI65">
        <f ca="1">IFERROR(IF(0=LEN(ReferenceData!$BI$65),"",ReferenceData!$BI$65),"")</f>
        <v>35.911999999999999</v>
      </c>
      <c r="BJ65">
        <f ca="1">IFERROR(IF(0=LEN(ReferenceData!$BJ$65),"",ReferenceData!$BJ$65),"")</f>
        <v>33.816000000000003</v>
      </c>
      <c r="BK65">
        <f ca="1">IFERROR(IF(0=LEN(ReferenceData!$BK$65),"",ReferenceData!$BK$65),"")</f>
        <v>33.138999939999998</v>
      </c>
      <c r="BL65">
        <f ca="1">IFERROR(IF(0=LEN(ReferenceData!$BL$65),"",ReferenceData!$BL$65),"")</f>
        <v>49.314</v>
      </c>
      <c r="BM65">
        <f ca="1">IFERROR(IF(0=LEN(ReferenceData!$BM$65),"",ReferenceData!$BM$65),"")</f>
        <v>35.356000000000002</v>
      </c>
    </row>
    <row r="66" spans="1:65">
      <c r="A66" t="str">
        <f>IFERROR(IF(0=LEN(ReferenceData!$A$66),"",ReferenceData!$A$66),"")</f>
        <v xml:space="preserve">    Mack-Cali Realty Corp</v>
      </c>
      <c r="B66" t="str">
        <f>IFERROR(IF(0=LEN(ReferenceData!$B$66),"",ReferenceData!$B$66),"")</f>
        <v>CLI US Equity</v>
      </c>
      <c r="C66" t="str">
        <f>IFERROR(IF(0=LEN(ReferenceData!$C$66),"",ReferenceData!$C$66),"")</f>
        <v>RR009</v>
      </c>
      <c r="D66" t="str">
        <f>IFERROR(IF(0=LEN(ReferenceData!$D$66),"",ReferenceData!$D$66),"")</f>
        <v>EBITDA</v>
      </c>
      <c r="E66" t="str">
        <f>IFERROR(IF(0=LEN(ReferenceData!$E$66),"",ReferenceData!$E$66),"")</f>
        <v>动态</v>
      </c>
      <c r="F66" t="str">
        <f ca="1">IFERROR(IF(0=LEN(ReferenceData!$F$66),"",ReferenceData!$F$66),"")</f>
        <v/>
      </c>
      <c r="G66">
        <f ca="1">IFERROR(IF(0=LEN(ReferenceData!$G$66),"",ReferenceData!$G$66),"")</f>
        <v>70.165000000000006</v>
      </c>
      <c r="H66">
        <f ca="1">IFERROR(IF(0=LEN(ReferenceData!$H$66),"",ReferenceData!$H$66),"")</f>
        <v>81.055999999999997</v>
      </c>
      <c r="I66">
        <f ca="1">IFERROR(IF(0=LEN(ReferenceData!$I$66),"",ReferenceData!$I$66),"")</f>
        <v>85.174000000000007</v>
      </c>
      <c r="J66">
        <f ca="1">IFERROR(IF(0=LEN(ReferenceData!$J$66),"",ReferenceData!$J$66),"")</f>
        <v>72.238</v>
      </c>
      <c r="K66">
        <f ca="1">IFERROR(IF(0=LEN(ReferenceData!$K$66),"",ReferenceData!$K$66),"")</f>
        <v>74.902000000000001</v>
      </c>
      <c r="L66">
        <f ca="1">IFERROR(IF(0=LEN(ReferenceData!$L$66),"",ReferenceData!$L$66),"")</f>
        <v>76.753</v>
      </c>
      <c r="M66">
        <f ca="1">IFERROR(IF(0=LEN(ReferenceData!$M$66),"",ReferenceData!$M$66),"")</f>
        <v>72.302999999999997</v>
      </c>
      <c r="N66">
        <f ca="1">IFERROR(IF(0=LEN(ReferenceData!$N$66),"",ReferenceData!$N$66),"")</f>
        <v>71.811000000000007</v>
      </c>
      <c r="O66">
        <f ca="1">IFERROR(IF(0=LEN(ReferenceData!$O$66),"",ReferenceData!$O$66),"")</f>
        <v>32.302999999999997</v>
      </c>
      <c r="P66">
        <f ca="1">IFERROR(IF(0=LEN(ReferenceData!$P$66),"",ReferenceData!$P$66),"")</f>
        <v>-95.623000000000005</v>
      </c>
      <c r="Q66">
        <f ca="1">IFERROR(IF(0=LEN(ReferenceData!$Q$66),"",ReferenceData!$Q$66),"")</f>
        <v>70.805000000000007</v>
      </c>
      <c r="R66">
        <f ca="1">IFERROR(IF(0=LEN(ReferenceData!$R$66),"",ReferenceData!$R$66),"")</f>
        <v>68.290999999999997</v>
      </c>
      <c r="S66">
        <f ca="1">IFERROR(IF(0=LEN(ReferenceData!$S$66),"",ReferenceData!$S$66),"")</f>
        <v>58.11</v>
      </c>
      <c r="T66">
        <f ca="1">IFERROR(IF(0=LEN(ReferenceData!$T$66),"",ReferenceData!$T$66),"")</f>
        <v>66.209000000000003</v>
      </c>
      <c r="U66">
        <f ca="1">IFERROR(IF(0=LEN(ReferenceData!$U$66),"",ReferenceData!$U$66),"")</f>
        <v>80.119</v>
      </c>
      <c r="V66">
        <f ca="1">IFERROR(IF(0=LEN(ReferenceData!$V$66),"",ReferenceData!$V$66),"")</f>
        <v>58.628</v>
      </c>
      <c r="W66">
        <f ca="1">IFERROR(IF(0=LEN(ReferenceData!$W$66),"",ReferenceData!$W$66),"")</f>
        <v>10.561999999999999</v>
      </c>
      <c r="X66">
        <f ca="1">IFERROR(IF(0=LEN(ReferenceData!$X$66),"",ReferenceData!$X$66),"")</f>
        <v>31.196999999999999</v>
      </c>
      <c r="Y66">
        <f ca="1">IFERROR(IF(0=LEN(ReferenceData!$Y$66),"",ReferenceData!$Y$66),"")</f>
        <v>89.091999999999999</v>
      </c>
      <c r="Z66">
        <f ca="1">IFERROR(IF(0=LEN(ReferenceData!$Z$66),"",ReferenceData!$Z$66),"")</f>
        <v>86.411000000000001</v>
      </c>
      <c r="AA66">
        <f ca="1">IFERROR(IF(0=LEN(ReferenceData!$AA$66),"",ReferenceData!$AA$66),"")</f>
        <v>73.141999999999996</v>
      </c>
      <c r="AB66">
        <f ca="1">IFERROR(IF(0=LEN(ReferenceData!$AB$66),"",ReferenceData!$AB$66),"")</f>
        <v>86.141000000000005</v>
      </c>
      <c r="AC66">
        <f ca="1">IFERROR(IF(0=LEN(ReferenceData!$AC$66),"",ReferenceData!$AC$66),"")</f>
        <v>92.522999999999996</v>
      </c>
      <c r="AD66">
        <f ca="1">IFERROR(IF(0=LEN(ReferenceData!$AD$66),"",ReferenceData!$AD$66),"")</f>
        <v>100.864</v>
      </c>
      <c r="AE66">
        <f ca="1">IFERROR(IF(0=LEN(ReferenceData!$AE$66),"",ReferenceData!$AE$66),"")</f>
        <v>98.399000000000001</v>
      </c>
      <c r="AF66">
        <f ca="1">IFERROR(IF(0=LEN(ReferenceData!$AF$66),"",ReferenceData!$AF$66),"")</f>
        <v>105.402</v>
      </c>
      <c r="AG66">
        <f ca="1">IFERROR(IF(0=LEN(ReferenceData!$AG$66),"",ReferenceData!$AG$66),"")</f>
        <v>98.805999999999997</v>
      </c>
      <c r="AH66">
        <f ca="1">IFERROR(IF(0=LEN(ReferenceData!$AH$66),"",ReferenceData!$AH$66),"")</f>
        <v>97.036000000000001</v>
      </c>
      <c r="AI66">
        <f ca="1">IFERROR(IF(0=LEN(ReferenceData!$AI$66),"",ReferenceData!$AI$66),"")</f>
        <v>93.025999999999996</v>
      </c>
      <c r="AJ66">
        <f ca="1">IFERROR(IF(0=LEN(ReferenceData!$AJ$66),"",ReferenceData!$AJ$66),"")</f>
        <v>99.853999999999999</v>
      </c>
      <c r="AK66">
        <f ca="1">IFERROR(IF(0=LEN(ReferenceData!$AK$66),"",ReferenceData!$AK$66),"")</f>
        <v>101.88</v>
      </c>
      <c r="AL66">
        <f ca="1">IFERROR(IF(0=LEN(ReferenceData!$AL$66),"",ReferenceData!$AL$66),"")</f>
        <v>104.96899999999999</v>
      </c>
      <c r="AM66">
        <f ca="1">IFERROR(IF(0=LEN(ReferenceData!$AM$66),"",ReferenceData!$AM$66),"")</f>
        <v>107.747</v>
      </c>
      <c r="AN66">
        <f ca="1">IFERROR(IF(0=LEN(ReferenceData!$AN$66),"",ReferenceData!$AN$66),"")</f>
        <v>107.24</v>
      </c>
      <c r="AO66">
        <f ca="1">IFERROR(IF(0=LEN(ReferenceData!$AO$66),"",ReferenceData!$AO$66),"")</f>
        <v>106.238</v>
      </c>
      <c r="AP66">
        <f ca="1">IFERROR(IF(0=LEN(ReferenceData!$AP$66),"",ReferenceData!$AP$66),"")</f>
        <v>99.045000000000002</v>
      </c>
      <c r="AQ66">
        <f ca="1">IFERROR(IF(0=LEN(ReferenceData!$AQ$66),"",ReferenceData!$AQ$66),"")</f>
        <v>107.48099999999999</v>
      </c>
      <c r="AR66">
        <f ca="1">IFERROR(IF(0=LEN(ReferenceData!$AR$66),"",ReferenceData!$AR$66),"")</f>
        <v>108.199</v>
      </c>
      <c r="AS66">
        <f ca="1">IFERROR(IF(0=LEN(ReferenceData!$AS$66),"",ReferenceData!$AS$66),"")</f>
        <v>99.744</v>
      </c>
      <c r="AT66">
        <f ca="1">IFERROR(IF(0=LEN(ReferenceData!$AT$66),"",ReferenceData!$AT$66),"")</f>
        <v>99.227999999999994</v>
      </c>
      <c r="AU66">
        <f ca="1">IFERROR(IF(0=LEN(ReferenceData!$AU$66),"",ReferenceData!$AU$66),"")</f>
        <v>97.947000000000003</v>
      </c>
      <c r="AV66">
        <f ca="1">IFERROR(IF(0=LEN(ReferenceData!$AV$66),"",ReferenceData!$AV$66),"")</f>
        <v>106.40300000000001</v>
      </c>
      <c r="AW66">
        <f ca="1">IFERROR(IF(0=LEN(ReferenceData!$AW$66),"",ReferenceData!$AW$66),"")</f>
        <v>100.96</v>
      </c>
      <c r="AX66">
        <f ca="1">IFERROR(IF(0=LEN(ReferenceData!$AX$66),"",ReferenceData!$AX$66),"")</f>
        <v>98.522999999999996</v>
      </c>
      <c r="AY66">
        <f ca="1">IFERROR(IF(0=LEN(ReferenceData!$AY$66),"",ReferenceData!$AY$66),"")</f>
        <v>99.941999999999993</v>
      </c>
      <c r="AZ66">
        <f ca="1">IFERROR(IF(0=LEN(ReferenceData!$AZ$66),"",ReferenceData!$AZ$66),"")</f>
        <v>99.792000000000002</v>
      </c>
      <c r="BA66">
        <f ca="1">IFERROR(IF(0=LEN(ReferenceData!$BA$66),"",ReferenceData!$BA$66),"")</f>
        <v>102.548</v>
      </c>
      <c r="BB66">
        <f ca="1">IFERROR(IF(0=LEN(ReferenceData!$BB$66),"",ReferenceData!$BB$66),"")</f>
        <v>93.138000000000005</v>
      </c>
      <c r="BC66">
        <f ca="1">IFERROR(IF(0=LEN(ReferenceData!$BC$66),"",ReferenceData!$BC$66),"")</f>
        <v>86.254999999999995</v>
      </c>
      <c r="BD66">
        <f ca="1">IFERROR(IF(0=LEN(ReferenceData!$BD$66),"",ReferenceData!$BD$66),"")</f>
        <v>94.852999999999994</v>
      </c>
      <c r="BE66">
        <f ca="1">IFERROR(IF(0=LEN(ReferenceData!$BE$66),"",ReferenceData!$BE$66),"")</f>
        <v>100.60599999999999</v>
      </c>
      <c r="BF66">
        <f ca="1">IFERROR(IF(0=LEN(ReferenceData!$BF$66),"",ReferenceData!$BF$66),"")</f>
        <v>93.525999999999996</v>
      </c>
      <c r="BG66">
        <f ca="1">IFERROR(IF(0=LEN(ReferenceData!$BG$66),"",ReferenceData!$BG$66),"")</f>
        <v>89.930999999999997</v>
      </c>
      <c r="BH66">
        <f ca="1">IFERROR(IF(0=LEN(ReferenceData!$BH$66),"",ReferenceData!$BH$66),"")</f>
        <v>97.846000000000004</v>
      </c>
      <c r="BI66">
        <f ca="1">IFERROR(IF(0=LEN(ReferenceData!$BI$66),"",ReferenceData!$BI$66),"")</f>
        <v>91.701003</v>
      </c>
      <c r="BJ66">
        <f ca="1">IFERROR(IF(0=LEN(ReferenceData!$BJ$66),"",ReferenceData!$BJ$66),"")</f>
        <v>90.742999999999995</v>
      </c>
      <c r="BK66">
        <f ca="1">IFERROR(IF(0=LEN(ReferenceData!$BK$66),"",ReferenceData!$BK$66),"")</f>
        <v>90.271999359999995</v>
      </c>
      <c r="BL66">
        <f ca="1">IFERROR(IF(0=LEN(ReferenceData!$BL$66),"",ReferenceData!$BL$66),"")</f>
        <v>91.603999999999999</v>
      </c>
      <c r="BM66">
        <f ca="1">IFERROR(IF(0=LEN(ReferenceData!$BM$66),"",ReferenceData!$BM$66),"")</f>
        <v>94.529999000000004</v>
      </c>
    </row>
    <row r="67" spans="1:65">
      <c r="A67" t="str">
        <f>IFERROR(IF(0=LEN(ReferenceData!$A$67),"",ReferenceData!$A$67),"")</f>
        <v xml:space="preserve">    Piedmont Office Realty Trust I</v>
      </c>
      <c r="B67" t="str">
        <f>IFERROR(IF(0=LEN(ReferenceData!$B$67),"",ReferenceData!$B$67),"")</f>
        <v>PDM US Equity</v>
      </c>
      <c r="C67" t="str">
        <f>IFERROR(IF(0=LEN(ReferenceData!$C$67),"",ReferenceData!$C$67),"")</f>
        <v>RR009</v>
      </c>
      <c r="D67" t="str">
        <f>IFERROR(IF(0=LEN(ReferenceData!$D$67),"",ReferenceData!$D$67),"")</f>
        <v>EBITDA</v>
      </c>
      <c r="E67" t="str">
        <f>IFERROR(IF(0=LEN(ReferenceData!$E$67),"",ReferenceData!$E$67),"")</f>
        <v>动态</v>
      </c>
      <c r="F67" t="str">
        <f ca="1">IFERROR(IF(0=LEN(ReferenceData!$F$67),"",ReferenceData!$F$67),"")</f>
        <v/>
      </c>
      <c r="G67">
        <f ca="1">IFERROR(IF(0=LEN(ReferenceData!$G$67),"",ReferenceData!$G$67),"")</f>
        <v>29.725999999999999</v>
      </c>
      <c r="H67">
        <f ca="1">IFERROR(IF(0=LEN(ReferenceData!$H$67),"",ReferenceData!$H$67),"")</f>
        <v>76.867999999999995</v>
      </c>
      <c r="I67">
        <f ca="1">IFERROR(IF(0=LEN(ReferenceData!$I$67),"",ReferenceData!$I$67),"")</f>
        <v>84.454999999999998</v>
      </c>
      <c r="J67">
        <f ca="1">IFERROR(IF(0=LEN(ReferenceData!$J$67),"",ReferenceData!$J$67),"")</f>
        <v>84.197000000000003</v>
      </c>
      <c r="K67">
        <f ca="1">IFERROR(IF(0=LEN(ReferenceData!$K$67),"",ReferenceData!$K$67),"")</f>
        <v>80.465999999999994</v>
      </c>
      <c r="L67">
        <f ca="1">IFERROR(IF(0=LEN(ReferenceData!$L$67),"",ReferenceData!$L$67),"")</f>
        <v>53.372</v>
      </c>
      <c r="M67">
        <f ca="1">IFERROR(IF(0=LEN(ReferenceData!$M$67),"",ReferenceData!$M$67),"")</f>
        <v>63.573999999999998</v>
      </c>
      <c r="N67">
        <f ca="1">IFERROR(IF(0=LEN(ReferenceData!$N$67),"",ReferenceData!$N$67),"")</f>
        <v>75.838999999999999</v>
      </c>
      <c r="O67">
        <f ca="1">IFERROR(IF(0=LEN(ReferenceData!$O$67),"",ReferenceData!$O$67),"")</f>
        <v>77.099000000000004</v>
      </c>
      <c r="P67">
        <f ca="1">IFERROR(IF(0=LEN(ReferenceData!$P$67),"",ReferenceData!$P$67),"")</f>
        <v>44.267000000000003</v>
      </c>
      <c r="Q67">
        <f ca="1">IFERROR(IF(0=LEN(ReferenceData!$Q$67),"",ReferenceData!$Q$67),"")</f>
        <v>71.947000000000003</v>
      </c>
      <c r="R67">
        <f ca="1">IFERROR(IF(0=LEN(ReferenceData!$R$67),"",ReferenceData!$R$67),"")</f>
        <v>79.251999999999995</v>
      </c>
      <c r="S67">
        <f ca="1">IFERROR(IF(0=LEN(ReferenceData!$S$67),"",ReferenceData!$S$67),"")</f>
        <v>78.551000000000002</v>
      </c>
      <c r="T67">
        <f ca="1">IFERROR(IF(0=LEN(ReferenceData!$T$67),"",ReferenceData!$T$67),"")</f>
        <v>76.923000000000002</v>
      </c>
      <c r="U67">
        <f ca="1">IFERROR(IF(0=LEN(ReferenceData!$U$67),"",ReferenceData!$U$67),"")</f>
        <v>74.003</v>
      </c>
      <c r="V67">
        <f ca="1">IFERROR(IF(0=LEN(ReferenceData!$V$67),"",ReferenceData!$V$67),"")</f>
        <v>73.349999999999994</v>
      </c>
      <c r="W67">
        <f ca="1">IFERROR(IF(0=LEN(ReferenceData!$W$67),"",ReferenceData!$W$67),"")</f>
        <v>78.498000000000005</v>
      </c>
      <c r="X67">
        <f ca="1">IFERROR(IF(0=LEN(ReferenceData!$X$67),"",ReferenceData!$X$67),"")</f>
        <v>79.34</v>
      </c>
      <c r="Y67">
        <f ca="1">IFERROR(IF(0=LEN(ReferenceData!$Y$67),"",ReferenceData!$Y$67),"")</f>
        <v>74.286000000000001</v>
      </c>
      <c r="Z67">
        <f ca="1">IFERROR(IF(0=LEN(ReferenceData!$Z$67),"",ReferenceData!$Z$67),"")</f>
        <v>76.262</v>
      </c>
      <c r="AA67">
        <f ca="1">IFERROR(IF(0=LEN(ReferenceData!$AA$67),"",ReferenceData!$AA$67),"")</f>
        <v>66.81</v>
      </c>
      <c r="AB67">
        <f ca="1">IFERROR(IF(0=LEN(ReferenceData!$AB$67),"",ReferenceData!$AB$67),"")</f>
        <v>77.492999999999995</v>
      </c>
      <c r="AC67">
        <f ca="1">IFERROR(IF(0=LEN(ReferenceData!$AC$67),"",ReferenceData!$AC$67),"")</f>
        <v>74.628</v>
      </c>
      <c r="AD67">
        <f ca="1">IFERROR(IF(0=LEN(ReferenceData!$AD$67),"",ReferenceData!$AD$67),"")</f>
        <v>74.763000000000005</v>
      </c>
      <c r="AE67">
        <f ca="1">IFERROR(IF(0=LEN(ReferenceData!$AE$67),"",ReferenceData!$AE$67),"")</f>
        <v>74.150999999999996</v>
      </c>
      <c r="AF67">
        <f ca="1">IFERROR(IF(0=LEN(ReferenceData!$AF$67),"",ReferenceData!$AF$67),"")</f>
        <v>80.198999999999998</v>
      </c>
      <c r="AG67">
        <f ca="1">IFERROR(IF(0=LEN(ReferenceData!$AG$67),"",ReferenceData!$AG$67),"")</f>
        <v>78.679000000000002</v>
      </c>
      <c r="AH67">
        <f ca="1">IFERROR(IF(0=LEN(ReferenceData!$AH$67),"",ReferenceData!$AH$67),"")</f>
        <v>79.605999999999995</v>
      </c>
      <c r="AI67">
        <f ca="1">IFERROR(IF(0=LEN(ReferenceData!$AI$67),"",ReferenceData!$AI$67),"")</f>
        <v>77.438999999999993</v>
      </c>
      <c r="AJ67">
        <f ca="1">IFERROR(IF(0=LEN(ReferenceData!$AJ$67),"",ReferenceData!$AJ$67),"")</f>
        <v>85.61</v>
      </c>
      <c r="AK67">
        <f ca="1">IFERROR(IF(0=LEN(ReferenceData!$AK$67),"",ReferenceData!$AK$67),"")</f>
        <v>81.201999999999998</v>
      </c>
      <c r="AL67">
        <f ca="1">IFERROR(IF(0=LEN(ReferenceData!$AL$67),"",ReferenceData!$AL$67),"")</f>
        <v>84.974999999999994</v>
      </c>
      <c r="AM67">
        <f ca="1">IFERROR(IF(0=LEN(ReferenceData!$AM$67),"",ReferenceData!$AM$67),"")</f>
        <v>85.787999999999997</v>
      </c>
      <c r="AN67">
        <f ca="1">IFERROR(IF(0=LEN(ReferenceData!$AN$67),"",ReferenceData!$AN$67),"")</f>
        <v>50.774999999999999</v>
      </c>
      <c r="AO67">
        <f ca="1">IFERROR(IF(0=LEN(ReferenceData!$AO$67),"",ReferenceData!$AO$67),"")</f>
        <v>84.522000000000006</v>
      </c>
      <c r="AP67">
        <f ca="1">IFERROR(IF(0=LEN(ReferenceData!$AP$67),"",ReferenceData!$AP$67),"")</f>
        <v>85.977999999999994</v>
      </c>
      <c r="AQ67">
        <f ca="1">IFERROR(IF(0=LEN(ReferenceData!$AQ$67),"",ReferenceData!$AQ$67),"")</f>
        <v>90.195999999999998</v>
      </c>
      <c r="AR67">
        <f ca="1">IFERROR(IF(0=LEN(ReferenceData!$AR$67),"",ReferenceData!$AR$67),"")</f>
        <v>94.094999999999999</v>
      </c>
      <c r="AS67">
        <f ca="1">IFERROR(IF(0=LEN(ReferenceData!$AS$67),"",ReferenceData!$AS$67),"")</f>
        <v>87.135000000000005</v>
      </c>
      <c r="AT67">
        <f ca="1">IFERROR(IF(0=LEN(ReferenceData!$AT$67),"",ReferenceData!$AT$67),"")</f>
        <v>94.212000000000003</v>
      </c>
      <c r="AU67">
        <f ca="1">IFERROR(IF(0=LEN(ReferenceData!$AU$67),"",ReferenceData!$AU$67),"")</f>
        <v>89.102999999999994</v>
      </c>
      <c r="AV67">
        <f ca="1">IFERROR(IF(0=LEN(ReferenceData!$AV$67),"",ReferenceData!$AV$67),"")</f>
        <v>86.204999999999998</v>
      </c>
      <c r="AW67">
        <f ca="1">IFERROR(IF(0=LEN(ReferenceData!$AW$67),"",ReferenceData!$AW$67),"")</f>
        <v>82.522000000000006</v>
      </c>
      <c r="AX67">
        <f ca="1">IFERROR(IF(0=LEN(ReferenceData!$AX$67),"",ReferenceData!$AX$67),"")</f>
        <v>82.870999999999995</v>
      </c>
      <c r="AY67">
        <f ca="1">IFERROR(IF(0=LEN(ReferenceData!$AY$67),"",ReferenceData!$AY$67),"")</f>
        <v>77.442999999999998</v>
      </c>
      <c r="AZ67">
        <f ca="1">IFERROR(IF(0=LEN(ReferenceData!$AZ$67),"",ReferenceData!$AZ$67),"")</f>
        <v>88.823999999999998</v>
      </c>
      <c r="BA67">
        <f ca="1">IFERROR(IF(0=LEN(ReferenceData!$BA$67),"",ReferenceData!$BA$67),"")</f>
        <v>80.356999999999999</v>
      </c>
      <c r="BB67">
        <f ca="1">IFERROR(IF(0=LEN(ReferenceData!$BB$67),"",ReferenceData!$BB$67),"")</f>
        <v>82.78</v>
      </c>
      <c r="BC67">
        <f ca="1">IFERROR(IF(0=LEN(ReferenceData!$BC$67),"",ReferenceData!$BC$67),"")</f>
        <v>77.39</v>
      </c>
      <c r="BD67">
        <f ca="1">IFERROR(IF(0=LEN(ReferenceData!$BD$67),"",ReferenceData!$BD$67),"")</f>
        <v>83.620999999999995</v>
      </c>
      <c r="BE67">
        <f ca="1">IFERROR(IF(0=LEN(ReferenceData!$BE$67),"",ReferenceData!$BE$67),"")</f>
        <v>108.39100000000001</v>
      </c>
      <c r="BF67">
        <f ca="1">IFERROR(IF(0=LEN(ReferenceData!$BF$67),"",ReferenceData!$BF$67),"")</f>
        <v>73.637</v>
      </c>
      <c r="BG67">
        <f ca="1">IFERROR(IF(0=LEN(ReferenceData!$BG$67),"",ReferenceData!$BG$67),"")</f>
        <v>93.417000000000002</v>
      </c>
      <c r="BH67">
        <f ca="1">IFERROR(IF(0=LEN(ReferenceData!$BH$67),"",ReferenceData!$BH$67),"")</f>
        <v>71.144000000000005</v>
      </c>
      <c r="BI67">
        <f ca="1">IFERROR(IF(0=LEN(ReferenceData!$BI$67),"",ReferenceData!$BI$67),"")</f>
        <v>111.9420013</v>
      </c>
      <c r="BJ67">
        <f ca="1">IFERROR(IF(0=LEN(ReferenceData!$BJ$67),"",ReferenceData!$BJ$67),"")</f>
        <v>84.725002770000003</v>
      </c>
      <c r="BK67">
        <f ca="1">IFERROR(IF(0=LEN(ReferenceData!$BK$67),"",ReferenceData!$BK$67),"")</f>
        <v>72.940001010000003</v>
      </c>
      <c r="BL67">
        <f ca="1">IFERROR(IF(0=LEN(ReferenceData!$BL$67),"",ReferenceData!$BL$67),"")</f>
        <v>65.222000600000001</v>
      </c>
      <c r="BM67">
        <f ca="1">IFERROR(IF(0=LEN(ReferenceData!$BM$67),"",ReferenceData!$BM$67),"")</f>
        <v>56.414999010000002</v>
      </c>
    </row>
    <row r="68" spans="1:65">
      <c r="A68" t="str">
        <f>IFERROR(IF(0=LEN(ReferenceData!$A$68),"",ReferenceData!$A$68),"")</f>
        <v xml:space="preserve">    SL Green Realty Corp</v>
      </c>
      <c r="B68" t="str">
        <f>IFERROR(IF(0=LEN(ReferenceData!$B$68),"",ReferenceData!$B$68),"")</f>
        <v>SLG US Equity</v>
      </c>
      <c r="C68" t="str">
        <f>IFERROR(IF(0=LEN(ReferenceData!$C$68),"",ReferenceData!$C$68),"")</f>
        <v>RR009</v>
      </c>
      <c r="D68" t="str">
        <f>IFERROR(IF(0=LEN(ReferenceData!$D$68),"",ReferenceData!$D$68),"")</f>
        <v>EBITDA</v>
      </c>
      <c r="E68" t="str">
        <f>IFERROR(IF(0=LEN(ReferenceData!$E$68),"",ReferenceData!$E$68),"")</f>
        <v>动态</v>
      </c>
      <c r="F68" t="str">
        <f ca="1">IFERROR(IF(0=LEN(ReferenceData!$F$68),"",ReferenceData!$F$68),"")</f>
        <v/>
      </c>
      <c r="G68">
        <f ca="1">IFERROR(IF(0=LEN(ReferenceData!$G$68),"",ReferenceData!$G$68),"")</f>
        <v>201.16499999999999</v>
      </c>
      <c r="H68">
        <f ca="1">IFERROR(IF(0=LEN(ReferenceData!$H$68),"",ReferenceData!$H$68),"")</f>
        <v>206.065</v>
      </c>
      <c r="I68">
        <f ca="1">IFERROR(IF(0=LEN(ReferenceData!$I$68),"",ReferenceData!$I$68),"")</f>
        <v>237.17500000000001</v>
      </c>
      <c r="J68">
        <f ca="1">IFERROR(IF(0=LEN(ReferenceData!$J$68),"",ReferenceData!$J$68),"")</f>
        <v>213.98400000000001</v>
      </c>
      <c r="K68">
        <f ca="1">IFERROR(IF(0=LEN(ReferenceData!$K$68),"",ReferenceData!$K$68),"")</f>
        <v>203.94499999999999</v>
      </c>
      <c r="L68">
        <f ca="1">IFERROR(IF(0=LEN(ReferenceData!$L$68),"",ReferenceData!$L$68),"")</f>
        <v>241.54900000000001</v>
      </c>
      <c r="M68">
        <f ca="1">IFERROR(IF(0=LEN(ReferenceData!$M$68),"",ReferenceData!$M$68),"")</f>
        <v>452.69299999999998</v>
      </c>
      <c r="N68">
        <f ca="1">IFERROR(IF(0=LEN(ReferenceData!$N$68),"",ReferenceData!$N$68),"")</f>
        <v>288.56299999999999</v>
      </c>
      <c r="O68">
        <f ca="1">IFERROR(IF(0=LEN(ReferenceData!$O$68),"",ReferenceData!$O$68),"")</f>
        <v>264.80900000000003</v>
      </c>
      <c r="P68">
        <f ca="1">IFERROR(IF(0=LEN(ReferenceData!$P$68),"",ReferenceData!$P$68),"")</f>
        <v>262.01299999999998</v>
      </c>
      <c r="Q68">
        <f ca="1">IFERROR(IF(0=LEN(ReferenceData!$Q$68),"",ReferenceData!$Q$68),"")</f>
        <v>254.273</v>
      </c>
      <c r="R68">
        <f ca="1">IFERROR(IF(0=LEN(ReferenceData!$R$68),"",ReferenceData!$R$68),"")</f>
        <v>235.62200000000001</v>
      </c>
      <c r="S68">
        <f ca="1">IFERROR(IF(0=LEN(ReferenceData!$S$68),"",ReferenceData!$S$68),"")</f>
        <v>231.16300000000001</v>
      </c>
      <c r="T68">
        <f ca="1">IFERROR(IF(0=LEN(ReferenceData!$T$68),"",ReferenceData!$T$68),"")</f>
        <v>236.9</v>
      </c>
      <c r="U68">
        <f ca="1">IFERROR(IF(0=LEN(ReferenceData!$U$68),"",ReferenceData!$U$68),"")</f>
        <v>233.09100000000001</v>
      </c>
      <c r="V68">
        <f ca="1">IFERROR(IF(0=LEN(ReferenceData!$V$68),"",ReferenceData!$V$68),"")</f>
        <v>213.58699999999999</v>
      </c>
      <c r="W68">
        <f ca="1">IFERROR(IF(0=LEN(ReferenceData!$W$68),"",ReferenceData!$W$68),"")</f>
        <v>199.56299999999999</v>
      </c>
      <c r="X68">
        <f ca="1">IFERROR(IF(0=LEN(ReferenceData!$X$68),"",ReferenceData!$X$68),"")</f>
        <v>193.31200000000001</v>
      </c>
      <c r="Y68">
        <f ca="1">IFERROR(IF(0=LEN(ReferenceData!$Y$68),"",ReferenceData!$Y$68),"")</f>
        <v>208.74</v>
      </c>
      <c r="Z68">
        <f ca="1">IFERROR(IF(0=LEN(ReferenceData!$Z$68),"",ReferenceData!$Z$68),"")</f>
        <v>212.309</v>
      </c>
      <c r="AA68">
        <f ca="1">IFERROR(IF(0=LEN(ReferenceData!$AA$68),"",ReferenceData!$AA$68),"")</f>
        <v>198.81299999999999</v>
      </c>
      <c r="AB68">
        <f ca="1">IFERROR(IF(0=LEN(ReferenceData!$AB$68),"",ReferenceData!$AB$68),"")</f>
        <v>196.66499999999999</v>
      </c>
      <c r="AC68">
        <f ca="1">IFERROR(IF(0=LEN(ReferenceData!$AC$68),"",ReferenceData!$AC$68),"")</f>
        <v>198.422</v>
      </c>
      <c r="AD68">
        <f ca="1">IFERROR(IF(0=LEN(ReferenceData!$AD$68),"",ReferenceData!$AD$68),"")</f>
        <v>187.37100000000001</v>
      </c>
      <c r="AE68">
        <f ca="1">IFERROR(IF(0=LEN(ReferenceData!$AE$68),"",ReferenceData!$AE$68),"")</f>
        <v>178.39699999999999</v>
      </c>
      <c r="AF68">
        <f ca="1">IFERROR(IF(0=LEN(ReferenceData!$AF$68),"",ReferenceData!$AF$68),"")</f>
        <v>167.928</v>
      </c>
      <c r="AG68">
        <f ca="1">IFERROR(IF(0=LEN(ReferenceData!$AG$68),"",ReferenceData!$AG$68),"")</f>
        <v>162.40799999999999</v>
      </c>
      <c r="AH68">
        <f ca="1">IFERROR(IF(0=LEN(ReferenceData!$AH$68),"",ReferenceData!$AH$68),"")</f>
        <v>203.04900000000001</v>
      </c>
      <c r="AI68">
        <f ca="1">IFERROR(IF(0=LEN(ReferenceData!$AI$68),"",ReferenceData!$AI$68),"")</f>
        <v>136.202</v>
      </c>
      <c r="AJ68">
        <f ca="1">IFERROR(IF(0=LEN(ReferenceData!$AJ$68),"",ReferenceData!$AJ$68),"")</f>
        <v>198.47900000000001</v>
      </c>
      <c r="AK68">
        <f ca="1">IFERROR(IF(0=LEN(ReferenceData!$AK$68),"",ReferenceData!$AK$68),"")</f>
        <v>129.80699999999999</v>
      </c>
      <c r="AL68">
        <f ca="1">IFERROR(IF(0=LEN(ReferenceData!$AL$68),"",ReferenceData!$AL$68),"")</f>
        <v>127.889</v>
      </c>
      <c r="AM68">
        <f ca="1">IFERROR(IF(0=LEN(ReferenceData!$AM$68),"",ReferenceData!$AM$68),"")</f>
        <v>104.244</v>
      </c>
      <c r="AN68">
        <f ca="1">IFERROR(IF(0=LEN(ReferenceData!$AN$68),"",ReferenceData!$AN$68),"")</f>
        <v>118.089</v>
      </c>
      <c r="AO68">
        <f ca="1">IFERROR(IF(0=LEN(ReferenceData!$AO$68),"",ReferenceData!$AO$68),"")</f>
        <v>92.897999999999996</v>
      </c>
      <c r="AP68">
        <f ca="1">IFERROR(IF(0=LEN(ReferenceData!$AP$68),"",ReferenceData!$AP$68),"")</f>
        <v>85.078999999999994</v>
      </c>
      <c r="AQ68">
        <f ca="1">IFERROR(IF(0=LEN(ReferenceData!$AQ$68),"",ReferenceData!$AQ$68),"")</f>
        <v>37.828000000000003</v>
      </c>
      <c r="AR68">
        <f ca="1">IFERROR(IF(0=LEN(ReferenceData!$AR$68),"",ReferenceData!$AR$68),"")</f>
        <v>141.88800000000001</v>
      </c>
      <c r="AS68">
        <f ca="1">IFERROR(IF(0=LEN(ReferenceData!$AS$68),"",ReferenceData!$AS$68),"")</f>
        <v>167.97800000000001</v>
      </c>
      <c r="AT68">
        <f ca="1">IFERROR(IF(0=LEN(ReferenceData!$AT$68),"",ReferenceData!$AT$68),"")</f>
        <v>138.607</v>
      </c>
      <c r="AU68">
        <f ca="1">IFERROR(IF(0=LEN(ReferenceData!$AU$68),"",ReferenceData!$AU$68),"")</f>
        <v>138.98599999999999</v>
      </c>
      <c r="AV68">
        <f ca="1">IFERROR(IF(0=LEN(ReferenceData!$AV$68),"",ReferenceData!$AV$68),"")</f>
        <v>131.24100000000001</v>
      </c>
      <c r="AW68">
        <f ca="1">IFERROR(IF(0=LEN(ReferenceData!$AW$68),"",ReferenceData!$AW$68),"")</f>
        <v>143.881</v>
      </c>
      <c r="AX68">
        <f ca="1">IFERROR(IF(0=LEN(ReferenceData!$AX$68),"",ReferenceData!$AX$68),"")</f>
        <v>174.28</v>
      </c>
      <c r="AY68">
        <f ca="1">IFERROR(IF(0=LEN(ReferenceData!$AY$68),"",ReferenceData!$AY$68),"")</f>
        <v>76.981999999999999</v>
      </c>
      <c r="AZ68">
        <f ca="1">IFERROR(IF(0=LEN(ReferenceData!$AZ$68),"",ReferenceData!$AZ$68),"")</f>
        <v>64.489999999999995</v>
      </c>
      <c r="BA68">
        <f ca="1">IFERROR(IF(0=LEN(ReferenceData!$BA$68),"",ReferenceData!$BA$68),"")</f>
        <v>59.817999999999998</v>
      </c>
      <c r="BB68">
        <f ca="1">IFERROR(IF(0=LEN(ReferenceData!$BB$68),"",ReferenceData!$BB$68),"")</f>
        <v>54.103999999999999</v>
      </c>
      <c r="BC68">
        <f ca="1">IFERROR(IF(0=LEN(ReferenceData!$BC$68),"",ReferenceData!$BC$68),"")</f>
        <v>51.725000000000001</v>
      </c>
      <c r="BD68">
        <f ca="1">IFERROR(IF(0=LEN(ReferenceData!$BD$68),"",ReferenceData!$BD$68),"")</f>
        <v>58.363</v>
      </c>
      <c r="BE68">
        <f ca="1">IFERROR(IF(0=LEN(ReferenceData!$BE$68),"",ReferenceData!$BE$68),"")</f>
        <v>48.265999999999998</v>
      </c>
      <c r="BF68">
        <f ca="1">IFERROR(IF(0=LEN(ReferenceData!$BF$68),"",ReferenceData!$BF$68),"")</f>
        <v>49.838000000000001</v>
      </c>
      <c r="BG68">
        <f ca="1">IFERROR(IF(0=LEN(ReferenceData!$BG$68),"",ReferenceData!$BG$68),"")</f>
        <v>39.725000000000001</v>
      </c>
      <c r="BH68">
        <f ca="1">IFERROR(IF(0=LEN(ReferenceData!$BH$68),"",ReferenceData!$BH$68),"")</f>
        <v>40.505000000000003</v>
      </c>
      <c r="BI68">
        <f ca="1">IFERROR(IF(0=LEN(ReferenceData!$BI$68),"",ReferenceData!$BI$68),"")</f>
        <v>47.115000000000002</v>
      </c>
      <c r="BJ68">
        <f ca="1">IFERROR(IF(0=LEN(ReferenceData!$BJ$68),"",ReferenceData!$BJ$68),"")</f>
        <v>42.125</v>
      </c>
      <c r="BK68">
        <f ca="1">IFERROR(IF(0=LEN(ReferenceData!$BK$68),"",ReferenceData!$BK$68),"")</f>
        <v>39.793999669999998</v>
      </c>
      <c r="BL68">
        <f ca="1">IFERROR(IF(0=LEN(ReferenceData!$BL$68),"",ReferenceData!$BL$68),"")</f>
        <v>38.981999999999999</v>
      </c>
      <c r="BM68">
        <f ca="1">IFERROR(IF(0=LEN(ReferenceData!$BM$68),"",ReferenceData!$BM$68),"")</f>
        <v>38.335999999999999</v>
      </c>
    </row>
    <row r="69" spans="1:65">
      <c r="A69" t="str">
        <f>IFERROR(IF(0=LEN(ReferenceData!$A$69),"",ReferenceData!$A$69),"")</f>
        <v xml:space="preserve">    Vornado Realty Trust</v>
      </c>
      <c r="B69" t="str">
        <f>IFERROR(IF(0=LEN(ReferenceData!$B$69),"",ReferenceData!$B$69),"")</f>
        <v>VNO US Equity</v>
      </c>
      <c r="C69" t="str">
        <f>IFERROR(IF(0=LEN(ReferenceData!$C$69),"",ReferenceData!$C$69),"")</f>
        <v>RR009</v>
      </c>
      <c r="D69" t="str">
        <f>IFERROR(IF(0=LEN(ReferenceData!$D$69),"",ReferenceData!$D$69),"")</f>
        <v>EBITDA</v>
      </c>
      <c r="E69" t="str">
        <f>IFERROR(IF(0=LEN(ReferenceData!$E$69),"",ReferenceData!$E$69),"")</f>
        <v>动态</v>
      </c>
      <c r="F69" t="str">
        <f ca="1">IFERROR(IF(0=LEN(ReferenceData!$F$69),"",ReferenceData!$F$69),"")</f>
        <v/>
      </c>
      <c r="G69">
        <f ca="1">IFERROR(IF(0=LEN(ReferenceData!$G$69),"",ReferenceData!$G$69),"")</f>
        <v>270.45100000000002</v>
      </c>
      <c r="H69">
        <f ca="1">IFERROR(IF(0=LEN(ReferenceData!$H$69),"",ReferenceData!$H$69),"")</f>
        <v>268.82100000000003</v>
      </c>
      <c r="I69">
        <f ca="1">IFERROR(IF(0=LEN(ReferenceData!$I$69),"",ReferenceData!$I$69),"")</f>
        <v>314.476</v>
      </c>
      <c r="J69">
        <f ca="1">IFERROR(IF(0=LEN(ReferenceData!$J$69),"",ReferenceData!$J$69),"")</f>
        <v>290.89400000000001</v>
      </c>
      <c r="K69">
        <f ca="1">IFERROR(IF(0=LEN(ReferenceData!$K$69),"",ReferenceData!$K$69),"")</f>
        <v>312.80799999999999</v>
      </c>
      <c r="L69">
        <f ca="1">IFERROR(IF(0=LEN(ReferenceData!$L$69),"",ReferenceData!$L$69),"")</f>
        <v>323.78699999999998</v>
      </c>
      <c r="M69">
        <f ca="1">IFERROR(IF(0=LEN(ReferenceData!$M$69),"",ReferenceData!$M$69),"")</f>
        <v>323.40300000000002</v>
      </c>
      <c r="N69">
        <f ca="1">IFERROR(IF(0=LEN(ReferenceData!$N$69),"",ReferenceData!$N$69),"")</f>
        <v>132.86099999999999</v>
      </c>
      <c r="O69">
        <f ca="1">IFERROR(IF(0=LEN(ReferenceData!$O$69),"",ReferenceData!$O$69),"")</f>
        <v>320.28100000000001</v>
      </c>
      <c r="P69">
        <f ca="1">IFERROR(IF(0=LEN(ReferenceData!$P$69),"",ReferenceData!$P$69),"")</f>
        <v>319.20600000000002</v>
      </c>
      <c r="Q69">
        <f ca="1">IFERROR(IF(0=LEN(ReferenceData!$Q$69),"",ReferenceData!$Q$69),"")</f>
        <v>321.84300000000002</v>
      </c>
      <c r="R69">
        <f ca="1">IFERROR(IF(0=LEN(ReferenceData!$R$69),"",ReferenceData!$R$69),"")</f>
        <v>286.072</v>
      </c>
      <c r="S69">
        <f ca="1">IFERROR(IF(0=LEN(ReferenceData!$S$69),"",ReferenceData!$S$69),"")</f>
        <v>318.57100000000003</v>
      </c>
      <c r="T69">
        <f ca="1">IFERROR(IF(0=LEN(ReferenceData!$T$69),"",ReferenceData!$T$69),"")</f>
        <v>307.87200000000001</v>
      </c>
      <c r="U69">
        <f ca="1">IFERROR(IF(0=LEN(ReferenceData!$U$69),"",ReferenceData!$U$69),"")</f>
        <v>300.96199999999999</v>
      </c>
      <c r="V69">
        <f ca="1">IFERROR(IF(0=LEN(ReferenceData!$V$69),"",ReferenceData!$V$69),"")</f>
        <v>299.11</v>
      </c>
      <c r="W69">
        <f ca="1">IFERROR(IF(0=LEN(ReferenceData!$W$69),"",ReferenceData!$W$69),"")</f>
        <v>304.17099999999999</v>
      </c>
      <c r="X69">
        <f ca="1">IFERROR(IF(0=LEN(ReferenceData!$X$69),"",ReferenceData!$X$69),"")</f>
        <v>352.62700000000001</v>
      </c>
      <c r="Y69">
        <f ca="1">IFERROR(IF(0=LEN(ReferenceData!$Y$69),"",ReferenceData!$Y$69),"")</f>
        <v>322.27600000000001</v>
      </c>
      <c r="Z69">
        <f ca="1">IFERROR(IF(0=LEN(ReferenceData!$Z$69),"",ReferenceData!$Z$69),"")</f>
        <v>399.21199999999999</v>
      </c>
      <c r="AA69">
        <f ca="1">IFERROR(IF(0=LEN(ReferenceData!$AA$69),"",ReferenceData!$AA$69),"")</f>
        <v>205.32</v>
      </c>
      <c r="AB69">
        <f ca="1">IFERROR(IF(0=LEN(ReferenceData!$AB$69),"",ReferenceData!$AB$69),"")</f>
        <v>319.49599999999998</v>
      </c>
      <c r="AC69">
        <f ca="1">IFERROR(IF(0=LEN(ReferenceData!$AC$69),"",ReferenceData!$AC$69),"")</f>
        <v>330.46899999999999</v>
      </c>
      <c r="AD69">
        <f ca="1">IFERROR(IF(0=LEN(ReferenceData!$AD$69),"",ReferenceData!$AD$69),"")</f>
        <v>313.709</v>
      </c>
      <c r="AE69">
        <f ca="1">IFERROR(IF(0=LEN(ReferenceData!$AE$69),"",ReferenceData!$AE$69),"")</f>
        <v>354.142</v>
      </c>
      <c r="AF69">
        <f ca="1">IFERROR(IF(0=LEN(ReferenceData!$AF$69),"",ReferenceData!$AF$69),"")</f>
        <v>340.988</v>
      </c>
      <c r="AG69">
        <f ca="1">IFERROR(IF(0=LEN(ReferenceData!$AG$69),"",ReferenceData!$AG$69),"")</f>
        <v>351.68400000000003</v>
      </c>
      <c r="AH69">
        <f ca="1">IFERROR(IF(0=LEN(ReferenceData!$AH$69),"",ReferenceData!$AH$69),"")</f>
        <v>315.16199999999998</v>
      </c>
      <c r="AI69">
        <f ca="1">IFERROR(IF(0=LEN(ReferenceData!$AI$69),"",ReferenceData!$AI$69),"")</f>
        <v>211.119</v>
      </c>
      <c r="AJ69">
        <f ca="1">IFERROR(IF(0=LEN(ReferenceData!$AJ$69),"",ReferenceData!$AJ$69),"")</f>
        <v>347.97300000000001</v>
      </c>
      <c r="AK69">
        <f ca="1">IFERROR(IF(0=LEN(ReferenceData!$AK$69),"",ReferenceData!$AK$69),"")</f>
        <v>360.90300000000002</v>
      </c>
      <c r="AL69">
        <f ca="1">IFERROR(IF(0=LEN(ReferenceData!$AL$69),"",ReferenceData!$AL$69),"")</f>
        <v>352.541</v>
      </c>
      <c r="AM69">
        <f ca="1">IFERROR(IF(0=LEN(ReferenceData!$AM$69),"",ReferenceData!$AM$69),"")</f>
        <v>302.33999999999997</v>
      </c>
      <c r="AN69">
        <f ca="1">IFERROR(IF(0=LEN(ReferenceData!$AN$69),"",ReferenceData!$AN$69),"")</f>
        <v>340.24299999999999</v>
      </c>
      <c r="AO69">
        <f ca="1">IFERROR(IF(0=LEN(ReferenceData!$AO$69),"",ReferenceData!$AO$69),"")</f>
        <v>339.82900000000001</v>
      </c>
      <c r="AP69">
        <f ca="1">IFERROR(IF(0=LEN(ReferenceData!$AP$69),"",ReferenceData!$AP$69),"")</f>
        <v>307.14299999999997</v>
      </c>
      <c r="AQ69">
        <f ca="1">IFERROR(IF(0=LEN(ReferenceData!$AQ$69),"",ReferenceData!$AQ$69),"")</f>
        <v>352.47699999999998</v>
      </c>
      <c r="AR69">
        <f ca="1">IFERROR(IF(0=LEN(ReferenceData!$AR$69),"",ReferenceData!$AR$69),"")</f>
        <v>330.26100000000002</v>
      </c>
      <c r="AS69">
        <f ca="1">IFERROR(IF(0=LEN(ReferenceData!$AS$69),"",ReferenceData!$AS$69),"")</f>
        <v>344.91699999999997</v>
      </c>
      <c r="AT69">
        <f ca="1">IFERROR(IF(0=LEN(ReferenceData!$AT$69),"",ReferenceData!$AT$69),"")</f>
        <v>339.44400000000002</v>
      </c>
      <c r="AU69">
        <f ca="1">IFERROR(IF(0=LEN(ReferenceData!$AU$69),"",ReferenceData!$AU$69),"")</f>
        <v>358.16800000000001</v>
      </c>
      <c r="AV69">
        <f ca="1">IFERROR(IF(0=LEN(ReferenceData!$AV$69),"",ReferenceData!$AV$69),"")</f>
        <v>330.02699999999999</v>
      </c>
      <c r="AW69">
        <f ca="1">IFERROR(IF(0=LEN(ReferenceData!$AW$69),"",ReferenceData!$AW$69),"")</f>
        <v>311.43700000000001</v>
      </c>
      <c r="AX69">
        <f ca="1">IFERROR(IF(0=LEN(ReferenceData!$AX$69),"",ReferenceData!$AX$69),"")</f>
        <v>284.161</v>
      </c>
      <c r="AY69">
        <f ca="1">IFERROR(IF(0=LEN(ReferenceData!$AY$69),"",ReferenceData!$AY$69),"")</f>
        <v>282.00299999999999</v>
      </c>
      <c r="AZ69">
        <f ca="1">IFERROR(IF(0=LEN(ReferenceData!$AZ$69),"",ReferenceData!$AZ$69),"")</f>
        <v>270.89999999999998</v>
      </c>
      <c r="BA69">
        <f ca="1">IFERROR(IF(0=LEN(ReferenceData!$BA$69),"",ReferenceData!$BA$69),"")</f>
        <v>294.24700000000001</v>
      </c>
      <c r="BB69">
        <f ca="1">IFERROR(IF(0=LEN(ReferenceData!$BB$69),"",ReferenceData!$BB$69),"")</f>
        <v>291.101</v>
      </c>
      <c r="BC69">
        <f ca="1">IFERROR(IF(0=LEN(ReferenceData!$BC$69),"",ReferenceData!$BC$69),"")</f>
        <v>308.94099999999997</v>
      </c>
      <c r="BD69">
        <f ca="1">IFERROR(IF(0=LEN(ReferenceData!$BD$69),"",ReferenceData!$BD$69),"")</f>
        <v>217.39400000000001</v>
      </c>
      <c r="BE69">
        <f ca="1">IFERROR(IF(0=LEN(ReferenceData!$BE$69),"",ReferenceData!$BE$69),"")</f>
        <v>262.60899999999998</v>
      </c>
      <c r="BF69">
        <f ca="1">IFERROR(IF(0=LEN(ReferenceData!$BF$69),"",ReferenceData!$BF$69),"")</f>
        <v>260.90300000000002</v>
      </c>
      <c r="BG69">
        <f ca="1">IFERROR(IF(0=LEN(ReferenceData!$BG$69),"",ReferenceData!$BG$69),"")</f>
        <v>381.91300000000001</v>
      </c>
      <c r="BH69">
        <f ca="1">IFERROR(IF(0=LEN(ReferenceData!$BH$69),"",ReferenceData!$BH$69),"")</f>
        <v>233.88499999999999</v>
      </c>
      <c r="BI69">
        <f ca="1">IFERROR(IF(0=LEN(ReferenceData!$BI$69),"",ReferenceData!$BI$69),"")</f>
        <v>237.537002</v>
      </c>
      <c r="BJ69">
        <f ca="1">IFERROR(IF(0=LEN(ReferenceData!$BJ$69),"",ReferenceData!$BJ$69),"")</f>
        <v>218.92900499999999</v>
      </c>
      <c r="BK69">
        <f ca="1">IFERROR(IF(0=LEN(ReferenceData!$BK$69),"",ReferenceData!$BK$69),"")</f>
        <v>214.12200200000001</v>
      </c>
      <c r="BL69">
        <f ca="1">IFERROR(IF(0=LEN(ReferenceData!$BL$69),"",ReferenceData!$BL$69),"")</f>
        <v>203.01700700000001</v>
      </c>
      <c r="BM69">
        <f ca="1">IFERROR(IF(0=LEN(ReferenceData!$BM$69),"",ReferenceData!$BM$69),"")</f>
        <v>207.712997</v>
      </c>
    </row>
    <row r="70" spans="1:65">
      <c r="A70" t="str">
        <f>IFERROR(IF(0=LEN(ReferenceData!$A$70),"",ReferenceData!$A$70),"")</f>
        <v>调整后EBITDA</v>
      </c>
      <c r="B70" t="str">
        <f>IFERROR(IF(0=LEN(ReferenceData!$B$70),"",ReferenceData!$B$70),"")</f>
        <v/>
      </c>
      <c r="C70" t="str">
        <f>IFERROR(IF(0=LEN(ReferenceData!$C$70),"",ReferenceData!$C$70),"")</f>
        <v/>
      </c>
      <c r="D70" t="str">
        <f>IFERROR(IF(0=LEN(ReferenceData!$D$70),"",ReferenceData!$D$70),"")</f>
        <v/>
      </c>
      <c r="E70" t="str">
        <f>IFERROR(IF(0=LEN(ReferenceData!$E$70),"",ReferenceData!$E$70),"")</f>
        <v>Median</v>
      </c>
      <c r="F70" t="str">
        <f ca="1">IFERROR(IF(0=LEN(ReferenceData!$F$70),"",ReferenceData!$F$70),"")</f>
        <v/>
      </c>
      <c r="G70">
        <f ca="1">IFERROR(IF(0=LEN(ReferenceData!$G$70),"",ReferenceData!$G$70),"")</f>
        <v>81.569999999999993</v>
      </c>
      <c r="H70">
        <f ca="1">IFERROR(IF(0=LEN(ReferenceData!$H$70),"",ReferenceData!$H$70),"")</f>
        <v>148.084</v>
      </c>
      <c r="I70">
        <f ca="1">IFERROR(IF(0=LEN(ReferenceData!$I$70),"",ReferenceData!$I$70),"")</f>
        <v>88.427999999999997</v>
      </c>
      <c r="J70">
        <f ca="1">IFERROR(IF(0=LEN(ReferenceData!$J$70),"",ReferenceData!$J$70),"")</f>
        <v>88.602999999999994</v>
      </c>
      <c r="K70">
        <f ca="1">IFERROR(IF(0=LEN(ReferenceData!$K$70),"",ReferenceData!$K$70),"")</f>
        <v>88.35</v>
      </c>
      <c r="L70">
        <f ca="1">IFERROR(IF(0=LEN(ReferenceData!$L$70),"",ReferenceData!$L$70),"")</f>
        <v>87.616</v>
      </c>
      <c r="M70">
        <f ca="1">IFERROR(IF(0=LEN(ReferenceData!$M$70),"",ReferenceData!$M$70),"")</f>
        <v>85.498000000000005</v>
      </c>
      <c r="N70">
        <f ca="1">IFERROR(IF(0=LEN(ReferenceData!$N$70),"",ReferenceData!$N$70),"")</f>
        <v>87.757000000000005</v>
      </c>
      <c r="O70">
        <f ca="1">IFERROR(IF(0=LEN(ReferenceData!$O$70),"",ReferenceData!$O$70),"")</f>
        <v>96.283000000000001</v>
      </c>
      <c r="P70">
        <f ca="1">IFERROR(IF(0=LEN(ReferenceData!$P$70),"",ReferenceData!$P$70),"")</f>
        <v>97.241</v>
      </c>
      <c r="Q70">
        <f ca="1">IFERROR(IF(0=LEN(ReferenceData!$Q$70),"",ReferenceData!$Q$70),"")</f>
        <v>93.382000000000005</v>
      </c>
      <c r="R70">
        <f ca="1">IFERROR(IF(0=LEN(ReferenceData!$R$70),"",ReferenceData!$R$70),"")</f>
        <v>96.445999999999998</v>
      </c>
      <c r="S70">
        <f ca="1">IFERROR(IF(0=LEN(ReferenceData!$S$70),"",ReferenceData!$S$70),"")</f>
        <v>365.74400000000003</v>
      </c>
      <c r="T70">
        <f ca="1">IFERROR(IF(0=LEN(ReferenceData!$T$70),"",ReferenceData!$T$70),"")</f>
        <v>93.888999999999996</v>
      </c>
      <c r="U70">
        <f ca="1">IFERROR(IF(0=LEN(ReferenceData!$U$70),"",ReferenceData!$U$70),"")</f>
        <v>96.078999999999994</v>
      </c>
      <c r="V70">
        <f ca="1">IFERROR(IF(0=LEN(ReferenceData!$V$70),"",ReferenceData!$V$70),"")</f>
        <v>93.123000000000005</v>
      </c>
      <c r="W70">
        <f ca="1">IFERROR(IF(0=LEN(ReferenceData!$W$70),"",ReferenceData!$W$70),"")</f>
        <v>86.989000000000004</v>
      </c>
      <c r="X70">
        <f ca="1">IFERROR(IF(0=LEN(ReferenceData!$X$70),"",ReferenceData!$X$70),"")</f>
        <v>90.379000000000005</v>
      </c>
      <c r="Y70">
        <f ca="1">IFERROR(IF(0=LEN(ReferenceData!$Y$70),"",ReferenceData!$Y$70),"")</f>
        <v>91.929000000000002</v>
      </c>
      <c r="Z70">
        <f ca="1">IFERROR(IF(0=LEN(ReferenceData!$Z$70),"",ReferenceData!$Z$70),"")</f>
        <v>90.213999999999999</v>
      </c>
      <c r="AA70">
        <f ca="1">IFERROR(IF(0=LEN(ReferenceData!$AA$70),"",ReferenceData!$AA$70),"")</f>
        <v>90.064999999999998</v>
      </c>
      <c r="AB70">
        <f ca="1">IFERROR(IF(0=LEN(ReferenceData!$AB$70),"",ReferenceData!$AB$70),"")</f>
        <v>208.52800000000002</v>
      </c>
      <c r="AC70">
        <f ca="1">IFERROR(IF(0=LEN(ReferenceData!$AC$70),"",ReferenceData!$AC$70),"")</f>
        <v>215.36149999999998</v>
      </c>
      <c r="AD70">
        <f ca="1">IFERROR(IF(0=LEN(ReferenceData!$AD$70),"",ReferenceData!$AD$70),"")</f>
        <v>211.983</v>
      </c>
      <c r="AE70">
        <f ca="1">IFERROR(IF(0=LEN(ReferenceData!$AE$70),"",ReferenceData!$AE$70),"")</f>
        <v>209.77850000000001</v>
      </c>
      <c r="AF70">
        <f ca="1">IFERROR(IF(0=LEN(ReferenceData!$AF$70),"",ReferenceData!$AF$70),"")</f>
        <v>88.281000000000006</v>
      </c>
      <c r="AG70">
        <f ca="1">IFERROR(IF(0=LEN(ReferenceData!$AG$70),"",ReferenceData!$AG$70),"")</f>
        <v>90.093000000000004</v>
      </c>
      <c r="AH70">
        <f ca="1">IFERROR(IF(0=LEN(ReferenceData!$AH$70),"",ReferenceData!$AH$70),"")</f>
        <v>87.986999999999995</v>
      </c>
      <c r="AI70">
        <f ca="1">IFERROR(IF(0=LEN(ReferenceData!$AI$70),"",ReferenceData!$AI$70),"")</f>
        <v>196.27749999999997</v>
      </c>
      <c r="AJ70">
        <f ca="1">IFERROR(IF(0=LEN(ReferenceData!$AJ$70),"",ReferenceData!$AJ$70),"")</f>
        <v>160.71100000000001</v>
      </c>
      <c r="AK70">
        <f ca="1">IFERROR(IF(0=LEN(ReferenceData!$AK$70),"",ReferenceData!$AK$70),"")</f>
        <v>191.18650000000002</v>
      </c>
      <c r="AL70">
        <f ca="1">IFERROR(IF(0=LEN(ReferenceData!$AL$70),"",ReferenceData!$AL$70),"")</f>
        <v>185.09649999999999</v>
      </c>
      <c r="AM70">
        <f ca="1">IFERROR(IF(0=LEN(ReferenceData!$AM$70),"",ReferenceData!$AM$70),"")</f>
        <v>187.21799999999999</v>
      </c>
      <c r="AN70">
        <f ca="1">IFERROR(IF(0=LEN(ReferenceData!$AN$70),"",ReferenceData!$AN$70),"")</f>
        <v>188.79450000000003</v>
      </c>
      <c r="AO70">
        <f ca="1">IFERROR(IF(0=LEN(ReferenceData!$AO$70),"",ReferenceData!$AO$70),"")</f>
        <v>196.48700000000002</v>
      </c>
      <c r="AP70">
        <f ca="1">IFERROR(IF(0=LEN(ReferenceData!$AP$70),"",ReferenceData!$AP$70),"")</f>
        <v>190.40500000000003</v>
      </c>
      <c r="AQ70">
        <f ca="1">IFERROR(IF(0=LEN(ReferenceData!$AQ$70),"",ReferenceData!$AQ$70),"")</f>
        <v>368.65600000000001</v>
      </c>
      <c r="AR70">
        <f ca="1">IFERROR(IF(0=LEN(ReferenceData!$AR$70),"",ReferenceData!$AR$70),"")</f>
        <v>281.42200000000003</v>
      </c>
      <c r="AS70">
        <f ca="1">IFERROR(IF(0=LEN(ReferenceData!$AS$70),"",ReferenceData!$AS$70),"")</f>
        <v>243.5</v>
      </c>
      <c r="AT70">
        <f ca="1">IFERROR(IF(0=LEN(ReferenceData!$AT$70),"",ReferenceData!$AT$70),"")</f>
        <v>231.40799999999999</v>
      </c>
      <c r="AU70">
        <f ca="1">IFERROR(IF(0=LEN(ReferenceData!$AU$70),"",ReferenceData!$AU$70),"")</f>
        <v>334.57749999999999</v>
      </c>
      <c r="AV70" t="str">
        <f ca="1">IFERROR(IF(0=LEN(ReferenceData!$AV$70),"",ReferenceData!$AV$70),"")</f>
        <v/>
      </c>
      <c r="AW70">
        <f ca="1">IFERROR(IF(0=LEN(ReferenceData!$AW$70),"",ReferenceData!$AW$70),"")</f>
        <v>244.89699999999999</v>
      </c>
      <c r="AX70">
        <f ca="1">IFERROR(IF(0=LEN(ReferenceData!$AX$70),"",ReferenceData!$AX$70),"")</f>
        <v>232.99600000000001</v>
      </c>
      <c r="AY70" t="str">
        <f ca="1">IFERROR(IF(0=LEN(ReferenceData!$AY$70),"",ReferenceData!$AY$70),"")</f>
        <v/>
      </c>
      <c r="AZ70" t="str">
        <f ca="1">IFERROR(IF(0=LEN(ReferenceData!$AZ$70),"",ReferenceData!$AZ$70),"")</f>
        <v/>
      </c>
      <c r="BA70">
        <f ca="1">IFERROR(IF(0=LEN(ReferenceData!$BA$70),"",ReferenceData!$BA$70),"")</f>
        <v>373.01</v>
      </c>
      <c r="BB70" t="str">
        <f ca="1">IFERROR(IF(0=LEN(ReferenceData!$BB$70),"",ReferenceData!$BB$70),"")</f>
        <v/>
      </c>
      <c r="BC70" t="str">
        <f ca="1">IFERROR(IF(0=LEN(ReferenceData!$BC$70),"",ReferenceData!$BC$70),"")</f>
        <v/>
      </c>
      <c r="BD70" t="str">
        <f ca="1">IFERROR(IF(0=LEN(ReferenceData!$BD$70),"",ReferenceData!$BD$70),"")</f>
        <v/>
      </c>
      <c r="BE70" t="str">
        <f ca="1">IFERROR(IF(0=LEN(ReferenceData!$BE$70),"",ReferenceData!$BE$70),"")</f>
        <v/>
      </c>
      <c r="BF70" t="str">
        <f ca="1">IFERROR(IF(0=LEN(ReferenceData!$BF$70),"",ReferenceData!$BF$70),"")</f>
        <v/>
      </c>
      <c r="BG70" t="str">
        <f ca="1">IFERROR(IF(0=LEN(ReferenceData!$BG$70),"",ReferenceData!$BG$70),"")</f>
        <v/>
      </c>
      <c r="BH70" t="str">
        <f ca="1">IFERROR(IF(0=LEN(ReferenceData!$BH$70),"",ReferenceData!$BH$70),"")</f>
        <v/>
      </c>
      <c r="BI70" t="str">
        <f ca="1">IFERROR(IF(0=LEN(ReferenceData!$BI$70),"",ReferenceData!$BI$70),"")</f>
        <v/>
      </c>
      <c r="BJ70" t="str">
        <f ca="1">IFERROR(IF(0=LEN(ReferenceData!$BJ$70),"",ReferenceData!$BJ$70),"")</f>
        <v/>
      </c>
      <c r="BK70" t="str">
        <f ca="1">IFERROR(IF(0=LEN(ReferenceData!$BK$70),"",ReferenceData!$BK$70),"")</f>
        <v/>
      </c>
      <c r="BL70" t="str">
        <f ca="1">IFERROR(IF(0=LEN(ReferenceData!$BL$70),"",ReferenceData!$BL$70),"")</f>
        <v/>
      </c>
      <c r="BM70" t="str">
        <f ca="1">IFERROR(IF(0=LEN(ReferenceData!$BM$70),"",ReferenceData!$BM$70),"")</f>
        <v/>
      </c>
    </row>
    <row r="71" spans="1:65">
      <c r="A71" t="str">
        <f>IFERROR(IF(0=LEN(ReferenceData!$A$71),"",ReferenceData!$A$71),"")</f>
        <v xml:space="preserve">    Boston Properties Inc</v>
      </c>
      <c r="B71" t="str">
        <f>IFERROR(IF(0=LEN(ReferenceData!$B$71),"",ReferenceData!$B$71),"")</f>
        <v>BXP US Equity</v>
      </c>
      <c r="C71" t="str">
        <f>IFERROR(IF(0=LEN(ReferenceData!$C$71),"",ReferenceData!$C$71),"")</f>
        <v>IS972</v>
      </c>
      <c r="D71" t="str">
        <f>IFERROR(IF(0=LEN(ReferenceData!$D$71),"",ReferenceData!$D$71),"")</f>
        <v>IS_ADJUSTED_EBITDA_AS_REPORTED</v>
      </c>
      <c r="E71" t="str">
        <f>IFERROR(IF(0=LEN(ReferenceData!$E$71),"",ReferenceData!$E$71),"")</f>
        <v>动态</v>
      </c>
      <c r="F71" t="str">
        <f ca="1">IFERROR(IF(0=LEN(ReferenceData!$F$71),"",ReferenceData!$F$71),"")</f>
        <v/>
      </c>
      <c r="G71">
        <f ca="1">IFERROR(IF(0=LEN(ReferenceData!$G$71),"",ReferenceData!$G$71),"")</f>
        <v>402.52</v>
      </c>
      <c r="H71">
        <f ca="1">IFERROR(IF(0=LEN(ReferenceData!$H$71),"",ReferenceData!$H$71),"")</f>
        <v>402.85599999999999</v>
      </c>
      <c r="I71">
        <f ca="1">IFERROR(IF(0=LEN(ReferenceData!$I$71),"",ReferenceData!$I$71),"")</f>
        <v>408.40300000000002</v>
      </c>
      <c r="J71">
        <f ca="1">IFERROR(IF(0=LEN(ReferenceData!$J$71),"",ReferenceData!$J$71),"")</f>
        <v>381.82100000000003</v>
      </c>
      <c r="K71">
        <f ca="1">IFERROR(IF(0=LEN(ReferenceData!$K$71),"",ReferenceData!$K$71),"")</f>
        <v>392.62200000000001</v>
      </c>
      <c r="L71">
        <f ca="1">IFERROR(IF(0=LEN(ReferenceData!$L$71),"",ReferenceData!$L$71),"")</f>
        <v>381.2</v>
      </c>
      <c r="M71">
        <f ca="1">IFERROR(IF(0=LEN(ReferenceData!$M$71),"",ReferenceData!$M$71),"")</f>
        <v>383.495</v>
      </c>
      <c r="N71">
        <f ca="1">IFERROR(IF(0=LEN(ReferenceData!$N$71),"",ReferenceData!$N$71),"")</f>
        <v>421.46699999999998</v>
      </c>
      <c r="O71">
        <f ca="1">IFERROR(IF(0=LEN(ReferenceData!$O$71),"",ReferenceData!$O$71),"")</f>
        <v>385.90100000000001</v>
      </c>
      <c r="P71">
        <f ca="1">IFERROR(IF(0=LEN(ReferenceData!$P$71),"",ReferenceData!$P$71),"")</f>
        <v>395.22899999999998</v>
      </c>
      <c r="Q71">
        <f ca="1">IFERROR(IF(0=LEN(ReferenceData!$Q$71),"",ReferenceData!$Q$71),"")</f>
        <v>385.43700000000001</v>
      </c>
      <c r="R71">
        <f ca="1">IFERROR(IF(0=LEN(ReferenceData!$R$71),"",ReferenceData!$R$71),"")</f>
        <v>376.42500000000001</v>
      </c>
      <c r="S71">
        <f ca="1">IFERROR(IF(0=LEN(ReferenceData!$S$71),"",ReferenceData!$S$71),"")</f>
        <v>384.447</v>
      </c>
      <c r="T71">
        <f ca="1">IFERROR(IF(0=LEN(ReferenceData!$T$71),"",ReferenceData!$T$71),"")</f>
        <v>388.48899999999998</v>
      </c>
      <c r="U71">
        <f ca="1">IFERROR(IF(0=LEN(ReferenceData!$U$71),"",ReferenceData!$U$71),"")</f>
        <v>369.13299999999998</v>
      </c>
      <c r="V71">
        <f ca="1">IFERROR(IF(0=LEN(ReferenceData!$V$71),"",ReferenceData!$V$71),"")</f>
        <v>342.20699999999999</v>
      </c>
      <c r="W71">
        <f ca="1">IFERROR(IF(0=LEN(ReferenceData!$W$71),"",ReferenceData!$W$71),"")</f>
        <v>360.85500000000002</v>
      </c>
      <c r="X71">
        <f ca="1">IFERROR(IF(0=LEN(ReferenceData!$X$71),"",ReferenceData!$X$71),"")</f>
        <v>355.40199999999999</v>
      </c>
      <c r="Y71">
        <f ca="1">IFERROR(IF(0=LEN(ReferenceData!$Y$71),"",ReferenceData!$Y$71),"")</f>
        <v>369.13299999999998</v>
      </c>
      <c r="Z71">
        <f ca="1">IFERROR(IF(0=LEN(ReferenceData!$Z$71),"",ReferenceData!$Z$71),"")</f>
        <v>342.20699999999999</v>
      </c>
      <c r="AA71">
        <f ca="1">IFERROR(IF(0=LEN(ReferenceData!$AA$71),"",ReferenceData!$AA$71),"")</f>
        <v>343.36500000000001</v>
      </c>
      <c r="AB71">
        <f ca="1">IFERROR(IF(0=LEN(ReferenceData!$AB$71),"",ReferenceData!$AB$71),"")</f>
        <v>330.13499999999999</v>
      </c>
      <c r="AC71">
        <f ca="1">IFERROR(IF(0=LEN(ReferenceData!$AC$71),"",ReferenceData!$AC$71),"")</f>
        <v>341.358</v>
      </c>
      <c r="AD71">
        <f ca="1">IFERROR(IF(0=LEN(ReferenceData!$AD$71),"",ReferenceData!$AD$71),"")</f>
        <v>334.74099999999999</v>
      </c>
      <c r="AE71">
        <f ca="1">IFERROR(IF(0=LEN(ReferenceData!$AE$71),"",ReferenceData!$AE$71),"")</f>
        <v>330.44299999999998</v>
      </c>
      <c r="AF71">
        <f ca="1">IFERROR(IF(0=LEN(ReferenceData!$AF$71),"",ReferenceData!$AF$71),"")</f>
        <v>334.74099999999999</v>
      </c>
      <c r="AG71">
        <f ca="1">IFERROR(IF(0=LEN(ReferenceData!$AG$71),"",ReferenceData!$AG$71),"")</f>
        <v>325.56200000000001</v>
      </c>
      <c r="AH71">
        <f ca="1">IFERROR(IF(0=LEN(ReferenceData!$AH$71),"",ReferenceData!$AH$71),"")</f>
        <v>306.58800000000002</v>
      </c>
      <c r="AI71">
        <f ca="1">IFERROR(IF(0=LEN(ReferenceData!$AI$71),"",ReferenceData!$AI$71),"")</f>
        <v>301.613</v>
      </c>
      <c r="AJ71">
        <f ca="1">IFERROR(IF(0=LEN(ReferenceData!$AJ$71),"",ReferenceData!$AJ$71),"")</f>
        <v>234.029</v>
      </c>
      <c r="AK71">
        <f ca="1">IFERROR(IF(0=LEN(ReferenceData!$AK$71),"",ReferenceData!$AK$71),"")</f>
        <v>296.572</v>
      </c>
      <c r="AL71">
        <f ca="1">IFERROR(IF(0=LEN(ReferenceData!$AL$71),"",ReferenceData!$AL$71),"")</f>
        <v>284.7</v>
      </c>
      <c r="AM71">
        <f ca="1">IFERROR(IF(0=LEN(ReferenceData!$AM$71),"",ReferenceData!$AM$71),"")</f>
        <v>288.66899999999998</v>
      </c>
      <c r="AN71">
        <f ca="1">IFERROR(IF(0=LEN(ReferenceData!$AN$71),"",ReferenceData!$AN$71),"")</f>
        <v>284.26400000000001</v>
      </c>
      <c r="AO71">
        <f ca="1">IFERROR(IF(0=LEN(ReferenceData!$AO$71),"",ReferenceData!$AO$71),"")</f>
        <v>302.81</v>
      </c>
      <c r="AP71">
        <f ca="1">IFERROR(IF(0=LEN(ReferenceData!$AP$71),"",ReferenceData!$AP$71),"")</f>
        <v>290.74200000000002</v>
      </c>
      <c r="AQ71">
        <f ca="1">IFERROR(IF(0=LEN(ReferenceData!$AQ$71),"",ReferenceData!$AQ$71),"")</f>
        <v>302.30700000000002</v>
      </c>
      <c r="AR71">
        <f ca="1">IFERROR(IF(0=LEN(ReferenceData!$AR$71),"",ReferenceData!$AR$71),"")</f>
        <v>281.42200000000003</v>
      </c>
      <c r="AS71">
        <f ca="1">IFERROR(IF(0=LEN(ReferenceData!$AS$71),"",ReferenceData!$AS$71),"")</f>
        <v>243.5</v>
      </c>
      <c r="AT71">
        <f ca="1">IFERROR(IF(0=LEN(ReferenceData!$AT$71),"",ReferenceData!$AT$71),"")</f>
        <v>231.40799999999999</v>
      </c>
      <c r="AU71">
        <f ca="1">IFERROR(IF(0=LEN(ReferenceData!$AU$71),"",ReferenceData!$AU$71),"")</f>
        <v>244.452</v>
      </c>
      <c r="AV71" t="str">
        <f ca="1">IFERROR(IF(0=LEN(ReferenceData!$AV$71),"",ReferenceData!$AV$71),"")</f>
        <v/>
      </c>
      <c r="AW71">
        <f ca="1">IFERROR(IF(0=LEN(ReferenceData!$AW$71),"",ReferenceData!$AW$71),"")</f>
        <v>244.89699999999999</v>
      </c>
      <c r="AX71">
        <f ca="1">IFERROR(IF(0=LEN(ReferenceData!$AX$71),"",ReferenceData!$AX$71),"")</f>
        <v>232.99600000000001</v>
      </c>
      <c r="AY71" t="str">
        <f ca="1">IFERROR(IF(0=LEN(ReferenceData!$AY$71),"",ReferenceData!$AY$71),"")</f>
        <v/>
      </c>
      <c r="AZ71" t="str">
        <f ca="1">IFERROR(IF(0=LEN(ReferenceData!$AZ$71),"",ReferenceData!$AZ$71),"")</f>
        <v/>
      </c>
      <c r="BA71" t="str">
        <f ca="1">IFERROR(IF(0=LEN(ReferenceData!$BA$71),"",ReferenceData!$BA$71),"")</f>
        <v/>
      </c>
      <c r="BB71" t="str">
        <f ca="1">IFERROR(IF(0=LEN(ReferenceData!$BB$71),"",ReferenceData!$BB$71),"")</f>
        <v/>
      </c>
      <c r="BC71" t="str">
        <f ca="1">IFERROR(IF(0=LEN(ReferenceData!$BC$71),"",ReferenceData!$BC$71),"")</f>
        <v/>
      </c>
      <c r="BD71" t="str">
        <f ca="1">IFERROR(IF(0=LEN(ReferenceData!$BD$71),"",ReferenceData!$BD$71),"")</f>
        <v/>
      </c>
      <c r="BE71" t="str">
        <f ca="1">IFERROR(IF(0=LEN(ReferenceData!$BE$71),"",ReferenceData!$BE$71),"")</f>
        <v/>
      </c>
      <c r="BF71" t="str">
        <f ca="1">IFERROR(IF(0=LEN(ReferenceData!$BF$71),"",ReferenceData!$BF$71),"")</f>
        <v/>
      </c>
      <c r="BG71" t="str">
        <f ca="1">IFERROR(IF(0=LEN(ReferenceData!$BG$71),"",ReferenceData!$BG$71),"")</f>
        <v/>
      </c>
      <c r="BH71" t="str">
        <f ca="1">IFERROR(IF(0=LEN(ReferenceData!$BH$71),"",ReferenceData!$BH$71),"")</f>
        <v/>
      </c>
      <c r="BI71" t="str">
        <f ca="1">IFERROR(IF(0=LEN(ReferenceData!$BI$71),"",ReferenceData!$BI$71),"")</f>
        <v/>
      </c>
      <c r="BJ71" t="str">
        <f ca="1">IFERROR(IF(0=LEN(ReferenceData!$BJ$71),"",ReferenceData!$BJ$71),"")</f>
        <v/>
      </c>
      <c r="BK71" t="str">
        <f ca="1">IFERROR(IF(0=LEN(ReferenceData!$BK$71),"",ReferenceData!$BK$71),"")</f>
        <v/>
      </c>
      <c r="BL71" t="str">
        <f ca="1">IFERROR(IF(0=LEN(ReferenceData!$BL$71),"",ReferenceData!$BL$71),"")</f>
        <v/>
      </c>
      <c r="BM71" t="str">
        <f ca="1">IFERROR(IF(0=LEN(ReferenceData!$BM$71),"",ReferenceData!$BM$71),"")</f>
        <v/>
      </c>
    </row>
    <row r="72" spans="1:65">
      <c r="A72" t="str">
        <f>IFERROR(IF(0=LEN(ReferenceData!$A$72),"",ReferenceData!$A$72),"")</f>
        <v xml:space="preserve">    Brandywine Realty Trust</v>
      </c>
      <c r="B72" t="str">
        <f>IFERROR(IF(0=LEN(ReferenceData!$B$72),"",ReferenceData!$B$72),"")</f>
        <v>BDN US Equity</v>
      </c>
      <c r="C72" t="str">
        <f>IFERROR(IF(0=LEN(ReferenceData!$C$72),"",ReferenceData!$C$72),"")</f>
        <v>IS972</v>
      </c>
      <c r="D72" t="str">
        <f>IFERROR(IF(0=LEN(ReferenceData!$D$72),"",ReferenceData!$D$72),"")</f>
        <v>IS_ADJUSTED_EBITDA_AS_REPORTED</v>
      </c>
      <c r="E72" t="str">
        <f>IFERROR(IF(0=LEN(ReferenceData!$E$72),"",ReferenceData!$E$72),"")</f>
        <v>动态</v>
      </c>
      <c r="F72" t="str">
        <f ca="1">IFERROR(IF(0=LEN(ReferenceData!$F$72),"",ReferenceData!$F$72),"")</f>
        <v/>
      </c>
      <c r="G72">
        <f ca="1">IFERROR(IF(0=LEN(ReferenceData!$G$72),"",ReferenceData!$G$72),"")</f>
        <v>86.182000000000002</v>
      </c>
      <c r="H72">
        <f ca="1">IFERROR(IF(0=LEN(ReferenceData!$H$72),"",ReferenceData!$H$72),"")</f>
        <v>87.245999999999995</v>
      </c>
      <c r="I72">
        <f ca="1">IFERROR(IF(0=LEN(ReferenceData!$I$72),"",ReferenceData!$I$72),"")</f>
        <v>88.427999999999997</v>
      </c>
      <c r="J72">
        <f ca="1">IFERROR(IF(0=LEN(ReferenceData!$J$72),"",ReferenceData!$J$72),"")</f>
        <v>88.602999999999994</v>
      </c>
      <c r="K72">
        <f ca="1">IFERROR(IF(0=LEN(ReferenceData!$K$72),"",ReferenceData!$K$72),"")</f>
        <v>88.35</v>
      </c>
      <c r="L72">
        <f ca="1">IFERROR(IF(0=LEN(ReferenceData!$L$72),"",ReferenceData!$L$72),"")</f>
        <v>87.616</v>
      </c>
      <c r="M72">
        <f ca="1">IFERROR(IF(0=LEN(ReferenceData!$M$72),"",ReferenceData!$M$72),"")</f>
        <v>85.498000000000005</v>
      </c>
      <c r="N72">
        <f ca="1">IFERROR(IF(0=LEN(ReferenceData!$N$72),"",ReferenceData!$N$72),"")</f>
        <v>87.757000000000005</v>
      </c>
      <c r="O72">
        <f ca="1">IFERROR(IF(0=LEN(ReferenceData!$O$72),"",ReferenceData!$O$72),"")</f>
        <v>96.283000000000001</v>
      </c>
      <c r="P72">
        <f ca="1">IFERROR(IF(0=LEN(ReferenceData!$P$72),"",ReferenceData!$P$72),"")</f>
        <v>97.241</v>
      </c>
      <c r="Q72">
        <f ca="1">IFERROR(IF(0=LEN(ReferenceData!$Q$72),"",ReferenceData!$Q$72),"")</f>
        <v>93.382000000000005</v>
      </c>
      <c r="R72">
        <f ca="1">IFERROR(IF(0=LEN(ReferenceData!$R$72),"",ReferenceData!$R$72),"")</f>
        <v>96.445999999999998</v>
      </c>
      <c r="S72">
        <f ca="1">IFERROR(IF(0=LEN(ReferenceData!$S$72),"",ReferenceData!$S$72),"")</f>
        <v>379.81099999999998</v>
      </c>
      <c r="T72">
        <f ca="1">IFERROR(IF(0=LEN(ReferenceData!$T$72),"",ReferenceData!$T$72),"")</f>
        <v>93.888999999999996</v>
      </c>
      <c r="U72">
        <f ca="1">IFERROR(IF(0=LEN(ReferenceData!$U$72),"",ReferenceData!$U$72),"")</f>
        <v>96.078999999999994</v>
      </c>
      <c r="V72">
        <f ca="1">IFERROR(IF(0=LEN(ReferenceData!$V$72),"",ReferenceData!$V$72),"")</f>
        <v>93.123000000000005</v>
      </c>
      <c r="W72">
        <f ca="1">IFERROR(IF(0=LEN(ReferenceData!$W$72),"",ReferenceData!$W$72),"")</f>
        <v>86.989000000000004</v>
      </c>
      <c r="X72">
        <f ca="1">IFERROR(IF(0=LEN(ReferenceData!$X$72),"",ReferenceData!$X$72),"")</f>
        <v>89.22</v>
      </c>
      <c r="Y72">
        <f ca="1">IFERROR(IF(0=LEN(ReferenceData!$Y$72),"",ReferenceData!$Y$72),"")</f>
        <v>88.194000000000003</v>
      </c>
      <c r="Z72">
        <f ca="1">IFERROR(IF(0=LEN(ReferenceData!$Z$72),"",ReferenceData!$Z$72),"")</f>
        <v>90.213999999999999</v>
      </c>
      <c r="AA72">
        <f ca="1">IFERROR(IF(0=LEN(ReferenceData!$AA$72),"",ReferenceData!$AA$72),"")</f>
        <v>90.064999999999998</v>
      </c>
      <c r="AB72">
        <f ca="1">IFERROR(IF(0=LEN(ReferenceData!$AB$72),"",ReferenceData!$AB$72),"")</f>
        <v>86.921000000000006</v>
      </c>
      <c r="AC72">
        <f ca="1">IFERROR(IF(0=LEN(ReferenceData!$AC$72),"",ReferenceData!$AC$72),"")</f>
        <v>89.364999999999995</v>
      </c>
      <c r="AD72">
        <f ca="1">IFERROR(IF(0=LEN(ReferenceData!$AD$72),"",ReferenceData!$AD$72),"")</f>
        <v>89.224999999999994</v>
      </c>
      <c r="AE72">
        <f ca="1">IFERROR(IF(0=LEN(ReferenceData!$AE$72),"",ReferenceData!$AE$72),"")</f>
        <v>89.114000000000004</v>
      </c>
      <c r="AF72">
        <f ca="1">IFERROR(IF(0=LEN(ReferenceData!$AF$72),"",ReferenceData!$AF$72),"")</f>
        <v>88.281000000000006</v>
      </c>
      <c r="AG72">
        <f ca="1">IFERROR(IF(0=LEN(ReferenceData!$AG$72),"",ReferenceData!$AG$72),"")</f>
        <v>90.093000000000004</v>
      </c>
      <c r="AH72">
        <f ca="1">IFERROR(IF(0=LEN(ReferenceData!$AH$72),"",ReferenceData!$AH$72),"")</f>
        <v>87.986999999999995</v>
      </c>
      <c r="AI72">
        <f ca="1">IFERROR(IF(0=LEN(ReferenceData!$AI$72),"",ReferenceData!$AI$72),"")</f>
        <v>90.941999999999993</v>
      </c>
      <c r="AJ72">
        <f ca="1">IFERROR(IF(0=LEN(ReferenceData!$AJ$72),"",ReferenceData!$AJ$72),"")</f>
        <v>87.393000000000001</v>
      </c>
      <c r="AK72">
        <f ca="1">IFERROR(IF(0=LEN(ReferenceData!$AK$72),"",ReferenceData!$AK$72),"")</f>
        <v>85.801000000000002</v>
      </c>
      <c r="AL72">
        <f ca="1">IFERROR(IF(0=LEN(ReferenceData!$AL$72),"",ReferenceData!$AL$72),"")</f>
        <v>85.492999999999995</v>
      </c>
      <c r="AM72">
        <f ca="1">IFERROR(IF(0=LEN(ReferenceData!$AM$72),"",ReferenceData!$AM$72),"")</f>
        <v>85.766999999999996</v>
      </c>
      <c r="AN72">
        <f ca="1">IFERROR(IF(0=LEN(ReferenceData!$AN$72),"",ReferenceData!$AN$72),"")</f>
        <v>93.325000000000003</v>
      </c>
      <c r="AO72">
        <f ca="1">IFERROR(IF(0=LEN(ReferenceData!$AO$72),"",ReferenceData!$AO$72),"")</f>
        <v>90.164000000000001</v>
      </c>
      <c r="AP72">
        <f ca="1">IFERROR(IF(0=LEN(ReferenceData!$AP$72),"",ReferenceData!$AP$72),"")</f>
        <v>90.067999999999998</v>
      </c>
      <c r="AQ72" t="str">
        <f ca="1">IFERROR(IF(0=LEN(ReferenceData!$AQ$72),"",ReferenceData!$AQ$72),"")</f>
        <v/>
      </c>
      <c r="AR72" t="str">
        <f ca="1">IFERROR(IF(0=LEN(ReferenceData!$AR$72),"",ReferenceData!$AR$72),"")</f>
        <v/>
      </c>
      <c r="AS72" t="str">
        <f ca="1">IFERROR(IF(0=LEN(ReferenceData!$AS$72),"",ReferenceData!$AS$72),"")</f>
        <v/>
      </c>
      <c r="AT72" t="str">
        <f ca="1">IFERROR(IF(0=LEN(ReferenceData!$AT$72),"",ReferenceData!$AT$72),"")</f>
        <v/>
      </c>
      <c r="AU72" t="str">
        <f ca="1">IFERROR(IF(0=LEN(ReferenceData!$AU$72),"",ReferenceData!$AU$72),"")</f>
        <v/>
      </c>
      <c r="AV72" t="str">
        <f ca="1">IFERROR(IF(0=LEN(ReferenceData!$AV$72),"",ReferenceData!$AV$72),"")</f>
        <v/>
      </c>
      <c r="AW72" t="str">
        <f ca="1">IFERROR(IF(0=LEN(ReferenceData!$AW$72),"",ReferenceData!$AW$72),"")</f>
        <v/>
      </c>
      <c r="AX72" t="str">
        <f ca="1">IFERROR(IF(0=LEN(ReferenceData!$AX$72),"",ReferenceData!$AX$72),"")</f>
        <v/>
      </c>
      <c r="AY72" t="str">
        <f ca="1">IFERROR(IF(0=LEN(ReferenceData!$AY$72),"",ReferenceData!$AY$72),"")</f>
        <v/>
      </c>
      <c r="AZ72" t="str">
        <f ca="1">IFERROR(IF(0=LEN(ReferenceData!$AZ$72),"",ReferenceData!$AZ$72),"")</f>
        <v/>
      </c>
      <c r="BA72" t="str">
        <f ca="1">IFERROR(IF(0=LEN(ReferenceData!$BA$72),"",ReferenceData!$BA$72),"")</f>
        <v/>
      </c>
      <c r="BB72" t="str">
        <f ca="1">IFERROR(IF(0=LEN(ReferenceData!$BB$72),"",ReferenceData!$BB$72),"")</f>
        <v/>
      </c>
      <c r="BC72" t="str">
        <f ca="1">IFERROR(IF(0=LEN(ReferenceData!$BC$72),"",ReferenceData!$BC$72),"")</f>
        <v/>
      </c>
      <c r="BD72" t="str">
        <f ca="1">IFERROR(IF(0=LEN(ReferenceData!$BD$72),"",ReferenceData!$BD$72),"")</f>
        <v/>
      </c>
      <c r="BE72" t="str">
        <f ca="1">IFERROR(IF(0=LEN(ReferenceData!$BE$72),"",ReferenceData!$BE$72),"")</f>
        <v/>
      </c>
      <c r="BF72" t="str">
        <f ca="1">IFERROR(IF(0=LEN(ReferenceData!$BF$72),"",ReferenceData!$BF$72),"")</f>
        <v/>
      </c>
      <c r="BG72" t="str">
        <f ca="1">IFERROR(IF(0=LEN(ReferenceData!$BG$72),"",ReferenceData!$BG$72),"")</f>
        <v/>
      </c>
      <c r="BH72" t="str">
        <f ca="1">IFERROR(IF(0=LEN(ReferenceData!$BH$72),"",ReferenceData!$BH$72),"")</f>
        <v/>
      </c>
      <c r="BI72" t="str">
        <f ca="1">IFERROR(IF(0=LEN(ReferenceData!$BI$72),"",ReferenceData!$BI$72),"")</f>
        <v/>
      </c>
      <c r="BJ72" t="str">
        <f ca="1">IFERROR(IF(0=LEN(ReferenceData!$BJ$72),"",ReferenceData!$BJ$72),"")</f>
        <v/>
      </c>
      <c r="BK72" t="str">
        <f ca="1">IFERROR(IF(0=LEN(ReferenceData!$BK$72),"",ReferenceData!$BK$72),"")</f>
        <v/>
      </c>
      <c r="BL72" t="str">
        <f ca="1">IFERROR(IF(0=LEN(ReferenceData!$BL$72),"",ReferenceData!$BL$72),"")</f>
        <v/>
      </c>
      <c r="BM72" t="str">
        <f ca="1">IFERROR(IF(0=LEN(ReferenceData!$BM$72),"",ReferenceData!$BM$72),"")</f>
        <v/>
      </c>
    </row>
    <row r="73" spans="1:65">
      <c r="A73" t="str">
        <f>IFERROR(IF(0=LEN(ReferenceData!$A$73),"",ReferenceData!$A$73),"")</f>
        <v xml:space="preserve">    Columbia Property Trust Inc</v>
      </c>
      <c r="B73" t="str">
        <f>IFERROR(IF(0=LEN(ReferenceData!$B$73),"",ReferenceData!$B$73),"")</f>
        <v>CXP US Equity</v>
      </c>
      <c r="C73" t="str">
        <f>IFERROR(IF(0=LEN(ReferenceData!$C$73),"",ReferenceData!$C$73),"")</f>
        <v>IS972</v>
      </c>
      <c r="D73" t="str">
        <f>IFERROR(IF(0=LEN(ReferenceData!$D$73),"",ReferenceData!$D$73),"")</f>
        <v>IS_ADJUSTED_EBITDA_AS_REPORTED</v>
      </c>
      <c r="E73" t="str">
        <f>IFERROR(IF(0=LEN(ReferenceData!$E$73),"",ReferenceData!$E$73),"")</f>
        <v>动态</v>
      </c>
      <c r="F73" t="str">
        <f ca="1">IFERROR(IF(0=LEN(ReferenceData!$F$73),"",ReferenceData!$F$73),"")</f>
        <v/>
      </c>
      <c r="G73">
        <f ca="1">IFERROR(IF(0=LEN(ReferenceData!$G$73),"",ReferenceData!$G$73),"")</f>
        <v>52.912999999999997</v>
      </c>
      <c r="H73">
        <f ca="1">IFERROR(IF(0=LEN(ReferenceData!$H$73),"",ReferenceData!$H$73),"")</f>
        <v>148.084</v>
      </c>
      <c r="I73">
        <f ca="1">IFERROR(IF(0=LEN(ReferenceData!$I$73),"",ReferenceData!$I$73),"")</f>
        <v>45.972000000000001</v>
      </c>
      <c r="J73">
        <f ca="1">IFERROR(IF(0=LEN(ReferenceData!$J$73),"",ReferenceData!$J$73),"")</f>
        <v>49.261000000000003</v>
      </c>
      <c r="K73">
        <f ca="1">IFERROR(IF(0=LEN(ReferenceData!$K$73),"",ReferenceData!$K$73),"")</f>
        <v>60.689</v>
      </c>
      <c r="L73">
        <f ca="1">IFERROR(IF(0=LEN(ReferenceData!$L$73),"",ReferenceData!$L$73),"")</f>
        <v>63.679000000000002</v>
      </c>
      <c r="M73">
        <f ca="1">IFERROR(IF(0=LEN(ReferenceData!$M$73),"",ReferenceData!$M$73),"")</f>
        <v>76.781999999999996</v>
      </c>
      <c r="N73">
        <f ca="1">IFERROR(IF(0=LEN(ReferenceData!$N$73),"",ReferenceData!$N$73),"")</f>
        <v>73.117000000000004</v>
      </c>
      <c r="O73">
        <f ca="1">IFERROR(IF(0=LEN(ReferenceData!$O$73),"",ReferenceData!$O$73),"")</f>
        <v>78.162000000000006</v>
      </c>
      <c r="P73">
        <f ca="1">IFERROR(IF(0=LEN(ReferenceData!$P$73),"",ReferenceData!$P$73),"")</f>
        <v>78.581000000000003</v>
      </c>
      <c r="Q73">
        <f ca="1">IFERROR(IF(0=LEN(ReferenceData!$Q$73),"",ReferenceData!$Q$73),"")</f>
        <v>87.313000000000002</v>
      </c>
      <c r="R73">
        <f ca="1">IFERROR(IF(0=LEN(ReferenceData!$R$73),"",ReferenceData!$R$73),"")</f>
        <v>84.769000000000005</v>
      </c>
      <c r="S73">
        <f ca="1">IFERROR(IF(0=LEN(ReferenceData!$S$73),"",ReferenceData!$S$73),"")</f>
        <v>79.444000000000003</v>
      </c>
      <c r="T73">
        <f ca="1">IFERROR(IF(0=LEN(ReferenceData!$T$73),"",ReferenceData!$T$73),"")</f>
        <v>81.983999999999995</v>
      </c>
      <c r="U73">
        <f ca="1">IFERROR(IF(0=LEN(ReferenceData!$U$73),"",ReferenceData!$U$73),"")</f>
        <v>84.006</v>
      </c>
      <c r="V73">
        <f ca="1">IFERROR(IF(0=LEN(ReferenceData!$V$73),"",ReferenceData!$V$73),"")</f>
        <v>78.869</v>
      </c>
      <c r="W73">
        <f ca="1">IFERROR(IF(0=LEN(ReferenceData!$W$73),"",ReferenceData!$W$73),"")</f>
        <v>84.206999999999994</v>
      </c>
      <c r="X73">
        <f ca="1">IFERROR(IF(0=LEN(ReferenceData!$X$73),"",ReferenceData!$X$73),"")</f>
        <v>90.379000000000005</v>
      </c>
      <c r="Y73">
        <f ca="1">IFERROR(IF(0=LEN(ReferenceData!$Y$73),"",ReferenceData!$Y$73),"")</f>
        <v>91.929000000000002</v>
      </c>
      <c r="Z73">
        <f ca="1">IFERROR(IF(0=LEN(ReferenceData!$Z$73),"",ReferenceData!$Z$73),"")</f>
        <v>84.061999999999998</v>
      </c>
      <c r="AA73">
        <f ca="1">IFERROR(IF(0=LEN(ReferenceData!$AA$73),"",ReferenceData!$AA$73),"")</f>
        <v>81.665999999999997</v>
      </c>
      <c r="AB73" t="str">
        <f ca="1">IFERROR(IF(0=LEN(ReferenceData!$AB$73),"",ReferenceData!$AB$73),"")</f>
        <v/>
      </c>
      <c r="AC73" t="str">
        <f ca="1">IFERROR(IF(0=LEN(ReferenceData!$AC$73),"",ReferenceData!$AC$73),"")</f>
        <v/>
      </c>
      <c r="AD73" t="str">
        <f ca="1">IFERROR(IF(0=LEN(ReferenceData!$AD$73),"",ReferenceData!$AD$73),"")</f>
        <v/>
      </c>
      <c r="AE73" t="str">
        <f ca="1">IFERROR(IF(0=LEN(ReferenceData!$AE$73),"",ReferenceData!$AE$73),"")</f>
        <v/>
      </c>
      <c r="AF73" t="str">
        <f ca="1">IFERROR(IF(0=LEN(ReferenceData!$AF$73),"",ReferenceData!$AF$73),"")</f>
        <v/>
      </c>
      <c r="AG73" t="str">
        <f ca="1">IFERROR(IF(0=LEN(ReferenceData!$AG$73),"",ReferenceData!$AG$73),"")</f>
        <v/>
      </c>
      <c r="AH73" t="str">
        <f ca="1">IFERROR(IF(0=LEN(ReferenceData!$AH$73),"",ReferenceData!$AH$73),"")</f>
        <v/>
      </c>
      <c r="AI73" t="str">
        <f ca="1">IFERROR(IF(0=LEN(ReferenceData!$AI$73),"",ReferenceData!$AI$73),"")</f>
        <v/>
      </c>
      <c r="AJ73" t="str">
        <f ca="1">IFERROR(IF(0=LEN(ReferenceData!$AJ$73),"",ReferenceData!$AJ$73),"")</f>
        <v/>
      </c>
      <c r="AK73" t="str">
        <f ca="1">IFERROR(IF(0=LEN(ReferenceData!$AK$73),"",ReferenceData!$AK$73),"")</f>
        <v/>
      </c>
      <c r="AL73" t="str">
        <f ca="1">IFERROR(IF(0=LEN(ReferenceData!$AL$73),"",ReferenceData!$AL$73),"")</f>
        <v/>
      </c>
      <c r="AM73" t="str">
        <f ca="1">IFERROR(IF(0=LEN(ReferenceData!$AM$73),"",ReferenceData!$AM$73),"")</f>
        <v/>
      </c>
      <c r="AN73" t="str">
        <f ca="1">IFERROR(IF(0=LEN(ReferenceData!$AN$73),"",ReferenceData!$AN$73),"")</f>
        <v/>
      </c>
      <c r="AO73" t="str">
        <f ca="1">IFERROR(IF(0=LEN(ReferenceData!$AO$73),"",ReferenceData!$AO$73),"")</f>
        <v/>
      </c>
      <c r="AP73" t="str">
        <f ca="1">IFERROR(IF(0=LEN(ReferenceData!$AP$73),"",ReferenceData!$AP$73),"")</f>
        <v/>
      </c>
      <c r="AQ73" t="str">
        <f ca="1">IFERROR(IF(0=LEN(ReferenceData!$AQ$73),"",ReferenceData!$AQ$73),"")</f>
        <v/>
      </c>
      <c r="AR73" t="str">
        <f ca="1">IFERROR(IF(0=LEN(ReferenceData!$AR$73),"",ReferenceData!$AR$73),"")</f>
        <v/>
      </c>
      <c r="AS73" t="str">
        <f ca="1">IFERROR(IF(0=LEN(ReferenceData!$AS$73),"",ReferenceData!$AS$73),"")</f>
        <v/>
      </c>
      <c r="AT73" t="str">
        <f ca="1">IFERROR(IF(0=LEN(ReferenceData!$AT$73),"",ReferenceData!$AT$73),"")</f>
        <v/>
      </c>
      <c r="AU73" t="str">
        <f ca="1">IFERROR(IF(0=LEN(ReferenceData!$AU$73),"",ReferenceData!$AU$73),"")</f>
        <v/>
      </c>
      <c r="AV73" t="str">
        <f ca="1">IFERROR(IF(0=LEN(ReferenceData!$AV$73),"",ReferenceData!$AV$73),"")</f>
        <v/>
      </c>
      <c r="AW73" t="str">
        <f ca="1">IFERROR(IF(0=LEN(ReferenceData!$AW$73),"",ReferenceData!$AW$73),"")</f>
        <v/>
      </c>
      <c r="AX73" t="str">
        <f ca="1">IFERROR(IF(0=LEN(ReferenceData!$AX$73),"",ReferenceData!$AX$73),"")</f>
        <v/>
      </c>
      <c r="AY73" t="str">
        <f ca="1">IFERROR(IF(0=LEN(ReferenceData!$AY$73),"",ReferenceData!$AY$73),"")</f>
        <v/>
      </c>
      <c r="AZ73" t="str">
        <f ca="1">IFERROR(IF(0=LEN(ReferenceData!$AZ$73),"",ReferenceData!$AZ$73),"")</f>
        <v/>
      </c>
      <c r="BA73" t="str">
        <f ca="1">IFERROR(IF(0=LEN(ReferenceData!$BA$73),"",ReferenceData!$BA$73),"")</f>
        <v/>
      </c>
      <c r="BB73" t="str">
        <f ca="1">IFERROR(IF(0=LEN(ReferenceData!$BB$73),"",ReferenceData!$BB$73),"")</f>
        <v/>
      </c>
      <c r="BC73" t="str">
        <f ca="1">IFERROR(IF(0=LEN(ReferenceData!$BC$73),"",ReferenceData!$BC$73),"")</f>
        <v/>
      </c>
      <c r="BD73" t="str">
        <f ca="1">IFERROR(IF(0=LEN(ReferenceData!$BD$73),"",ReferenceData!$BD$73),"")</f>
        <v/>
      </c>
      <c r="BE73" t="str">
        <f ca="1">IFERROR(IF(0=LEN(ReferenceData!$BE$73),"",ReferenceData!$BE$73),"")</f>
        <v/>
      </c>
      <c r="BF73" t="str">
        <f ca="1">IFERROR(IF(0=LEN(ReferenceData!$BF$73),"",ReferenceData!$BF$73),"")</f>
        <v/>
      </c>
      <c r="BG73" t="str">
        <f ca="1">IFERROR(IF(0=LEN(ReferenceData!$BG$73),"",ReferenceData!$BG$73),"")</f>
        <v/>
      </c>
      <c r="BH73" t="str">
        <f ca="1">IFERROR(IF(0=LEN(ReferenceData!$BH$73),"",ReferenceData!$BH$73),"")</f>
        <v/>
      </c>
      <c r="BI73" t="str">
        <f ca="1">IFERROR(IF(0=LEN(ReferenceData!$BI$73),"",ReferenceData!$BI$73),"")</f>
        <v/>
      </c>
      <c r="BJ73" t="str">
        <f ca="1">IFERROR(IF(0=LEN(ReferenceData!$BJ$73),"",ReferenceData!$BJ$73),"")</f>
        <v/>
      </c>
      <c r="BK73" t="str">
        <f ca="1">IFERROR(IF(0=LEN(ReferenceData!$BK$73),"",ReferenceData!$BK$73),"")</f>
        <v/>
      </c>
      <c r="BL73" t="str">
        <f ca="1">IFERROR(IF(0=LEN(ReferenceData!$BL$73),"",ReferenceData!$BL$73),"")</f>
        <v/>
      </c>
      <c r="BM73" t="str">
        <f ca="1">IFERROR(IF(0=LEN(ReferenceData!$BM$73),"",ReferenceData!$BM$73),"")</f>
        <v/>
      </c>
    </row>
    <row r="74" spans="1:65">
      <c r="A74" t="str">
        <f>IFERROR(IF(0=LEN(ReferenceData!$A$74),"",ReferenceData!$A$74),"")</f>
        <v xml:space="preserve">    Corporate Office Properties Tr</v>
      </c>
      <c r="B74" t="str">
        <f>IFERROR(IF(0=LEN(ReferenceData!$B$74),"",ReferenceData!$B$74),"")</f>
        <v>OFC US Equity</v>
      </c>
      <c r="C74" t="str">
        <f>IFERROR(IF(0=LEN(ReferenceData!$C$74),"",ReferenceData!$C$74),"")</f>
        <v>IS972</v>
      </c>
      <c r="D74" t="str">
        <f>IFERROR(IF(0=LEN(ReferenceData!$D$74),"",ReferenceData!$D$74),"")</f>
        <v>IS_ADJUSTED_EBITDA_AS_REPORTED</v>
      </c>
      <c r="E74" t="str">
        <f>IFERROR(IF(0=LEN(ReferenceData!$E$74),"",ReferenceData!$E$74),"")</f>
        <v>动态</v>
      </c>
      <c r="F74" t="str">
        <f ca="1">IFERROR(IF(0=LEN(ReferenceData!$F$74),"",ReferenceData!$F$74),"")</f>
        <v/>
      </c>
      <c r="G74">
        <f ca="1">IFERROR(IF(0=LEN(ReferenceData!$G$74),"",ReferenceData!$G$74),"")</f>
        <v>76.957999999999998</v>
      </c>
      <c r="H74">
        <f ca="1">IFERROR(IF(0=LEN(ReferenceData!$H$74),"",ReferenceData!$H$74),"")</f>
        <v>77.335999999999999</v>
      </c>
      <c r="I74">
        <f ca="1">IFERROR(IF(0=LEN(ReferenceData!$I$74),"",ReferenceData!$I$74),"")</f>
        <v>75.594999999999999</v>
      </c>
      <c r="J74">
        <f ca="1">IFERROR(IF(0=LEN(ReferenceData!$J$74),"",ReferenceData!$J$74),"")</f>
        <v>73.885000000000005</v>
      </c>
      <c r="K74">
        <f ca="1">IFERROR(IF(0=LEN(ReferenceData!$K$74),"",ReferenceData!$K$74),"")</f>
        <v>76.781000000000006</v>
      </c>
      <c r="L74">
        <f ca="1">IFERROR(IF(0=LEN(ReferenceData!$L$74),"",ReferenceData!$L$74),"")</f>
        <v>76.834000000000003</v>
      </c>
      <c r="M74">
        <f ca="1">IFERROR(IF(0=LEN(ReferenceData!$M$74),"",ReferenceData!$M$74),"")</f>
        <v>79.625</v>
      </c>
      <c r="N74">
        <f ca="1">IFERROR(IF(0=LEN(ReferenceData!$N$74),"",ReferenceData!$N$74),"")</f>
        <v>74.906000000000006</v>
      </c>
      <c r="O74">
        <f ca="1">IFERROR(IF(0=LEN(ReferenceData!$O$74),"",ReferenceData!$O$74),"")</f>
        <v>79.718000000000004</v>
      </c>
      <c r="P74">
        <f ca="1">IFERROR(IF(0=LEN(ReferenceData!$P$74),"",ReferenceData!$P$74),"")</f>
        <v>77.710999999999999</v>
      </c>
      <c r="Q74">
        <f ca="1">IFERROR(IF(0=LEN(ReferenceData!$Q$74),"",ReferenceData!$Q$74),"")</f>
        <v>73.819999999999993</v>
      </c>
      <c r="R74">
        <f ca="1">IFERROR(IF(0=LEN(ReferenceData!$R$74),"",ReferenceData!$R$74),"")</f>
        <v>65.355000000000004</v>
      </c>
      <c r="S74">
        <f ca="1">IFERROR(IF(0=LEN(ReferenceData!$S$74),"",ReferenceData!$S$74),"")</f>
        <v>70.414000000000001</v>
      </c>
      <c r="T74">
        <f ca="1">IFERROR(IF(0=LEN(ReferenceData!$T$74),"",ReferenceData!$T$74),"")</f>
        <v>69.122</v>
      </c>
      <c r="U74">
        <f ca="1">IFERROR(IF(0=LEN(ReferenceData!$U$74),"",ReferenceData!$U$74),"")</f>
        <v>65.8</v>
      </c>
      <c r="V74">
        <f ca="1">IFERROR(IF(0=LEN(ReferenceData!$V$74),"",ReferenceData!$V$74),"")</f>
        <v>70.710999999999999</v>
      </c>
      <c r="W74">
        <f ca="1">IFERROR(IF(0=LEN(ReferenceData!$W$74),"",ReferenceData!$W$74),"")</f>
        <v>73.917000000000002</v>
      </c>
      <c r="X74">
        <f ca="1">IFERROR(IF(0=LEN(ReferenceData!$X$74),"",ReferenceData!$X$74),"")</f>
        <v>72.5</v>
      </c>
      <c r="Y74">
        <f ca="1">IFERROR(IF(0=LEN(ReferenceData!$Y$74),"",ReferenceData!$Y$74),"")</f>
        <v>75.822000000000003</v>
      </c>
      <c r="Z74">
        <f ca="1">IFERROR(IF(0=LEN(ReferenceData!$Z$74),"",ReferenceData!$Z$74),"")</f>
        <v>71.072999999999993</v>
      </c>
      <c r="AA74">
        <f ca="1">IFERROR(IF(0=LEN(ReferenceData!$AA$74),"",ReferenceData!$AA$74),"")</f>
        <v>70.177999999999997</v>
      </c>
      <c r="AB74">
        <f ca="1">IFERROR(IF(0=LEN(ReferenceData!$AB$74),"",ReferenceData!$AB$74),"")</f>
        <v>71.900999999999996</v>
      </c>
      <c r="AC74">
        <f ca="1">IFERROR(IF(0=LEN(ReferenceData!$AC$74),"",ReferenceData!$AC$74),"")</f>
        <v>71.501999999999995</v>
      </c>
      <c r="AD74">
        <f ca="1">IFERROR(IF(0=LEN(ReferenceData!$AD$74),"",ReferenceData!$AD$74),"")</f>
        <v>69.817999999999998</v>
      </c>
      <c r="AE74">
        <f ca="1">IFERROR(IF(0=LEN(ReferenceData!$AE$74),"",ReferenceData!$AE$74),"")</f>
        <v>71.757999999999996</v>
      </c>
      <c r="AF74">
        <f ca="1">IFERROR(IF(0=LEN(ReferenceData!$AF$74),"",ReferenceData!$AF$74),"")</f>
        <v>69.983999999999995</v>
      </c>
      <c r="AG74">
        <f ca="1">IFERROR(IF(0=LEN(ReferenceData!$AG$74),"",ReferenceData!$AG$74),"")</f>
        <v>73.058000000000007</v>
      </c>
      <c r="AH74">
        <f ca="1">IFERROR(IF(0=LEN(ReferenceData!$AH$74),"",ReferenceData!$AH$74),"")</f>
        <v>69.204999999999998</v>
      </c>
      <c r="AI74" t="str">
        <f ca="1">IFERROR(IF(0=LEN(ReferenceData!$AI$74),"",ReferenceData!$AI$74),"")</f>
        <v/>
      </c>
      <c r="AJ74" t="str">
        <f ca="1">IFERROR(IF(0=LEN(ReferenceData!$AJ$74),"",ReferenceData!$AJ$74),"")</f>
        <v/>
      </c>
      <c r="AK74" t="str">
        <f ca="1">IFERROR(IF(0=LEN(ReferenceData!$AK$74),"",ReferenceData!$AK$74),"")</f>
        <v/>
      </c>
      <c r="AL74" t="str">
        <f ca="1">IFERROR(IF(0=LEN(ReferenceData!$AL$74),"",ReferenceData!$AL$74),"")</f>
        <v/>
      </c>
      <c r="AM74" t="str">
        <f ca="1">IFERROR(IF(0=LEN(ReferenceData!$AM$74),"",ReferenceData!$AM$74),"")</f>
        <v/>
      </c>
      <c r="AN74" t="str">
        <f ca="1">IFERROR(IF(0=LEN(ReferenceData!$AN$74),"",ReferenceData!$AN$74),"")</f>
        <v/>
      </c>
      <c r="AO74" t="str">
        <f ca="1">IFERROR(IF(0=LEN(ReferenceData!$AO$74),"",ReferenceData!$AO$74),"")</f>
        <v/>
      </c>
      <c r="AP74" t="str">
        <f ca="1">IFERROR(IF(0=LEN(ReferenceData!$AP$74),"",ReferenceData!$AP$74),"")</f>
        <v/>
      </c>
      <c r="AQ74" t="str">
        <f ca="1">IFERROR(IF(0=LEN(ReferenceData!$AQ$74),"",ReferenceData!$AQ$74),"")</f>
        <v/>
      </c>
      <c r="AR74" t="str">
        <f ca="1">IFERROR(IF(0=LEN(ReferenceData!$AR$74),"",ReferenceData!$AR$74),"")</f>
        <v/>
      </c>
      <c r="AS74" t="str">
        <f ca="1">IFERROR(IF(0=LEN(ReferenceData!$AS$74),"",ReferenceData!$AS$74),"")</f>
        <v/>
      </c>
      <c r="AT74" t="str">
        <f ca="1">IFERROR(IF(0=LEN(ReferenceData!$AT$74),"",ReferenceData!$AT$74),"")</f>
        <v/>
      </c>
      <c r="AU74" t="str">
        <f ca="1">IFERROR(IF(0=LEN(ReferenceData!$AU$74),"",ReferenceData!$AU$74),"")</f>
        <v/>
      </c>
      <c r="AV74" t="str">
        <f ca="1">IFERROR(IF(0=LEN(ReferenceData!$AV$74),"",ReferenceData!$AV$74),"")</f>
        <v/>
      </c>
      <c r="AW74" t="str">
        <f ca="1">IFERROR(IF(0=LEN(ReferenceData!$AW$74),"",ReferenceData!$AW$74),"")</f>
        <v/>
      </c>
      <c r="AX74" t="str">
        <f ca="1">IFERROR(IF(0=LEN(ReferenceData!$AX$74),"",ReferenceData!$AX$74),"")</f>
        <v/>
      </c>
      <c r="AY74" t="str">
        <f ca="1">IFERROR(IF(0=LEN(ReferenceData!$AY$74),"",ReferenceData!$AY$74),"")</f>
        <v/>
      </c>
      <c r="AZ74" t="str">
        <f ca="1">IFERROR(IF(0=LEN(ReferenceData!$AZ$74),"",ReferenceData!$AZ$74),"")</f>
        <v/>
      </c>
      <c r="BA74" t="str">
        <f ca="1">IFERROR(IF(0=LEN(ReferenceData!$BA$74),"",ReferenceData!$BA$74),"")</f>
        <v/>
      </c>
      <c r="BB74" t="str">
        <f ca="1">IFERROR(IF(0=LEN(ReferenceData!$BB$74),"",ReferenceData!$BB$74),"")</f>
        <v/>
      </c>
      <c r="BC74" t="str">
        <f ca="1">IFERROR(IF(0=LEN(ReferenceData!$BC$74),"",ReferenceData!$BC$74),"")</f>
        <v/>
      </c>
      <c r="BD74" t="str">
        <f ca="1">IFERROR(IF(0=LEN(ReferenceData!$BD$74),"",ReferenceData!$BD$74),"")</f>
        <v/>
      </c>
      <c r="BE74" t="str">
        <f ca="1">IFERROR(IF(0=LEN(ReferenceData!$BE$74),"",ReferenceData!$BE$74),"")</f>
        <v/>
      </c>
      <c r="BF74" t="str">
        <f ca="1">IFERROR(IF(0=LEN(ReferenceData!$BF$74),"",ReferenceData!$BF$74),"")</f>
        <v/>
      </c>
      <c r="BG74" t="str">
        <f ca="1">IFERROR(IF(0=LEN(ReferenceData!$BG$74),"",ReferenceData!$BG$74),"")</f>
        <v/>
      </c>
      <c r="BH74" t="str">
        <f ca="1">IFERROR(IF(0=LEN(ReferenceData!$BH$74),"",ReferenceData!$BH$74),"")</f>
        <v/>
      </c>
      <c r="BI74" t="str">
        <f ca="1">IFERROR(IF(0=LEN(ReferenceData!$BI$74),"",ReferenceData!$BI$74),"")</f>
        <v/>
      </c>
      <c r="BJ74" t="str">
        <f ca="1">IFERROR(IF(0=LEN(ReferenceData!$BJ$74),"",ReferenceData!$BJ$74),"")</f>
        <v/>
      </c>
      <c r="BK74" t="str">
        <f ca="1">IFERROR(IF(0=LEN(ReferenceData!$BK$74),"",ReferenceData!$BK$74),"")</f>
        <v/>
      </c>
      <c r="BL74" t="str">
        <f ca="1">IFERROR(IF(0=LEN(ReferenceData!$BL$74),"",ReferenceData!$BL$74),"")</f>
        <v/>
      </c>
      <c r="BM74" t="str">
        <f ca="1">IFERROR(IF(0=LEN(ReferenceData!$BM$74),"",ReferenceData!$BM$74),"")</f>
        <v/>
      </c>
    </row>
    <row r="75" spans="1:65">
      <c r="A75" t="str">
        <f>IFERROR(IF(0=LEN(ReferenceData!$A$75),"",ReferenceData!$A$75),"")</f>
        <v xml:space="preserve">    Highwoods Properties Inc</v>
      </c>
      <c r="B75" t="str">
        <f>IFERROR(IF(0=LEN(ReferenceData!$B$75),"",ReferenceData!$B$75),"")</f>
        <v>HIW US Equity</v>
      </c>
      <c r="C75" t="str">
        <f>IFERROR(IF(0=LEN(ReferenceData!$C$75),"",ReferenceData!$C$75),"")</f>
        <v>IS972</v>
      </c>
      <c r="D75" t="str">
        <f>IFERROR(IF(0=LEN(ReferenceData!$D$75),"",ReferenceData!$D$75),"")</f>
        <v>IS_ADJUSTED_EBITDA_AS_REPORTED</v>
      </c>
      <c r="E75" t="str">
        <f>IFERROR(IF(0=LEN(ReferenceData!$E$75),"",ReferenceData!$E$75),"")</f>
        <v>动态</v>
      </c>
      <c r="F75" t="str">
        <f ca="1">IFERROR(IF(0=LEN(ReferenceData!$F$75),"",ReferenceData!$F$75),"")</f>
        <v/>
      </c>
      <c r="G75" t="str">
        <f ca="1">IFERROR(IF(0=LEN(ReferenceData!$G$75),"",ReferenceData!$G$75),"")</f>
        <v/>
      </c>
      <c r="H75" t="str">
        <f ca="1">IFERROR(IF(0=LEN(ReferenceData!$H$75),"",ReferenceData!$H$75),"")</f>
        <v/>
      </c>
      <c r="I75" t="str">
        <f ca="1">IFERROR(IF(0=LEN(ReferenceData!$I$75),"",ReferenceData!$I$75),"")</f>
        <v/>
      </c>
      <c r="J75" t="str">
        <f ca="1">IFERROR(IF(0=LEN(ReferenceData!$J$75),"",ReferenceData!$J$75),"")</f>
        <v/>
      </c>
      <c r="K75" t="str">
        <f ca="1">IFERROR(IF(0=LEN(ReferenceData!$K$75),"",ReferenceData!$K$75),"")</f>
        <v/>
      </c>
      <c r="L75" t="str">
        <f ca="1">IFERROR(IF(0=LEN(ReferenceData!$L$75),"",ReferenceData!$L$75),"")</f>
        <v/>
      </c>
      <c r="M75" t="str">
        <f ca="1">IFERROR(IF(0=LEN(ReferenceData!$M$75),"",ReferenceData!$M$75),"")</f>
        <v/>
      </c>
      <c r="N75" t="str">
        <f ca="1">IFERROR(IF(0=LEN(ReferenceData!$N$75),"",ReferenceData!$N$75),"")</f>
        <v/>
      </c>
      <c r="O75" t="str">
        <f ca="1">IFERROR(IF(0=LEN(ReferenceData!$O$75),"",ReferenceData!$O$75),"")</f>
        <v/>
      </c>
      <c r="P75" t="str">
        <f ca="1">IFERROR(IF(0=LEN(ReferenceData!$P$75),"",ReferenceData!$P$75),"")</f>
        <v/>
      </c>
      <c r="Q75" t="str">
        <f ca="1">IFERROR(IF(0=LEN(ReferenceData!$Q$75),"",ReferenceData!$Q$75),"")</f>
        <v/>
      </c>
      <c r="R75" t="str">
        <f ca="1">IFERROR(IF(0=LEN(ReferenceData!$R$75),"",ReferenceData!$R$75),"")</f>
        <v/>
      </c>
      <c r="S75" t="str">
        <f ca="1">IFERROR(IF(0=LEN(ReferenceData!$S$75),"",ReferenceData!$S$75),"")</f>
        <v/>
      </c>
      <c r="T75" t="str">
        <f ca="1">IFERROR(IF(0=LEN(ReferenceData!$T$75),"",ReferenceData!$T$75),"")</f>
        <v/>
      </c>
      <c r="U75" t="str">
        <f ca="1">IFERROR(IF(0=LEN(ReferenceData!$U$75),"",ReferenceData!$U$75),"")</f>
        <v/>
      </c>
      <c r="V75" t="str">
        <f ca="1">IFERROR(IF(0=LEN(ReferenceData!$V$75),"",ReferenceData!$V$75),"")</f>
        <v/>
      </c>
      <c r="W75" t="str">
        <f ca="1">IFERROR(IF(0=LEN(ReferenceData!$W$75),"",ReferenceData!$W$75),"")</f>
        <v/>
      </c>
      <c r="X75" t="str">
        <f ca="1">IFERROR(IF(0=LEN(ReferenceData!$X$75),"",ReferenceData!$X$75),"")</f>
        <v/>
      </c>
      <c r="Y75" t="str">
        <f ca="1">IFERROR(IF(0=LEN(ReferenceData!$Y$75),"",ReferenceData!$Y$75),"")</f>
        <v/>
      </c>
      <c r="Z75" t="str">
        <f ca="1">IFERROR(IF(0=LEN(ReferenceData!$Z$75),"",ReferenceData!$Z$75),"")</f>
        <v/>
      </c>
      <c r="AA75" t="str">
        <f ca="1">IFERROR(IF(0=LEN(ReferenceData!$AA$75),"",ReferenceData!$AA$75),"")</f>
        <v/>
      </c>
      <c r="AB75" t="str">
        <f ca="1">IFERROR(IF(0=LEN(ReferenceData!$AB$75),"",ReferenceData!$AB$75),"")</f>
        <v/>
      </c>
      <c r="AC75" t="str">
        <f ca="1">IFERROR(IF(0=LEN(ReferenceData!$AC$75),"",ReferenceData!$AC$75),"")</f>
        <v/>
      </c>
      <c r="AD75" t="str">
        <f ca="1">IFERROR(IF(0=LEN(ReferenceData!$AD$75),"",ReferenceData!$AD$75),"")</f>
        <v/>
      </c>
      <c r="AE75" t="str">
        <f ca="1">IFERROR(IF(0=LEN(ReferenceData!$AE$75),"",ReferenceData!$AE$75),"")</f>
        <v/>
      </c>
      <c r="AF75" t="str">
        <f ca="1">IFERROR(IF(0=LEN(ReferenceData!$AF$75),"",ReferenceData!$AF$75),"")</f>
        <v/>
      </c>
      <c r="AG75" t="str">
        <f ca="1">IFERROR(IF(0=LEN(ReferenceData!$AG$75),"",ReferenceData!$AG$75),"")</f>
        <v/>
      </c>
      <c r="AH75" t="str">
        <f ca="1">IFERROR(IF(0=LEN(ReferenceData!$AH$75),"",ReferenceData!$AH$75),"")</f>
        <v/>
      </c>
      <c r="AI75" t="str">
        <f ca="1">IFERROR(IF(0=LEN(ReferenceData!$AI$75),"",ReferenceData!$AI$75),"")</f>
        <v/>
      </c>
      <c r="AJ75" t="str">
        <f ca="1">IFERROR(IF(0=LEN(ReferenceData!$AJ$75),"",ReferenceData!$AJ$75),"")</f>
        <v/>
      </c>
      <c r="AK75" t="str">
        <f ca="1">IFERROR(IF(0=LEN(ReferenceData!$AK$75),"",ReferenceData!$AK$75),"")</f>
        <v/>
      </c>
      <c r="AL75" t="str">
        <f ca="1">IFERROR(IF(0=LEN(ReferenceData!$AL$75),"",ReferenceData!$AL$75),"")</f>
        <v/>
      </c>
      <c r="AM75" t="str">
        <f ca="1">IFERROR(IF(0=LEN(ReferenceData!$AM$75),"",ReferenceData!$AM$75),"")</f>
        <v/>
      </c>
      <c r="AN75" t="str">
        <f ca="1">IFERROR(IF(0=LEN(ReferenceData!$AN$75),"",ReferenceData!$AN$75),"")</f>
        <v/>
      </c>
      <c r="AO75" t="str">
        <f ca="1">IFERROR(IF(0=LEN(ReferenceData!$AO$75),"",ReferenceData!$AO$75),"")</f>
        <v/>
      </c>
      <c r="AP75" t="str">
        <f ca="1">IFERROR(IF(0=LEN(ReferenceData!$AP$75),"",ReferenceData!$AP$75),"")</f>
        <v/>
      </c>
      <c r="AQ75" t="str">
        <f ca="1">IFERROR(IF(0=LEN(ReferenceData!$AQ$75),"",ReferenceData!$AQ$75),"")</f>
        <v/>
      </c>
      <c r="AR75" t="str">
        <f ca="1">IFERROR(IF(0=LEN(ReferenceData!$AR$75),"",ReferenceData!$AR$75),"")</f>
        <v/>
      </c>
      <c r="AS75" t="str">
        <f ca="1">IFERROR(IF(0=LEN(ReferenceData!$AS$75),"",ReferenceData!$AS$75),"")</f>
        <v/>
      </c>
      <c r="AT75" t="str">
        <f ca="1">IFERROR(IF(0=LEN(ReferenceData!$AT$75),"",ReferenceData!$AT$75),"")</f>
        <v/>
      </c>
      <c r="AU75" t="str">
        <f ca="1">IFERROR(IF(0=LEN(ReferenceData!$AU$75),"",ReferenceData!$AU$75),"")</f>
        <v/>
      </c>
      <c r="AV75" t="str">
        <f ca="1">IFERROR(IF(0=LEN(ReferenceData!$AV$75),"",ReferenceData!$AV$75),"")</f>
        <v/>
      </c>
      <c r="AW75" t="str">
        <f ca="1">IFERROR(IF(0=LEN(ReferenceData!$AW$75),"",ReferenceData!$AW$75),"")</f>
        <v/>
      </c>
      <c r="AX75" t="str">
        <f ca="1">IFERROR(IF(0=LEN(ReferenceData!$AX$75),"",ReferenceData!$AX$75),"")</f>
        <v/>
      </c>
      <c r="AY75" t="str">
        <f ca="1">IFERROR(IF(0=LEN(ReferenceData!$AY$75),"",ReferenceData!$AY$75),"")</f>
        <v/>
      </c>
      <c r="AZ75" t="str">
        <f ca="1">IFERROR(IF(0=LEN(ReferenceData!$AZ$75),"",ReferenceData!$AZ$75),"")</f>
        <v/>
      </c>
      <c r="BA75" t="str">
        <f ca="1">IFERROR(IF(0=LEN(ReferenceData!$BA$75),"",ReferenceData!$BA$75),"")</f>
        <v/>
      </c>
      <c r="BB75" t="str">
        <f ca="1">IFERROR(IF(0=LEN(ReferenceData!$BB$75),"",ReferenceData!$BB$75),"")</f>
        <v/>
      </c>
      <c r="BC75" t="str">
        <f ca="1">IFERROR(IF(0=LEN(ReferenceData!$BC$75),"",ReferenceData!$BC$75),"")</f>
        <v/>
      </c>
      <c r="BD75" t="str">
        <f ca="1">IFERROR(IF(0=LEN(ReferenceData!$BD$75),"",ReferenceData!$BD$75),"")</f>
        <v/>
      </c>
      <c r="BE75" t="str">
        <f ca="1">IFERROR(IF(0=LEN(ReferenceData!$BE$75),"",ReferenceData!$BE$75),"")</f>
        <v/>
      </c>
      <c r="BF75" t="str">
        <f ca="1">IFERROR(IF(0=LEN(ReferenceData!$BF$75),"",ReferenceData!$BF$75),"")</f>
        <v/>
      </c>
      <c r="BG75" t="str">
        <f ca="1">IFERROR(IF(0=LEN(ReferenceData!$BG$75),"",ReferenceData!$BG$75),"")</f>
        <v/>
      </c>
      <c r="BH75" t="str">
        <f ca="1">IFERROR(IF(0=LEN(ReferenceData!$BH$75),"",ReferenceData!$BH$75),"")</f>
        <v/>
      </c>
      <c r="BI75" t="str">
        <f ca="1">IFERROR(IF(0=LEN(ReferenceData!$BI$75),"",ReferenceData!$BI$75),"")</f>
        <v/>
      </c>
      <c r="BJ75" t="str">
        <f ca="1">IFERROR(IF(0=LEN(ReferenceData!$BJ$75),"",ReferenceData!$BJ$75),"")</f>
        <v/>
      </c>
      <c r="BK75" t="str">
        <f ca="1">IFERROR(IF(0=LEN(ReferenceData!$BK$75),"",ReferenceData!$BK$75),"")</f>
        <v/>
      </c>
      <c r="BL75" t="str">
        <f ca="1">IFERROR(IF(0=LEN(ReferenceData!$BL$75),"",ReferenceData!$BL$75),"")</f>
        <v/>
      </c>
      <c r="BM75" t="str">
        <f ca="1">IFERROR(IF(0=LEN(ReferenceData!$BM$75),"",ReferenceData!$BM$75),"")</f>
        <v/>
      </c>
    </row>
    <row r="76" spans="1:65">
      <c r="A76" t="str">
        <f>IFERROR(IF(0=LEN(ReferenceData!$A$76),"",ReferenceData!$A$76),"")</f>
        <v xml:space="preserve">    Kilroy Realty Corp</v>
      </c>
      <c r="B76" t="str">
        <f>IFERROR(IF(0=LEN(ReferenceData!$B$76),"",ReferenceData!$B$76),"")</f>
        <v>KRC US Equity</v>
      </c>
      <c r="C76" t="str">
        <f>IFERROR(IF(0=LEN(ReferenceData!$C$76),"",ReferenceData!$C$76),"")</f>
        <v>IS972</v>
      </c>
      <c r="D76" t="str">
        <f>IFERROR(IF(0=LEN(ReferenceData!$D$76),"",ReferenceData!$D$76),"")</f>
        <v>IS_ADJUSTED_EBITDA_AS_REPORTED</v>
      </c>
      <c r="E76" t="str">
        <f>IFERROR(IF(0=LEN(ReferenceData!$E$76),"",ReferenceData!$E$76),"")</f>
        <v>动态</v>
      </c>
      <c r="F76" t="str">
        <f ca="1">IFERROR(IF(0=LEN(ReferenceData!$F$76),"",ReferenceData!$F$76),"")</f>
        <v/>
      </c>
      <c r="G76" t="str">
        <f ca="1">IFERROR(IF(0=LEN(ReferenceData!$G$76),"",ReferenceData!$G$76),"")</f>
        <v/>
      </c>
      <c r="H76" t="str">
        <f ca="1">IFERROR(IF(0=LEN(ReferenceData!$H$76),"",ReferenceData!$H$76),"")</f>
        <v/>
      </c>
      <c r="I76" t="str">
        <f ca="1">IFERROR(IF(0=LEN(ReferenceData!$I$76),"",ReferenceData!$I$76),"")</f>
        <v/>
      </c>
      <c r="J76" t="str">
        <f ca="1">IFERROR(IF(0=LEN(ReferenceData!$J$76),"",ReferenceData!$J$76),"")</f>
        <v/>
      </c>
      <c r="K76" t="str">
        <f ca="1">IFERROR(IF(0=LEN(ReferenceData!$K$76),"",ReferenceData!$K$76),"")</f>
        <v/>
      </c>
      <c r="L76" t="str">
        <f ca="1">IFERROR(IF(0=LEN(ReferenceData!$L$76),"",ReferenceData!$L$76),"")</f>
        <v/>
      </c>
      <c r="M76" t="str">
        <f ca="1">IFERROR(IF(0=LEN(ReferenceData!$M$76),"",ReferenceData!$M$76),"")</f>
        <v/>
      </c>
      <c r="N76" t="str">
        <f ca="1">IFERROR(IF(0=LEN(ReferenceData!$N$76),"",ReferenceData!$N$76),"")</f>
        <v/>
      </c>
      <c r="O76" t="str">
        <f ca="1">IFERROR(IF(0=LEN(ReferenceData!$O$76),"",ReferenceData!$O$76),"")</f>
        <v/>
      </c>
      <c r="P76" t="str">
        <f ca="1">IFERROR(IF(0=LEN(ReferenceData!$P$76),"",ReferenceData!$P$76),"")</f>
        <v/>
      </c>
      <c r="Q76" t="str">
        <f ca="1">IFERROR(IF(0=LEN(ReferenceData!$Q$76),"",ReferenceData!$Q$76),"")</f>
        <v/>
      </c>
      <c r="R76" t="str">
        <f ca="1">IFERROR(IF(0=LEN(ReferenceData!$R$76),"",ReferenceData!$R$76),"")</f>
        <v/>
      </c>
      <c r="S76" t="str">
        <f ca="1">IFERROR(IF(0=LEN(ReferenceData!$S$76),"",ReferenceData!$S$76),"")</f>
        <v/>
      </c>
      <c r="T76" t="str">
        <f ca="1">IFERROR(IF(0=LEN(ReferenceData!$T$76),"",ReferenceData!$T$76),"")</f>
        <v/>
      </c>
      <c r="U76" t="str">
        <f ca="1">IFERROR(IF(0=LEN(ReferenceData!$U$76),"",ReferenceData!$U$76),"")</f>
        <v/>
      </c>
      <c r="V76" t="str">
        <f ca="1">IFERROR(IF(0=LEN(ReferenceData!$V$76),"",ReferenceData!$V$76),"")</f>
        <v/>
      </c>
      <c r="W76" t="str">
        <f ca="1">IFERROR(IF(0=LEN(ReferenceData!$W$76),"",ReferenceData!$W$76),"")</f>
        <v/>
      </c>
      <c r="X76" t="str">
        <f ca="1">IFERROR(IF(0=LEN(ReferenceData!$X$76),"",ReferenceData!$X$76),"")</f>
        <v/>
      </c>
      <c r="Y76" t="str">
        <f ca="1">IFERROR(IF(0=LEN(ReferenceData!$Y$76),"",ReferenceData!$Y$76),"")</f>
        <v/>
      </c>
      <c r="Z76" t="str">
        <f ca="1">IFERROR(IF(0=LEN(ReferenceData!$Z$76),"",ReferenceData!$Z$76),"")</f>
        <v/>
      </c>
      <c r="AA76" t="str">
        <f ca="1">IFERROR(IF(0=LEN(ReferenceData!$AA$76),"",ReferenceData!$AA$76),"")</f>
        <v/>
      </c>
      <c r="AB76" t="str">
        <f ca="1">IFERROR(IF(0=LEN(ReferenceData!$AB$76),"",ReferenceData!$AB$76),"")</f>
        <v/>
      </c>
      <c r="AC76" t="str">
        <f ca="1">IFERROR(IF(0=LEN(ReferenceData!$AC$76),"",ReferenceData!$AC$76),"")</f>
        <v/>
      </c>
      <c r="AD76" t="str">
        <f ca="1">IFERROR(IF(0=LEN(ReferenceData!$AD$76),"",ReferenceData!$AD$76),"")</f>
        <v/>
      </c>
      <c r="AE76" t="str">
        <f ca="1">IFERROR(IF(0=LEN(ReferenceData!$AE$76),"",ReferenceData!$AE$76),"")</f>
        <v/>
      </c>
      <c r="AF76" t="str">
        <f ca="1">IFERROR(IF(0=LEN(ReferenceData!$AF$76),"",ReferenceData!$AF$76),"")</f>
        <v/>
      </c>
      <c r="AG76" t="str">
        <f ca="1">IFERROR(IF(0=LEN(ReferenceData!$AG$76),"",ReferenceData!$AG$76),"")</f>
        <v/>
      </c>
      <c r="AH76" t="str">
        <f ca="1">IFERROR(IF(0=LEN(ReferenceData!$AH$76),"",ReferenceData!$AH$76),"")</f>
        <v/>
      </c>
      <c r="AI76" t="str">
        <f ca="1">IFERROR(IF(0=LEN(ReferenceData!$AI$76),"",ReferenceData!$AI$76),"")</f>
        <v/>
      </c>
      <c r="AJ76" t="str">
        <f ca="1">IFERROR(IF(0=LEN(ReferenceData!$AJ$76),"",ReferenceData!$AJ$76),"")</f>
        <v/>
      </c>
      <c r="AK76" t="str">
        <f ca="1">IFERROR(IF(0=LEN(ReferenceData!$AK$76),"",ReferenceData!$AK$76),"")</f>
        <v/>
      </c>
      <c r="AL76" t="str">
        <f ca="1">IFERROR(IF(0=LEN(ReferenceData!$AL$76),"",ReferenceData!$AL$76),"")</f>
        <v/>
      </c>
      <c r="AM76" t="str">
        <f ca="1">IFERROR(IF(0=LEN(ReferenceData!$AM$76),"",ReferenceData!$AM$76),"")</f>
        <v/>
      </c>
      <c r="AN76" t="str">
        <f ca="1">IFERROR(IF(0=LEN(ReferenceData!$AN$76),"",ReferenceData!$AN$76),"")</f>
        <v/>
      </c>
      <c r="AO76" t="str">
        <f ca="1">IFERROR(IF(0=LEN(ReferenceData!$AO$76),"",ReferenceData!$AO$76),"")</f>
        <v/>
      </c>
      <c r="AP76" t="str">
        <f ca="1">IFERROR(IF(0=LEN(ReferenceData!$AP$76),"",ReferenceData!$AP$76),"")</f>
        <v/>
      </c>
      <c r="AQ76" t="str">
        <f ca="1">IFERROR(IF(0=LEN(ReferenceData!$AQ$76),"",ReferenceData!$AQ$76),"")</f>
        <v/>
      </c>
      <c r="AR76" t="str">
        <f ca="1">IFERROR(IF(0=LEN(ReferenceData!$AR$76),"",ReferenceData!$AR$76),"")</f>
        <v/>
      </c>
      <c r="AS76" t="str">
        <f ca="1">IFERROR(IF(0=LEN(ReferenceData!$AS$76),"",ReferenceData!$AS$76),"")</f>
        <v/>
      </c>
      <c r="AT76" t="str">
        <f ca="1">IFERROR(IF(0=LEN(ReferenceData!$AT$76),"",ReferenceData!$AT$76),"")</f>
        <v/>
      </c>
      <c r="AU76" t="str">
        <f ca="1">IFERROR(IF(0=LEN(ReferenceData!$AU$76),"",ReferenceData!$AU$76),"")</f>
        <v/>
      </c>
      <c r="AV76" t="str">
        <f ca="1">IFERROR(IF(0=LEN(ReferenceData!$AV$76),"",ReferenceData!$AV$76),"")</f>
        <v/>
      </c>
      <c r="AW76" t="str">
        <f ca="1">IFERROR(IF(0=LEN(ReferenceData!$AW$76),"",ReferenceData!$AW$76),"")</f>
        <v/>
      </c>
      <c r="AX76" t="str">
        <f ca="1">IFERROR(IF(0=LEN(ReferenceData!$AX$76),"",ReferenceData!$AX$76),"")</f>
        <v/>
      </c>
      <c r="AY76" t="str">
        <f ca="1">IFERROR(IF(0=LEN(ReferenceData!$AY$76),"",ReferenceData!$AY$76),"")</f>
        <v/>
      </c>
      <c r="AZ76" t="str">
        <f ca="1">IFERROR(IF(0=LEN(ReferenceData!$AZ$76),"",ReferenceData!$AZ$76),"")</f>
        <v/>
      </c>
      <c r="BA76" t="str">
        <f ca="1">IFERROR(IF(0=LEN(ReferenceData!$BA$76),"",ReferenceData!$BA$76),"")</f>
        <v/>
      </c>
      <c r="BB76" t="str">
        <f ca="1">IFERROR(IF(0=LEN(ReferenceData!$BB$76),"",ReferenceData!$BB$76),"")</f>
        <v/>
      </c>
      <c r="BC76" t="str">
        <f ca="1">IFERROR(IF(0=LEN(ReferenceData!$BC$76),"",ReferenceData!$BC$76),"")</f>
        <v/>
      </c>
      <c r="BD76" t="str">
        <f ca="1">IFERROR(IF(0=LEN(ReferenceData!$BD$76),"",ReferenceData!$BD$76),"")</f>
        <v/>
      </c>
      <c r="BE76" t="str">
        <f ca="1">IFERROR(IF(0=LEN(ReferenceData!$BE$76),"",ReferenceData!$BE$76),"")</f>
        <v/>
      </c>
      <c r="BF76" t="str">
        <f ca="1">IFERROR(IF(0=LEN(ReferenceData!$BF$76),"",ReferenceData!$BF$76),"")</f>
        <v/>
      </c>
      <c r="BG76" t="str">
        <f ca="1">IFERROR(IF(0=LEN(ReferenceData!$BG$76),"",ReferenceData!$BG$76),"")</f>
        <v/>
      </c>
      <c r="BH76" t="str">
        <f ca="1">IFERROR(IF(0=LEN(ReferenceData!$BH$76),"",ReferenceData!$BH$76),"")</f>
        <v/>
      </c>
      <c r="BI76" t="str">
        <f ca="1">IFERROR(IF(0=LEN(ReferenceData!$BI$76),"",ReferenceData!$BI$76),"")</f>
        <v/>
      </c>
      <c r="BJ76" t="str">
        <f ca="1">IFERROR(IF(0=LEN(ReferenceData!$BJ$76),"",ReferenceData!$BJ$76),"")</f>
        <v/>
      </c>
      <c r="BK76" t="str">
        <f ca="1">IFERROR(IF(0=LEN(ReferenceData!$BK$76),"",ReferenceData!$BK$76),"")</f>
        <v/>
      </c>
      <c r="BL76" t="str">
        <f ca="1">IFERROR(IF(0=LEN(ReferenceData!$BL$76),"",ReferenceData!$BL$76),"")</f>
        <v/>
      </c>
      <c r="BM76" t="str">
        <f ca="1">IFERROR(IF(0=LEN(ReferenceData!$BM$76),"",ReferenceData!$BM$76),"")</f>
        <v/>
      </c>
    </row>
    <row r="77" spans="1:65">
      <c r="A77" t="str">
        <f>IFERROR(IF(0=LEN(ReferenceData!$A$77),"",ReferenceData!$A$77),"")</f>
        <v xml:space="preserve">    Mack-Cali Realty Corp</v>
      </c>
      <c r="B77" t="str">
        <f>IFERROR(IF(0=LEN(ReferenceData!$B$77),"",ReferenceData!$B$77),"")</f>
        <v>CLI US Equity</v>
      </c>
      <c r="C77" t="str">
        <f>IFERROR(IF(0=LEN(ReferenceData!$C$77),"",ReferenceData!$C$77),"")</f>
        <v>IS972</v>
      </c>
      <c r="D77" t="str">
        <f>IFERROR(IF(0=LEN(ReferenceData!$D$77),"",ReferenceData!$D$77),"")</f>
        <v>IS_ADJUSTED_EBITDA_AS_REPORTED</v>
      </c>
      <c r="E77" t="str">
        <f>IFERROR(IF(0=LEN(ReferenceData!$E$77),"",ReferenceData!$E$77),"")</f>
        <v>动态</v>
      </c>
      <c r="F77" t="str">
        <f ca="1">IFERROR(IF(0=LEN(ReferenceData!$F$77),"",ReferenceData!$F$77),"")</f>
        <v/>
      </c>
      <c r="G77" t="str">
        <f ca="1">IFERROR(IF(0=LEN(ReferenceData!$G$77),"",ReferenceData!$G$77),"")</f>
        <v/>
      </c>
      <c r="H77" t="str">
        <f ca="1">IFERROR(IF(0=LEN(ReferenceData!$H$77),"",ReferenceData!$H$77),"")</f>
        <v/>
      </c>
      <c r="I77" t="str">
        <f ca="1">IFERROR(IF(0=LEN(ReferenceData!$I$77),"",ReferenceData!$I$77),"")</f>
        <v/>
      </c>
      <c r="J77" t="str">
        <f ca="1">IFERROR(IF(0=LEN(ReferenceData!$J$77),"",ReferenceData!$J$77),"")</f>
        <v/>
      </c>
      <c r="K77" t="str">
        <f ca="1">IFERROR(IF(0=LEN(ReferenceData!$K$77),"",ReferenceData!$K$77),"")</f>
        <v/>
      </c>
      <c r="L77" t="str">
        <f ca="1">IFERROR(IF(0=LEN(ReferenceData!$L$77),"",ReferenceData!$L$77),"")</f>
        <v/>
      </c>
      <c r="M77" t="str">
        <f ca="1">IFERROR(IF(0=LEN(ReferenceData!$M$77),"",ReferenceData!$M$77),"")</f>
        <v/>
      </c>
      <c r="N77" t="str">
        <f ca="1">IFERROR(IF(0=LEN(ReferenceData!$N$77),"",ReferenceData!$N$77),"")</f>
        <v/>
      </c>
      <c r="O77" t="str">
        <f ca="1">IFERROR(IF(0=LEN(ReferenceData!$O$77),"",ReferenceData!$O$77),"")</f>
        <v/>
      </c>
      <c r="P77" t="str">
        <f ca="1">IFERROR(IF(0=LEN(ReferenceData!$P$77),"",ReferenceData!$P$77),"")</f>
        <v/>
      </c>
      <c r="Q77" t="str">
        <f ca="1">IFERROR(IF(0=LEN(ReferenceData!$Q$77),"",ReferenceData!$Q$77),"")</f>
        <v/>
      </c>
      <c r="R77" t="str">
        <f ca="1">IFERROR(IF(0=LEN(ReferenceData!$R$77),"",ReferenceData!$R$77),"")</f>
        <v/>
      </c>
      <c r="S77" t="str">
        <f ca="1">IFERROR(IF(0=LEN(ReferenceData!$S$77),"",ReferenceData!$S$77),"")</f>
        <v/>
      </c>
      <c r="T77" t="str">
        <f ca="1">IFERROR(IF(0=LEN(ReferenceData!$T$77),"",ReferenceData!$T$77),"")</f>
        <v/>
      </c>
      <c r="U77" t="str">
        <f ca="1">IFERROR(IF(0=LEN(ReferenceData!$U$77),"",ReferenceData!$U$77),"")</f>
        <v/>
      </c>
      <c r="V77" t="str">
        <f ca="1">IFERROR(IF(0=LEN(ReferenceData!$V$77),"",ReferenceData!$V$77),"")</f>
        <v/>
      </c>
      <c r="W77" t="str">
        <f ca="1">IFERROR(IF(0=LEN(ReferenceData!$W$77),"",ReferenceData!$W$77),"")</f>
        <v/>
      </c>
      <c r="X77" t="str">
        <f ca="1">IFERROR(IF(0=LEN(ReferenceData!$X$77),"",ReferenceData!$X$77),"")</f>
        <v/>
      </c>
      <c r="Y77" t="str">
        <f ca="1">IFERROR(IF(0=LEN(ReferenceData!$Y$77),"",ReferenceData!$Y$77),"")</f>
        <v/>
      </c>
      <c r="Z77" t="str">
        <f ca="1">IFERROR(IF(0=LEN(ReferenceData!$Z$77),"",ReferenceData!$Z$77),"")</f>
        <v/>
      </c>
      <c r="AA77" t="str">
        <f ca="1">IFERROR(IF(0=LEN(ReferenceData!$AA$77),"",ReferenceData!$AA$77),"")</f>
        <v/>
      </c>
      <c r="AB77" t="str">
        <f ca="1">IFERROR(IF(0=LEN(ReferenceData!$AB$77),"",ReferenceData!$AB$77),"")</f>
        <v/>
      </c>
      <c r="AC77" t="str">
        <f ca="1">IFERROR(IF(0=LEN(ReferenceData!$AC$77),"",ReferenceData!$AC$77),"")</f>
        <v/>
      </c>
      <c r="AD77" t="str">
        <f ca="1">IFERROR(IF(0=LEN(ReferenceData!$AD$77),"",ReferenceData!$AD$77),"")</f>
        <v/>
      </c>
      <c r="AE77" t="str">
        <f ca="1">IFERROR(IF(0=LEN(ReferenceData!$AE$77),"",ReferenceData!$AE$77),"")</f>
        <v/>
      </c>
      <c r="AF77" t="str">
        <f ca="1">IFERROR(IF(0=LEN(ReferenceData!$AF$77),"",ReferenceData!$AF$77),"")</f>
        <v/>
      </c>
      <c r="AG77" t="str">
        <f ca="1">IFERROR(IF(0=LEN(ReferenceData!$AG$77),"",ReferenceData!$AG$77),"")</f>
        <v/>
      </c>
      <c r="AH77" t="str">
        <f ca="1">IFERROR(IF(0=LEN(ReferenceData!$AH$77),"",ReferenceData!$AH$77),"")</f>
        <v/>
      </c>
      <c r="AI77" t="str">
        <f ca="1">IFERROR(IF(0=LEN(ReferenceData!$AI$77),"",ReferenceData!$AI$77),"")</f>
        <v/>
      </c>
      <c r="AJ77" t="str">
        <f ca="1">IFERROR(IF(0=LEN(ReferenceData!$AJ$77),"",ReferenceData!$AJ$77),"")</f>
        <v/>
      </c>
      <c r="AK77" t="str">
        <f ca="1">IFERROR(IF(0=LEN(ReferenceData!$AK$77),"",ReferenceData!$AK$77),"")</f>
        <v/>
      </c>
      <c r="AL77" t="str">
        <f ca="1">IFERROR(IF(0=LEN(ReferenceData!$AL$77),"",ReferenceData!$AL$77),"")</f>
        <v/>
      </c>
      <c r="AM77" t="str">
        <f ca="1">IFERROR(IF(0=LEN(ReferenceData!$AM$77),"",ReferenceData!$AM$77),"")</f>
        <v/>
      </c>
      <c r="AN77" t="str">
        <f ca="1">IFERROR(IF(0=LEN(ReferenceData!$AN$77),"",ReferenceData!$AN$77),"")</f>
        <v/>
      </c>
      <c r="AO77" t="str">
        <f ca="1">IFERROR(IF(0=LEN(ReferenceData!$AO$77),"",ReferenceData!$AO$77),"")</f>
        <v/>
      </c>
      <c r="AP77" t="str">
        <f ca="1">IFERROR(IF(0=LEN(ReferenceData!$AP$77),"",ReferenceData!$AP$77),"")</f>
        <v/>
      </c>
      <c r="AQ77" t="str">
        <f ca="1">IFERROR(IF(0=LEN(ReferenceData!$AQ$77),"",ReferenceData!$AQ$77),"")</f>
        <v/>
      </c>
      <c r="AR77" t="str">
        <f ca="1">IFERROR(IF(0=LEN(ReferenceData!$AR$77),"",ReferenceData!$AR$77),"")</f>
        <v/>
      </c>
      <c r="AS77" t="str">
        <f ca="1">IFERROR(IF(0=LEN(ReferenceData!$AS$77),"",ReferenceData!$AS$77),"")</f>
        <v/>
      </c>
      <c r="AT77" t="str">
        <f ca="1">IFERROR(IF(0=LEN(ReferenceData!$AT$77),"",ReferenceData!$AT$77),"")</f>
        <v/>
      </c>
      <c r="AU77" t="str">
        <f ca="1">IFERROR(IF(0=LEN(ReferenceData!$AU$77),"",ReferenceData!$AU$77),"")</f>
        <v/>
      </c>
      <c r="AV77" t="str">
        <f ca="1">IFERROR(IF(0=LEN(ReferenceData!$AV$77),"",ReferenceData!$AV$77),"")</f>
        <v/>
      </c>
      <c r="AW77" t="str">
        <f ca="1">IFERROR(IF(0=LEN(ReferenceData!$AW$77),"",ReferenceData!$AW$77),"")</f>
        <v/>
      </c>
      <c r="AX77" t="str">
        <f ca="1">IFERROR(IF(0=LEN(ReferenceData!$AX$77),"",ReferenceData!$AX$77),"")</f>
        <v/>
      </c>
      <c r="AY77" t="str">
        <f ca="1">IFERROR(IF(0=LEN(ReferenceData!$AY$77),"",ReferenceData!$AY$77),"")</f>
        <v/>
      </c>
      <c r="AZ77" t="str">
        <f ca="1">IFERROR(IF(0=LEN(ReferenceData!$AZ$77),"",ReferenceData!$AZ$77),"")</f>
        <v/>
      </c>
      <c r="BA77" t="str">
        <f ca="1">IFERROR(IF(0=LEN(ReferenceData!$BA$77),"",ReferenceData!$BA$77),"")</f>
        <v/>
      </c>
      <c r="BB77" t="str">
        <f ca="1">IFERROR(IF(0=LEN(ReferenceData!$BB$77),"",ReferenceData!$BB$77),"")</f>
        <v/>
      </c>
      <c r="BC77" t="str">
        <f ca="1">IFERROR(IF(0=LEN(ReferenceData!$BC$77),"",ReferenceData!$BC$77),"")</f>
        <v/>
      </c>
      <c r="BD77" t="str">
        <f ca="1">IFERROR(IF(0=LEN(ReferenceData!$BD$77),"",ReferenceData!$BD$77),"")</f>
        <v/>
      </c>
      <c r="BE77" t="str">
        <f ca="1">IFERROR(IF(0=LEN(ReferenceData!$BE$77),"",ReferenceData!$BE$77),"")</f>
        <v/>
      </c>
      <c r="BF77" t="str">
        <f ca="1">IFERROR(IF(0=LEN(ReferenceData!$BF$77),"",ReferenceData!$BF$77),"")</f>
        <v/>
      </c>
      <c r="BG77" t="str">
        <f ca="1">IFERROR(IF(0=LEN(ReferenceData!$BG$77),"",ReferenceData!$BG$77),"")</f>
        <v/>
      </c>
      <c r="BH77" t="str">
        <f ca="1">IFERROR(IF(0=LEN(ReferenceData!$BH$77),"",ReferenceData!$BH$77),"")</f>
        <v/>
      </c>
      <c r="BI77" t="str">
        <f ca="1">IFERROR(IF(0=LEN(ReferenceData!$BI$77),"",ReferenceData!$BI$77),"")</f>
        <v/>
      </c>
      <c r="BJ77" t="str">
        <f ca="1">IFERROR(IF(0=LEN(ReferenceData!$BJ$77),"",ReferenceData!$BJ$77),"")</f>
        <v/>
      </c>
      <c r="BK77" t="str">
        <f ca="1">IFERROR(IF(0=LEN(ReferenceData!$BK$77),"",ReferenceData!$BK$77),"")</f>
        <v/>
      </c>
      <c r="BL77" t="str">
        <f ca="1">IFERROR(IF(0=LEN(ReferenceData!$BL$77),"",ReferenceData!$BL$77),"")</f>
        <v/>
      </c>
      <c r="BM77" t="str">
        <f ca="1">IFERROR(IF(0=LEN(ReferenceData!$BM$77),"",ReferenceData!$BM$77),"")</f>
        <v/>
      </c>
    </row>
    <row r="78" spans="1:65">
      <c r="A78" t="str">
        <f>IFERROR(IF(0=LEN(ReferenceData!$A$78),"",ReferenceData!$A$78),"")</f>
        <v xml:space="preserve">    Piedmont Office Realty Trust I</v>
      </c>
      <c r="B78" t="str">
        <f>IFERROR(IF(0=LEN(ReferenceData!$B$78),"",ReferenceData!$B$78),"")</f>
        <v>PDM US Equity</v>
      </c>
      <c r="C78" t="str">
        <f>IFERROR(IF(0=LEN(ReferenceData!$C$78),"",ReferenceData!$C$78),"")</f>
        <v>IS972</v>
      </c>
      <c r="D78" t="str">
        <f>IFERROR(IF(0=LEN(ReferenceData!$D$78),"",ReferenceData!$D$78),"")</f>
        <v>IS_ADJUSTED_EBITDA_AS_REPORTED</v>
      </c>
      <c r="E78" t="str">
        <f>IFERROR(IF(0=LEN(ReferenceData!$E$78),"",ReferenceData!$E$78),"")</f>
        <v>动态</v>
      </c>
      <c r="F78" t="str">
        <f ca="1">IFERROR(IF(0=LEN(ReferenceData!$F$78),"",ReferenceData!$F$78),"")</f>
        <v/>
      </c>
      <c r="G78" t="str">
        <f ca="1">IFERROR(IF(0=LEN(ReferenceData!$G$78),"",ReferenceData!$G$78),"")</f>
        <v/>
      </c>
      <c r="H78" t="str">
        <f ca="1">IFERROR(IF(0=LEN(ReferenceData!$H$78),"",ReferenceData!$H$78),"")</f>
        <v/>
      </c>
      <c r="I78" t="str">
        <f ca="1">IFERROR(IF(0=LEN(ReferenceData!$I$78),"",ReferenceData!$I$78),"")</f>
        <v/>
      </c>
      <c r="J78" t="str">
        <f ca="1">IFERROR(IF(0=LEN(ReferenceData!$J$78),"",ReferenceData!$J$78),"")</f>
        <v/>
      </c>
      <c r="K78" t="str">
        <f ca="1">IFERROR(IF(0=LEN(ReferenceData!$K$78),"",ReferenceData!$K$78),"")</f>
        <v/>
      </c>
      <c r="L78" t="str">
        <f ca="1">IFERROR(IF(0=LEN(ReferenceData!$L$78),"",ReferenceData!$L$78),"")</f>
        <v/>
      </c>
      <c r="M78" t="str">
        <f ca="1">IFERROR(IF(0=LEN(ReferenceData!$M$78),"",ReferenceData!$M$78),"")</f>
        <v/>
      </c>
      <c r="N78" t="str">
        <f ca="1">IFERROR(IF(0=LEN(ReferenceData!$N$78),"",ReferenceData!$N$78),"")</f>
        <v/>
      </c>
      <c r="O78" t="str">
        <f ca="1">IFERROR(IF(0=LEN(ReferenceData!$O$78),"",ReferenceData!$O$78),"")</f>
        <v/>
      </c>
      <c r="P78" t="str">
        <f ca="1">IFERROR(IF(0=LEN(ReferenceData!$P$78),"",ReferenceData!$P$78),"")</f>
        <v/>
      </c>
      <c r="Q78" t="str">
        <f ca="1">IFERROR(IF(0=LEN(ReferenceData!$Q$78),"",ReferenceData!$Q$78),"")</f>
        <v/>
      </c>
      <c r="R78" t="str">
        <f ca="1">IFERROR(IF(0=LEN(ReferenceData!$R$78),"",ReferenceData!$R$78),"")</f>
        <v/>
      </c>
      <c r="S78" t="str">
        <f ca="1">IFERROR(IF(0=LEN(ReferenceData!$S$78),"",ReferenceData!$S$78),"")</f>
        <v/>
      </c>
      <c r="T78" t="str">
        <f ca="1">IFERROR(IF(0=LEN(ReferenceData!$T$78),"",ReferenceData!$T$78),"")</f>
        <v/>
      </c>
      <c r="U78" t="str">
        <f ca="1">IFERROR(IF(0=LEN(ReferenceData!$U$78),"",ReferenceData!$U$78),"")</f>
        <v/>
      </c>
      <c r="V78" t="str">
        <f ca="1">IFERROR(IF(0=LEN(ReferenceData!$V$78),"",ReferenceData!$V$78),"")</f>
        <v/>
      </c>
      <c r="W78" t="str">
        <f ca="1">IFERROR(IF(0=LEN(ReferenceData!$W$78),"",ReferenceData!$W$78),"")</f>
        <v/>
      </c>
      <c r="X78" t="str">
        <f ca="1">IFERROR(IF(0=LEN(ReferenceData!$X$78),"",ReferenceData!$X$78),"")</f>
        <v/>
      </c>
      <c r="Y78" t="str">
        <f ca="1">IFERROR(IF(0=LEN(ReferenceData!$Y$78),"",ReferenceData!$Y$78),"")</f>
        <v/>
      </c>
      <c r="Z78" t="str">
        <f ca="1">IFERROR(IF(0=LEN(ReferenceData!$Z$78),"",ReferenceData!$Z$78),"")</f>
        <v/>
      </c>
      <c r="AA78" t="str">
        <f ca="1">IFERROR(IF(0=LEN(ReferenceData!$AA$78),"",ReferenceData!$AA$78),"")</f>
        <v/>
      </c>
      <c r="AB78" t="str">
        <f ca="1">IFERROR(IF(0=LEN(ReferenceData!$AB$78),"",ReferenceData!$AB$78),"")</f>
        <v/>
      </c>
      <c r="AC78" t="str">
        <f ca="1">IFERROR(IF(0=LEN(ReferenceData!$AC$78),"",ReferenceData!$AC$78),"")</f>
        <v/>
      </c>
      <c r="AD78" t="str">
        <f ca="1">IFERROR(IF(0=LEN(ReferenceData!$AD$78),"",ReferenceData!$AD$78),"")</f>
        <v/>
      </c>
      <c r="AE78" t="str">
        <f ca="1">IFERROR(IF(0=LEN(ReferenceData!$AE$78),"",ReferenceData!$AE$78),"")</f>
        <v/>
      </c>
      <c r="AF78" t="str">
        <f ca="1">IFERROR(IF(0=LEN(ReferenceData!$AF$78),"",ReferenceData!$AF$78),"")</f>
        <v/>
      </c>
      <c r="AG78" t="str">
        <f ca="1">IFERROR(IF(0=LEN(ReferenceData!$AG$78),"",ReferenceData!$AG$78),"")</f>
        <v/>
      </c>
      <c r="AH78" t="str">
        <f ca="1">IFERROR(IF(0=LEN(ReferenceData!$AH$78),"",ReferenceData!$AH$78),"")</f>
        <v/>
      </c>
      <c r="AI78" t="str">
        <f ca="1">IFERROR(IF(0=LEN(ReferenceData!$AI$78),"",ReferenceData!$AI$78),"")</f>
        <v/>
      </c>
      <c r="AJ78" t="str">
        <f ca="1">IFERROR(IF(0=LEN(ReferenceData!$AJ$78),"",ReferenceData!$AJ$78),"")</f>
        <v/>
      </c>
      <c r="AK78" t="str">
        <f ca="1">IFERROR(IF(0=LEN(ReferenceData!$AK$78),"",ReferenceData!$AK$78),"")</f>
        <v/>
      </c>
      <c r="AL78" t="str">
        <f ca="1">IFERROR(IF(0=LEN(ReferenceData!$AL$78),"",ReferenceData!$AL$78),"")</f>
        <v/>
      </c>
      <c r="AM78" t="str">
        <f ca="1">IFERROR(IF(0=LEN(ReferenceData!$AM$78),"",ReferenceData!$AM$78),"")</f>
        <v/>
      </c>
      <c r="AN78" t="str">
        <f ca="1">IFERROR(IF(0=LEN(ReferenceData!$AN$78),"",ReferenceData!$AN$78),"")</f>
        <v/>
      </c>
      <c r="AO78" t="str">
        <f ca="1">IFERROR(IF(0=LEN(ReferenceData!$AO$78),"",ReferenceData!$AO$78),"")</f>
        <v/>
      </c>
      <c r="AP78" t="str">
        <f ca="1">IFERROR(IF(0=LEN(ReferenceData!$AP$78),"",ReferenceData!$AP$78),"")</f>
        <v/>
      </c>
      <c r="AQ78" t="str">
        <f ca="1">IFERROR(IF(0=LEN(ReferenceData!$AQ$78),"",ReferenceData!$AQ$78),"")</f>
        <v/>
      </c>
      <c r="AR78" t="str">
        <f ca="1">IFERROR(IF(0=LEN(ReferenceData!$AR$78),"",ReferenceData!$AR$78),"")</f>
        <v/>
      </c>
      <c r="AS78" t="str">
        <f ca="1">IFERROR(IF(0=LEN(ReferenceData!$AS$78),"",ReferenceData!$AS$78),"")</f>
        <v/>
      </c>
      <c r="AT78" t="str">
        <f ca="1">IFERROR(IF(0=LEN(ReferenceData!$AT$78),"",ReferenceData!$AT$78),"")</f>
        <v/>
      </c>
      <c r="AU78" t="str">
        <f ca="1">IFERROR(IF(0=LEN(ReferenceData!$AU$78),"",ReferenceData!$AU$78),"")</f>
        <v/>
      </c>
      <c r="AV78" t="str">
        <f ca="1">IFERROR(IF(0=LEN(ReferenceData!$AV$78),"",ReferenceData!$AV$78),"")</f>
        <v/>
      </c>
      <c r="AW78" t="str">
        <f ca="1">IFERROR(IF(0=LEN(ReferenceData!$AW$78),"",ReferenceData!$AW$78),"")</f>
        <v/>
      </c>
      <c r="AX78" t="str">
        <f ca="1">IFERROR(IF(0=LEN(ReferenceData!$AX$78),"",ReferenceData!$AX$78),"")</f>
        <v/>
      </c>
      <c r="AY78" t="str">
        <f ca="1">IFERROR(IF(0=LEN(ReferenceData!$AY$78),"",ReferenceData!$AY$78),"")</f>
        <v/>
      </c>
      <c r="AZ78" t="str">
        <f ca="1">IFERROR(IF(0=LEN(ReferenceData!$AZ$78),"",ReferenceData!$AZ$78),"")</f>
        <v/>
      </c>
      <c r="BA78" t="str">
        <f ca="1">IFERROR(IF(0=LEN(ReferenceData!$BA$78),"",ReferenceData!$BA$78),"")</f>
        <v/>
      </c>
      <c r="BB78" t="str">
        <f ca="1">IFERROR(IF(0=LEN(ReferenceData!$BB$78),"",ReferenceData!$BB$78),"")</f>
        <v/>
      </c>
      <c r="BC78" t="str">
        <f ca="1">IFERROR(IF(0=LEN(ReferenceData!$BC$78),"",ReferenceData!$BC$78),"")</f>
        <v/>
      </c>
      <c r="BD78" t="str">
        <f ca="1">IFERROR(IF(0=LEN(ReferenceData!$BD$78),"",ReferenceData!$BD$78),"")</f>
        <v/>
      </c>
      <c r="BE78" t="str">
        <f ca="1">IFERROR(IF(0=LEN(ReferenceData!$BE$78),"",ReferenceData!$BE$78),"")</f>
        <v/>
      </c>
      <c r="BF78" t="str">
        <f ca="1">IFERROR(IF(0=LEN(ReferenceData!$BF$78),"",ReferenceData!$BF$78),"")</f>
        <v/>
      </c>
      <c r="BG78" t="str">
        <f ca="1">IFERROR(IF(0=LEN(ReferenceData!$BG$78),"",ReferenceData!$BG$78),"")</f>
        <v/>
      </c>
      <c r="BH78" t="str">
        <f ca="1">IFERROR(IF(0=LEN(ReferenceData!$BH$78),"",ReferenceData!$BH$78),"")</f>
        <v/>
      </c>
      <c r="BI78" t="str">
        <f ca="1">IFERROR(IF(0=LEN(ReferenceData!$BI$78),"",ReferenceData!$BI$78),"")</f>
        <v/>
      </c>
      <c r="BJ78" t="str">
        <f ca="1">IFERROR(IF(0=LEN(ReferenceData!$BJ$78),"",ReferenceData!$BJ$78),"")</f>
        <v/>
      </c>
      <c r="BK78" t="str">
        <f ca="1">IFERROR(IF(0=LEN(ReferenceData!$BK$78),"",ReferenceData!$BK$78),"")</f>
        <v/>
      </c>
      <c r="BL78" t="str">
        <f ca="1">IFERROR(IF(0=LEN(ReferenceData!$BL$78),"",ReferenceData!$BL$78),"")</f>
        <v/>
      </c>
      <c r="BM78" t="str">
        <f ca="1">IFERROR(IF(0=LEN(ReferenceData!$BM$78),"",ReferenceData!$BM$78),"")</f>
        <v/>
      </c>
    </row>
    <row r="79" spans="1:65">
      <c r="A79" t="str">
        <f>IFERROR(IF(0=LEN(ReferenceData!$A$79),"",ReferenceData!$A$79),"")</f>
        <v xml:space="preserve">    SL Green Realty Corp</v>
      </c>
      <c r="B79" t="str">
        <f>IFERROR(IF(0=LEN(ReferenceData!$B$79),"",ReferenceData!$B$79),"")</f>
        <v>SLG US Equity</v>
      </c>
      <c r="C79" t="str">
        <f>IFERROR(IF(0=LEN(ReferenceData!$C$79),"",ReferenceData!$C$79),"")</f>
        <v>IS972</v>
      </c>
      <c r="D79" t="str">
        <f>IFERROR(IF(0=LEN(ReferenceData!$D$79),"",ReferenceData!$D$79),"")</f>
        <v>IS_ADJUSTED_EBITDA_AS_REPORTED</v>
      </c>
      <c r="E79" t="str">
        <f>IFERROR(IF(0=LEN(ReferenceData!$E$79),"",ReferenceData!$E$79),"")</f>
        <v>动态</v>
      </c>
      <c r="F79" t="str">
        <f ca="1">IFERROR(IF(0=LEN(ReferenceData!$F$79),"",ReferenceData!$F$79),"")</f>
        <v/>
      </c>
      <c r="G79" t="str">
        <f ca="1">IFERROR(IF(0=LEN(ReferenceData!$G$79),"",ReferenceData!$G$79),"")</f>
        <v/>
      </c>
      <c r="H79" t="str">
        <f ca="1">IFERROR(IF(0=LEN(ReferenceData!$H$79),"",ReferenceData!$H$79),"")</f>
        <v/>
      </c>
      <c r="I79" t="str">
        <f ca="1">IFERROR(IF(0=LEN(ReferenceData!$I$79),"",ReferenceData!$I$79),"")</f>
        <v/>
      </c>
      <c r="J79" t="str">
        <f ca="1">IFERROR(IF(0=LEN(ReferenceData!$J$79),"",ReferenceData!$J$79),"")</f>
        <v/>
      </c>
      <c r="K79" t="str">
        <f ca="1">IFERROR(IF(0=LEN(ReferenceData!$K$79),"",ReferenceData!$K$79),"")</f>
        <v/>
      </c>
      <c r="L79" t="str">
        <f ca="1">IFERROR(IF(0=LEN(ReferenceData!$L$79),"",ReferenceData!$L$79),"")</f>
        <v/>
      </c>
      <c r="M79" t="str">
        <f ca="1">IFERROR(IF(0=LEN(ReferenceData!$M$79),"",ReferenceData!$M$79),"")</f>
        <v/>
      </c>
      <c r="N79" t="str">
        <f ca="1">IFERROR(IF(0=LEN(ReferenceData!$N$79),"",ReferenceData!$N$79),"")</f>
        <v/>
      </c>
      <c r="O79" t="str">
        <f ca="1">IFERROR(IF(0=LEN(ReferenceData!$O$79),"",ReferenceData!$O$79),"")</f>
        <v/>
      </c>
      <c r="P79" t="str">
        <f ca="1">IFERROR(IF(0=LEN(ReferenceData!$P$79),"",ReferenceData!$P$79),"")</f>
        <v/>
      </c>
      <c r="Q79" t="str">
        <f ca="1">IFERROR(IF(0=LEN(ReferenceData!$Q$79),"",ReferenceData!$Q$79),"")</f>
        <v/>
      </c>
      <c r="R79" t="str">
        <f ca="1">IFERROR(IF(0=LEN(ReferenceData!$R$79),"",ReferenceData!$R$79),"")</f>
        <v/>
      </c>
      <c r="S79" t="str">
        <f ca="1">IFERROR(IF(0=LEN(ReferenceData!$S$79),"",ReferenceData!$S$79),"")</f>
        <v/>
      </c>
      <c r="T79" t="str">
        <f ca="1">IFERROR(IF(0=LEN(ReferenceData!$T$79),"",ReferenceData!$T$79),"")</f>
        <v/>
      </c>
      <c r="U79" t="str">
        <f ca="1">IFERROR(IF(0=LEN(ReferenceData!$U$79),"",ReferenceData!$U$79),"")</f>
        <v/>
      </c>
      <c r="V79" t="str">
        <f ca="1">IFERROR(IF(0=LEN(ReferenceData!$V$79),"",ReferenceData!$V$79),"")</f>
        <v/>
      </c>
      <c r="W79" t="str">
        <f ca="1">IFERROR(IF(0=LEN(ReferenceData!$W$79),"",ReferenceData!$W$79),"")</f>
        <v/>
      </c>
      <c r="X79" t="str">
        <f ca="1">IFERROR(IF(0=LEN(ReferenceData!$X$79),"",ReferenceData!$X$79),"")</f>
        <v/>
      </c>
      <c r="Y79" t="str">
        <f ca="1">IFERROR(IF(0=LEN(ReferenceData!$Y$79),"",ReferenceData!$Y$79),"")</f>
        <v/>
      </c>
      <c r="Z79" t="str">
        <f ca="1">IFERROR(IF(0=LEN(ReferenceData!$Z$79),"",ReferenceData!$Z$79),"")</f>
        <v/>
      </c>
      <c r="AA79" t="str">
        <f ca="1">IFERROR(IF(0=LEN(ReferenceData!$AA$79),"",ReferenceData!$AA$79),"")</f>
        <v/>
      </c>
      <c r="AB79" t="str">
        <f ca="1">IFERROR(IF(0=LEN(ReferenceData!$AB$79),"",ReferenceData!$AB$79),"")</f>
        <v/>
      </c>
      <c r="AC79" t="str">
        <f ca="1">IFERROR(IF(0=LEN(ReferenceData!$AC$79),"",ReferenceData!$AC$79),"")</f>
        <v/>
      </c>
      <c r="AD79" t="str">
        <f ca="1">IFERROR(IF(0=LEN(ReferenceData!$AD$79),"",ReferenceData!$AD$79),"")</f>
        <v/>
      </c>
      <c r="AE79" t="str">
        <f ca="1">IFERROR(IF(0=LEN(ReferenceData!$AE$79),"",ReferenceData!$AE$79),"")</f>
        <v/>
      </c>
      <c r="AF79" t="str">
        <f ca="1">IFERROR(IF(0=LEN(ReferenceData!$AF$79),"",ReferenceData!$AF$79),"")</f>
        <v/>
      </c>
      <c r="AG79" t="str">
        <f ca="1">IFERROR(IF(0=LEN(ReferenceData!$AG$79),"",ReferenceData!$AG$79),"")</f>
        <v/>
      </c>
      <c r="AH79" t="str">
        <f ca="1">IFERROR(IF(0=LEN(ReferenceData!$AH$79),"",ReferenceData!$AH$79),"")</f>
        <v/>
      </c>
      <c r="AI79" t="str">
        <f ca="1">IFERROR(IF(0=LEN(ReferenceData!$AI$79),"",ReferenceData!$AI$79),"")</f>
        <v/>
      </c>
      <c r="AJ79" t="str">
        <f ca="1">IFERROR(IF(0=LEN(ReferenceData!$AJ$79),"",ReferenceData!$AJ$79),"")</f>
        <v/>
      </c>
      <c r="AK79" t="str">
        <f ca="1">IFERROR(IF(0=LEN(ReferenceData!$AK$79),"",ReferenceData!$AK$79),"")</f>
        <v/>
      </c>
      <c r="AL79" t="str">
        <f ca="1">IFERROR(IF(0=LEN(ReferenceData!$AL$79),"",ReferenceData!$AL$79),"")</f>
        <v/>
      </c>
      <c r="AM79" t="str">
        <f ca="1">IFERROR(IF(0=LEN(ReferenceData!$AM$79),"",ReferenceData!$AM$79),"")</f>
        <v/>
      </c>
      <c r="AN79" t="str">
        <f ca="1">IFERROR(IF(0=LEN(ReferenceData!$AN$79),"",ReferenceData!$AN$79),"")</f>
        <v/>
      </c>
      <c r="AO79" t="str">
        <f ca="1">IFERROR(IF(0=LEN(ReferenceData!$AO$79),"",ReferenceData!$AO$79),"")</f>
        <v/>
      </c>
      <c r="AP79" t="str">
        <f ca="1">IFERROR(IF(0=LEN(ReferenceData!$AP$79),"",ReferenceData!$AP$79),"")</f>
        <v/>
      </c>
      <c r="AQ79" t="str">
        <f ca="1">IFERROR(IF(0=LEN(ReferenceData!$AQ$79),"",ReferenceData!$AQ$79),"")</f>
        <v/>
      </c>
      <c r="AR79" t="str">
        <f ca="1">IFERROR(IF(0=LEN(ReferenceData!$AR$79),"",ReferenceData!$AR$79),"")</f>
        <v/>
      </c>
      <c r="AS79" t="str">
        <f ca="1">IFERROR(IF(0=LEN(ReferenceData!$AS$79),"",ReferenceData!$AS$79),"")</f>
        <v/>
      </c>
      <c r="AT79" t="str">
        <f ca="1">IFERROR(IF(0=LEN(ReferenceData!$AT$79),"",ReferenceData!$AT$79),"")</f>
        <v/>
      </c>
      <c r="AU79" t="str">
        <f ca="1">IFERROR(IF(0=LEN(ReferenceData!$AU$79),"",ReferenceData!$AU$79),"")</f>
        <v/>
      </c>
      <c r="AV79" t="str">
        <f ca="1">IFERROR(IF(0=LEN(ReferenceData!$AV$79),"",ReferenceData!$AV$79),"")</f>
        <v/>
      </c>
      <c r="AW79" t="str">
        <f ca="1">IFERROR(IF(0=LEN(ReferenceData!$AW$79),"",ReferenceData!$AW$79),"")</f>
        <v/>
      </c>
      <c r="AX79" t="str">
        <f ca="1">IFERROR(IF(0=LEN(ReferenceData!$AX$79),"",ReferenceData!$AX$79),"")</f>
        <v/>
      </c>
      <c r="AY79" t="str">
        <f ca="1">IFERROR(IF(0=LEN(ReferenceData!$AY$79),"",ReferenceData!$AY$79),"")</f>
        <v/>
      </c>
      <c r="AZ79" t="str">
        <f ca="1">IFERROR(IF(0=LEN(ReferenceData!$AZ$79),"",ReferenceData!$AZ$79),"")</f>
        <v/>
      </c>
      <c r="BA79" t="str">
        <f ca="1">IFERROR(IF(0=LEN(ReferenceData!$BA$79),"",ReferenceData!$BA$79),"")</f>
        <v/>
      </c>
      <c r="BB79" t="str">
        <f ca="1">IFERROR(IF(0=LEN(ReferenceData!$BB$79),"",ReferenceData!$BB$79),"")</f>
        <v/>
      </c>
      <c r="BC79" t="str">
        <f ca="1">IFERROR(IF(0=LEN(ReferenceData!$BC$79),"",ReferenceData!$BC$79),"")</f>
        <v/>
      </c>
      <c r="BD79" t="str">
        <f ca="1">IFERROR(IF(0=LEN(ReferenceData!$BD$79),"",ReferenceData!$BD$79),"")</f>
        <v/>
      </c>
      <c r="BE79" t="str">
        <f ca="1">IFERROR(IF(0=LEN(ReferenceData!$BE$79),"",ReferenceData!$BE$79),"")</f>
        <v/>
      </c>
      <c r="BF79" t="str">
        <f ca="1">IFERROR(IF(0=LEN(ReferenceData!$BF$79),"",ReferenceData!$BF$79),"")</f>
        <v/>
      </c>
      <c r="BG79" t="str">
        <f ca="1">IFERROR(IF(0=LEN(ReferenceData!$BG$79),"",ReferenceData!$BG$79),"")</f>
        <v/>
      </c>
      <c r="BH79" t="str">
        <f ca="1">IFERROR(IF(0=LEN(ReferenceData!$BH$79),"",ReferenceData!$BH$79),"")</f>
        <v/>
      </c>
      <c r="BI79" t="str">
        <f ca="1">IFERROR(IF(0=LEN(ReferenceData!$BI$79),"",ReferenceData!$BI$79),"")</f>
        <v/>
      </c>
      <c r="BJ79" t="str">
        <f ca="1">IFERROR(IF(0=LEN(ReferenceData!$BJ$79),"",ReferenceData!$BJ$79),"")</f>
        <v/>
      </c>
      <c r="BK79" t="str">
        <f ca="1">IFERROR(IF(0=LEN(ReferenceData!$BK$79),"",ReferenceData!$BK$79),"")</f>
        <v/>
      </c>
      <c r="BL79" t="str">
        <f ca="1">IFERROR(IF(0=LEN(ReferenceData!$BL$79),"",ReferenceData!$BL$79),"")</f>
        <v/>
      </c>
      <c r="BM79" t="str">
        <f ca="1">IFERROR(IF(0=LEN(ReferenceData!$BM$79),"",ReferenceData!$BM$79),"")</f>
        <v/>
      </c>
    </row>
    <row r="80" spans="1:65">
      <c r="A80" t="str">
        <f>IFERROR(IF(0=LEN(ReferenceData!$A$80),"",ReferenceData!$A$80),"")</f>
        <v xml:space="preserve">    Vornado Realty Trust</v>
      </c>
      <c r="B80" t="str">
        <f>IFERROR(IF(0=LEN(ReferenceData!$B$80),"",ReferenceData!$B$80),"")</f>
        <v>VNO US Equity</v>
      </c>
      <c r="C80" t="str">
        <f>IFERROR(IF(0=LEN(ReferenceData!$C$80),"",ReferenceData!$C$80),"")</f>
        <v>IS972</v>
      </c>
      <c r="D80" t="str">
        <f>IFERROR(IF(0=LEN(ReferenceData!$D$80),"",ReferenceData!$D$80),"")</f>
        <v>IS_ADJUSTED_EBITDA_AS_REPORTED</v>
      </c>
      <c r="E80" t="str">
        <f>IFERROR(IF(0=LEN(ReferenceData!$E$80),"",ReferenceData!$E$80),"")</f>
        <v>动态</v>
      </c>
      <c r="F80" t="str">
        <f ca="1">IFERROR(IF(0=LEN(ReferenceData!$F$80),"",ReferenceData!$F$80),"")</f>
        <v/>
      </c>
      <c r="G80" t="str">
        <f ca="1">IFERROR(IF(0=LEN(ReferenceData!$G$80),"",ReferenceData!$G$80),"")</f>
        <v/>
      </c>
      <c r="H80">
        <f ca="1">IFERROR(IF(0=LEN(ReferenceData!$H$80),"",ReferenceData!$H$80),"")</f>
        <v>327.54399999999998</v>
      </c>
      <c r="I80">
        <f ca="1">IFERROR(IF(0=LEN(ReferenceData!$I$80),"",ReferenceData!$I$80),"")</f>
        <v>390.66300000000001</v>
      </c>
      <c r="J80">
        <f ca="1">IFERROR(IF(0=LEN(ReferenceData!$J$80),"",ReferenceData!$J$80),"")</f>
        <v>366.91199999999998</v>
      </c>
      <c r="K80">
        <f ca="1">IFERROR(IF(0=LEN(ReferenceData!$K$80),"",ReferenceData!$K$80),"")</f>
        <v>370.76799999999997</v>
      </c>
      <c r="L80">
        <f ca="1">IFERROR(IF(0=LEN(ReferenceData!$L$80),"",ReferenceData!$L$80),"")</f>
        <v>397.45800000000003</v>
      </c>
      <c r="M80">
        <f ca="1">IFERROR(IF(0=LEN(ReferenceData!$M$80),"",ReferenceData!$M$80),"")</f>
        <v>400.17399999999998</v>
      </c>
      <c r="N80">
        <f ca="1">IFERROR(IF(0=LEN(ReferenceData!$N$80),"",ReferenceData!$N$80),"")</f>
        <v>370.63099999999997</v>
      </c>
      <c r="O80">
        <f ca="1">IFERROR(IF(0=LEN(ReferenceData!$O$80),"",ReferenceData!$O$80),"")</f>
        <v>400.733</v>
      </c>
      <c r="P80">
        <f ca="1">IFERROR(IF(0=LEN(ReferenceData!$P$80),"",ReferenceData!$P$80),"")</f>
        <v>392.24</v>
      </c>
      <c r="Q80">
        <f ca="1">IFERROR(IF(0=LEN(ReferenceData!$Q$80),"",ReferenceData!$Q$80),"")</f>
        <v>390.697</v>
      </c>
      <c r="R80">
        <f ca="1">IFERROR(IF(0=LEN(ReferenceData!$R$80),"",ReferenceData!$R$80),"")</f>
        <v>350.697</v>
      </c>
      <c r="S80">
        <f ca="1">IFERROR(IF(0=LEN(ReferenceData!$S$80),"",ReferenceData!$S$80),"")</f>
        <v>365.74400000000003</v>
      </c>
      <c r="T80">
        <f ca="1">IFERROR(IF(0=LEN(ReferenceData!$T$80),"",ReferenceData!$T$80),"")</f>
        <v>363.76400000000001</v>
      </c>
      <c r="U80">
        <f ca="1">IFERROR(IF(0=LEN(ReferenceData!$U$80),"",ReferenceData!$U$80),"")</f>
        <v>394.31200000000001</v>
      </c>
      <c r="V80">
        <f ca="1">IFERROR(IF(0=LEN(ReferenceData!$V$80),"",ReferenceData!$V$80),"")</f>
        <v>341.73</v>
      </c>
      <c r="W80">
        <f ca="1">IFERROR(IF(0=LEN(ReferenceData!$W$80),"",ReferenceData!$W$80),"")</f>
        <v>410.09500000000003</v>
      </c>
      <c r="X80">
        <f ca="1">IFERROR(IF(0=LEN(ReferenceData!$X$80),"",ReferenceData!$X$80),"")</f>
        <v>415.13499999999999</v>
      </c>
      <c r="Y80">
        <f ca="1">IFERROR(IF(0=LEN(ReferenceData!$Y$80),"",ReferenceData!$Y$80),"")</f>
        <v>420.43</v>
      </c>
      <c r="Z80">
        <f ca="1">IFERROR(IF(0=LEN(ReferenceData!$Z$80),"",ReferenceData!$Z$80),"")</f>
        <v>387.60199999999998</v>
      </c>
      <c r="AA80">
        <f ca="1">IFERROR(IF(0=LEN(ReferenceData!$AA$80),"",ReferenceData!$AA$80),"")</f>
        <v>386.54500000000002</v>
      </c>
      <c r="AB80">
        <f ca="1">IFERROR(IF(0=LEN(ReferenceData!$AB$80),"",ReferenceData!$AB$80),"")</f>
        <v>361.1</v>
      </c>
      <c r="AC80">
        <f ca="1">IFERROR(IF(0=LEN(ReferenceData!$AC$80),"",ReferenceData!$AC$80),"")</f>
        <v>377.69299999999998</v>
      </c>
      <c r="AD80">
        <f ca="1">IFERROR(IF(0=LEN(ReferenceData!$AD$80),"",ReferenceData!$AD$80),"")</f>
        <v>349.70699999999999</v>
      </c>
      <c r="AE80">
        <f ca="1">IFERROR(IF(0=LEN(ReferenceData!$AE$80),"",ReferenceData!$AE$80),"")</f>
        <v>410.37599999999998</v>
      </c>
      <c r="AF80" t="str">
        <f ca="1">IFERROR(IF(0=LEN(ReferenceData!$AF$80),"",ReferenceData!$AF$80),"")</f>
        <v/>
      </c>
      <c r="AG80" t="str">
        <f ca="1">IFERROR(IF(0=LEN(ReferenceData!$AG$80),"",ReferenceData!$AG$80),"")</f>
        <v/>
      </c>
      <c r="AH80" t="str">
        <f ca="1">IFERROR(IF(0=LEN(ReferenceData!$AH$80),"",ReferenceData!$AH$80),"")</f>
        <v/>
      </c>
      <c r="AI80" t="str">
        <f ca="1">IFERROR(IF(0=LEN(ReferenceData!$AI$80),"",ReferenceData!$AI$80),"")</f>
        <v/>
      </c>
      <c r="AJ80" t="str">
        <f ca="1">IFERROR(IF(0=LEN(ReferenceData!$AJ$80),"",ReferenceData!$AJ$80),"")</f>
        <v/>
      </c>
      <c r="AK80" t="str">
        <f ca="1">IFERROR(IF(0=LEN(ReferenceData!$AK$80),"",ReferenceData!$AK$80),"")</f>
        <v/>
      </c>
      <c r="AL80" t="str">
        <f ca="1">IFERROR(IF(0=LEN(ReferenceData!$AL$80),"",ReferenceData!$AL$80),"")</f>
        <v/>
      </c>
      <c r="AM80" t="str">
        <f ca="1">IFERROR(IF(0=LEN(ReferenceData!$AM$80),"",ReferenceData!$AM$80),"")</f>
        <v/>
      </c>
      <c r="AN80" t="str">
        <f ca="1">IFERROR(IF(0=LEN(ReferenceData!$AN$80),"",ReferenceData!$AN$80),"")</f>
        <v/>
      </c>
      <c r="AO80" t="str">
        <f ca="1">IFERROR(IF(0=LEN(ReferenceData!$AO$80),"",ReferenceData!$AO$80),"")</f>
        <v/>
      </c>
      <c r="AP80" t="str">
        <f ca="1">IFERROR(IF(0=LEN(ReferenceData!$AP$80),"",ReferenceData!$AP$80),"")</f>
        <v/>
      </c>
      <c r="AQ80">
        <f ca="1">IFERROR(IF(0=LEN(ReferenceData!$AQ$80),"",ReferenceData!$AQ$80),"")</f>
        <v>435.005</v>
      </c>
      <c r="AR80" t="str">
        <f ca="1">IFERROR(IF(0=LEN(ReferenceData!$AR$80),"",ReferenceData!$AR$80),"")</f>
        <v/>
      </c>
      <c r="AS80" t="str">
        <f ca="1">IFERROR(IF(0=LEN(ReferenceData!$AS$80),"",ReferenceData!$AS$80),"")</f>
        <v/>
      </c>
      <c r="AT80" t="str">
        <f ca="1">IFERROR(IF(0=LEN(ReferenceData!$AT$80),"",ReferenceData!$AT$80),"")</f>
        <v/>
      </c>
      <c r="AU80">
        <f ca="1">IFERROR(IF(0=LEN(ReferenceData!$AU$80),"",ReferenceData!$AU$80),"")</f>
        <v>424.70299999999997</v>
      </c>
      <c r="AV80" t="str">
        <f ca="1">IFERROR(IF(0=LEN(ReferenceData!$AV$80),"",ReferenceData!$AV$80),"")</f>
        <v/>
      </c>
      <c r="AW80" t="str">
        <f ca="1">IFERROR(IF(0=LEN(ReferenceData!$AW$80),"",ReferenceData!$AW$80),"")</f>
        <v/>
      </c>
      <c r="AX80" t="str">
        <f ca="1">IFERROR(IF(0=LEN(ReferenceData!$AX$80),"",ReferenceData!$AX$80),"")</f>
        <v/>
      </c>
      <c r="AY80" t="str">
        <f ca="1">IFERROR(IF(0=LEN(ReferenceData!$AY$80),"",ReferenceData!$AY$80),"")</f>
        <v/>
      </c>
      <c r="AZ80" t="str">
        <f ca="1">IFERROR(IF(0=LEN(ReferenceData!$AZ$80),"",ReferenceData!$AZ$80),"")</f>
        <v/>
      </c>
      <c r="BA80">
        <f ca="1">IFERROR(IF(0=LEN(ReferenceData!$BA$80),"",ReferenceData!$BA$80),"")</f>
        <v>373.01</v>
      </c>
      <c r="BB80" t="str">
        <f ca="1">IFERROR(IF(0=LEN(ReferenceData!$BB$80),"",ReferenceData!$BB$80),"")</f>
        <v/>
      </c>
      <c r="BC80" t="str">
        <f ca="1">IFERROR(IF(0=LEN(ReferenceData!$BC$80),"",ReferenceData!$BC$80),"")</f>
        <v/>
      </c>
      <c r="BD80" t="str">
        <f ca="1">IFERROR(IF(0=LEN(ReferenceData!$BD$80),"",ReferenceData!$BD$80),"")</f>
        <v/>
      </c>
      <c r="BE80" t="str">
        <f ca="1">IFERROR(IF(0=LEN(ReferenceData!$BE$80),"",ReferenceData!$BE$80),"")</f>
        <v/>
      </c>
      <c r="BF80" t="str">
        <f ca="1">IFERROR(IF(0=LEN(ReferenceData!$BF$80),"",ReferenceData!$BF$80),"")</f>
        <v/>
      </c>
      <c r="BG80" t="str">
        <f ca="1">IFERROR(IF(0=LEN(ReferenceData!$BG$80),"",ReferenceData!$BG$80),"")</f>
        <v/>
      </c>
      <c r="BH80" t="str">
        <f ca="1">IFERROR(IF(0=LEN(ReferenceData!$BH$80),"",ReferenceData!$BH$80),"")</f>
        <v/>
      </c>
      <c r="BI80" t="str">
        <f ca="1">IFERROR(IF(0=LEN(ReferenceData!$BI$80),"",ReferenceData!$BI$80),"")</f>
        <v/>
      </c>
      <c r="BJ80" t="str">
        <f ca="1">IFERROR(IF(0=LEN(ReferenceData!$BJ$80),"",ReferenceData!$BJ$80),"")</f>
        <v/>
      </c>
      <c r="BK80" t="str">
        <f ca="1">IFERROR(IF(0=LEN(ReferenceData!$BK$80),"",ReferenceData!$BK$80),"")</f>
        <v/>
      </c>
      <c r="BL80" t="str">
        <f ca="1">IFERROR(IF(0=LEN(ReferenceData!$BL$80),"",ReferenceData!$BL$80),"")</f>
        <v/>
      </c>
      <c r="BM80" t="str">
        <f ca="1">IFERROR(IF(0=LEN(ReferenceData!$BM$80),"",ReferenceData!$BM$80),"")</f>
        <v/>
      </c>
    </row>
    <row r="81" spans="1:65">
      <c r="A81" t="str">
        <f>IFERROR(IF(0=LEN(ReferenceData!$A$81),"",ReferenceData!$A$81),"")</f>
        <v>营运资本</v>
      </c>
      <c r="B81" t="str">
        <f>IFERROR(IF(0=LEN(ReferenceData!$B$81),"",ReferenceData!$B$81),"")</f>
        <v/>
      </c>
      <c r="C81" t="str">
        <f>IFERROR(IF(0=LEN(ReferenceData!$C$81),"",ReferenceData!$C$81),"")</f>
        <v/>
      </c>
      <c r="D81" t="str">
        <f>IFERROR(IF(0=LEN(ReferenceData!$D$81),"",ReferenceData!$D$81),"")</f>
        <v/>
      </c>
      <c r="E81" t="str">
        <f>IFERROR(IF(0=LEN(ReferenceData!$E$81),"",ReferenceData!$E$81),"")</f>
        <v>Median</v>
      </c>
      <c r="F81" t="str">
        <f ca="1">IFERROR(IF(0=LEN(ReferenceData!$F$81),"",ReferenceData!$F$81),"")</f>
        <v/>
      </c>
      <c r="G81">
        <f ca="1">IFERROR(IF(0=LEN(ReferenceData!$G$81),"",ReferenceData!$G$81),"")</f>
        <v>73.717500000000001</v>
      </c>
      <c r="H81">
        <f ca="1">IFERROR(IF(0=LEN(ReferenceData!$H$81),"",ReferenceData!$H$81),"")</f>
        <v>75.736500000000007</v>
      </c>
      <c r="I81">
        <f ca="1">IFERROR(IF(0=LEN(ReferenceData!$I$81),"",ReferenceData!$I$81),"")</f>
        <v>77.616</v>
      </c>
      <c r="J81">
        <f ca="1">IFERROR(IF(0=LEN(ReferenceData!$J$81),"",ReferenceData!$J$81),"")</f>
        <v>74.062999999999988</v>
      </c>
      <c r="K81">
        <f ca="1">IFERROR(IF(0=LEN(ReferenceData!$K$81),"",ReferenceData!$K$81),"")</f>
        <v>74.342500000000001</v>
      </c>
      <c r="L81">
        <f ca="1">IFERROR(IF(0=LEN(ReferenceData!$L$81),"",ReferenceData!$L$81),"")</f>
        <v>72.042999999999992</v>
      </c>
      <c r="M81">
        <f ca="1">IFERROR(IF(0=LEN(ReferenceData!$M$81),"",ReferenceData!$M$81),"")</f>
        <v>73.137</v>
      </c>
      <c r="N81">
        <f ca="1">IFERROR(IF(0=LEN(ReferenceData!$N$81),"",ReferenceData!$N$81),"")</f>
        <v>69.022999999999996</v>
      </c>
      <c r="O81">
        <f ca="1">IFERROR(IF(0=LEN(ReferenceData!$O$81),"",ReferenceData!$O$81),"")</f>
        <v>72.948000000000008</v>
      </c>
      <c r="P81">
        <f ca="1">IFERROR(IF(0=LEN(ReferenceData!$P$81),"",ReferenceData!$P$81),"")</f>
        <v>75.988</v>
      </c>
      <c r="Q81">
        <f ca="1">IFERROR(IF(0=LEN(ReferenceData!$Q$81),"",ReferenceData!$Q$81),"")</f>
        <v>70.539500000000004</v>
      </c>
      <c r="R81">
        <f ca="1">IFERROR(IF(0=LEN(ReferenceData!$R$81),"",ReferenceData!$R$81),"")</f>
        <v>65.897500000000008</v>
      </c>
      <c r="S81">
        <f ca="1">IFERROR(IF(0=LEN(ReferenceData!$S$81),"",ReferenceData!$S$81),"")</f>
        <v>65.945999999999998</v>
      </c>
      <c r="T81">
        <f ca="1">IFERROR(IF(0=LEN(ReferenceData!$T$81),"",ReferenceData!$T$81),"")</f>
        <v>61.655000000000001</v>
      </c>
      <c r="U81">
        <f ca="1">IFERROR(IF(0=LEN(ReferenceData!$U$81),"",ReferenceData!$U$81),"")</f>
        <v>61.900000000000006</v>
      </c>
      <c r="V81">
        <f ca="1">IFERROR(IF(0=LEN(ReferenceData!$V$81),"",ReferenceData!$V$81),"")</f>
        <v>59.597000000000001</v>
      </c>
      <c r="W81">
        <f ca="1">IFERROR(IF(0=LEN(ReferenceData!$W$81),"",ReferenceData!$W$81),"")</f>
        <v>61.6905</v>
      </c>
      <c r="X81">
        <f ca="1">IFERROR(IF(0=LEN(ReferenceData!$X$81),"",ReferenceData!$X$81),"")</f>
        <v>64.124499999999998</v>
      </c>
      <c r="Y81">
        <f ca="1">IFERROR(IF(0=LEN(ReferenceData!$Y$81),"",ReferenceData!$Y$81),"")</f>
        <v>63.298999999999999</v>
      </c>
      <c r="Z81">
        <f ca="1">IFERROR(IF(0=LEN(ReferenceData!$Z$81),"",ReferenceData!$Z$81),"")</f>
        <v>58.654499999999999</v>
      </c>
      <c r="AA81">
        <f ca="1">IFERROR(IF(0=LEN(ReferenceData!$AA$81),"",ReferenceData!$AA$81),"")</f>
        <v>55.734999999999999</v>
      </c>
      <c r="AB81">
        <f ca="1">IFERROR(IF(0=LEN(ReferenceData!$AB$81),"",ReferenceData!$AB$81),"")</f>
        <v>61.498999999999995</v>
      </c>
      <c r="AC81">
        <f ca="1">IFERROR(IF(0=LEN(ReferenceData!$AC$81),"",ReferenceData!$AC$81),"")</f>
        <v>61.173500000000004</v>
      </c>
      <c r="AD81">
        <f ca="1">IFERROR(IF(0=LEN(ReferenceData!$AD$81),"",ReferenceData!$AD$81),"")</f>
        <v>65.736500000000007</v>
      </c>
      <c r="AE81">
        <f ca="1">IFERROR(IF(0=LEN(ReferenceData!$AE$81),"",ReferenceData!$AE$81),"")</f>
        <v>67.000499999999988</v>
      </c>
      <c r="AF81">
        <f ca="1">IFERROR(IF(0=LEN(ReferenceData!$AF$81),"",ReferenceData!$AF$81),"")</f>
        <v>69.96350000000001</v>
      </c>
      <c r="AG81">
        <f ca="1">IFERROR(IF(0=LEN(ReferenceData!$AG$81),"",ReferenceData!$AG$81),"")</f>
        <v>61.488500000000002</v>
      </c>
      <c r="AH81">
        <f ca="1">IFERROR(IF(0=LEN(ReferenceData!$AH$81),"",ReferenceData!$AH$81),"")</f>
        <v>64.110500000000002</v>
      </c>
      <c r="AI81">
        <f ca="1">IFERROR(IF(0=LEN(ReferenceData!$AI$81),"",ReferenceData!$AI$81),"")</f>
        <v>66.0565</v>
      </c>
      <c r="AJ81">
        <f ca="1">IFERROR(IF(0=LEN(ReferenceData!$AJ$81),"",ReferenceData!$AJ$81),"")</f>
        <v>62.326999999999998</v>
      </c>
      <c r="AK81">
        <f ca="1">IFERROR(IF(0=LEN(ReferenceData!$AK$81),"",ReferenceData!$AK$81),"")</f>
        <v>52.633499999999998</v>
      </c>
      <c r="AL81">
        <f ca="1">IFERROR(IF(0=LEN(ReferenceData!$AL$81),"",ReferenceData!$AL$81),"")</f>
        <v>60.938500000000005</v>
      </c>
      <c r="AM81">
        <f ca="1">IFERROR(IF(0=LEN(ReferenceData!$AM$81),"",ReferenceData!$AM$81),"")</f>
        <v>50.572000000000003</v>
      </c>
      <c r="AN81">
        <f ca="1">IFERROR(IF(0=LEN(ReferenceData!$AN$81),"",ReferenceData!$AN$81),"")</f>
        <v>54.116500000000002</v>
      </c>
      <c r="AO81">
        <f ca="1">IFERROR(IF(0=LEN(ReferenceData!$AO$81),"",ReferenceData!$AO$81),"")</f>
        <v>68.546000000000006</v>
      </c>
      <c r="AP81">
        <f ca="1">IFERROR(IF(0=LEN(ReferenceData!$AP$81),"",ReferenceData!$AP$81),"")</f>
        <v>68.090999999999994</v>
      </c>
      <c r="AQ81">
        <f ca="1">IFERROR(IF(0=LEN(ReferenceData!$AQ$81),"",ReferenceData!$AQ$81),"")</f>
        <v>44.176000000000002</v>
      </c>
      <c r="AR81">
        <f ca="1">IFERROR(IF(0=LEN(ReferenceData!$AR$81),"",ReferenceData!$AR$81),"")</f>
        <v>72.491</v>
      </c>
      <c r="AS81">
        <f ca="1">IFERROR(IF(0=LEN(ReferenceData!$AS$81),"",ReferenceData!$AS$81),"")</f>
        <v>71.081999999999994</v>
      </c>
      <c r="AT81">
        <f ca="1">IFERROR(IF(0=LEN(ReferenceData!$AT$81),"",ReferenceData!$AT$81),"")</f>
        <v>70.873999999999995</v>
      </c>
      <c r="AU81">
        <f ca="1">IFERROR(IF(0=LEN(ReferenceData!$AU$81),"",ReferenceData!$AU$81),"")</f>
        <v>73.009</v>
      </c>
      <c r="AV81">
        <f ca="1">IFERROR(IF(0=LEN(ReferenceData!$AV$81),"",ReferenceData!$AV$81),"")</f>
        <v>71.263000000000005</v>
      </c>
      <c r="AW81">
        <f ca="1">IFERROR(IF(0=LEN(ReferenceData!$AW$81),"",ReferenceData!$AW$81),"")</f>
        <v>68.64</v>
      </c>
      <c r="AX81">
        <f ca="1">IFERROR(IF(0=LEN(ReferenceData!$AX$81),"",ReferenceData!$AX$81),"")</f>
        <v>70.114999999999995</v>
      </c>
      <c r="AY81">
        <f ca="1">IFERROR(IF(0=LEN(ReferenceData!$AY$81),"",ReferenceData!$AY$81),"")</f>
        <v>58.965000000000003</v>
      </c>
      <c r="AZ81">
        <f ca="1">IFERROR(IF(0=LEN(ReferenceData!$AZ$81),"",ReferenceData!$AZ$81),"")</f>
        <v>63.719000000000001</v>
      </c>
      <c r="BA81">
        <f ca="1">IFERROR(IF(0=LEN(ReferenceData!$BA$81),"",ReferenceData!$BA$81),"")</f>
        <v>57.194000000000003</v>
      </c>
      <c r="BB81">
        <f ca="1">IFERROR(IF(0=LEN(ReferenceData!$BB$81),"",ReferenceData!$BB$81),"")</f>
        <v>55.216000000000001</v>
      </c>
      <c r="BC81">
        <f ca="1">IFERROR(IF(0=LEN(ReferenceData!$BC$81),"",ReferenceData!$BC$81),"")</f>
        <v>65.138000000000005</v>
      </c>
      <c r="BD81">
        <f ca="1">IFERROR(IF(0=LEN(ReferenceData!$BD$81),"",ReferenceData!$BD$81),"")</f>
        <v>51.704999999999998</v>
      </c>
      <c r="BE81">
        <f ca="1">IFERROR(IF(0=LEN(ReferenceData!$BE$81),"",ReferenceData!$BE$81),"")</f>
        <v>36.301000000000002</v>
      </c>
      <c r="BF81">
        <f ca="1">IFERROR(IF(0=LEN(ReferenceData!$BF$81),"",ReferenceData!$BF$81),"")</f>
        <v>44.561</v>
      </c>
      <c r="BG81">
        <f ca="1">IFERROR(IF(0=LEN(ReferenceData!$BG$81),"",ReferenceData!$BG$81),"")</f>
        <v>42.578000000000003</v>
      </c>
      <c r="BH81">
        <f ca="1">IFERROR(IF(0=LEN(ReferenceData!$BH$81),"",ReferenceData!$BH$81),"")</f>
        <v>47.448</v>
      </c>
      <c r="BI81">
        <f ca="1">IFERROR(IF(0=LEN(ReferenceData!$BI$81),"",ReferenceData!$BI$81),"")</f>
        <v>44.146000000000001</v>
      </c>
      <c r="BJ81">
        <f ca="1">IFERROR(IF(0=LEN(ReferenceData!$BJ$81),"",ReferenceData!$BJ$81),"")</f>
        <v>34.99</v>
      </c>
      <c r="BK81">
        <f ca="1">IFERROR(IF(0=LEN(ReferenceData!$BK$81),"",ReferenceData!$BK$81),"")</f>
        <v>66.510002139999997</v>
      </c>
      <c r="BL81">
        <f ca="1">IFERROR(IF(0=LEN(ReferenceData!$BL$81),"",ReferenceData!$BL$81),"")</f>
        <v>44.804000000000002</v>
      </c>
      <c r="BM81">
        <f ca="1">IFERROR(IF(0=LEN(ReferenceData!$BM$81),"",ReferenceData!$BM$81),"")</f>
        <v>33.323999999999998</v>
      </c>
    </row>
    <row r="82" spans="1:65">
      <c r="A82" t="str">
        <f>IFERROR(IF(0=LEN(ReferenceData!$A$82),"",ReferenceData!$A$82),"")</f>
        <v xml:space="preserve">    Boston Properties Inc</v>
      </c>
      <c r="B82" t="str">
        <f>IFERROR(IF(0=LEN(ReferenceData!$B$82),"",ReferenceData!$B$82),"")</f>
        <v>BXP US Equity</v>
      </c>
      <c r="C82" t="str">
        <f>IFERROR(IF(0=LEN(ReferenceData!$C$82),"",ReferenceData!$C$82),"")</f>
        <v>CF039</v>
      </c>
      <c r="D82" t="str">
        <f>IFERROR(IF(0=LEN(ReferenceData!$D$82),"",ReferenceData!$D$82),"")</f>
        <v>CF_FFO</v>
      </c>
      <c r="E82" t="str">
        <f>IFERROR(IF(0=LEN(ReferenceData!$E$82),"",ReferenceData!$E$82),"")</f>
        <v>动态</v>
      </c>
      <c r="F82" t="str">
        <f ca="1">IFERROR(IF(0=LEN(ReferenceData!$F$82),"",ReferenceData!$F$82),"")</f>
        <v/>
      </c>
      <c r="G82">
        <f ca="1">IFERROR(IF(0=LEN(ReferenceData!$G$82),"",ReferenceData!$G$82),"")</f>
        <v>230.13200000000001</v>
      </c>
      <c r="H82">
        <f ca="1">IFERROR(IF(0=LEN(ReferenceData!$H$82),"",ReferenceData!$H$82),"")</f>
        <v>243.01499999999999</v>
      </c>
      <c r="I82">
        <f ca="1">IFERROR(IF(0=LEN(ReferenceData!$I$82),"",ReferenceData!$I$82),"")</f>
        <v>257.88099999999997</v>
      </c>
      <c r="J82">
        <f ca="1">IFERROR(IF(0=LEN(ReferenceData!$J$82),"",ReferenceData!$J$82),"")</f>
        <v>228.38300000000001</v>
      </c>
      <c r="K82">
        <f ca="1">IFERROR(IF(0=LEN(ReferenceData!$K$82),"",ReferenceData!$K$82),"")</f>
        <v>236.898</v>
      </c>
      <c r="L82">
        <f ca="1">IFERROR(IF(0=LEN(ReferenceData!$L$82),"",ReferenceData!$L$82),"")</f>
        <v>219.56399999999999</v>
      </c>
      <c r="M82">
        <f ca="1">IFERROR(IF(0=LEN(ReferenceData!$M$82),"",ReferenceData!$M$82),"")</f>
        <v>220.595</v>
      </c>
      <c r="N82">
        <f ca="1">IFERROR(IF(0=LEN(ReferenceData!$N$82),"",ReferenceData!$N$82),"")</f>
        <v>250.68799999999999</v>
      </c>
      <c r="O82">
        <f ca="1">IFERROR(IF(0=LEN(ReferenceData!$O$82),"",ReferenceData!$O$82),"")</f>
        <v>197.35</v>
      </c>
      <c r="P82">
        <f ca="1">IFERROR(IF(0=LEN(ReferenceData!$P$82),"",ReferenceData!$P$82),"")</f>
        <v>217.261</v>
      </c>
      <c r="Q82">
        <f ca="1">IFERROR(IF(0=LEN(ReferenceData!$Q$82),"",ReferenceData!$Q$82),"")</f>
        <v>208.73099999999999</v>
      </c>
      <c r="R82">
        <f ca="1">IFERROR(IF(0=LEN(ReferenceData!$R$82),"",ReferenceData!$R$82),"")</f>
        <v>200.38499999999999</v>
      </c>
      <c r="S82">
        <f ca="1">IFERROR(IF(0=LEN(ReferenceData!$S$82),"",ReferenceData!$S$82),"")</f>
        <v>193.18600000000001</v>
      </c>
      <c r="T82">
        <f ca="1">IFERROR(IF(0=LEN(ReferenceData!$T$82),"",ReferenceData!$T$82),"")</f>
        <v>223.40299999999999</v>
      </c>
      <c r="U82">
        <f ca="1">IFERROR(IF(0=LEN(ReferenceData!$U$82),"",ReferenceData!$U$82),"")</f>
        <v>207.01</v>
      </c>
      <c r="V82">
        <f ca="1">IFERROR(IF(0=LEN(ReferenceData!$V$82),"",ReferenceData!$V$82),"")</f>
        <v>183.84399999999999</v>
      </c>
      <c r="W82">
        <f ca="1">IFERROR(IF(0=LEN(ReferenceData!$W$82),"",ReferenceData!$W$82),"")</f>
        <v>197.60499999999999</v>
      </c>
      <c r="X82">
        <f ca="1">IFERROR(IF(0=LEN(ReferenceData!$X$82),"",ReferenceData!$X$82),"")</f>
        <v>197.85900000000001</v>
      </c>
      <c r="Y82">
        <f ca="1">IFERROR(IF(0=LEN(ReferenceData!$Y$82),"",ReferenceData!$Y$82),"")</f>
        <v>195.41499999999999</v>
      </c>
      <c r="Z82">
        <f ca="1">IFERROR(IF(0=LEN(ReferenceData!$Z$82),"",ReferenceData!$Z$82),"")</f>
        <v>160.624</v>
      </c>
      <c r="AA82">
        <f ca="1">IFERROR(IF(0=LEN(ReferenceData!$AA$82),"",ReferenceData!$AA$82),"")</f>
        <v>192.46199999999999</v>
      </c>
      <c r="AB82">
        <f ca="1">IFERROR(IF(0=LEN(ReferenceData!$AB$82),"",ReferenceData!$AB$82),"")</f>
        <v>175.779</v>
      </c>
      <c r="AC82">
        <f ca="1">IFERROR(IF(0=LEN(ReferenceData!$AC$82),"",ReferenceData!$AC$82),"")</f>
        <v>206.47399999999999</v>
      </c>
      <c r="AD82">
        <f ca="1">IFERROR(IF(0=LEN(ReferenceData!$AD$82),"",ReferenceData!$AD$82),"")</f>
        <v>166.72900000000001</v>
      </c>
      <c r="AE82">
        <f ca="1">IFERROR(IF(0=LEN(ReferenceData!$AE$82),"",ReferenceData!$AE$82),"")</f>
        <v>179.298</v>
      </c>
      <c r="AF82">
        <f ca="1">IFERROR(IF(0=LEN(ReferenceData!$AF$82),"",ReferenceData!$AF$82),"")</f>
        <v>190.274</v>
      </c>
      <c r="AG82">
        <f ca="1">IFERROR(IF(0=LEN(ReferenceData!$AG$82),"",ReferenceData!$AG$82),"")</f>
        <v>181.56899999999999</v>
      </c>
      <c r="AH82">
        <f ca="1">IFERROR(IF(0=LEN(ReferenceData!$AH$82),"",ReferenceData!$AH$82),"")</f>
        <v>159.97999999999999</v>
      </c>
      <c r="AI82">
        <f ca="1">IFERROR(IF(0=LEN(ReferenceData!$AI$82),"",ReferenceData!$AI$82),"")</f>
        <v>89.878</v>
      </c>
      <c r="AJ82">
        <f ca="1">IFERROR(IF(0=LEN(ReferenceData!$AJ$82),"",ReferenceData!$AJ$82),"")</f>
        <v>150.85300000000001</v>
      </c>
      <c r="AK82">
        <f ca="1">IFERROR(IF(0=LEN(ReferenceData!$AK$82),"",ReferenceData!$AK$82),"")</f>
        <v>156.87</v>
      </c>
      <c r="AL82">
        <f ca="1">IFERROR(IF(0=LEN(ReferenceData!$AL$82),"",ReferenceData!$AL$82),"")</f>
        <v>149.596</v>
      </c>
      <c r="AM82">
        <f ca="1">IFERROR(IF(0=LEN(ReferenceData!$AM$82),"",ReferenceData!$AM$82),"")</f>
        <v>146.05600000000001</v>
      </c>
      <c r="AN82">
        <f ca="1">IFERROR(IF(0=LEN(ReferenceData!$AN$82),"",ReferenceData!$AN$82),"")</f>
        <v>158.44999999999999</v>
      </c>
      <c r="AO82">
        <f ca="1">IFERROR(IF(0=LEN(ReferenceData!$AO$82),"",ReferenceData!$AO$82),"")</f>
        <v>166.61500000000001</v>
      </c>
      <c r="AP82">
        <f ca="1">IFERROR(IF(0=LEN(ReferenceData!$AP$82),"",ReferenceData!$AP$82),"")</f>
        <v>134.84700000000001</v>
      </c>
      <c r="AQ82">
        <f ca="1">IFERROR(IF(0=LEN(ReferenceData!$AQ$82),"",ReferenceData!$AQ$82),"")</f>
        <v>-0.749</v>
      </c>
      <c r="AR82">
        <f ca="1">IFERROR(IF(0=LEN(ReferenceData!$AR$82),"",ReferenceData!$AR$82),"")</f>
        <v>155.131</v>
      </c>
      <c r="AS82">
        <f ca="1">IFERROR(IF(0=LEN(ReferenceData!$AS$82),"",ReferenceData!$AS$82),"")</f>
        <v>164.88300000000001</v>
      </c>
      <c r="AT82">
        <f ca="1">IFERROR(IF(0=LEN(ReferenceData!$AT$82),"",ReferenceData!$AT$82),"")</f>
        <v>153.03100000000001</v>
      </c>
      <c r="AU82">
        <f ca="1">IFERROR(IF(0=LEN(ReferenceData!$AU$82),"",ReferenceData!$AU$82),"")</f>
        <v>172.71899999999999</v>
      </c>
      <c r="AV82">
        <f ca="1">IFERROR(IF(0=LEN(ReferenceData!$AV$82),"",ReferenceData!$AV$82),"")</f>
        <v>160.19399999999999</v>
      </c>
      <c r="AW82">
        <f ca="1">IFERROR(IF(0=LEN(ReferenceData!$AW$82),"",ReferenceData!$AW$82),"")</f>
        <v>167.42699999999999</v>
      </c>
      <c r="AX82">
        <f ca="1">IFERROR(IF(0=LEN(ReferenceData!$AX$82),"",ReferenceData!$AX$82),"")</f>
        <v>156.309</v>
      </c>
      <c r="AY82">
        <f ca="1">IFERROR(IF(0=LEN(ReferenceData!$AY$82),"",ReferenceData!$AY$82),"")</f>
        <v>167.227</v>
      </c>
      <c r="AZ82">
        <f ca="1">IFERROR(IF(0=LEN(ReferenceData!$AZ$82),"",ReferenceData!$AZ$82),"")</f>
        <v>162.68</v>
      </c>
      <c r="BA82">
        <f ca="1">IFERROR(IF(0=LEN(ReferenceData!$BA$82),"",ReferenceData!$BA$82),"")</f>
        <v>122.00700000000001</v>
      </c>
      <c r="BB82">
        <f ca="1">IFERROR(IF(0=LEN(ReferenceData!$BB$82),"",ReferenceData!$BB$82),"")</f>
        <v>141.82599999999999</v>
      </c>
      <c r="BC82">
        <f ca="1">IFERROR(IF(0=LEN(ReferenceData!$BC$82),"",ReferenceData!$BC$82),"")</f>
        <v>102.886</v>
      </c>
      <c r="BD82">
        <f ca="1">IFERROR(IF(0=LEN(ReferenceData!$BD$82),"",ReferenceData!$BD$82),"")</f>
        <v>147.57400000000001</v>
      </c>
      <c r="BE82">
        <f ca="1">IFERROR(IF(0=LEN(ReferenceData!$BE$82),"",ReferenceData!$BE$82),"")</f>
        <v>-6.2389999999999999</v>
      </c>
      <c r="BF82">
        <f ca="1">IFERROR(IF(0=LEN(ReferenceData!$BF$82),"",ReferenceData!$BF$82),"")</f>
        <v>140.33600000000001</v>
      </c>
      <c r="BG82">
        <f ca="1">IFERROR(IF(0=LEN(ReferenceData!$BG$82),"",ReferenceData!$BG$82),"")</f>
        <v>118.89100000000001</v>
      </c>
      <c r="BH82">
        <f ca="1">IFERROR(IF(0=LEN(ReferenceData!$BH$82),"",ReferenceData!$BH$82),"")</f>
        <v>119.937</v>
      </c>
      <c r="BI82">
        <f ca="1">IFERROR(IF(0=LEN(ReferenceData!$BI$82),"",ReferenceData!$BI$82),"")</f>
        <v>116.903999</v>
      </c>
      <c r="BJ82">
        <f ca="1">IFERROR(IF(0=LEN(ReferenceData!$BJ$82),"",ReferenceData!$BJ$82),"")</f>
        <v>103.831001</v>
      </c>
      <c r="BK82">
        <f ca="1">IFERROR(IF(0=LEN(ReferenceData!$BK$82),"",ReferenceData!$BK$82),"")</f>
        <v>106.931</v>
      </c>
      <c r="BL82">
        <f ca="1">IFERROR(IF(0=LEN(ReferenceData!$BL$82),"",ReferenceData!$BL$82),"")</f>
        <v>99.056999000000005</v>
      </c>
      <c r="BM82">
        <f ca="1">IFERROR(IF(0=LEN(ReferenceData!$BM$82),"",ReferenceData!$BM$82),"")</f>
        <v>0.625</v>
      </c>
    </row>
    <row r="83" spans="1:65">
      <c r="A83" t="str">
        <f>IFERROR(IF(0=LEN(ReferenceData!$A$83),"",ReferenceData!$A$83),"")</f>
        <v xml:space="preserve">    Brandywine Realty Trust</v>
      </c>
      <c r="B83" t="str">
        <f>IFERROR(IF(0=LEN(ReferenceData!$B$83),"",ReferenceData!$B$83),"")</f>
        <v>BDN US Equity</v>
      </c>
      <c r="C83" t="str">
        <f>IFERROR(IF(0=LEN(ReferenceData!$C$83),"",ReferenceData!$C$83),"")</f>
        <v>CF039</v>
      </c>
      <c r="D83" t="str">
        <f>IFERROR(IF(0=LEN(ReferenceData!$D$83),"",ReferenceData!$D$83),"")</f>
        <v>CF_FFO</v>
      </c>
      <c r="E83" t="str">
        <f>IFERROR(IF(0=LEN(ReferenceData!$E$83),"",ReferenceData!$E$83),"")</f>
        <v>动态</v>
      </c>
      <c r="F83" t="str">
        <f ca="1">IFERROR(IF(0=LEN(ReferenceData!$F$83),"",ReferenceData!$F$83),"")</f>
        <v/>
      </c>
      <c r="G83">
        <f ca="1">IFERROR(IF(0=LEN(ReferenceData!$G$83),"",ReferenceData!$G$83),"")</f>
        <v>53.749000000000002</v>
      </c>
      <c r="H83">
        <f ca="1">IFERROR(IF(0=LEN(ReferenceData!$H$83),"",ReferenceData!$H$83),"")</f>
        <v>61.926000000000002</v>
      </c>
      <c r="I83">
        <f ca="1">IFERROR(IF(0=LEN(ReferenceData!$I$83),"",ReferenceData!$I$83),"")</f>
        <v>57.427</v>
      </c>
      <c r="J83">
        <f ca="1">IFERROR(IF(0=LEN(ReferenceData!$J$83),"",ReferenceData!$J$83),"")</f>
        <v>56.116999999999997</v>
      </c>
      <c r="K83">
        <f ca="1">IFERROR(IF(0=LEN(ReferenceData!$K$83),"",ReferenceData!$K$83),"")</f>
        <v>62.963000000000001</v>
      </c>
      <c r="L83">
        <f ca="1">IFERROR(IF(0=LEN(ReferenceData!$L$83),"",ReferenceData!$L$83),"")</f>
        <v>58.283999999999999</v>
      </c>
      <c r="M83">
        <f ca="1">IFERROR(IF(0=LEN(ReferenceData!$M$83),"",ReferenceData!$M$83),"")</f>
        <v>57.363</v>
      </c>
      <c r="N83">
        <f ca="1">IFERROR(IF(0=LEN(ReferenceData!$N$83),"",ReferenceData!$N$83),"")</f>
        <v>-11.631</v>
      </c>
      <c r="O83">
        <f ca="1">IFERROR(IF(0=LEN(ReferenceData!$O$83),"",ReferenceData!$O$83),"")</f>
        <v>69.222999999999999</v>
      </c>
      <c r="P83">
        <f ca="1">IFERROR(IF(0=LEN(ReferenceData!$P$83),"",ReferenceData!$P$83),"")</f>
        <v>77.171999999999997</v>
      </c>
      <c r="Q83">
        <f ca="1">IFERROR(IF(0=LEN(ReferenceData!$Q$83),"",ReferenceData!$Q$83),"")</f>
        <v>57.530999999999999</v>
      </c>
      <c r="R83">
        <f ca="1">IFERROR(IF(0=LEN(ReferenceData!$R$83),"",ReferenceData!$R$83),"")</f>
        <v>58.451000000000001</v>
      </c>
      <c r="S83">
        <f ca="1">IFERROR(IF(0=LEN(ReferenceData!$S$83),"",ReferenceData!$S$83),"")</f>
        <v>54.223999999999997</v>
      </c>
      <c r="T83">
        <f ca="1">IFERROR(IF(0=LEN(ReferenceData!$T$83),"",ReferenceData!$T$83),"")</f>
        <v>62.911000000000001</v>
      </c>
      <c r="U83">
        <f ca="1">IFERROR(IF(0=LEN(ReferenceData!$U$83),"",ReferenceData!$U$83),"")</f>
        <v>57.47</v>
      </c>
      <c r="V83">
        <f ca="1">IFERROR(IF(0=LEN(ReferenceData!$V$83),"",ReferenceData!$V$83),"")</f>
        <v>53.847999999999999</v>
      </c>
      <c r="W83">
        <f ca="1">IFERROR(IF(0=LEN(ReferenceData!$W$83),"",ReferenceData!$W$83),"")</f>
        <v>46.982999999999997</v>
      </c>
      <c r="X83">
        <f ca="1">IFERROR(IF(0=LEN(ReferenceData!$X$83),"",ReferenceData!$X$83),"")</f>
        <v>63.265999999999998</v>
      </c>
      <c r="Y83">
        <f ca="1">IFERROR(IF(0=LEN(ReferenceData!$Y$83),"",ReferenceData!$Y$83),"")</f>
        <v>48.966000000000001</v>
      </c>
      <c r="Z83">
        <f ca="1">IFERROR(IF(0=LEN(ReferenceData!$Z$83),"",ReferenceData!$Z$83),"")</f>
        <v>51.987000000000002</v>
      </c>
      <c r="AA83">
        <f ca="1">IFERROR(IF(0=LEN(ReferenceData!$AA$83),"",ReferenceData!$AA$83),"")</f>
        <v>21.213000000000001</v>
      </c>
      <c r="AB83">
        <f ca="1">IFERROR(IF(0=LEN(ReferenceData!$AB$83),"",ReferenceData!$AB$83),"")</f>
        <v>57.985999999999997</v>
      </c>
      <c r="AC83">
        <f ca="1">IFERROR(IF(0=LEN(ReferenceData!$AC$83),"",ReferenceData!$AC$83),"")</f>
        <v>44.783000000000001</v>
      </c>
      <c r="AD83">
        <f ca="1">IFERROR(IF(0=LEN(ReferenceData!$AD$83),"",ReferenceData!$AD$83),"")</f>
        <v>47.406999999999996</v>
      </c>
      <c r="AE83">
        <f ca="1">IFERROR(IF(0=LEN(ReferenceData!$AE$83),"",ReferenceData!$AE$83),"")</f>
        <v>47.667000000000002</v>
      </c>
      <c r="AF83">
        <f ca="1">IFERROR(IF(0=LEN(ReferenceData!$AF$83),"",ReferenceData!$AF$83),"")</f>
        <v>60.69</v>
      </c>
      <c r="AG83">
        <f ca="1">IFERROR(IF(0=LEN(ReferenceData!$AG$83),"",ReferenceData!$AG$83),"")</f>
        <v>47.783999999999999</v>
      </c>
      <c r="AH83">
        <f ca="1">IFERROR(IF(0=LEN(ReferenceData!$AH$83),"",ReferenceData!$AH$83),"")</f>
        <v>48.518999999999998</v>
      </c>
      <c r="AI83">
        <f ca="1">IFERROR(IF(0=LEN(ReferenceData!$AI$83),"",ReferenceData!$AI$83),"")</f>
        <v>48.232999999999997</v>
      </c>
      <c r="AJ83">
        <f ca="1">IFERROR(IF(0=LEN(ReferenceData!$AJ$83),"",ReferenceData!$AJ$83),"")</f>
        <v>45.906999999999996</v>
      </c>
      <c r="AK83">
        <f ca="1">IFERROR(IF(0=LEN(ReferenceData!$AK$83),"",ReferenceData!$AK$83),"")</f>
        <v>46.936999999999998</v>
      </c>
      <c r="AL83">
        <f ca="1">IFERROR(IF(0=LEN(ReferenceData!$AL$83),"",ReferenceData!$AL$83),"")</f>
        <v>45.92</v>
      </c>
      <c r="AM83">
        <f ca="1">IFERROR(IF(0=LEN(ReferenceData!$AM$83),"",ReferenceData!$AM$83),"")</f>
        <v>45.878</v>
      </c>
      <c r="AN83">
        <f ca="1">IFERROR(IF(0=LEN(ReferenceData!$AN$83),"",ReferenceData!$AN$83),"")</f>
        <v>58.527000000000001</v>
      </c>
      <c r="AO83">
        <f ca="1">IFERROR(IF(0=LEN(ReferenceData!$AO$83),"",ReferenceData!$AO$83),"")</f>
        <v>59.597000000000001</v>
      </c>
      <c r="AP83">
        <f ca="1">IFERROR(IF(0=LEN(ReferenceData!$AP$83),"",ReferenceData!$AP$83),"")</f>
        <v>50.691000000000003</v>
      </c>
      <c r="AQ83">
        <f ca="1">IFERROR(IF(0=LEN(ReferenceData!$AQ$83),"",ReferenceData!$AQ$83),"")</f>
        <v>55.600999999999999</v>
      </c>
      <c r="AR83">
        <f ca="1">IFERROR(IF(0=LEN(ReferenceData!$AR$83),"",ReferenceData!$AR$83),"")</f>
        <v>52.618000000000002</v>
      </c>
      <c r="AS83">
        <f ca="1">IFERROR(IF(0=LEN(ReferenceData!$AS$83),"",ReferenceData!$AS$83),"")</f>
        <v>50.703000000000003</v>
      </c>
      <c r="AT83">
        <f ca="1">IFERROR(IF(0=LEN(ReferenceData!$AT$83),"",ReferenceData!$AT$83),"")</f>
        <v>60.777999999999999</v>
      </c>
      <c r="AU83">
        <f ca="1">IFERROR(IF(0=LEN(ReferenceData!$AU$83),"",ReferenceData!$AU$83),"")</f>
        <v>53.801000000000002</v>
      </c>
      <c r="AV83">
        <f ca="1">IFERROR(IF(0=LEN(ReferenceData!$AV$83),"",ReferenceData!$AV$83),"")</f>
        <v>62.023000000000003</v>
      </c>
      <c r="AW83">
        <f ca="1">IFERROR(IF(0=LEN(ReferenceData!$AW$83),"",ReferenceData!$AW$83),"")</f>
        <v>59.018000000000001</v>
      </c>
      <c r="AX83">
        <f ca="1">IFERROR(IF(0=LEN(ReferenceData!$AX$83),"",ReferenceData!$AX$83),"")</f>
        <v>58.588999999999999</v>
      </c>
      <c r="AY83">
        <f ca="1">IFERROR(IF(0=LEN(ReferenceData!$AY$83),"",ReferenceData!$AY$83),"")</f>
        <v>58.965000000000003</v>
      </c>
      <c r="AZ83">
        <f ca="1">IFERROR(IF(0=LEN(ReferenceData!$AZ$83),"",ReferenceData!$AZ$83),"")</f>
        <v>63.719000000000001</v>
      </c>
      <c r="BA83">
        <f ca="1">IFERROR(IF(0=LEN(ReferenceData!$BA$83),"",ReferenceData!$BA$83),"")</f>
        <v>56.985999999999997</v>
      </c>
      <c r="BB83">
        <f ca="1">IFERROR(IF(0=LEN(ReferenceData!$BB$83),"",ReferenceData!$BB$83),"")</f>
        <v>55.216000000000001</v>
      </c>
      <c r="BC83">
        <f ca="1">IFERROR(IF(0=LEN(ReferenceData!$BC$83),"",ReferenceData!$BC$83),"")</f>
        <v>58.965000000000003</v>
      </c>
      <c r="BD83">
        <f ca="1">IFERROR(IF(0=LEN(ReferenceData!$BD$83),"",ReferenceData!$BD$83),"")</f>
        <v>36.200000000000003</v>
      </c>
      <c r="BE83">
        <f ca="1">IFERROR(IF(0=LEN(ReferenceData!$BE$83),"",ReferenceData!$BE$83),"")</f>
        <v>35.283999999999999</v>
      </c>
      <c r="BF83">
        <f ca="1">IFERROR(IF(0=LEN(ReferenceData!$BF$83),"",ReferenceData!$BF$83),"")</f>
        <v>36.253999999999998</v>
      </c>
      <c r="BG83">
        <f ca="1">IFERROR(IF(0=LEN(ReferenceData!$BG$83),"",ReferenceData!$BG$83),"")</f>
        <v>35.921999999999997</v>
      </c>
      <c r="BH83">
        <f ca="1">IFERROR(IF(0=LEN(ReferenceData!$BH$83),"",ReferenceData!$BH$83),"")</f>
        <v>33.700000000000003</v>
      </c>
      <c r="BI83">
        <f ca="1">IFERROR(IF(0=LEN(ReferenceData!$BI$83),"",ReferenceData!$BI$83),"")</f>
        <v>32.737000000000002</v>
      </c>
      <c r="BJ83">
        <f ca="1">IFERROR(IF(0=LEN(ReferenceData!$BJ$83),"",ReferenceData!$BJ$83),"")</f>
        <v>33.064</v>
      </c>
      <c r="BK83">
        <f ca="1">IFERROR(IF(0=LEN(ReferenceData!$BK$83),"",ReferenceData!$BK$83),"")</f>
        <v>14.005000000000001</v>
      </c>
      <c r="BL83">
        <f ca="1">IFERROR(IF(0=LEN(ReferenceData!$BL$83),"",ReferenceData!$BL$83),"")</f>
        <v>34.420999999999999</v>
      </c>
      <c r="BM83">
        <f ca="1">IFERROR(IF(0=LEN(ReferenceData!$BM$83),"",ReferenceData!$BM$83),"")</f>
        <v>31.265000000000001</v>
      </c>
    </row>
    <row r="84" spans="1:65">
      <c r="A84" t="str">
        <f>IFERROR(IF(0=LEN(ReferenceData!$A$84),"",ReferenceData!$A$84),"")</f>
        <v xml:space="preserve">    Columbia Property Trust Inc</v>
      </c>
      <c r="B84" t="str">
        <f>IFERROR(IF(0=LEN(ReferenceData!$B$84),"",ReferenceData!$B$84),"")</f>
        <v>CXP US Equity</v>
      </c>
      <c r="C84" t="str">
        <f>IFERROR(IF(0=LEN(ReferenceData!$C$84),"",ReferenceData!$C$84),"")</f>
        <v>CF039</v>
      </c>
      <c r="D84" t="str">
        <f>IFERROR(IF(0=LEN(ReferenceData!$D$84),"",ReferenceData!$D$84),"")</f>
        <v>CF_FFO</v>
      </c>
      <c r="E84" t="str">
        <f>IFERROR(IF(0=LEN(ReferenceData!$E$84),"",ReferenceData!$E$84),"")</f>
        <v>动态</v>
      </c>
      <c r="F84" t="str">
        <f ca="1">IFERROR(IF(0=LEN(ReferenceData!$F$84),"",ReferenceData!$F$84),"")</f>
        <v/>
      </c>
      <c r="G84">
        <f ca="1">IFERROR(IF(0=LEN(ReferenceData!$G$84),"",ReferenceData!$G$84),"")</f>
        <v>36.289000000000001</v>
      </c>
      <c r="H84">
        <f ca="1">IFERROR(IF(0=LEN(ReferenceData!$H$84),"",ReferenceData!$H$84),"")</f>
        <v>31.72</v>
      </c>
      <c r="I84">
        <f ca="1">IFERROR(IF(0=LEN(ReferenceData!$I$84),"",ReferenceData!$I$84),"")</f>
        <v>31.87</v>
      </c>
      <c r="J84">
        <f ca="1">IFERROR(IF(0=LEN(ReferenceData!$J$84),"",ReferenceData!$J$84),"")</f>
        <v>34.728999999999999</v>
      </c>
      <c r="K84">
        <f ca="1">IFERROR(IF(0=LEN(ReferenceData!$K$84),"",ReferenceData!$K$84),"")</f>
        <v>45.162999999999997</v>
      </c>
      <c r="L84">
        <f ca="1">IFERROR(IF(0=LEN(ReferenceData!$L$84),"",ReferenceData!$L$84),"")</f>
        <v>27.282</v>
      </c>
      <c r="M84">
        <f ca="1">IFERROR(IF(0=LEN(ReferenceData!$M$84),"",ReferenceData!$M$84),"")</f>
        <v>58.764000000000003</v>
      </c>
      <c r="N84">
        <f ca="1">IFERROR(IF(0=LEN(ReferenceData!$N$84),"",ReferenceData!$N$84),"")</f>
        <v>54.841000000000001</v>
      </c>
      <c r="O84">
        <f ca="1">IFERROR(IF(0=LEN(ReferenceData!$O$84),"",ReferenceData!$O$84),"")</f>
        <v>59.220999999999997</v>
      </c>
      <c r="P84">
        <f ca="1">IFERROR(IF(0=LEN(ReferenceData!$P$84),"",ReferenceData!$P$84),"")</f>
        <v>52.677999999999997</v>
      </c>
      <c r="Q84">
        <f ca="1">IFERROR(IF(0=LEN(ReferenceData!$Q$84),"",ReferenceData!$Q$84),"")</f>
        <v>66.260000000000005</v>
      </c>
      <c r="R84">
        <f ca="1">IFERROR(IF(0=LEN(ReferenceData!$R$84),"",ReferenceData!$R$84),"")</f>
        <v>62.823999999999998</v>
      </c>
      <c r="S84">
        <f ca="1">IFERROR(IF(0=LEN(ReferenceData!$S$84),"",ReferenceData!$S$84),"")</f>
        <v>61.292999999999999</v>
      </c>
      <c r="T84">
        <f ca="1">IFERROR(IF(0=LEN(ReferenceData!$T$84),"",ReferenceData!$T$84),"")</f>
        <v>55.837000000000003</v>
      </c>
      <c r="U84">
        <f ca="1">IFERROR(IF(0=LEN(ReferenceData!$U$84),"",ReferenceData!$U$84),"")</f>
        <v>60.493000000000002</v>
      </c>
      <c r="V84">
        <f ca="1">IFERROR(IF(0=LEN(ReferenceData!$V$84),"",ReferenceData!$V$84),"")</f>
        <v>63.103000000000002</v>
      </c>
      <c r="W84">
        <f ca="1">IFERROR(IF(0=LEN(ReferenceData!$W$84),"",ReferenceData!$W$84),"")</f>
        <v>59.404000000000003</v>
      </c>
      <c r="X84">
        <f ca="1">IFERROR(IF(0=LEN(ReferenceData!$X$84),"",ReferenceData!$X$84),"")</f>
        <v>70.608000000000004</v>
      </c>
      <c r="Y84">
        <f ca="1">IFERROR(IF(0=LEN(ReferenceData!$Y$84),"",ReferenceData!$Y$84),"")</f>
        <v>73.536000000000001</v>
      </c>
      <c r="Z84">
        <f ca="1">IFERROR(IF(0=LEN(ReferenceData!$Z$84),"",ReferenceData!$Z$84),"")</f>
        <v>36.819000000000003</v>
      </c>
      <c r="AA84">
        <f ca="1">IFERROR(IF(0=LEN(ReferenceData!$AA$84),"",ReferenceData!$AA$84),"")</f>
        <v>60.811999999999998</v>
      </c>
      <c r="AB84">
        <f ca="1">IFERROR(IF(0=LEN(ReferenceData!$AB$84),"",ReferenceData!$AB$84),"")</f>
        <v>67.647999999999996</v>
      </c>
      <c r="AC84">
        <f ca="1">IFERROR(IF(0=LEN(ReferenceData!$AC$84),"",ReferenceData!$AC$84),"")</f>
        <v>69.043000000000006</v>
      </c>
      <c r="AD84">
        <f ca="1">IFERROR(IF(0=LEN(ReferenceData!$AD$84),"",ReferenceData!$AD$84),"")</f>
        <v>71.427000000000007</v>
      </c>
      <c r="AE84">
        <f ca="1">IFERROR(IF(0=LEN(ReferenceData!$AE$84),"",ReferenceData!$AE$84),"")</f>
        <v>112.83499999999999</v>
      </c>
      <c r="AF84">
        <f ca="1">IFERROR(IF(0=LEN(ReferenceData!$AF$84),"",ReferenceData!$AF$84),"")</f>
        <v>71.009</v>
      </c>
      <c r="AG84">
        <f ca="1">IFERROR(IF(0=LEN(ReferenceData!$AG$84),"",ReferenceData!$AG$84),"")</f>
        <v>57.85</v>
      </c>
      <c r="AH84">
        <f ca="1">IFERROR(IF(0=LEN(ReferenceData!$AH$84),"",ReferenceData!$AH$84),"")</f>
        <v>60.920999999999999</v>
      </c>
      <c r="AI84">
        <f ca="1">IFERROR(IF(0=LEN(ReferenceData!$AI$84),"",ReferenceData!$AI$84),"")</f>
        <v>80.644000000000005</v>
      </c>
      <c r="AJ84">
        <f ca="1">IFERROR(IF(0=LEN(ReferenceData!$AJ$84),"",ReferenceData!$AJ$84),"")</f>
        <v>60.402999999999999</v>
      </c>
      <c r="AK84">
        <f ca="1">IFERROR(IF(0=LEN(ReferenceData!$AK$84),"",ReferenceData!$AK$84),"")</f>
        <v>47.357999999999997</v>
      </c>
      <c r="AL84">
        <f ca="1">IFERROR(IF(0=LEN(ReferenceData!$AL$84),"",ReferenceData!$AL$84),"")</f>
        <v>55.335000000000001</v>
      </c>
      <c r="AM84">
        <f ca="1">IFERROR(IF(0=LEN(ReferenceData!$AM$84),"",ReferenceData!$AM$84),"")</f>
        <v>79.616</v>
      </c>
      <c r="AN84">
        <f ca="1">IFERROR(IF(0=LEN(ReferenceData!$AN$84),"",ReferenceData!$AN$84),"")</f>
        <v>49.706000000000003</v>
      </c>
      <c r="AO84" t="str">
        <f ca="1">IFERROR(IF(0=LEN(ReferenceData!$AO$84),"",ReferenceData!$AO$84),"")</f>
        <v/>
      </c>
      <c r="AP84" t="str">
        <f ca="1">IFERROR(IF(0=LEN(ReferenceData!$AP$84),"",ReferenceData!$AP$84),"")</f>
        <v/>
      </c>
      <c r="AQ84" t="str">
        <f ca="1">IFERROR(IF(0=LEN(ReferenceData!$AQ$84),"",ReferenceData!$AQ$84),"")</f>
        <v/>
      </c>
      <c r="AR84" t="str">
        <f ca="1">IFERROR(IF(0=LEN(ReferenceData!$AR$84),"",ReferenceData!$AR$84),"")</f>
        <v/>
      </c>
      <c r="AS84" t="str">
        <f ca="1">IFERROR(IF(0=LEN(ReferenceData!$AS$84),"",ReferenceData!$AS$84),"")</f>
        <v/>
      </c>
      <c r="AT84" t="str">
        <f ca="1">IFERROR(IF(0=LEN(ReferenceData!$AT$84),"",ReferenceData!$AT$84),"")</f>
        <v/>
      </c>
      <c r="AU84" t="str">
        <f ca="1">IFERROR(IF(0=LEN(ReferenceData!$AU$84),"",ReferenceData!$AU$84),"")</f>
        <v/>
      </c>
      <c r="AV84" t="str">
        <f ca="1">IFERROR(IF(0=LEN(ReferenceData!$AV$84),"",ReferenceData!$AV$84),"")</f>
        <v/>
      </c>
      <c r="AW84" t="str">
        <f ca="1">IFERROR(IF(0=LEN(ReferenceData!$AW$84),"",ReferenceData!$AW$84),"")</f>
        <v/>
      </c>
      <c r="AX84" t="str">
        <f ca="1">IFERROR(IF(0=LEN(ReferenceData!$AX$84),"",ReferenceData!$AX$84),"")</f>
        <v/>
      </c>
      <c r="AY84" t="str">
        <f ca="1">IFERROR(IF(0=LEN(ReferenceData!$AY$84),"",ReferenceData!$AY$84),"")</f>
        <v/>
      </c>
      <c r="AZ84" t="str">
        <f ca="1">IFERROR(IF(0=LEN(ReferenceData!$AZ$84),"",ReferenceData!$AZ$84),"")</f>
        <v/>
      </c>
      <c r="BA84" t="str">
        <f ca="1">IFERROR(IF(0=LEN(ReferenceData!$BA$84),"",ReferenceData!$BA$84),"")</f>
        <v/>
      </c>
      <c r="BB84" t="str">
        <f ca="1">IFERROR(IF(0=LEN(ReferenceData!$BB$84),"",ReferenceData!$BB$84),"")</f>
        <v/>
      </c>
      <c r="BC84" t="str">
        <f ca="1">IFERROR(IF(0=LEN(ReferenceData!$BC$84),"",ReferenceData!$BC$84),"")</f>
        <v/>
      </c>
      <c r="BD84" t="str">
        <f ca="1">IFERROR(IF(0=LEN(ReferenceData!$BD$84),"",ReferenceData!$BD$84),"")</f>
        <v/>
      </c>
      <c r="BE84" t="str">
        <f ca="1">IFERROR(IF(0=LEN(ReferenceData!$BE$84),"",ReferenceData!$BE$84),"")</f>
        <v/>
      </c>
      <c r="BF84" t="str">
        <f ca="1">IFERROR(IF(0=LEN(ReferenceData!$BF$84),"",ReferenceData!$BF$84),"")</f>
        <v/>
      </c>
      <c r="BG84" t="str">
        <f ca="1">IFERROR(IF(0=LEN(ReferenceData!$BG$84),"",ReferenceData!$BG$84),"")</f>
        <v/>
      </c>
      <c r="BH84" t="str">
        <f ca="1">IFERROR(IF(0=LEN(ReferenceData!$BH$84),"",ReferenceData!$BH$84),"")</f>
        <v/>
      </c>
      <c r="BI84" t="str">
        <f ca="1">IFERROR(IF(0=LEN(ReferenceData!$BI$84),"",ReferenceData!$BI$84),"")</f>
        <v/>
      </c>
      <c r="BJ84" t="str">
        <f ca="1">IFERROR(IF(0=LEN(ReferenceData!$BJ$84),"",ReferenceData!$BJ$84),"")</f>
        <v/>
      </c>
      <c r="BK84" t="str">
        <f ca="1">IFERROR(IF(0=LEN(ReferenceData!$BK$84),"",ReferenceData!$BK$84),"")</f>
        <v/>
      </c>
      <c r="BL84" t="str">
        <f ca="1">IFERROR(IF(0=LEN(ReferenceData!$BL$84),"",ReferenceData!$BL$84),"")</f>
        <v/>
      </c>
      <c r="BM84" t="str">
        <f ca="1">IFERROR(IF(0=LEN(ReferenceData!$BM$84),"",ReferenceData!$BM$84),"")</f>
        <v/>
      </c>
    </row>
    <row r="85" spans="1:65">
      <c r="A85" t="str">
        <f>IFERROR(IF(0=LEN(ReferenceData!$A$85),"",ReferenceData!$A$85),"")</f>
        <v xml:space="preserve">    Corporate Office Properties Tr</v>
      </c>
      <c r="B85" t="str">
        <f>IFERROR(IF(0=LEN(ReferenceData!$B$85),"",ReferenceData!$B$85),"")</f>
        <v>OFC US Equity</v>
      </c>
      <c r="C85" t="str">
        <f>IFERROR(IF(0=LEN(ReferenceData!$C$85),"",ReferenceData!$C$85),"")</f>
        <v>CF039</v>
      </c>
      <c r="D85" t="str">
        <f>IFERROR(IF(0=LEN(ReferenceData!$D$85),"",ReferenceData!$D$85),"")</f>
        <v>CF_FFO</v>
      </c>
      <c r="E85" t="str">
        <f>IFERROR(IF(0=LEN(ReferenceData!$E$85),"",ReferenceData!$E$85),"")</f>
        <v>动态</v>
      </c>
      <c r="F85" t="str">
        <f ca="1">IFERROR(IF(0=LEN(ReferenceData!$F$85),"",ReferenceData!$F$85),"")</f>
        <v/>
      </c>
      <c r="G85">
        <f ca="1">IFERROR(IF(0=LEN(ReferenceData!$G$85),"",ReferenceData!$G$85),"")</f>
        <v>48.92</v>
      </c>
      <c r="H85">
        <f ca="1">IFERROR(IF(0=LEN(ReferenceData!$H$85),"",ReferenceData!$H$85),"")</f>
        <v>55.966000000000001</v>
      </c>
      <c r="I85">
        <f ca="1">IFERROR(IF(0=LEN(ReferenceData!$I$85),"",ReferenceData!$I$85),"")</f>
        <v>42.767000000000003</v>
      </c>
      <c r="J85">
        <f ca="1">IFERROR(IF(0=LEN(ReferenceData!$J$85),"",ReferenceData!$J$85),"")</f>
        <v>51.9</v>
      </c>
      <c r="K85">
        <f ca="1">IFERROR(IF(0=LEN(ReferenceData!$K$85),"",ReferenceData!$K$85),"")</f>
        <v>56.558</v>
      </c>
      <c r="L85">
        <f ca="1">IFERROR(IF(0=LEN(ReferenceData!$L$85),"",ReferenceData!$L$85),"")</f>
        <v>48.448999999999998</v>
      </c>
      <c r="M85">
        <f ca="1">IFERROR(IF(0=LEN(ReferenceData!$M$85),"",ReferenceData!$M$85),"")</f>
        <v>35.194000000000003</v>
      </c>
      <c r="N85">
        <f ca="1">IFERROR(IF(0=LEN(ReferenceData!$N$85),"",ReferenceData!$N$85),"")</f>
        <v>38.56</v>
      </c>
      <c r="O85">
        <f ca="1">IFERROR(IF(0=LEN(ReferenceData!$O$85),"",ReferenceData!$O$85),"")</f>
        <v>30.488</v>
      </c>
      <c r="P85">
        <f ca="1">IFERROR(IF(0=LEN(ReferenceData!$P$85),"",ReferenceData!$P$85),"")</f>
        <v>129.70400000000001</v>
      </c>
      <c r="Q85">
        <f ca="1">IFERROR(IF(0=LEN(ReferenceData!$Q$85),"",ReferenceData!$Q$85),"")</f>
        <v>47.265000000000001</v>
      </c>
      <c r="R85">
        <f ca="1">IFERROR(IF(0=LEN(ReferenceData!$R$85),"",ReferenceData!$R$85),"")</f>
        <v>41.997</v>
      </c>
      <c r="S85">
        <f ca="1">IFERROR(IF(0=LEN(ReferenceData!$S$85),"",ReferenceData!$S$85),"")</f>
        <v>32.637999999999998</v>
      </c>
      <c r="T85">
        <f ca="1">IFERROR(IF(0=LEN(ReferenceData!$T$85),"",ReferenceData!$T$85),"")</f>
        <v>44.915999999999997</v>
      </c>
      <c r="U85">
        <f ca="1">IFERROR(IF(0=LEN(ReferenceData!$U$85),"",ReferenceData!$U$85),"")</f>
        <v>34.091000000000001</v>
      </c>
      <c r="V85">
        <f ca="1">IFERROR(IF(0=LEN(ReferenceData!$V$85),"",ReferenceData!$V$85),"")</f>
        <v>43.651000000000003</v>
      </c>
      <c r="W85">
        <f ca="1">IFERROR(IF(0=LEN(ReferenceData!$W$85),"",ReferenceData!$W$85),"")</f>
        <v>109.914</v>
      </c>
      <c r="X85">
        <f ca="1">IFERROR(IF(0=LEN(ReferenceData!$X$85),"",ReferenceData!$X$85),"")</f>
        <v>43.618000000000002</v>
      </c>
      <c r="Y85">
        <f ca="1">IFERROR(IF(0=LEN(ReferenceData!$Y$85),"",ReferenceData!$Y$85),"")</f>
        <v>22.411999999999999</v>
      </c>
      <c r="Z85">
        <f ca="1">IFERROR(IF(0=LEN(ReferenceData!$Z$85),"",ReferenceData!$Z$85),"")</f>
        <v>38.204999999999998</v>
      </c>
      <c r="AA85">
        <f ca="1">IFERROR(IF(0=LEN(ReferenceData!$AA$85),"",ReferenceData!$AA$85),"")</f>
        <v>40.625</v>
      </c>
      <c r="AB85">
        <f ca="1">IFERROR(IF(0=LEN(ReferenceData!$AB$85),"",ReferenceData!$AB$85),"")</f>
        <v>39.564999999999998</v>
      </c>
      <c r="AC85">
        <f ca="1">IFERROR(IF(0=LEN(ReferenceData!$AC$85),"",ReferenceData!$AC$85),"")</f>
        <v>41.143000000000001</v>
      </c>
      <c r="AD85">
        <f ca="1">IFERROR(IF(0=LEN(ReferenceData!$AD$85),"",ReferenceData!$AD$85),"")</f>
        <v>44.387</v>
      </c>
      <c r="AE85">
        <f ca="1">IFERROR(IF(0=LEN(ReferenceData!$AE$85),"",ReferenceData!$AE$85),"")</f>
        <v>-22.652999999999999</v>
      </c>
      <c r="AF85">
        <f ca="1">IFERROR(IF(0=LEN(ReferenceData!$AF$85),"",ReferenceData!$AF$85),"")</f>
        <v>37.029000000000003</v>
      </c>
      <c r="AG85">
        <f ca="1">IFERROR(IF(0=LEN(ReferenceData!$AG$85),"",ReferenceData!$AG$85),"")</f>
        <v>32.445999999999998</v>
      </c>
      <c r="AH85">
        <f ca="1">IFERROR(IF(0=LEN(ReferenceData!$AH$85),"",ReferenceData!$AH$85),"")</f>
        <v>9.4979999999999993</v>
      </c>
      <c r="AI85">
        <f ca="1">IFERROR(IF(0=LEN(ReferenceData!$AI$85),"",ReferenceData!$AI$85),"")</f>
        <v>47.226999999999997</v>
      </c>
      <c r="AJ85">
        <f ca="1">IFERROR(IF(0=LEN(ReferenceData!$AJ$85),"",ReferenceData!$AJ$85),"")</f>
        <v>34.277999999999999</v>
      </c>
      <c r="AK85">
        <f ca="1">IFERROR(IF(0=LEN(ReferenceData!$AK$85),"",ReferenceData!$AK$85),"")</f>
        <v>33.880000000000003</v>
      </c>
      <c r="AL85">
        <f ca="1">IFERROR(IF(0=LEN(ReferenceData!$AL$85),"",ReferenceData!$AL$85),"")</f>
        <v>33.26</v>
      </c>
      <c r="AM85">
        <f ca="1">IFERROR(IF(0=LEN(ReferenceData!$AM$85),"",ReferenceData!$AM$85),"")</f>
        <v>32.585999999999999</v>
      </c>
      <c r="AN85">
        <f ca="1">IFERROR(IF(0=LEN(ReferenceData!$AN$85),"",ReferenceData!$AN$85),"")</f>
        <v>37.771999999999998</v>
      </c>
      <c r="AO85">
        <f ca="1">IFERROR(IF(0=LEN(ReferenceData!$AO$85),"",ReferenceData!$AO$85),"")</f>
        <v>42.197000000000003</v>
      </c>
      <c r="AP85">
        <f ca="1">IFERROR(IF(0=LEN(ReferenceData!$AP$85),"",ReferenceData!$AP$85),"")</f>
        <v>40.070999999999998</v>
      </c>
      <c r="AQ85">
        <f ca="1">IFERROR(IF(0=LEN(ReferenceData!$AQ$85),"",ReferenceData!$AQ$85),"")</f>
        <v>44.176000000000002</v>
      </c>
      <c r="AR85">
        <f ca="1">IFERROR(IF(0=LEN(ReferenceData!$AR$85),"",ReferenceData!$AR$85),"")</f>
        <v>35.037999999999997</v>
      </c>
      <c r="AS85">
        <f ca="1">IFERROR(IF(0=LEN(ReferenceData!$AS$85),"",ReferenceData!$AS$85),"")</f>
        <v>33.082000000000001</v>
      </c>
      <c r="AT85">
        <f ca="1">IFERROR(IF(0=LEN(ReferenceData!$AT$85),"",ReferenceData!$AT$85),"")</f>
        <v>31.295999999999999</v>
      </c>
      <c r="AU85">
        <f ca="1">IFERROR(IF(0=LEN(ReferenceData!$AU$85),"",ReferenceData!$AU$85),"")</f>
        <v>32.832000000000001</v>
      </c>
      <c r="AV85">
        <f ca="1">IFERROR(IF(0=LEN(ReferenceData!$AV$85),"",ReferenceData!$AV$85),"")</f>
        <v>32.351999999999997</v>
      </c>
      <c r="AW85">
        <f ca="1">IFERROR(IF(0=LEN(ReferenceData!$AW$85),"",ReferenceData!$AW$85),"")</f>
        <v>31.837</v>
      </c>
      <c r="AX85">
        <f ca="1">IFERROR(IF(0=LEN(ReferenceData!$AX$85),"",ReferenceData!$AX$85),"")</f>
        <v>28.288</v>
      </c>
      <c r="AY85">
        <f ca="1">IFERROR(IF(0=LEN(ReferenceData!$AY$85),"",ReferenceData!$AY$85),"")</f>
        <v>25.077000000000002</v>
      </c>
      <c r="AZ85">
        <f ca="1">IFERROR(IF(0=LEN(ReferenceData!$AZ$85),"",ReferenceData!$AZ$85),"")</f>
        <v>24.329000000000001</v>
      </c>
      <c r="BA85">
        <f ca="1">IFERROR(IF(0=LEN(ReferenceData!$BA$85),"",ReferenceData!$BA$85),"")</f>
        <v>25.181000000000001</v>
      </c>
      <c r="BB85">
        <f ca="1">IFERROR(IF(0=LEN(ReferenceData!$BB$85),"",ReferenceData!$BB$85),"")</f>
        <v>24.35</v>
      </c>
      <c r="BC85">
        <f ca="1">IFERROR(IF(0=LEN(ReferenceData!$BC$85),"",ReferenceData!$BC$85),"")</f>
        <v>66.674000000000007</v>
      </c>
      <c r="BD85">
        <f ca="1">IFERROR(IF(0=LEN(ReferenceData!$BD$85),"",ReferenceData!$BD$85),"")</f>
        <v>28.719000000000001</v>
      </c>
      <c r="BE85">
        <f ca="1">IFERROR(IF(0=LEN(ReferenceData!$BE$85),"",ReferenceData!$BE$85),"")</f>
        <v>21.834</v>
      </c>
      <c r="BF85">
        <f ca="1">IFERROR(IF(0=LEN(ReferenceData!$BF$85),"",ReferenceData!$BF$85),"")</f>
        <v>21.143000000000001</v>
      </c>
      <c r="BG85">
        <f ca="1">IFERROR(IF(0=LEN(ReferenceData!$BG$85),"",ReferenceData!$BG$85),"")</f>
        <v>20.879000000000001</v>
      </c>
      <c r="BH85">
        <f ca="1">IFERROR(IF(0=LEN(ReferenceData!$BH$85),"",ReferenceData!$BH$85),"")</f>
        <v>17.367999999999999</v>
      </c>
      <c r="BI85">
        <f ca="1">IFERROR(IF(0=LEN(ReferenceData!$BI$85),"",ReferenceData!$BI$85),"")</f>
        <v>21.41</v>
      </c>
      <c r="BJ85">
        <f ca="1">IFERROR(IF(0=LEN(ReferenceData!$BJ$85),"",ReferenceData!$BJ$85),"")</f>
        <v>16.306999999999999</v>
      </c>
      <c r="BK85">
        <f ca="1">IFERROR(IF(0=LEN(ReferenceData!$BK$85),"",ReferenceData!$BK$85),"")</f>
        <v>16.187000269999999</v>
      </c>
      <c r="BL85">
        <f ca="1">IFERROR(IF(0=LEN(ReferenceData!$BL$85),"",ReferenceData!$BL$85),"")</f>
        <v>16.751999999999999</v>
      </c>
      <c r="BM85">
        <f ca="1">IFERROR(IF(0=LEN(ReferenceData!$BM$85),"",ReferenceData!$BM$85),"")</f>
        <v>14.909000000000001</v>
      </c>
    </row>
    <row r="86" spans="1:65">
      <c r="A86" t="str">
        <f>IFERROR(IF(0=LEN(ReferenceData!$A$86),"",ReferenceData!$A$86),"")</f>
        <v xml:space="preserve">    Highwoods Properties Inc</v>
      </c>
      <c r="B86" t="str">
        <f>IFERROR(IF(0=LEN(ReferenceData!$B$86),"",ReferenceData!$B$86),"")</f>
        <v>HIW US Equity</v>
      </c>
      <c r="C86" t="str">
        <f>IFERROR(IF(0=LEN(ReferenceData!$C$86),"",ReferenceData!$C$86),"")</f>
        <v>CF039</v>
      </c>
      <c r="D86" t="str">
        <f>IFERROR(IF(0=LEN(ReferenceData!$D$86),"",ReferenceData!$D$86),"")</f>
        <v>CF_FFO</v>
      </c>
      <c r="E86" t="str">
        <f>IFERROR(IF(0=LEN(ReferenceData!$E$86),"",ReferenceData!$E$86),"")</f>
        <v>动态</v>
      </c>
      <c r="F86" t="str">
        <f ca="1">IFERROR(IF(0=LEN(ReferenceData!$F$86),"",ReferenceData!$F$86),"")</f>
        <v/>
      </c>
      <c r="G86">
        <f ca="1">IFERROR(IF(0=LEN(ReferenceData!$G$86),"",ReferenceData!$G$86),"")</f>
        <v>88.703000000000003</v>
      </c>
      <c r="H86">
        <f ca="1">IFERROR(IF(0=LEN(ReferenceData!$H$86),"",ReferenceData!$H$86),"")</f>
        <v>90.944999999999993</v>
      </c>
      <c r="I86">
        <f ca="1">IFERROR(IF(0=LEN(ReferenceData!$I$86),"",ReferenceData!$I$86),"")</f>
        <v>94.48</v>
      </c>
      <c r="J86">
        <f ca="1">IFERROR(IF(0=LEN(ReferenceData!$J$86),"",ReferenceData!$J$86),"")</f>
        <v>83.367000000000004</v>
      </c>
      <c r="K86">
        <f ca="1">IFERROR(IF(0=LEN(ReferenceData!$K$86),"",ReferenceData!$K$86),"")</f>
        <v>84.603999999999999</v>
      </c>
      <c r="L86">
        <f ca="1">IFERROR(IF(0=LEN(ReferenceData!$L$86),"",ReferenceData!$L$86),"")</f>
        <v>84.093999999999994</v>
      </c>
      <c r="M86">
        <f ca="1">IFERROR(IF(0=LEN(ReferenceData!$M$86),"",ReferenceData!$M$86),"")</f>
        <v>82.155000000000001</v>
      </c>
      <c r="N86">
        <f ca="1">IFERROR(IF(0=LEN(ReferenceData!$N$86),"",ReferenceData!$N$86),"")</f>
        <v>81.459000000000003</v>
      </c>
      <c r="O86">
        <f ca="1">IFERROR(IF(0=LEN(ReferenceData!$O$86),"",ReferenceData!$O$86),"")</f>
        <v>80.784000000000006</v>
      </c>
      <c r="P86">
        <f ca="1">IFERROR(IF(0=LEN(ReferenceData!$P$86),"",ReferenceData!$P$86),"")</f>
        <v>74.804000000000002</v>
      </c>
      <c r="Q86">
        <f ca="1">IFERROR(IF(0=LEN(ReferenceData!$Q$86),"",ReferenceData!$Q$86),"")</f>
        <v>75.155000000000001</v>
      </c>
      <c r="R86">
        <f ca="1">IFERROR(IF(0=LEN(ReferenceData!$R$86),"",ReferenceData!$R$86),"")</f>
        <v>68.971000000000004</v>
      </c>
      <c r="S86">
        <f ca="1">IFERROR(IF(0=LEN(ReferenceData!$S$86),"",ReferenceData!$S$86),"")</f>
        <v>70.218000000000004</v>
      </c>
      <c r="T86">
        <f ca="1">IFERROR(IF(0=LEN(ReferenceData!$T$86),"",ReferenceData!$T$86),"")</f>
        <v>65.799000000000007</v>
      </c>
      <c r="U86">
        <f ca="1">IFERROR(IF(0=LEN(ReferenceData!$U$86),"",ReferenceData!$U$86),"")</f>
        <v>74.558000000000007</v>
      </c>
      <c r="V86">
        <f ca="1">IFERROR(IF(0=LEN(ReferenceData!$V$86),"",ReferenceData!$V$86),"")</f>
        <v>61.164000000000001</v>
      </c>
      <c r="W86">
        <f ca="1">IFERROR(IF(0=LEN(ReferenceData!$W$86),"",ReferenceData!$W$86),"")</f>
        <v>68.921999999999997</v>
      </c>
      <c r="X86">
        <f ca="1">IFERROR(IF(0=LEN(ReferenceData!$X$86),"",ReferenceData!$X$86),"")</f>
        <v>63.182000000000002</v>
      </c>
      <c r="Y86">
        <f ca="1">IFERROR(IF(0=LEN(ReferenceData!$Y$86),"",ReferenceData!$Y$86),"")</f>
        <v>60.645000000000003</v>
      </c>
      <c r="Z86">
        <f ca="1">IFERROR(IF(0=LEN(ReferenceData!$Z$86),"",ReferenceData!$Z$86),"")</f>
        <v>57.15</v>
      </c>
      <c r="AA86">
        <f ca="1">IFERROR(IF(0=LEN(ReferenceData!$AA$86),"",ReferenceData!$AA$86),"")</f>
        <v>55.58</v>
      </c>
      <c r="AB86">
        <f ca="1">IFERROR(IF(0=LEN(ReferenceData!$AB$86),"",ReferenceData!$AB$86),"")</f>
        <v>52.195</v>
      </c>
      <c r="AC86">
        <f ca="1">IFERROR(IF(0=LEN(ReferenceData!$AC$86),"",ReferenceData!$AC$86),"")</f>
        <v>54.113999999999997</v>
      </c>
      <c r="AD86">
        <f ca="1">IFERROR(IF(0=LEN(ReferenceData!$AD$86),"",ReferenceData!$AD$86),"")</f>
        <v>53.46</v>
      </c>
      <c r="AE86">
        <f ca="1">IFERROR(IF(0=LEN(ReferenceData!$AE$86),"",ReferenceData!$AE$86),"")</f>
        <v>53.215000000000003</v>
      </c>
      <c r="AF86">
        <f ca="1">IFERROR(IF(0=LEN(ReferenceData!$AF$86),"",ReferenceData!$AF$86),"")</f>
        <v>45.093000000000004</v>
      </c>
      <c r="AG86">
        <f ca="1">IFERROR(IF(0=LEN(ReferenceData!$AG$86),"",ReferenceData!$AG$86),"")</f>
        <v>45.771000000000001</v>
      </c>
      <c r="AH86">
        <f ca="1">IFERROR(IF(0=LEN(ReferenceData!$AH$86),"",ReferenceData!$AH$86),"")</f>
        <v>46.113999999999997</v>
      </c>
      <c r="AI86">
        <f ca="1">IFERROR(IF(0=LEN(ReferenceData!$AI$86),"",ReferenceData!$AI$86),"")</f>
        <v>46.762999999999998</v>
      </c>
      <c r="AJ86">
        <f ca="1">IFERROR(IF(0=LEN(ReferenceData!$AJ$86),"",ReferenceData!$AJ$86),"")</f>
        <v>43.177</v>
      </c>
      <c r="AK86">
        <f ca="1">IFERROR(IF(0=LEN(ReferenceData!$AK$86),"",ReferenceData!$AK$86),"")</f>
        <v>48.655000000000001</v>
      </c>
      <c r="AL86">
        <f ca="1">IFERROR(IF(0=LEN(ReferenceData!$AL$86),"",ReferenceData!$AL$86),"")</f>
        <v>45.831000000000003</v>
      </c>
      <c r="AM86">
        <f ca="1">IFERROR(IF(0=LEN(ReferenceData!$AM$86),"",ReferenceData!$AM$86),"")</f>
        <v>31.710999999999999</v>
      </c>
      <c r="AN86">
        <f ca="1">IFERROR(IF(0=LEN(ReferenceData!$AN$86),"",ReferenceData!$AN$86),"")</f>
        <v>46.387999999999998</v>
      </c>
      <c r="AO86">
        <f ca="1">IFERROR(IF(0=LEN(ReferenceData!$AO$86),"",ReferenceData!$AO$86),"")</f>
        <v>49.305</v>
      </c>
      <c r="AP86">
        <f ca="1">IFERROR(IF(0=LEN(ReferenceData!$AP$86),"",ReferenceData!$AP$86),"")</f>
        <v>47.643999999999998</v>
      </c>
      <c r="AQ86">
        <f ca="1">IFERROR(IF(0=LEN(ReferenceData!$AQ$86),"",ReferenceData!$AQ$86),"")</f>
        <v>13.166</v>
      </c>
      <c r="AR86">
        <f ca="1">IFERROR(IF(0=LEN(ReferenceData!$AR$86),"",ReferenceData!$AR$86),"")</f>
        <v>44.584000000000003</v>
      </c>
      <c r="AS86">
        <f ca="1">IFERROR(IF(0=LEN(ReferenceData!$AS$86),"",ReferenceData!$AS$86),"")</f>
        <v>42.262999999999998</v>
      </c>
      <c r="AT86">
        <f ca="1">IFERROR(IF(0=LEN(ReferenceData!$AT$86),"",ReferenceData!$AT$86),"")</f>
        <v>43.459000000000003</v>
      </c>
      <c r="AU86">
        <f ca="1">IFERROR(IF(0=LEN(ReferenceData!$AU$86),"",ReferenceData!$AU$86),"")</f>
        <v>39.774999999999999</v>
      </c>
      <c r="AV86">
        <f ca="1">IFERROR(IF(0=LEN(ReferenceData!$AV$86),"",ReferenceData!$AV$86),"")</f>
        <v>36.149000000000001</v>
      </c>
      <c r="AW86">
        <f ca="1">IFERROR(IF(0=LEN(ReferenceData!$AW$86),"",ReferenceData!$AW$86),"")</f>
        <v>35.619999999999997</v>
      </c>
      <c r="AX86">
        <f ca="1">IFERROR(IF(0=LEN(ReferenceData!$AX$86),"",ReferenceData!$AX$86),"")</f>
        <v>56.55</v>
      </c>
      <c r="AY86">
        <f ca="1">IFERROR(IF(0=LEN(ReferenceData!$AY$86),"",ReferenceData!$AY$86),"")</f>
        <v>44.14</v>
      </c>
      <c r="AZ86">
        <f ca="1">IFERROR(IF(0=LEN(ReferenceData!$AZ$86),"",ReferenceData!$AZ$86),"")</f>
        <v>32.838000000000001</v>
      </c>
      <c r="BA86">
        <f ca="1">IFERROR(IF(0=LEN(ReferenceData!$BA$86),"",ReferenceData!$BA$86),"")</f>
        <v>32.539000000000001</v>
      </c>
      <c r="BB86">
        <f ca="1">IFERROR(IF(0=LEN(ReferenceData!$BB$86),"",ReferenceData!$BB$86),"")</f>
        <v>35.768000000000001</v>
      </c>
      <c r="BC86">
        <f ca="1">IFERROR(IF(0=LEN(ReferenceData!$BC$86),"",ReferenceData!$BC$86),"")</f>
        <v>25.689</v>
      </c>
      <c r="BD86">
        <f ca="1">IFERROR(IF(0=LEN(ReferenceData!$BD$86),"",ReferenceData!$BD$86),"")</f>
        <v>29.003</v>
      </c>
      <c r="BE86">
        <f ca="1">IFERROR(IF(0=LEN(ReferenceData!$BE$86),"",ReferenceData!$BE$86),"")</f>
        <v>36.301000000000002</v>
      </c>
      <c r="BF86">
        <f ca="1">IFERROR(IF(0=LEN(ReferenceData!$BF$86),"",ReferenceData!$BF$86),"")</f>
        <v>36.228000000000002</v>
      </c>
      <c r="BG86">
        <f ca="1">IFERROR(IF(0=LEN(ReferenceData!$BG$86),"",ReferenceData!$BG$86),"")</f>
        <v>30.638000000000002</v>
      </c>
      <c r="BH86">
        <f ca="1">IFERROR(IF(0=LEN(ReferenceData!$BH$86),"",ReferenceData!$BH$86),"")</f>
        <v>47.448</v>
      </c>
      <c r="BI86">
        <f ca="1">IFERROR(IF(0=LEN(ReferenceData!$BI$86),"",ReferenceData!$BI$86),"")</f>
        <v>16.917000000000002</v>
      </c>
      <c r="BJ86">
        <f ca="1">IFERROR(IF(0=LEN(ReferenceData!$BJ$86),"",ReferenceData!$BJ$86),"")</f>
        <v>29.157</v>
      </c>
      <c r="BK86">
        <f ca="1">IFERROR(IF(0=LEN(ReferenceData!$BK$86),"",ReferenceData!$BK$86),"")</f>
        <v>95.06</v>
      </c>
      <c r="BL86">
        <f ca="1">IFERROR(IF(0=LEN(ReferenceData!$BL$86),"",ReferenceData!$BL$86),"")</f>
        <v>44.804000000000002</v>
      </c>
      <c r="BM86">
        <f ca="1">IFERROR(IF(0=LEN(ReferenceData!$BM$86),"",ReferenceData!$BM$86),"")</f>
        <v>33.323999999999998</v>
      </c>
    </row>
    <row r="87" spans="1:65">
      <c r="A87" t="str">
        <f>IFERROR(IF(0=LEN(ReferenceData!$A$87),"",ReferenceData!$A$87),"")</f>
        <v xml:space="preserve">    Kilroy Realty Corp</v>
      </c>
      <c r="B87" t="str">
        <f>IFERROR(IF(0=LEN(ReferenceData!$B$87),"",ReferenceData!$B$87),"")</f>
        <v>KRC US Equity</v>
      </c>
      <c r="C87" t="str">
        <f>IFERROR(IF(0=LEN(ReferenceData!$C$87),"",ReferenceData!$C$87),"")</f>
        <v>CF039</v>
      </c>
      <c r="D87" t="str">
        <f>IFERROR(IF(0=LEN(ReferenceData!$D$87),"",ReferenceData!$D$87),"")</f>
        <v>CF_FFO</v>
      </c>
      <c r="E87" t="str">
        <f>IFERROR(IF(0=LEN(ReferenceData!$E$87),"",ReferenceData!$E$87),"")</f>
        <v>动态</v>
      </c>
      <c r="F87" t="str">
        <f ca="1">IFERROR(IF(0=LEN(ReferenceData!$F$87),"",ReferenceData!$F$87),"")</f>
        <v/>
      </c>
      <c r="G87">
        <f ca="1">IFERROR(IF(0=LEN(ReferenceData!$G$87),"",ReferenceData!$G$87),"")</f>
        <v>86.539000000000001</v>
      </c>
      <c r="H87">
        <f ca="1">IFERROR(IF(0=LEN(ReferenceData!$H$87),"",ReferenceData!$H$87),"")</f>
        <v>89.546999999999997</v>
      </c>
      <c r="I87">
        <f ca="1">IFERROR(IF(0=LEN(ReferenceData!$I$87),"",ReferenceData!$I$87),"")</f>
        <v>88.766999999999996</v>
      </c>
      <c r="J87">
        <f ca="1">IFERROR(IF(0=LEN(ReferenceData!$J$87),"",ReferenceData!$J$87),"")</f>
        <v>81.933999999999997</v>
      </c>
      <c r="K87">
        <f ca="1">IFERROR(IF(0=LEN(ReferenceData!$K$87),"",ReferenceData!$K$87),"")</f>
        <v>84.292000000000002</v>
      </c>
      <c r="L87">
        <f ca="1">IFERROR(IF(0=LEN(ReferenceData!$L$87),"",ReferenceData!$L$87),"")</f>
        <v>88.534999999999997</v>
      </c>
      <c r="M87">
        <f ca="1">IFERROR(IF(0=LEN(ReferenceData!$M$87),"",ReferenceData!$M$87),"")</f>
        <v>82.721999999999994</v>
      </c>
      <c r="N87">
        <f ca="1">IFERROR(IF(0=LEN(ReferenceData!$N$87),"",ReferenceData!$N$87),"")</f>
        <v>78.192999999999998</v>
      </c>
      <c r="O87">
        <f ca="1">IFERROR(IF(0=LEN(ReferenceData!$O$87),"",ReferenceData!$O$87),"")</f>
        <v>76.673000000000002</v>
      </c>
      <c r="P87">
        <f ca="1">IFERROR(IF(0=LEN(ReferenceData!$P$87),"",ReferenceData!$P$87),"")</f>
        <v>73.587999999999994</v>
      </c>
      <c r="Q87">
        <f ca="1">IFERROR(IF(0=LEN(ReferenceData!$Q$87),"",ReferenceData!$Q$87),"")</f>
        <v>74.819000000000003</v>
      </c>
      <c r="R87">
        <f ca="1">IFERROR(IF(0=LEN(ReferenceData!$R$87),"",ReferenceData!$R$87),"")</f>
        <v>91.531999999999996</v>
      </c>
      <c r="S87">
        <f ca="1">IFERROR(IF(0=LEN(ReferenceData!$S$87),"",ReferenceData!$S$87),"")</f>
        <v>69.816999999999993</v>
      </c>
      <c r="T87">
        <f ca="1">IFERROR(IF(0=LEN(ReferenceData!$T$87),"",ReferenceData!$T$87),"")</f>
        <v>60.399000000000001</v>
      </c>
      <c r="U87">
        <f ca="1">IFERROR(IF(0=LEN(ReferenceData!$U$87),"",ReferenceData!$U$87),"")</f>
        <v>63.307000000000002</v>
      </c>
      <c r="V87">
        <f ca="1">IFERROR(IF(0=LEN(ReferenceData!$V$87),"",ReferenceData!$V$87),"")</f>
        <v>57.220999999999997</v>
      </c>
      <c r="W87">
        <f ca="1">IFERROR(IF(0=LEN(ReferenceData!$W$87),"",ReferenceData!$W$87),"")</f>
        <v>58.481999999999999</v>
      </c>
      <c r="X87">
        <f ca="1">IFERROR(IF(0=LEN(ReferenceData!$X$87),"",ReferenceData!$X$87),"")</f>
        <v>55.899000000000001</v>
      </c>
      <c r="Y87">
        <f ca="1">IFERROR(IF(0=LEN(ReferenceData!$Y$87),"",ReferenceData!$Y$87),"")</f>
        <v>55.154000000000003</v>
      </c>
      <c r="Z87">
        <f ca="1">IFERROR(IF(0=LEN(ReferenceData!$Z$87),"",ReferenceData!$Z$87),"")</f>
        <v>49.085999999999999</v>
      </c>
      <c r="AA87">
        <f ca="1">IFERROR(IF(0=LEN(ReferenceData!$AA$87),"",ReferenceData!$AA$87),"")</f>
        <v>49.814999999999998</v>
      </c>
      <c r="AB87">
        <f ca="1">IFERROR(IF(0=LEN(ReferenceData!$AB$87),"",ReferenceData!$AB$87),"")</f>
        <v>43.142000000000003</v>
      </c>
      <c r="AC87">
        <f ca="1">IFERROR(IF(0=LEN(ReferenceData!$AC$87),"",ReferenceData!$AC$87),"")</f>
        <v>39.508000000000003</v>
      </c>
      <c r="AD87">
        <f ca="1">IFERROR(IF(0=LEN(ReferenceData!$AD$87),"",ReferenceData!$AD$87),"")</f>
        <v>32.99</v>
      </c>
      <c r="AE87">
        <f ca="1">IFERROR(IF(0=LEN(ReferenceData!$AE$87),"",ReferenceData!$AE$87),"")</f>
        <v>40.524999999999999</v>
      </c>
      <c r="AF87">
        <f ca="1">IFERROR(IF(0=LEN(ReferenceData!$AF$87),"",ReferenceData!$AF$87),"")</f>
        <v>33.878</v>
      </c>
      <c r="AG87">
        <f ca="1">IFERROR(IF(0=LEN(ReferenceData!$AG$87),"",ReferenceData!$AG$87),"")</f>
        <v>31.643000000000001</v>
      </c>
      <c r="AH87">
        <f ca="1">IFERROR(IF(0=LEN(ReferenceData!$AH$87),"",ReferenceData!$AH$87),"")</f>
        <v>30.126999999999999</v>
      </c>
      <c r="AI87">
        <f ca="1">IFERROR(IF(0=LEN(ReferenceData!$AI$87),"",ReferenceData!$AI$87),"")</f>
        <v>29.484999999999999</v>
      </c>
      <c r="AJ87">
        <f ca="1">IFERROR(IF(0=LEN(ReferenceData!$AJ$87),"",ReferenceData!$AJ$87),"")</f>
        <v>29.69</v>
      </c>
      <c r="AK87">
        <f ca="1">IFERROR(IF(0=LEN(ReferenceData!$AK$87),"",ReferenceData!$AK$87),"")</f>
        <v>21.658000000000001</v>
      </c>
      <c r="AL87">
        <f ca="1">IFERROR(IF(0=LEN(ReferenceData!$AL$87),"",ReferenceData!$AL$87),"")</f>
        <v>25.806000000000001</v>
      </c>
      <c r="AM87">
        <f ca="1">IFERROR(IF(0=LEN(ReferenceData!$AM$87),"",ReferenceData!$AM$87),"")</f>
        <v>17.677</v>
      </c>
      <c r="AN87">
        <f ca="1">IFERROR(IF(0=LEN(ReferenceData!$AN$87),"",ReferenceData!$AN$87),"")</f>
        <v>30.187999999999999</v>
      </c>
      <c r="AO87">
        <f ca="1">IFERROR(IF(0=LEN(ReferenceData!$AO$87),"",ReferenceData!$AO$87),"")</f>
        <v>30.331</v>
      </c>
      <c r="AP87">
        <f ca="1">IFERROR(IF(0=LEN(ReferenceData!$AP$87),"",ReferenceData!$AP$87),"")</f>
        <v>28.960999999999999</v>
      </c>
      <c r="AQ87">
        <f ca="1">IFERROR(IF(0=LEN(ReferenceData!$AQ$87),"",ReferenceData!$AQ$87),"")</f>
        <v>25.736999999999998</v>
      </c>
      <c r="AR87">
        <f ca="1">IFERROR(IF(0=LEN(ReferenceData!$AR$87),"",ReferenceData!$AR$87),"")</f>
        <v>33.295999999999999</v>
      </c>
      <c r="AS87">
        <f ca="1">IFERROR(IF(0=LEN(ReferenceData!$AS$87),"",ReferenceData!$AS$87),"")</f>
        <v>25.893000000000001</v>
      </c>
      <c r="AT87">
        <f ca="1">IFERROR(IF(0=LEN(ReferenceData!$AT$87),"",ReferenceData!$AT$87),"")</f>
        <v>29.047000000000001</v>
      </c>
      <c r="AU87">
        <f ca="1">IFERROR(IF(0=LEN(ReferenceData!$AU$87),"",ReferenceData!$AU$87),"")</f>
        <v>29.672000000000001</v>
      </c>
      <c r="AV87">
        <f ca="1">IFERROR(IF(0=LEN(ReferenceData!$AV$87),"",ReferenceData!$AV$87),"")</f>
        <v>28.212</v>
      </c>
      <c r="AW87">
        <f ca="1">IFERROR(IF(0=LEN(ReferenceData!$AW$87),"",ReferenceData!$AW$87),"")</f>
        <v>26.673999999999999</v>
      </c>
      <c r="AX87">
        <f ca="1">IFERROR(IF(0=LEN(ReferenceData!$AX$87),"",ReferenceData!$AX$87),"")</f>
        <v>26.021000000000001</v>
      </c>
      <c r="AY87">
        <f ca="1">IFERROR(IF(0=LEN(ReferenceData!$AY$87),"",ReferenceData!$AY$87),"")</f>
        <v>27.311</v>
      </c>
      <c r="AZ87">
        <f ca="1">IFERROR(IF(0=LEN(ReferenceData!$AZ$87),"",ReferenceData!$AZ$87),"")</f>
        <v>26.457999999999998</v>
      </c>
      <c r="BA87">
        <f ca="1">IFERROR(IF(0=LEN(ReferenceData!$BA$87),"",ReferenceData!$BA$87),"")</f>
        <v>37.628999999999998</v>
      </c>
      <c r="BB87">
        <f ca="1">IFERROR(IF(0=LEN(ReferenceData!$BB$87),"",ReferenceData!$BB$87),"")</f>
        <v>26.786999999999999</v>
      </c>
      <c r="BC87">
        <f ca="1">IFERROR(IF(0=LEN(ReferenceData!$BC$87),"",ReferenceData!$BC$87),"")</f>
        <v>8.5060000000000002</v>
      </c>
      <c r="BD87">
        <f ca="1">IFERROR(IF(0=LEN(ReferenceData!$BD$87),"",ReferenceData!$BD$87),"")</f>
        <v>14.15</v>
      </c>
      <c r="BE87">
        <f ca="1">IFERROR(IF(0=LEN(ReferenceData!$BE$87),"",ReferenceData!$BE$87),"")</f>
        <v>14.695</v>
      </c>
      <c r="BF87">
        <f ca="1">IFERROR(IF(0=LEN(ReferenceData!$BF$87),"",ReferenceData!$BF$87),"")</f>
        <v>26.25</v>
      </c>
      <c r="BG87">
        <f ca="1">IFERROR(IF(0=LEN(ReferenceData!$BG$87),"",ReferenceData!$BG$87),"")</f>
        <v>17.36</v>
      </c>
      <c r="BH87">
        <f ca="1">IFERROR(IF(0=LEN(ReferenceData!$BH$87),"",ReferenceData!$BH$87),"")</f>
        <v>20.722000000000001</v>
      </c>
      <c r="BI87">
        <f ca="1">IFERROR(IF(0=LEN(ReferenceData!$BI$87),"",ReferenceData!$BI$87),"")</f>
        <v>23.385000000000002</v>
      </c>
      <c r="BJ87">
        <f ca="1">IFERROR(IF(0=LEN(ReferenceData!$BJ$87),"",ReferenceData!$BJ$87),"")</f>
        <v>20.956</v>
      </c>
      <c r="BK87">
        <f ca="1">IFERROR(IF(0=LEN(ReferenceData!$BK$87),"",ReferenceData!$BK$87),"")</f>
        <v>20.197000500000001</v>
      </c>
      <c r="BL87">
        <f ca="1">IFERROR(IF(0=LEN(ReferenceData!$BL$87),"",ReferenceData!$BL$87),"")</f>
        <v>37.473999999999997</v>
      </c>
      <c r="BM87">
        <f ca="1">IFERROR(IF(0=LEN(ReferenceData!$BM$87),"",ReferenceData!$BM$87),"")</f>
        <v>24.89</v>
      </c>
    </row>
    <row r="88" spans="1:65">
      <c r="A88" t="str">
        <f>IFERROR(IF(0=LEN(ReferenceData!$A$88),"",ReferenceData!$A$88),"")</f>
        <v xml:space="preserve">    Mack-Cali Realty Corp</v>
      </c>
      <c r="B88" t="str">
        <f>IFERROR(IF(0=LEN(ReferenceData!$B$88),"",ReferenceData!$B$88),"")</f>
        <v>CLI US Equity</v>
      </c>
      <c r="C88" t="str">
        <f>IFERROR(IF(0=LEN(ReferenceData!$C$88),"",ReferenceData!$C$88),"")</f>
        <v>CF039</v>
      </c>
      <c r="D88" t="str">
        <f>IFERROR(IF(0=LEN(ReferenceData!$D$88),"",ReferenceData!$D$88),"")</f>
        <v>CF_FFO</v>
      </c>
      <c r="E88" t="str">
        <f>IFERROR(IF(0=LEN(ReferenceData!$E$88),"",ReferenceData!$E$88),"")</f>
        <v>动态</v>
      </c>
      <c r="F88" t="str">
        <f ca="1">IFERROR(IF(0=LEN(ReferenceData!$F$88),"",ReferenceData!$F$88),"")</f>
        <v/>
      </c>
      <c r="G88">
        <f ca="1">IFERROR(IF(0=LEN(ReferenceData!$G$88),"",ReferenceData!$G$88),"")</f>
        <v>50.024000000000001</v>
      </c>
      <c r="H88">
        <f ca="1">IFERROR(IF(0=LEN(ReferenceData!$H$88),"",ReferenceData!$H$88),"")</f>
        <v>57.793999999999997</v>
      </c>
      <c r="I88">
        <f ca="1">IFERROR(IF(0=LEN(ReferenceData!$I$88),"",ReferenceData!$I$88),"")</f>
        <v>60.484000000000002</v>
      </c>
      <c r="J88">
        <f ca="1">IFERROR(IF(0=LEN(ReferenceData!$J$88),"",ReferenceData!$J$88),"")</f>
        <v>55.862000000000002</v>
      </c>
      <c r="K88">
        <f ca="1">IFERROR(IF(0=LEN(ReferenceData!$K$88),"",ReferenceData!$K$88),"")</f>
        <v>32.826999999999998</v>
      </c>
      <c r="L88">
        <f ca="1">IFERROR(IF(0=LEN(ReferenceData!$L$88),"",ReferenceData!$L$88),"")</f>
        <v>59.884</v>
      </c>
      <c r="M88">
        <f ca="1">IFERROR(IF(0=LEN(ReferenceData!$M$88),"",ReferenceData!$M$88),"")</f>
        <v>64.119</v>
      </c>
      <c r="N88">
        <f ca="1">IFERROR(IF(0=LEN(ReferenceData!$N$88),"",ReferenceData!$N$88),"")</f>
        <v>48.177999999999997</v>
      </c>
      <c r="O88">
        <f ca="1">IFERROR(IF(0=LEN(ReferenceData!$O$88),"",ReferenceData!$O$88),"")</f>
        <v>46.936999999999998</v>
      </c>
      <c r="P88">
        <f ca="1">IFERROR(IF(0=LEN(ReferenceData!$P$88),"",ReferenceData!$P$88),"")</f>
        <v>51.539000000000001</v>
      </c>
      <c r="Q88">
        <f ca="1">IFERROR(IF(0=LEN(ReferenceData!$Q$88),"",ReferenceData!$Q$88),"")</f>
        <v>46.548999999999999</v>
      </c>
      <c r="R88">
        <f ca="1">IFERROR(IF(0=LEN(ReferenceData!$R$88),"",ReferenceData!$R$88),"")</f>
        <v>43.052</v>
      </c>
      <c r="S88">
        <f ca="1">IFERROR(IF(0=LEN(ReferenceData!$S$88),"",ReferenceData!$S$88),"")</f>
        <v>34.137</v>
      </c>
      <c r="T88">
        <f ca="1">IFERROR(IF(0=LEN(ReferenceData!$T$88),"",ReferenceData!$T$88),"")</f>
        <v>48.036999999999999</v>
      </c>
      <c r="U88">
        <f ca="1">IFERROR(IF(0=LEN(ReferenceData!$U$88),"",ReferenceData!$U$88),"")</f>
        <v>50.344000000000001</v>
      </c>
      <c r="V88">
        <f ca="1">IFERROR(IF(0=LEN(ReferenceData!$V$88),"",ReferenceData!$V$88),"")</f>
        <v>30.141999999999999</v>
      </c>
      <c r="W88">
        <f ca="1">IFERROR(IF(0=LEN(ReferenceData!$W$88),"",ReferenceData!$W$88),"")</f>
        <v>52.107999999999997</v>
      </c>
      <c r="X88">
        <f ca="1">IFERROR(IF(0=LEN(ReferenceData!$X$88),"",ReferenceData!$X$88),"")</f>
        <v>57.11</v>
      </c>
      <c r="Y88">
        <f ca="1">IFERROR(IF(0=LEN(ReferenceData!$Y$88),"",ReferenceData!$Y$88),"")</f>
        <v>65.179000000000002</v>
      </c>
      <c r="Z88">
        <f ca="1">IFERROR(IF(0=LEN(ReferenceData!$Z$88),"",ReferenceData!$Z$88),"")</f>
        <v>63.036000000000001</v>
      </c>
      <c r="AA88">
        <f ca="1">IFERROR(IF(0=LEN(ReferenceData!$AA$88),"",ReferenceData!$AA$88),"")</f>
        <v>65.397999999999996</v>
      </c>
      <c r="AB88">
        <f ca="1">IFERROR(IF(0=LEN(ReferenceData!$AB$88),"",ReferenceData!$AB$88),"")</f>
        <v>65.012</v>
      </c>
      <c r="AC88">
        <f ca="1">IFERROR(IF(0=LEN(ReferenceData!$AC$88),"",ReferenceData!$AC$88),"")</f>
        <v>62.075000000000003</v>
      </c>
      <c r="AD88">
        <f ca="1">IFERROR(IF(0=LEN(ReferenceData!$AD$88),"",ReferenceData!$AD$88),"")</f>
        <v>74.478999999999999</v>
      </c>
      <c r="AE88">
        <f ca="1">IFERROR(IF(0=LEN(ReferenceData!$AE$88),"",ReferenceData!$AE$88),"")</f>
        <v>68.063999999999993</v>
      </c>
      <c r="AF88">
        <f ca="1">IFERROR(IF(0=LEN(ReferenceData!$AF$88),"",ReferenceData!$AF$88),"")</f>
        <v>72.948999999999998</v>
      </c>
      <c r="AG88">
        <f ca="1">IFERROR(IF(0=LEN(ReferenceData!$AG$88),"",ReferenceData!$AG$88),"")</f>
        <v>69.131</v>
      </c>
      <c r="AH88">
        <f ca="1">IFERROR(IF(0=LEN(ReferenceData!$AH$88),"",ReferenceData!$AH$88),"")</f>
        <v>67.3</v>
      </c>
      <c r="AI88">
        <f ca="1">IFERROR(IF(0=LEN(ReferenceData!$AI$88),"",ReferenceData!$AI$88),"")</f>
        <v>64.177000000000007</v>
      </c>
      <c r="AJ88">
        <f ca="1">IFERROR(IF(0=LEN(ReferenceData!$AJ$88),"",ReferenceData!$AJ$88),"")</f>
        <v>64.251000000000005</v>
      </c>
      <c r="AK88">
        <f ca="1">IFERROR(IF(0=LEN(ReferenceData!$AK$88),"",ReferenceData!$AK$88),"")</f>
        <v>66.063000000000002</v>
      </c>
      <c r="AL88">
        <f ca="1">IFERROR(IF(0=LEN(ReferenceData!$AL$88),"",ReferenceData!$AL$88),"")</f>
        <v>66.542000000000002</v>
      </c>
      <c r="AM88">
        <f ca="1">IFERROR(IF(0=LEN(ReferenceData!$AM$88),"",ReferenceData!$AM$88),"")</f>
        <v>55.265999999999998</v>
      </c>
      <c r="AN88">
        <f ca="1">IFERROR(IF(0=LEN(ReferenceData!$AN$88),"",ReferenceData!$AN$88),"")</f>
        <v>75.001000000000005</v>
      </c>
      <c r="AO88">
        <f ca="1">IFERROR(IF(0=LEN(ReferenceData!$AO$88),"",ReferenceData!$AO$88),"")</f>
        <v>76.475999999999999</v>
      </c>
      <c r="AP88">
        <f ca="1">IFERROR(IF(0=LEN(ReferenceData!$AP$88),"",ReferenceData!$AP$88),"")</f>
        <v>68.090999999999994</v>
      </c>
      <c r="AQ88">
        <f ca="1">IFERROR(IF(0=LEN(ReferenceData!$AQ$88),"",ReferenceData!$AQ$88),"")</f>
        <v>50.884999999999998</v>
      </c>
      <c r="AR88">
        <f ca="1">IFERROR(IF(0=LEN(ReferenceData!$AR$88),"",ReferenceData!$AR$88),"")</f>
        <v>82.105999999999995</v>
      </c>
      <c r="AS88">
        <f ca="1">IFERROR(IF(0=LEN(ReferenceData!$AS$88),"",ReferenceData!$AS$88),"")</f>
        <v>75.233999999999995</v>
      </c>
      <c r="AT88">
        <f ca="1">IFERROR(IF(0=LEN(ReferenceData!$AT$88),"",ReferenceData!$AT$88),"")</f>
        <v>70.873999999999995</v>
      </c>
      <c r="AU88">
        <f ca="1">IFERROR(IF(0=LEN(ReferenceData!$AU$88),"",ReferenceData!$AU$88),"")</f>
        <v>73.009</v>
      </c>
      <c r="AV88">
        <f ca="1">IFERROR(IF(0=LEN(ReferenceData!$AV$88),"",ReferenceData!$AV$88),"")</f>
        <v>77.540999999999997</v>
      </c>
      <c r="AW88">
        <f ca="1">IFERROR(IF(0=LEN(ReferenceData!$AW$88),"",ReferenceData!$AW$88),"")</f>
        <v>73.248999999999995</v>
      </c>
      <c r="AX88">
        <f ca="1">IFERROR(IF(0=LEN(ReferenceData!$AX$88),"",ReferenceData!$AX$88),"")</f>
        <v>70.114999999999995</v>
      </c>
      <c r="AY88">
        <f ca="1">IFERROR(IF(0=LEN(ReferenceData!$AY$88),"",ReferenceData!$AY$88),"")</f>
        <v>68.201999999999998</v>
      </c>
      <c r="AZ88">
        <f ca="1">IFERROR(IF(0=LEN(ReferenceData!$AZ$88),"",ReferenceData!$AZ$88),"")</f>
        <v>67.100999999999999</v>
      </c>
      <c r="BA88">
        <f ca="1">IFERROR(IF(0=LEN(ReferenceData!$BA$88),"",ReferenceData!$BA$88),"")</f>
        <v>74.418999999999997</v>
      </c>
      <c r="BB88">
        <f ca="1">IFERROR(IF(0=LEN(ReferenceData!$BB$88),"",ReferenceData!$BB$88),"")</f>
        <v>80.766000000000005</v>
      </c>
      <c r="BC88">
        <f ca="1">IFERROR(IF(0=LEN(ReferenceData!$BC$88),"",ReferenceData!$BC$88),"")</f>
        <v>65.138000000000005</v>
      </c>
      <c r="BD88">
        <f ca="1">IFERROR(IF(0=LEN(ReferenceData!$BD$88),"",ReferenceData!$BD$88),"")</f>
        <v>66.682000000000002</v>
      </c>
      <c r="BE88">
        <f ca="1">IFERROR(IF(0=LEN(ReferenceData!$BE$88),"",ReferenceData!$BE$88),"")</f>
        <v>71.444000000000003</v>
      </c>
      <c r="BF88">
        <f ca="1">IFERROR(IF(0=LEN(ReferenceData!$BF$88),"",ReferenceData!$BF$88),"")</f>
        <v>67.069999999999993</v>
      </c>
      <c r="BG88">
        <f ca="1">IFERROR(IF(0=LEN(ReferenceData!$BG$88),"",ReferenceData!$BG$88),"")</f>
        <v>67.911000000000001</v>
      </c>
      <c r="BH88">
        <f ca="1">IFERROR(IF(0=LEN(ReferenceData!$BH$88),"",ReferenceData!$BH$88),"")</f>
        <v>69.715000000000003</v>
      </c>
      <c r="BI88">
        <f ca="1">IFERROR(IF(0=LEN(ReferenceData!$BI$88),"",ReferenceData!$BI$88),"")</f>
        <v>67.555000000000007</v>
      </c>
      <c r="BJ88">
        <f ca="1">IFERROR(IF(0=LEN(ReferenceData!$BJ$88),"",ReferenceData!$BJ$88),"")</f>
        <v>64.948997000000006</v>
      </c>
      <c r="BK88">
        <f ca="1">IFERROR(IF(0=LEN(ReferenceData!$BK$88),"",ReferenceData!$BK$88),"")</f>
        <v>66.510002139999997</v>
      </c>
      <c r="BL88">
        <f ca="1">IFERROR(IF(0=LEN(ReferenceData!$BL$88),"",ReferenceData!$BL$88),"")</f>
        <v>69.582001000000005</v>
      </c>
      <c r="BM88">
        <f ca="1">IFERROR(IF(0=LEN(ReferenceData!$BM$88),"",ReferenceData!$BM$88),"")</f>
        <v>70.680000000000007</v>
      </c>
    </row>
    <row r="89" spans="1:65">
      <c r="A89" t="str">
        <f>IFERROR(IF(0=LEN(ReferenceData!$A$89),"",ReferenceData!$A$89),"")</f>
        <v xml:space="preserve">    Piedmont Office Realty Trust I</v>
      </c>
      <c r="B89" t="str">
        <f>IFERROR(IF(0=LEN(ReferenceData!$B$89),"",ReferenceData!$B$89),"")</f>
        <v>PDM US Equity</v>
      </c>
      <c r="C89" t="str">
        <f>IFERROR(IF(0=LEN(ReferenceData!$C$89),"",ReferenceData!$C$89),"")</f>
        <v>CF039</v>
      </c>
      <c r="D89" t="str">
        <f>IFERROR(IF(0=LEN(ReferenceData!$D$89),"",ReferenceData!$D$89),"")</f>
        <v>CF_FFO</v>
      </c>
      <c r="E89" t="str">
        <f>IFERROR(IF(0=LEN(ReferenceData!$E$89),"",ReferenceData!$E$89),"")</f>
        <v>动态</v>
      </c>
      <c r="F89" t="str">
        <f ca="1">IFERROR(IF(0=LEN(ReferenceData!$F$89),"",ReferenceData!$F$89),"")</f>
        <v/>
      </c>
      <c r="G89">
        <f ca="1">IFERROR(IF(0=LEN(ReferenceData!$G$89),"",ReferenceData!$G$89),"")</f>
        <v>60.896000000000001</v>
      </c>
      <c r="H89">
        <f ca="1">IFERROR(IF(0=LEN(ReferenceData!$H$89),"",ReferenceData!$H$89),"")</f>
        <v>60.819000000000003</v>
      </c>
      <c r="I89">
        <f ca="1">IFERROR(IF(0=LEN(ReferenceData!$I$89),"",ReferenceData!$I$89),"")</f>
        <v>66.465000000000003</v>
      </c>
      <c r="J89">
        <f ca="1">IFERROR(IF(0=LEN(ReferenceData!$J$89),"",ReferenceData!$J$89),"")</f>
        <v>66.191999999999993</v>
      </c>
      <c r="K89">
        <f ca="1">IFERROR(IF(0=LEN(ReferenceData!$K$89),"",ReferenceData!$K$89),"")</f>
        <v>64.393000000000001</v>
      </c>
      <c r="L89">
        <f ca="1">IFERROR(IF(0=LEN(ReferenceData!$L$89),"",ReferenceData!$L$89),"")</f>
        <v>59.991999999999997</v>
      </c>
      <c r="M89">
        <f ca="1">IFERROR(IF(0=LEN(ReferenceData!$M$89),"",ReferenceData!$M$89),"")</f>
        <v>58.253</v>
      </c>
      <c r="N89">
        <f ca="1">IFERROR(IF(0=LEN(ReferenceData!$N$89),"",ReferenceData!$N$89),"")</f>
        <v>59.853000000000002</v>
      </c>
      <c r="O89">
        <f ca="1">IFERROR(IF(0=LEN(ReferenceData!$O$89),"",ReferenceData!$O$89),"")</f>
        <v>59.356000000000002</v>
      </c>
      <c r="P89">
        <f ca="1">IFERROR(IF(0=LEN(ReferenceData!$P$89),"",ReferenceData!$P$89),"")</f>
        <v>60.93</v>
      </c>
      <c r="Q89">
        <f ca="1">IFERROR(IF(0=LEN(ReferenceData!$Q$89),"",ReferenceData!$Q$89),"")</f>
        <v>59.625</v>
      </c>
      <c r="R89">
        <f ca="1">IFERROR(IF(0=LEN(ReferenceData!$R$89),"",ReferenceData!$R$89),"")</f>
        <v>59.954999999999998</v>
      </c>
      <c r="S89">
        <f ca="1">IFERROR(IF(0=LEN(ReferenceData!$S$89),"",ReferenceData!$S$89),"")</f>
        <v>62.075000000000003</v>
      </c>
      <c r="T89">
        <f ca="1">IFERROR(IF(0=LEN(ReferenceData!$T$89),"",ReferenceData!$T$89),"")</f>
        <v>58.695999999999998</v>
      </c>
      <c r="U89">
        <f ca="1">IFERROR(IF(0=LEN(ReferenceData!$U$89),"",ReferenceData!$U$89),"")</f>
        <v>57.731000000000002</v>
      </c>
      <c r="V89">
        <f ca="1">IFERROR(IF(0=LEN(ReferenceData!$V$89),"",ReferenceData!$V$89),"")</f>
        <v>58.03</v>
      </c>
      <c r="W89">
        <f ca="1">IFERROR(IF(0=LEN(ReferenceData!$W$89),"",ReferenceData!$W$89),"")</f>
        <v>63.976999999999997</v>
      </c>
      <c r="X89">
        <f ca="1">IFERROR(IF(0=LEN(ReferenceData!$X$89),"",ReferenceData!$X$89),"")</f>
        <v>64.983000000000004</v>
      </c>
      <c r="Y89">
        <f ca="1">IFERROR(IF(0=LEN(ReferenceData!$Y$89),"",ReferenceData!$Y$89),"")</f>
        <v>61.418999999999997</v>
      </c>
      <c r="Z89">
        <f ca="1">IFERROR(IF(0=LEN(ReferenceData!$Z$89),"",ReferenceData!$Z$89),"")</f>
        <v>60.158999999999999</v>
      </c>
      <c r="AA89">
        <f ca="1">IFERROR(IF(0=LEN(ReferenceData!$AA$89),"",ReferenceData!$AA$89),"")</f>
        <v>54.844999999999999</v>
      </c>
      <c r="AB89">
        <f ca="1">IFERROR(IF(0=LEN(ReferenceData!$AB$89),"",ReferenceData!$AB$89),"")</f>
        <v>55.213999999999999</v>
      </c>
      <c r="AC89">
        <f ca="1">IFERROR(IF(0=LEN(ReferenceData!$AC$89),"",ReferenceData!$AC$89),"")</f>
        <v>60.271999999999998</v>
      </c>
      <c r="AD89">
        <f ca="1">IFERROR(IF(0=LEN(ReferenceData!$AD$89),"",ReferenceData!$AD$89),"")</f>
        <v>60.045999999999999</v>
      </c>
      <c r="AE89">
        <f ca="1">IFERROR(IF(0=LEN(ReferenceData!$AE$89),"",ReferenceData!$AE$89),"")</f>
        <v>65.936999999999998</v>
      </c>
      <c r="AF89">
        <f ca="1">IFERROR(IF(0=LEN(ReferenceData!$AF$89),"",ReferenceData!$AF$89),"")</f>
        <v>68.918000000000006</v>
      </c>
      <c r="AG89">
        <f ca="1">IFERROR(IF(0=LEN(ReferenceData!$AG$89),"",ReferenceData!$AG$89),"")</f>
        <v>65.126999999999995</v>
      </c>
      <c r="AH89">
        <f ca="1">IFERROR(IF(0=LEN(ReferenceData!$AH$89),"",ReferenceData!$AH$89),"")</f>
        <v>71.307000000000002</v>
      </c>
      <c r="AI89">
        <f ca="1">IFERROR(IF(0=LEN(ReferenceData!$AI$89),"",ReferenceData!$AI$89),"")</f>
        <v>67.936000000000007</v>
      </c>
      <c r="AJ89">
        <f ca="1">IFERROR(IF(0=LEN(ReferenceData!$AJ$89),"",ReferenceData!$AJ$89),"")</f>
        <v>77.866</v>
      </c>
      <c r="AK89">
        <f ca="1">IFERROR(IF(0=LEN(ReferenceData!$AK$89),"",ReferenceData!$AK$89),"")</f>
        <v>56.612000000000002</v>
      </c>
      <c r="AL89">
        <f ca="1">IFERROR(IF(0=LEN(ReferenceData!$AL$89),"",ReferenceData!$AL$89),"")</f>
        <v>69.197999999999993</v>
      </c>
      <c r="AM89">
        <f ca="1">IFERROR(IF(0=LEN(ReferenceData!$AM$89),"",ReferenceData!$AM$89),"")</f>
        <v>69.483999999999995</v>
      </c>
      <c r="AN89">
        <f ca="1">IFERROR(IF(0=LEN(ReferenceData!$AN$89),"",ReferenceData!$AN$89),"")</f>
        <v>32.838000000000001</v>
      </c>
      <c r="AO89">
        <f ca="1">IFERROR(IF(0=LEN(ReferenceData!$AO$89),"",ReferenceData!$AO$89),"")</f>
        <v>68.546000000000006</v>
      </c>
      <c r="AP89">
        <f ca="1">IFERROR(IF(0=LEN(ReferenceData!$AP$89),"",ReferenceData!$AP$89),"")</f>
        <v>68.418000000000006</v>
      </c>
      <c r="AQ89">
        <f ca="1">IFERROR(IF(0=LEN(ReferenceData!$AQ$89),"",ReferenceData!$AQ$89),"")</f>
        <v>72.747</v>
      </c>
      <c r="AR89">
        <f ca="1">IFERROR(IF(0=LEN(ReferenceData!$AR$89),"",ReferenceData!$AR$89),"")</f>
        <v>72.491</v>
      </c>
      <c r="AS89">
        <f ca="1">IFERROR(IF(0=LEN(ReferenceData!$AS$89),"",ReferenceData!$AS$89),"")</f>
        <v>71.081999999999994</v>
      </c>
      <c r="AT89">
        <f ca="1">IFERROR(IF(0=LEN(ReferenceData!$AT$89),"",ReferenceData!$AT$89),"")</f>
        <v>78.543000000000006</v>
      </c>
      <c r="AU89">
        <f ca="1">IFERROR(IF(0=LEN(ReferenceData!$AU$89),"",ReferenceData!$AU$89),"")</f>
        <v>74.512</v>
      </c>
      <c r="AV89">
        <f ca="1">IFERROR(IF(0=LEN(ReferenceData!$AV$89),"",ReferenceData!$AV$89),"")</f>
        <v>71.263000000000005</v>
      </c>
      <c r="AW89">
        <f ca="1">IFERROR(IF(0=LEN(ReferenceData!$AW$89),"",ReferenceData!$AW$89),"")</f>
        <v>68.64</v>
      </c>
      <c r="AX89">
        <f ca="1">IFERROR(IF(0=LEN(ReferenceData!$AX$89),"",ReferenceData!$AX$89),"")</f>
        <v>71.088999999999999</v>
      </c>
      <c r="AY89">
        <f ca="1">IFERROR(IF(0=LEN(ReferenceData!$AY$89),"",ReferenceData!$AY$89),"")</f>
        <v>56.817999999999998</v>
      </c>
      <c r="AZ89">
        <f ca="1">IFERROR(IF(0=LEN(ReferenceData!$AZ$89),"",ReferenceData!$AZ$89),"")</f>
        <v>78.036000000000001</v>
      </c>
      <c r="BA89">
        <f ca="1">IFERROR(IF(0=LEN(ReferenceData!$BA$89),"",ReferenceData!$BA$89),"")</f>
        <v>68.406000000000006</v>
      </c>
      <c r="BB89">
        <f ca="1">IFERROR(IF(0=LEN(ReferenceData!$BB$89),"",ReferenceData!$BB$89),"")</f>
        <v>72.557000000000002</v>
      </c>
      <c r="BC89">
        <f ca="1">IFERROR(IF(0=LEN(ReferenceData!$BC$89),"",ReferenceData!$BC$89),"")</f>
        <v>68.087000000000003</v>
      </c>
      <c r="BD89">
        <f ca="1">IFERROR(IF(0=LEN(ReferenceData!$BD$89),"",ReferenceData!$BD$89),"")</f>
        <v>72.972999999999999</v>
      </c>
      <c r="BE89">
        <f ca="1">IFERROR(IF(0=LEN(ReferenceData!$BE$89),"",ReferenceData!$BE$89),"")</f>
        <v>67.010000000000005</v>
      </c>
      <c r="BF89">
        <f ca="1">IFERROR(IF(0=LEN(ReferenceData!$BF$89),"",ReferenceData!$BF$89),"")</f>
        <v>93.05</v>
      </c>
      <c r="BG89">
        <f ca="1">IFERROR(IF(0=LEN(ReferenceData!$BG$89),"",ReferenceData!$BG$89),"")</f>
        <v>98.649000000000001</v>
      </c>
      <c r="BH89">
        <f ca="1">IFERROR(IF(0=LEN(ReferenceData!$BH$89),"",ReferenceData!$BH$89),"")</f>
        <v>85.756</v>
      </c>
      <c r="BI89">
        <f ca="1">IFERROR(IF(0=LEN(ReferenceData!$BI$89),"",ReferenceData!$BI$89),"")</f>
        <v>95.262001040000001</v>
      </c>
      <c r="BJ89">
        <f ca="1">IFERROR(IF(0=LEN(ReferenceData!$BJ$89),"",ReferenceData!$BJ$89),"")</f>
        <v>83.623001099999996</v>
      </c>
      <c r="BK89">
        <f ca="1">IFERROR(IF(0=LEN(ReferenceData!$BK$89),"",ReferenceData!$BK$89),"")</f>
        <v>71.882003780000005</v>
      </c>
      <c r="BL89">
        <f ca="1">IFERROR(IF(0=LEN(ReferenceData!$BL$89),"",ReferenceData!$BL$89),"")</f>
        <v>64.483001709999996</v>
      </c>
      <c r="BM89">
        <f ca="1">IFERROR(IF(0=LEN(ReferenceData!$BM$89),"",ReferenceData!$BM$89),"")</f>
        <v>54.09500122</v>
      </c>
    </row>
    <row r="90" spans="1:65">
      <c r="A90" t="str">
        <f>IFERROR(IF(0=LEN(ReferenceData!$A$90),"",ReferenceData!$A$90),"")</f>
        <v xml:space="preserve">    SL Green Realty Corp</v>
      </c>
      <c r="B90" t="str">
        <f>IFERROR(IF(0=LEN(ReferenceData!$B$90),"",ReferenceData!$B$90),"")</f>
        <v>SLG US Equity</v>
      </c>
      <c r="C90" t="str">
        <f>IFERROR(IF(0=LEN(ReferenceData!$C$90),"",ReferenceData!$C$90),"")</f>
        <v>CF039</v>
      </c>
      <c r="D90" t="str">
        <f>IFERROR(IF(0=LEN(ReferenceData!$D$90),"",ReferenceData!$D$90),"")</f>
        <v>CF_FFO</v>
      </c>
      <c r="E90" t="str">
        <f>IFERROR(IF(0=LEN(ReferenceData!$E$90),"",ReferenceData!$E$90),"")</f>
        <v>动态</v>
      </c>
      <c r="F90" t="str">
        <f ca="1">IFERROR(IF(0=LEN(ReferenceData!$F$90),"",ReferenceData!$F$90),"")</f>
        <v/>
      </c>
      <c r="G90">
        <f ca="1">IFERROR(IF(0=LEN(ReferenceData!$G$90),"",ReferenceData!$G$90),"")</f>
        <v>161.68199999999999</v>
      </c>
      <c r="H90">
        <f ca="1">IFERROR(IF(0=LEN(ReferenceData!$H$90),"",ReferenceData!$H$90),"")</f>
        <v>152.86500000000001</v>
      </c>
      <c r="I90">
        <f ca="1">IFERROR(IF(0=LEN(ReferenceData!$I$90),"",ReferenceData!$I$90),"")</f>
        <v>186.80099999999999</v>
      </c>
      <c r="J90">
        <f ca="1">IFERROR(IF(0=LEN(ReferenceData!$J$90),"",ReferenceData!$J$90),"")</f>
        <v>165.89400000000001</v>
      </c>
      <c r="K90">
        <f ca="1">IFERROR(IF(0=LEN(ReferenceData!$K$90),"",ReferenceData!$K$90),"")</f>
        <v>150.75899999999999</v>
      </c>
      <c r="L90">
        <f ca="1">IFERROR(IF(0=LEN(ReferenceData!$L$90),"",ReferenceData!$L$90),"")</f>
        <v>171.63399999999999</v>
      </c>
      <c r="M90">
        <f ca="1">IFERROR(IF(0=LEN(ReferenceData!$M$90),"",ReferenceData!$M$90),"")</f>
        <v>355.70699999999999</v>
      </c>
      <c r="N90">
        <f ca="1">IFERROR(IF(0=LEN(ReferenceData!$N$90),"",ReferenceData!$N$90),"")</f>
        <v>191.755</v>
      </c>
      <c r="O90">
        <f ca="1">IFERROR(IF(0=LEN(ReferenceData!$O$90),"",ReferenceData!$O$90),"")</f>
        <v>167.24100000000001</v>
      </c>
      <c r="P90">
        <f ca="1">IFERROR(IF(0=LEN(ReferenceData!$P$90),"",ReferenceData!$P$90),"")</f>
        <v>171.512</v>
      </c>
      <c r="Q90">
        <f ca="1">IFERROR(IF(0=LEN(ReferenceData!$Q$90),"",ReferenceData!$Q$90),"")</f>
        <v>168.67400000000001</v>
      </c>
      <c r="R90">
        <f ca="1">IFERROR(IF(0=LEN(ReferenceData!$R$90),"",ReferenceData!$R$90),"")</f>
        <v>154.398</v>
      </c>
      <c r="S90">
        <f ca="1">IFERROR(IF(0=LEN(ReferenceData!$S$90),"",ReferenceData!$S$90),"")</f>
        <v>144.69999999999999</v>
      </c>
      <c r="T90">
        <f ca="1">IFERROR(IF(0=LEN(ReferenceData!$T$90),"",ReferenceData!$T$90),"")</f>
        <v>127.482</v>
      </c>
      <c r="U90">
        <f ca="1">IFERROR(IF(0=LEN(ReferenceData!$U$90),"",ReferenceData!$U$90),"")</f>
        <v>160.9</v>
      </c>
      <c r="V90">
        <f ca="1">IFERROR(IF(0=LEN(ReferenceData!$V$90),"",ReferenceData!$V$90),"")</f>
        <v>149.95400000000001</v>
      </c>
      <c r="W90">
        <f ca="1">IFERROR(IF(0=LEN(ReferenceData!$W$90),"",ReferenceData!$W$90),"")</f>
        <v>134.517</v>
      </c>
      <c r="X90">
        <f ca="1">IFERROR(IF(0=LEN(ReferenceData!$X$90),"",ReferenceData!$X$90),"")</f>
        <v>127.38</v>
      </c>
      <c r="Y90">
        <f ca="1">IFERROR(IF(0=LEN(ReferenceData!$Y$90),"",ReferenceData!$Y$90),"")</f>
        <v>120.476</v>
      </c>
      <c r="Z90">
        <f ca="1">IFERROR(IF(0=LEN(ReferenceData!$Z$90),"",ReferenceData!$Z$90),"")</f>
        <v>109.224</v>
      </c>
      <c r="AA90">
        <f ca="1">IFERROR(IF(0=LEN(ReferenceData!$AA$90),"",ReferenceData!$AA$90),"")</f>
        <v>107.16200000000001</v>
      </c>
      <c r="AB90">
        <f ca="1">IFERROR(IF(0=LEN(ReferenceData!$AB$90),"",ReferenceData!$AB$90),"")</f>
        <v>104.819</v>
      </c>
      <c r="AC90">
        <f ca="1">IFERROR(IF(0=LEN(ReferenceData!$AC$90),"",ReferenceData!$AC$90),"")</f>
        <v>178.994</v>
      </c>
      <c r="AD90">
        <f ca="1">IFERROR(IF(0=LEN(ReferenceData!$AD$90),"",ReferenceData!$AD$90),"")</f>
        <v>99.284999999999997</v>
      </c>
      <c r="AE90">
        <f ca="1">IFERROR(IF(0=LEN(ReferenceData!$AE$90),"",ReferenceData!$AE$90),"")</f>
        <v>90.308999999999997</v>
      </c>
      <c r="AF90">
        <f ca="1">IFERROR(IF(0=LEN(ReferenceData!$AF$90),"",ReferenceData!$AF$90),"")</f>
        <v>87.893000000000001</v>
      </c>
      <c r="AG90">
        <f ca="1">IFERROR(IF(0=LEN(ReferenceData!$AG$90),"",ReferenceData!$AG$90),"")</f>
        <v>92.855999999999995</v>
      </c>
      <c r="AH90">
        <f ca="1">IFERROR(IF(0=LEN(ReferenceData!$AH$90),"",ReferenceData!$AH$90),"")</f>
        <v>142.755</v>
      </c>
      <c r="AI90">
        <f ca="1">IFERROR(IF(0=LEN(ReferenceData!$AI$90),"",ReferenceData!$AI$90),"")</f>
        <v>77.441000000000003</v>
      </c>
      <c r="AJ90">
        <f ca="1">IFERROR(IF(0=LEN(ReferenceData!$AJ$90),"",ReferenceData!$AJ$90),"")</f>
        <v>145.31399999999999</v>
      </c>
      <c r="AK90">
        <f ca="1">IFERROR(IF(0=LEN(ReferenceData!$AK$90),"",ReferenceData!$AK$90),"")</f>
        <v>81.453000000000003</v>
      </c>
      <c r="AL90">
        <f ca="1">IFERROR(IF(0=LEN(ReferenceData!$AL$90),"",ReferenceData!$AL$90),"")</f>
        <v>84.953000000000003</v>
      </c>
      <c r="AM90">
        <f ca="1">IFERROR(IF(0=LEN(ReferenceData!$AM$90),"",ReferenceData!$AM$90),"")</f>
        <v>69.129000000000005</v>
      </c>
      <c r="AN90">
        <f ca="1">IFERROR(IF(0=LEN(ReferenceData!$AN$90),"",ReferenceData!$AN$90),"")</f>
        <v>78.057000000000002</v>
      </c>
      <c r="AO90">
        <f ca="1">IFERROR(IF(0=LEN(ReferenceData!$AO$90),"",ReferenceData!$AO$90),"")</f>
        <v>83.513000000000005</v>
      </c>
      <c r="AP90">
        <f ca="1">IFERROR(IF(0=LEN(ReferenceData!$AP$90),"",ReferenceData!$AP$90),"")</f>
        <v>88.117999999999995</v>
      </c>
      <c r="AQ90">
        <f ca="1">IFERROR(IF(0=LEN(ReferenceData!$AQ$90),"",ReferenceData!$AQ$90),"")</f>
        <v>61.527000000000001</v>
      </c>
      <c r="AR90">
        <f ca="1">IFERROR(IF(0=LEN(ReferenceData!$AR$90),"",ReferenceData!$AR$90),"")</f>
        <v>83.087000000000003</v>
      </c>
      <c r="AS90">
        <f ca="1">IFERROR(IF(0=LEN(ReferenceData!$AS$90),"",ReferenceData!$AS$90),"")</f>
        <v>117.09699999999999</v>
      </c>
      <c r="AT90">
        <f ca="1">IFERROR(IF(0=LEN(ReferenceData!$AT$90),"",ReferenceData!$AT$90),"")</f>
        <v>83.146000000000001</v>
      </c>
      <c r="AU90">
        <f ca="1">IFERROR(IF(0=LEN(ReferenceData!$AU$90),"",ReferenceData!$AU$90),"")</f>
        <v>76.905000000000001</v>
      </c>
      <c r="AV90">
        <f ca="1">IFERROR(IF(0=LEN(ReferenceData!$AV$90),"",ReferenceData!$AV$90),"")</f>
        <v>77.819999999999993</v>
      </c>
      <c r="AW90">
        <f ca="1">IFERROR(IF(0=LEN(ReferenceData!$AW$90),"",ReferenceData!$AW$90),"")</f>
        <v>79.513000000000005</v>
      </c>
      <c r="AX90">
        <f ca="1">IFERROR(IF(0=LEN(ReferenceData!$AX$90),"",ReferenceData!$AX$90),"")</f>
        <v>123.71599999999999</v>
      </c>
      <c r="AY90">
        <f ca="1">IFERROR(IF(0=LEN(ReferenceData!$AY$90),"",ReferenceData!$AY$90),"")</f>
        <v>60.53</v>
      </c>
      <c r="AZ90">
        <f ca="1">IFERROR(IF(0=LEN(ReferenceData!$AZ$90),"",ReferenceData!$AZ$90),"")</f>
        <v>55.546999999999997</v>
      </c>
      <c r="BA90">
        <f ca="1">IFERROR(IF(0=LEN(ReferenceData!$BA$90),"",ReferenceData!$BA$90),"")</f>
        <v>57.194000000000003</v>
      </c>
      <c r="BB90">
        <f ca="1">IFERROR(IF(0=LEN(ReferenceData!$BB$90),"",ReferenceData!$BB$90),"")</f>
        <v>50.357999999999997</v>
      </c>
      <c r="BC90">
        <f ca="1">IFERROR(IF(0=LEN(ReferenceData!$BC$90),"",ReferenceData!$BC$90),"")</f>
        <v>46.874000000000002</v>
      </c>
      <c r="BD90">
        <f ca="1">IFERROR(IF(0=LEN(ReferenceData!$BD$90),"",ReferenceData!$BD$90),"")</f>
        <v>51.704999999999998</v>
      </c>
      <c r="BE90">
        <f ca="1">IFERROR(IF(0=LEN(ReferenceData!$BE$90),"",ReferenceData!$BE$90),"")</f>
        <v>46.372</v>
      </c>
      <c r="BF90">
        <f ca="1">IFERROR(IF(0=LEN(ReferenceData!$BF$90),"",ReferenceData!$BF$90),"")</f>
        <v>44.561</v>
      </c>
      <c r="BG90">
        <f ca="1">IFERROR(IF(0=LEN(ReferenceData!$BG$90),"",ReferenceData!$BG$90),"")</f>
        <v>42.578000000000003</v>
      </c>
      <c r="BH90">
        <f ca="1">IFERROR(IF(0=LEN(ReferenceData!$BH$90),"",ReferenceData!$BH$90),"")</f>
        <v>40.662999999999997</v>
      </c>
      <c r="BI90">
        <f ca="1">IFERROR(IF(0=LEN(ReferenceData!$BI$90),"",ReferenceData!$BI$90),"")</f>
        <v>44.146000000000001</v>
      </c>
      <c r="BJ90">
        <f ca="1">IFERROR(IF(0=LEN(ReferenceData!$BJ$90),"",ReferenceData!$BJ$90),"")</f>
        <v>34.99</v>
      </c>
      <c r="BK90">
        <f ca="1">IFERROR(IF(0=LEN(ReferenceData!$BK$90),"",ReferenceData!$BK$90),"")</f>
        <v>35.242000580000003</v>
      </c>
      <c r="BL90">
        <f ca="1">IFERROR(IF(0=LEN(ReferenceData!$BL$90),"",ReferenceData!$BL$90),"")</f>
        <v>-32.478999999999999</v>
      </c>
      <c r="BM90">
        <f ca="1">IFERROR(IF(0=LEN(ReferenceData!$BM$90),"",ReferenceData!$BM$90),"")</f>
        <v>33.875999999999998</v>
      </c>
    </row>
    <row r="91" spans="1:65">
      <c r="A91" t="str">
        <f>IFERROR(IF(0=LEN(ReferenceData!$A$91),"",ReferenceData!$A$91),"")</f>
        <v xml:space="preserve">    Vornado Realty Trust</v>
      </c>
      <c r="B91" t="str">
        <f>IFERROR(IF(0=LEN(ReferenceData!$B$91),"",ReferenceData!$B$91),"")</f>
        <v>VNO US Equity</v>
      </c>
      <c r="C91" t="str">
        <f>IFERROR(IF(0=LEN(ReferenceData!$C$91),"",ReferenceData!$C$91),"")</f>
        <v>CF039</v>
      </c>
      <c r="D91" t="str">
        <f>IFERROR(IF(0=LEN(ReferenceData!$D$91),"",ReferenceData!$D$91),"")</f>
        <v>CF_FFO</v>
      </c>
      <c r="E91" t="str">
        <f>IFERROR(IF(0=LEN(ReferenceData!$E$91),"",ReferenceData!$E$91),"")</f>
        <v>动态</v>
      </c>
      <c r="F91" t="str">
        <f ca="1">IFERROR(IF(0=LEN(ReferenceData!$F$91),"",ReferenceData!$F$91),"")</f>
        <v/>
      </c>
      <c r="G91">
        <f ca="1">IFERROR(IF(0=LEN(ReferenceData!$G$91),"",ReferenceData!$G$91),"")</f>
        <v>153.15100000000001</v>
      </c>
      <c r="H91">
        <f ca="1">IFERROR(IF(0=LEN(ReferenceData!$H$91),"",ReferenceData!$H$91),"")</f>
        <v>100.178</v>
      </c>
      <c r="I91">
        <f ca="1">IFERROR(IF(0=LEN(ReferenceData!$I$91),"",ReferenceData!$I$91),"")</f>
        <v>257.673</v>
      </c>
      <c r="J91">
        <f ca="1">IFERROR(IF(0=LEN(ReferenceData!$J$91),"",ReferenceData!$J$91),"")</f>
        <v>205.72900000000001</v>
      </c>
      <c r="K91">
        <f ca="1">IFERROR(IF(0=LEN(ReferenceData!$K$91),"",ReferenceData!$K$91),"")</f>
        <v>797.73400000000004</v>
      </c>
      <c r="L91">
        <f ca="1">IFERROR(IF(0=LEN(ReferenceData!$L$91),"",ReferenceData!$L$91),"")</f>
        <v>225.529</v>
      </c>
      <c r="M91">
        <f ca="1">IFERROR(IF(0=LEN(ReferenceData!$M$91),"",ReferenceData!$M$91),"")</f>
        <v>229.43199999999999</v>
      </c>
      <c r="N91">
        <f ca="1">IFERROR(IF(0=LEN(ReferenceData!$N$91),"",ReferenceData!$N$91),"")</f>
        <v>203.137</v>
      </c>
      <c r="O91">
        <f ca="1">IFERROR(IF(0=LEN(ReferenceData!$O$91),"",ReferenceData!$O$91),"")</f>
        <v>259.52800000000002</v>
      </c>
      <c r="P91">
        <f ca="1">IFERROR(IF(0=LEN(ReferenceData!$P$91),"",ReferenceData!$P$91),"")</f>
        <v>236.03899999999999</v>
      </c>
      <c r="Q91">
        <f ca="1">IFERROR(IF(0=LEN(ReferenceData!$Q$91),"",ReferenceData!$Q$91),"")</f>
        <v>323.38099999999997</v>
      </c>
      <c r="R91">
        <f ca="1">IFERROR(IF(0=LEN(ReferenceData!$R$91),"",ReferenceData!$R$91),"")</f>
        <v>220.084</v>
      </c>
      <c r="S91">
        <f ca="1">IFERROR(IF(0=LEN(ReferenceData!$S$91),"",ReferenceData!$S$91),"")</f>
        <v>230.143</v>
      </c>
      <c r="T91">
        <f ca="1">IFERROR(IF(0=LEN(ReferenceData!$T$91),"",ReferenceData!$T$91),"")</f>
        <v>217.36199999999999</v>
      </c>
      <c r="U91">
        <f ca="1">IFERROR(IF(0=LEN(ReferenceData!$U$91),"",ReferenceData!$U$91),"")</f>
        <v>216.547</v>
      </c>
      <c r="V91">
        <f ca="1">IFERROR(IF(0=LEN(ReferenceData!$V$91),"",ReferenceData!$V$91),"")</f>
        <v>247.07900000000001</v>
      </c>
      <c r="W91">
        <f ca="1">IFERROR(IF(0=LEN(ReferenceData!$W$91),"",ReferenceData!$W$91),"")</f>
        <v>-6.7839999999999998</v>
      </c>
      <c r="X91">
        <f ca="1">IFERROR(IF(0=LEN(ReferenceData!$X$91),"",ReferenceData!$X$91),"")</f>
        <v>210.62700000000001</v>
      </c>
      <c r="Y91">
        <f ca="1">IFERROR(IF(0=LEN(ReferenceData!$Y$91),"",ReferenceData!$Y$91),"")</f>
        <v>235.34800000000001</v>
      </c>
      <c r="Z91">
        <f ca="1">IFERROR(IF(0=LEN(ReferenceData!$Z$91),"",ReferenceData!$Z$91),"")</f>
        <v>201.82</v>
      </c>
      <c r="AA91">
        <f ca="1">IFERROR(IF(0=LEN(ReferenceData!$AA$91),"",ReferenceData!$AA$91),"")</f>
        <v>55.89</v>
      </c>
      <c r="AB91">
        <f ca="1">IFERROR(IF(0=LEN(ReferenceData!$AB$91),"",ReferenceData!$AB$91),"")</f>
        <v>251.01900000000001</v>
      </c>
      <c r="AC91">
        <f ca="1">IFERROR(IF(0=LEN(ReferenceData!$AC$91),"",ReferenceData!$AC$91),"")</f>
        <v>166.672</v>
      </c>
      <c r="AD91">
        <f ca="1">IFERROR(IF(0=LEN(ReferenceData!$AD$91),"",ReferenceData!$AD$91),"")</f>
        <v>348.452</v>
      </c>
      <c r="AE91">
        <f ca="1">IFERROR(IF(0=LEN(ReferenceData!$AE$91),"",ReferenceData!$AE$91),"")</f>
        <v>280.36900000000003</v>
      </c>
      <c r="AF91">
        <f ca="1">IFERROR(IF(0=LEN(ReferenceData!$AF$91),"",ReferenceData!$AF$91),"")</f>
        <v>195.125</v>
      </c>
      <c r="AG91">
        <f ca="1">IFERROR(IF(0=LEN(ReferenceData!$AG$91),"",ReferenceData!$AG$91),"")</f>
        <v>243.41800000000001</v>
      </c>
      <c r="AH91">
        <f ca="1">IFERROR(IF(0=LEN(ReferenceData!$AH$91),"",ReferenceData!$AH$91),"")</f>
        <v>505.93099999999998</v>
      </c>
      <c r="AI91">
        <f ca="1">IFERROR(IF(0=LEN(ReferenceData!$AI$91),"",ReferenceData!$AI$91),"")</f>
        <v>432.86</v>
      </c>
      <c r="AJ91">
        <f ca="1">IFERROR(IF(0=LEN(ReferenceData!$AJ$91),"",ReferenceData!$AJ$91),"")</f>
        <v>248.964</v>
      </c>
      <c r="AK91">
        <f ca="1">IFERROR(IF(0=LEN(ReferenceData!$AK$91),"",ReferenceData!$AK$91),"")</f>
        <v>204.77199999999999</v>
      </c>
      <c r="AL91">
        <f ca="1">IFERROR(IF(0=LEN(ReferenceData!$AL$91),"",ReferenceData!$AL$91),"")</f>
        <v>353.82600000000002</v>
      </c>
      <c r="AM91">
        <f ca="1">IFERROR(IF(0=LEN(ReferenceData!$AM$91),"",ReferenceData!$AM$91),"")</f>
        <v>0.02</v>
      </c>
      <c r="AN91">
        <f ca="1">IFERROR(IF(0=LEN(ReferenceData!$AN$91),"",ReferenceData!$AN$91),"")</f>
        <v>234.24600000000001</v>
      </c>
      <c r="AO91">
        <f ca="1">IFERROR(IF(0=LEN(ReferenceData!$AO$91),"",ReferenceData!$AO$91),"")</f>
        <v>93.515000000000001</v>
      </c>
      <c r="AP91">
        <f ca="1">IFERROR(IF(0=LEN(ReferenceData!$AP$91),"",ReferenceData!$AP$91),"")</f>
        <v>268.58199999999999</v>
      </c>
      <c r="AQ91">
        <f ca="1">IFERROR(IF(0=LEN(ReferenceData!$AQ$91),"",ReferenceData!$AQ$91),"")</f>
        <v>-88.153999999999996</v>
      </c>
      <c r="AR91">
        <f ca="1">IFERROR(IF(0=LEN(ReferenceData!$AR$91),"",ReferenceData!$AR$91),"")</f>
        <v>159.79300000000001</v>
      </c>
      <c r="AS91">
        <f ca="1">IFERROR(IF(0=LEN(ReferenceData!$AS$91),"",ReferenceData!$AS$91),"")</f>
        <v>194.43</v>
      </c>
      <c r="AT91">
        <f ca="1">IFERROR(IF(0=LEN(ReferenceData!$AT$91),"",ReferenceData!$AT$91),"")</f>
        <v>521.54499999999996</v>
      </c>
      <c r="AU91">
        <f ca="1">IFERROR(IF(0=LEN(ReferenceData!$AU$91),"",ReferenceData!$AU$91),"")</f>
        <v>188.089</v>
      </c>
      <c r="AV91">
        <f ca="1">IFERROR(IF(0=LEN(ReferenceData!$AV$91),"",ReferenceData!$AV$91),"")</f>
        <v>215.99600000000001</v>
      </c>
      <c r="AW91">
        <f ca="1">IFERROR(IF(0=LEN(ReferenceData!$AW$91),"",ReferenceData!$AW$91),"")</f>
        <v>276.46899999999999</v>
      </c>
      <c r="AX91">
        <f ca="1">IFERROR(IF(0=LEN(ReferenceData!$AX$91),"",ReferenceData!$AX$91),"")</f>
        <v>264.78300000000002</v>
      </c>
      <c r="AY91">
        <f ca="1">IFERROR(IF(0=LEN(ReferenceData!$AY$91),"",ReferenceData!$AY$91),"")</f>
        <v>207.11500000000001</v>
      </c>
      <c r="AZ91">
        <f ca="1">IFERROR(IF(0=LEN(ReferenceData!$AZ$91),"",ReferenceData!$AZ$91),"")</f>
        <v>199.303</v>
      </c>
      <c r="BA91">
        <f ca="1">IFERROR(IF(0=LEN(ReferenceData!$BA$91),"",ReferenceData!$BA$91),"")</f>
        <v>225.15700000000001</v>
      </c>
      <c r="BB91">
        <f ca="1">IFERROR(IF(0=LEN(ReferenceData!$BB$91),"",ReferenceData!$BB$91),"")</f>
        <v>206.631</v>
      </c>
      <c r="BC91">
        <f ca="1">IFERROR(IF(0=LEN(ReferenceData!$BC$91),"",ReferenceData!$BC$91),"")</f>
        <v>194.12100000000001</v>
      </c>
      <c r="BD91">
        <f ca="1">IFERROR(IF(0=LEN(ReferenceData!$BD$91),"",ReferenceData!$BD$91),"")</f>
        <v>93.272000000000006</v>
      </c>
      <c r="BE91">
        <f ca="1">IFERROR(IF(0=LEN(ReferenceData!$BE$91),"",ReferenceData!$BE$91),"")</f>
        <v>215.80199999999999</v>
      </c>
      <c r="BF91">
        <f ca="1">IFERROR(IF(0=LEN(ReferenceData!$BF$91),"",ReferenceData!$BF$91),"")</f>
        <v>248.47</v>
      </c>
      <c r="BG91">
        <f ca="1">IFERROR(IF(0=LEN(ReferenceData!$BG$91),"",ReferenceData!$BG$91),"")</f>
        <v>299.44099999999997</v>
      </c>
      <c r="BH91">
        <f ca="1">IFERROR(IF(0=LEN(ReferenceData!$BH$91),"",ReferenceData!$BH$91),"")</f>
        <v>156.703</v>
      </c>
      <c r="BI91">
        <f ca="1">IFERROR(IF(0=LEN(ReferenceData!$BI$91),"",ReferenceData!$BI$91),"")</f>
        <v>159.67399599999999</v>
      </c>
      <c r="BJ91">
        <f ca="1">IFERROR(IF(0=LEN(ReferenceData!$BJ$91),"",ReferenceData!$BJ$91),"")</f>
        <v>128.97500600000001</v>
      </c>
      <c r="BK91">
        <f ca="1">IFERROR(IF(0=LEN(ReferenceData!$BK$91),"",ReferenceData!$BK$91),"")</f>
        <v>130.729004</v>
      </c>
      <c r="BL91">
        <f ca="1">IFERROR(IF(0=LEN(ReferenceData!$BL$91),"",ReferenceData!$BL$91),"")</f>
        <v>123.914001</v>
      </c>
      <c r="BM91">
        <f ca="1">IFERROR(IF(0=LEN(ReferenceData!$BM$91),"",ReferenceData!$BM$91),"")</f>
        <v>133.41</v>
      </c>
    </row>
    <row r="92" spans="1:65">
      <c r="A92" t="str">
        <f>IFERROR(IF(0=LEN(ReferenceData!$A$92),"",ReferenceData!$A$92),"")</f>
        <v>可分配资本</v>
      </c>
      <c r="B92" t="str">
        <f>IFERROR(IF(0=LEN(ReferenceData!$B$92),"",ReferenceData!$B$92),"")</f>
        <v/>
      </c>
      <c r="C92" t="str">
        <f>IFERROR(IF(0=LEN(ReferenceData!$C$92),"",ReferenceData!$C$92),"")</f>
        <v/>
      </c>
      <c r="D92" t="str">
        <f>IFERROR(IF(0=LEN(ReferenceData!$D$92),"",ReferenceData!$D$92),"")</f>
        <v/>
      </c>
      <c r="E92" t="str">
        <f>IFERROR(IF(0=LEN(ReferenceData!$E$92),"",ReferenceData!$E$92),"")</f>
        <v>Median</v>
      </c>
      <c r="F92" t="str">
        <f ca="1">IFERROR(IF(0=LEN(ReferenceData!$F$92),"",ReferenceData!$F$92),"")</f>
        <v/>
      </c>
      <c r="G92">
        <f ca="1">IFERROR(IF(0=LEN(ReferenceData!$G$92),"",ReferenceData!$G$92),"")</f>
        <v>49.730999999999995</v>
      </c>
      <c r="H92">
        <f ca="1">IFERROR(IF(0=LEN(ReferenceData!$H$92),"",ReferenceData!$H$92),"")</f>
        <v>53.709000000000003</v>
      </c>
      <c r="I92">
        <f ca="1">IFERROR(IF(0=LEN(ReferenceData!$I$92),"",ReferenceData!$I$92),"")</f>
        <v>59.881</v>
      </c>
      <c r="J92">
        <f ca="1">IFERROR(IF(0=LEN(ReferenceData!$J$92),"",ReferenceData!$J$92),"")</f>
        <v>58.725499999999997</v>
      </c>
      <c r="K92">
        <f ca="1">IFERROR(IF(0=LEN(ReferenceData!$K$92),"",ReferenceData!$K$92),"")</f>
        <v>47.507999999999996</v>
      </c>
      <c r="L92">
        <f ca="1">IFERROR(IF(0=LEN(ReferenceData!$L$92),"",ReferenceData!$L$92),"")</f>
        <v>50.414999999999999</v>
      </c>
      <c r="M92">
        <f ca="1">IFERROR(IF(0=LEN(ReferenceData!$M$92),"",ReferenceData!$M$92),"")</f>
        <v>53.721499999999999</v>
      </c>
      <c r="N92">
        <f ca="1">IFERROR(IF(0=LEN(ReferenceData!$N$92),"",ReferenceData!$N$92),"")</f>
        <v>45.013999999999996</v>
      </c>
      <c r="O92">
        <f ca="1">IFERROR(IF(0=LEN(ReferenceData!$O$92),"",ReferenceData!$O$92),"")</f>
        <v>37.805</v>
      </c>
      <c r="P92">
        <f ca="1">IFERROR(IF(0=LEN(ReferenceData!$P$92),"",ReferenceData!$P$92),"")</f>
        <v>46.843499999999999</v>
      </c>
      <c r="Q92">
        <f ca="1">IFERROR(IF(0=LEN(ReferenceData!$Q$92),"",ReferenceData!$Q$92),"")</f>
        <v>45.786500000000004</v>
      </c>
      <c r="R92">
        <f ca="1">IFERROR(IF(0=LEN(ReferenceData!$R$92),"",ReferenceData!$R$92),"")</f>
        <v>45.995000000000005</v>
      </c>
      <c r="S92">
        <f ca="1">IFERROR(IF(0=LEN(ReferenceData!$S$92),"",ReferenceData!$S$92),"")</f>
        <v>39.865000000000002</v>
      </c>
      <c r="T92">
        <f ca="1">IFERROR(IF(0=LEN(ReferenceData!$T$92),"",ReferenceData!$T$92),"")</f>
        <v>39.859000000000002</v>
      </c>
      <c r="U92">
        <f ca="1">IFERROR(IF(0=LEN(ReferenceData!$U$92),"",ReferenceData!$U$92),"")</f>
        <v>38.016999999999996</v>
      </c>
      <c r="V92">
        <f ca="1">IFERROR(IF(0=LEN(ReferenceData!$V$92),"",ReferenceData!$V$92),"")</f>
        <v>38.045999999999999</v>
      </c>
      <c r="W92">
        <f ca="1">IFERROR(IF(0=LEN(ReferenceData!$W$92),"",ReferenceData!$W$92),"")</f>
        <v>38.769500000000001</v>
      </c>
      <c r="X92">
        <f ca="1">IFERROR(IF(0=LEN(ReferenceData!$X$92),"",ReferenceData!$X$92),"")</f>
        <v>40.033500000000004</v>
      </c>
      <c r="Y92">
        <f ca="1">IFERROR(IF(0=LEN(ReferenceData!$Y$92),"",ReferenceData!$Y$92),"")</f>
        <v>43.509500000000003</v>
      </c>
      <c r="Z92">
        <f ca="1">IFERROR(IF(0=LEN(ReferenceData!$Z$92),"",ReferenceData!$Z$92),"")</f>
        <v>38.0535</v>
      </c>
      <c r="AA92">
        <f ca="1">IFERROR(IF(0=LEN(ReferenceData!$AA$92),"",ReferenceData!$AA$92),"")</f>
        <v>40.3035</v>
      </c>
      <c r="AB92">
        <f ca="1">IFERROR(IF(0=LEN(ReferenceData!$AB$92),"",ReferenceData!$AB$92),"")</f>
        <v>36.6935</v>
      </c>
      <c r="AC92">
        <f ca="1">IFERROR(IF(0=LEN(ReferenceData!$AC$92),"",ReferenceData!$AC$92),"")</f>
        <v>37.662999999999997</v>
      </c>
      <c r="AD92">
        <f ca="1">IFERROR(IF(0=LEN(ReferenceData!$AD$92),"",ReferenceData!$AD$92),"")</f>
        <v>54.1145</v>
      </c>
      <c r="AE92">
        <f ca="1">IFERROR(IF(0=LEN(ReferenceData!$AE$92),"",ReferenceData!$AE$92),"")</f>
        <v>45.621000000000002</v>
      </c>
      <c r="AF92">
        <f ca="1">IFERROR(IF(0=LEN(ReferenceData!$AF$92),"",ReferenceData!$AF$92),"")</f>
        <v>44.653999999999996</v>
      </c>
      <c r="AG92">
        <f ca="1">IFERROR(IF(0=LEN(ReferenceData!$AG$92),"",ReferenceData!$AG$92),"")</f>
        <v>51.624499999999998</v>
      </c>
      <c r="AH92">
        <f ca="1">IFERROR(IF(0=LEN(ReferenceData!$AH$92),"",ReferenceData!$AH$92),"")</f>
        <v>47.935000000000002</v>
      </c>
      <c r="AI92">
        <f ca="1">IFERROR(IF(0=LEN(ReferenceData!$AI$92),"",ReferenceData!$AI$92),"")</f>
        <v>34.515500000000003</v>
      </c>
      <c r="AJ92">
        <f ca="1">IFERROR(IF(0=LEN(ReferenceData!$AJ$92),"",ReferenceData!$AJ$92),"")</f>
        <v>49.658000000000001</v>
      </c>
      <c r="AK92">
        <f ca="1">IFERROR(IF(0=LEN(ReferenceData!$AK$92),"",ReferenceData!$AK$92),"")</f>
        <v>54.280500000000004</v>
      </c>
      <c r="AL92">
        <f ca="1">IFERROR(IF(0=LEN(ReferenceData!$AL$92),"",ReferenceData!$AL$92),"")</f>
        <v>44.981999999999999</v>
      </c>
      <c r="AM92">
        <f ca="1">IFERROR(IF(0=LEN(ReferenceData!$AM$92),"",ReferenceData!$AM$92),"")</f>
        <v>47.134500000000003</v>
      </c>
      <c r="AN92">
        <f ca="1">IFERROR(IF(0=LEN(ReferenceData!$AN$92),"",ReferenceData!$AN$92),"")</f>
        <v>55.894500000000001</v>
      </c>
      <c r="AO92">
        <f ca="1">IFERROR(IF(0=LEN(ReferenceData!$AO$92),"",ReferenceData!$AO$92),"")</f>
        <v>59.442999999999998</v>
      </c>
      <c r="AP92">
        <f ca="1">IFERROR(IF(0=LEN(ReferenceData!$AP$92),"",ReferenceData!$AP$92),"")</f>
        <v>54.924999999999997</v>
      </c>
      <c r="AQ92">
        <f ca="1">IFERROR(IF(0=LEN(ReferenceData!$AQ$92),"",ReferenceData!$AQ$92),"")</f>
        <v>44.176000000000002</v>
      </c>
      <c r="AR92">
        <f ca="1">IFERROR(IF(0=LEN(ReferenceData!$AR$92),"",ReferenceData!$AR$92),"")</f>
        <v>55.948</v>
      </c>
      <c r="AS92">
        <f ca="1">IFERROR(IF(0=LEN(ReferenceData!$AS$92),"",ReferenceData!$AS$92),"")</f>
        <v>53.878999999999998</v>
      </c>
      <c r="AT92">
        <f ca="1">IFERROR(IF(0=LEN(ReferenceData!$AT$92),"",ReferenceData!$AT$92),"")</f>
        <v>51.978000000000002</v>
      </c>
      <c r="AU92">
        <f ca="1">IFERROR(IF(0=LEN(ReferenceData!$AU$92),"",ReferenceData!$AU$92),"")</f>
        <v>52.389000000000003</v>
      </c>
      <c r="AV92">
        <f ca="1">IFERROR(IF(0=LEN(ReferenceData!$AV$92),"",ReferenceData!$AV$92),"")</f>
        <v>45.503999999999998</v>
      </c>
      <c r="AW92">
        <f ca="1">IFERROR(IF(0=LEN(ReferenceData!$AW$92),"",ReferenceData!$AW$92),"")</f>
        <v>56.997</v>
      </c>
      <c r="AX92">
        <f ca="1">IFERROR(IF(0=LEN(ReferenceData!$AX$92),"",ReferenceData!$AX$92),"")</f>
        <v>50.576999999999998</v>
      </c>
      <c r="AY92">
        <f ca="1">IFERROR(IF(0=LEN(ReferenceData!$AY$92),"",ReferenceData!$AY$92),"")</f>
        <v>41.369</v>
      </c>
      <c r="AZ92">
        <f ca="1">IFERROR(IF(0=LEN(ReferenceData!$AZ$92),"",ReferenceData!$AZ$92),"")</f>
        <v>41.798000000000002</v>
      </c>
      <c r="BA92">
        <f ca="1">IFERROR(IF(0=LEN(ReferenceData!$BA$92),"",ReferenceData!$BA$92),"")</f>
        <v>44.031999999999996</v>
      </c>
      <c r="BB92">
        <f ca="1">IFERROR(IF(0=LEN(ReferenceData!$BB$92),"",ReferenceData!$BB$92),"")</f>
        <v>39.555</v>
      </c>
      <c r="BC92">
        <f ca="1">IFERROR(IF(0=LEN(ReferenceData!$BC$92),"",ReferenceData!$BC$92),"")</f>
        <v>65.138000000000005</v>
      </c>
      <c r="BD92">
        <f ca="1">IFERROR(IF(0=LEN(ReferenceData!$BD$92),"",ReferenceData!$BD$92),"")</f>
        <v>51.704999999999998</v>
      </c>
      <c r="BE92">
        <f ca="1">IFERROR(IF(0=LEN(ReferenceData!$BE$92),"",ReferenceData!$BE$92),"")</f>
        <v>36.301000000000002</v>
      </c>
      <c r="BF92">
        <f ca="1">IFERROR(IF(0=LEN(ReferenceData!$BF$92),"",ReferenceData!$BF$92),"")</f>
        <v>44.561</v>
      </c>
      <c r="BG92">
        <f ca="1">IFERROR(IF(0=LEN(ReferenceData!$BG$92),"",ReferenceData!$BG$92),"")</f>
        <v>42.578000000000003</v>
      </c>
      <c r="BH92">
        <f ca="1">IFERROR(IF(0=LEN(ReferenceData!$BH$92),"",ReferenceData!$BH$92),"")</f>
        <v>47.448</v>
      </c>
      <c r="BI92">
        <f ca="1">IFERROR(IF(0=LEN(ReferenceData!$BI$92),"",ReferenceData!$BI$92),"")</f>
        <v>44.146000000000001</v>
      </c>
      <c r="BJ92">
        <f ca="1">IFERROR(IF(0=LEN(ReferenceData!$BJ$92),"",ReferenceData!$BJ$92),"")</f>
        <v>34.99</v>
      </c>
      <c r="BK92">
        <f ca="1">IFERROR(IF(0=LEN(ReferenceData!$BK$92),"",ReferenceData!$BK$92),"")</f>
        <v>66.510002139999997</v>
      </c>
      <c r="BL92">
        <f ca="1">IFERROR(IF(0=LEN(ReferenceData!$BL$92),"",ReferenceData!$BL$92),"")</f>
        <v>44.804000000000002</v>
      </c>
      <c r="BM92">
        <f ca="1">IFERROR(IF(0=LEN(ReferenceData!$BM$92),"",ReferenceData!$BM$92),"")</f>
        <v>33.323999999999998</v>
      </c>
    </row>
    <row r="93" spans="1:65">
      <c r="A93" t="str">
        <f>IFERROR(IF(0=LEN(ReferenceData!$A$93),"",ReferenceData!$A$93),"")</f>
        <v xml:space="preserve">    Boston Properties Inc</v>
      </c>
      <c r="B93" t="str">
        <f>IFERROR(IF(0=LEN(ReferenceData!$B$93),"",ReferenceData!$B$93),"")</f>
        <v>BXP US Equity</v>
      </c>
      <c r="C93" t="str">
        <f>IFERROR(IF(0=LEN(ReferenceData!$C$93),"",ReferenceData!$C$93),"")</f>
        <v>F0578</v>
      </c>
      <c r="D93" t="str">
        <f>IFERROR(IF(0=LEN(ReferenceData!$D$93),"",ReferenceData!$D$93),"")</f>
        <v>FUNDS_AVAILABLE_FOR_DISTRIBUTION</v>
      </c>
      <c r="E93" t="str">
        <f>IFERROR(IF(0=LEN(ReferenceData!$E$93),"",ReferenceData!$E$93),"")</f>
        <v>动态</v>
      </c>
      <c r="F93" t="str">
        <f ca="1">IFERROR(IF(0=LEN(ReferenceData!$F$93),"",ReferenceData!$F$93),"")</f>
        <v/>
      </c>
      <c r="G93">
        <f ca="1">IFERROR(IF(0=LEN(ReferenceData!$G$93),"",ReferenceData!$G$93),"")</f>
        <v>143.65600000000001</v>
      </c>
      <c r="H93">
        <f ca="1">IFERROR(IF(0=LEN(ReferenceData!$H$93),"",ReferenceData!$H$93),"")</f>
        <v>165.89</v>
      </c>
      <c r="I93">
        <f ca="1">IFERROR(IF(0=LEN(ReferenceData!$I$93),"",ReferenceData!$I$93),"")</f>
        <v>137.738</v>
      </c>
      <c r="J93">
        <f ca="1">IFERROR(IF(0=LEN(ReferenceData!$J$93),"",ReferenceData!$J$93),"")</f>
        <v>147.91399999999999</v>
      </c>
      <c r="K93">
        <f ca="1">IFERROR(IF(0=LEN(ReferenceData!$K$93),"",ReferenceData!$K$93),"")</f>
        <v>131.233</v>
      </c>
      <c r="L93">
        <f ca="1">IFERROR(IF(0=LEN(ReferenceData!$L$93),"",ReferenceData!$L$93),"")</f>
        <v>124.556</v>
      </c>
      <c r="M93">
        <f ca="1">IFERROR(IF(0=LEN(ReferenceData!$M$93),"",ReferenceData!$M$93),"")</f>
        <v>135.56800000000001</v>
      </c>
      <c r="N93">
        <f ca="1">IFERROR(IF(0=LEN(ReferenceData!$N$93),"",ReferenceData!$N$93),"")</f>
        <v>159.35</v>
      </c>
      <c r="O93">
        <f ca="1">IFERROR(IF(0=LEN(ReferenceData!$O$93),"",ReferenceData!$O$93),"")</f>
        <v>135.91300000000001</v>
      </c>
      <c r="P93">
        <f ca="1">IFERROR(IF(0=LEN(ReferenceData!$P$93),"",ReferenceData!$P$93),"")</f>
        <v>115.854</v>
      </c>
      <c r="Q93">
        <f ca="1">IFERROR(IF(0=LEN(ReferenceData!$Q$93),"",ReferenceData!$Q$93),"")</f>
        <v>121.86499999999999</v>
      </c>
      <c r="R93">
        <f ca="1">IFERROR(IF(0=LEN(ReferenceData!$R$93),"",ReferenceData!$R$93),"")</f>
        <v>123.78700000000001</v>
      </c>
      <c r="S93">
        <f ca="1">IFERROR(IF(0=LEN(ReferenceData!$S$93),"",ReferenceData!$S$93),"")</f>
        <v>140.34899999999999</v>
      </c>
      <c r="T93">
        <f ca="1">IFERROR(IF(0=LEN(ReferenceData!$T$93),"",ReferenceData!$T$93),"")</f>
        <v>155.89400000000001</v>
      </c>
      <c r="U93">
        <f ca="1">IFERROR(IF(0=LEN(ReferenceData!$U$93),"",ReferenceData!$U$93),"")</f>
        <v>159.54</v>
      </c>
      <c r="V93">
        <f ca="1">IFERROR(IF(0=LEN(ReferenceData!$V$93),"",ReferenceData!$V$93),"")</f>
        <v>143.738</v>
      </c>
      <c r="W93">
        <f ca="1">IFERROR(IF(0=LEN(ReferenceData!$W$93),"",ReferenceData!$W$93),"")</f>
        <v>138.339</v>
      </c>
      <c r="X93">
        <f ca="1">IFERROR(IF(0=LEN(ReferenceData!$X$93),"",ReferenceData!$X$93),"")</f>
        <v>128.43700000000001</v>
      </c>
      <c r="Y93">
        <f ca="1">IFERROR(IF(0=LEN(ReferenceData!$Y$93),"",ReferenceData!$Y$93),"")</f>
        <v>148.45099999999999</v>
      </c>
      <c r="Z93">
        <f ca="1">IFERROR(IF(0=LEN(ReferenceData!$Z$93),"",ReferenceData!$Z$93),"")</f>
        <v>127.31</v>
      </c>
      <c r="AA93">
        <f ca="1">IFERROR(IF(0=LEN(ReferenceData!$AA$93),"",ReferenceData!$AA$93),"")</f>
        <v>125.069</v>
      </c>
      <c r="AB93">
        <f ca="1">IFERROR(IF(0=LEN(ReferenceData!$AB$93),"",ReferenceData!$AB$93),"")</f>
        <v>108.23399999999999</v>
      </c>
      <c r="AC93">
        <f ca="1">IFERROR(IF(0=LEN(ReferenceData!$AC$93),"",ReferenceData!$AC$93),"")</f>
        <v>150.20599999999999</v>
      </c>
      <c r="AD93">
        <f ca="1">IFERROR(IF(0=LEN(ReferenceData!$AD$93),"",ReferenceData!$AD$93),"")</f>
        <v>99.756</v>
      </c>
      <c r="AE93">
        <f ca="1">IFERROR(IF(0=LEN(ReferenceData!$AE$93),"",ReferenceData!$AE$93),"")</f>
        <v>81.811999999999998</v>
      </c>
      <c r="AF93">
        <f ca="1">IFERROR(IF(0=LEN(ReferenceData!$AF$93),"",ReferenceData!$AF$93),"")</f>
        <v>138.923</v>
      </c>
      <c r="AG93">
        <f ca="1">IFERROR(IF(0=LEN(ReferenceData!$AG$93),"",ReferenceData!$AG$93),"")</f>
        <v>133.03899999999999</v>
      </c>
      <c r="AH93">
        <f ca="1">IFERROR(IF(0=LEN(ReferenceData!$AH$93),"",ReferenceData!$AH$93),"")</f>
        <v>105.28</v>
      </c>
      <c r="AI93">
        <f ca="1">IFERROR(IF(0=LEN(ReferenceData!$AI$93),"",ReferenceData!$AI$93),"")</f>
        <v>120.586</v>
      </c>
      <c r="AJ93">
        <f ca="1">IFERROR(IF(0=LEN(ReferenceData!$AJ$93),"",ReferenceData!$AJ$93),"")</f>
        <v>92.105000000000004</v>
      </c>
      <c r="AK93">
        <f ca="1">IFERROR(IF(0=LEN(ReferenceData!$AK$93),"",ReferenceData!$AK$93),"")</f>
        <v>98.659000000000006</v>
      </c>
      <c r="AL93">
        <f ca="1">IFERROR(IF(0=LEN(ReferenceData!$AL$93),"",ReferenceData!$AL$93),"")</f>
        <v>33.210999999999999</v>
      </c>
      <c r="AM93">
        <f ca="1">IFERROR(IF(0=LEN(ReferenceData!$AM$93),"",ReferenceData!$AM$93),"")</f>
        <v>99.456000000000003</v>
      </c>
      <c r="AN93">
        <f ca="1">IFERROR(IF(0=LEN(ReferenceData!$AN$93),"",ReferenceData!$AN$93),"")</f>
        <v>108.10299999999999</v>
      </c>
      <c r="AO93">
        <f ca="1">IFERROR(IF(0=LEN(ReferenceData!$AO$93),"",ReferenceData!$AO$93),"")</f>
        <v>114.39400000000001</v>
      </c>
      <c r="AP93">
        <f ca="1">IFERROR(IF(0=LEN(ReferenceData!$AP$93),"",ReferenceData!$AP$93),"")</f>
        <v>107.238</v>
      </c>
      <c r="AQ93">
        <f ca="1">IFERROR(IF(0=LEN(ReferenceData!$AQ$93),"",ReferenceData!$AQ$93),"")</f>
        <v>133.97</v>
      </c>
      <c r="AR93">
        <f ca="1">IFERROR(IF(0=LEN(ReferenceData!$AR$93),"",ReferenceData!$AR$93),"")</f>
        <v>132.93600000000001</v>
      </c>
      <c r="AS93">
        <f ca="1">IFERROR(IF(0=LEN(ReferenceData!$AS$93),"",ReferenceData!$AS$93),"")</f>
        <v>136.36799999999999</v>
      </c>
      <c r="AT93">
        <f ca="1">IFERROR(IF(0=LEN(ReferenceData!$AT$93),"",ReferenceData!$AT$93),"")</f>
        <v>115.604</v>
      </c>
      <c r="AU93">
        <f ca="1">IFERROR(IF(0=LEN(ReferenceData!$AU$93),"",ReferenceData!$AU$93),"")</f>
        <v>119.836</v>
      </c>
      <c r="AV93">
        <f ca="1">IFERROR(IF(0=LEN(ReferenceData!$AV$93),"",ReferenceData!$AV$93),"")</f>
        <v>120.754</v>
      </c>
      <c r="AW93">
        <f ca="1">IFERROR(IF(0=LEN(ReferenceData!$AW$93),"",ReferenceData!$AW$93),"")</f>
        <v>134.345</v>
      </c>
      <c r="AX93">
        <f ca="1">IFERROR(IF(0=LEN(ReferenceData!$AX$93),"",ReferenceData!$AX$93),"")</f>
        <v>129.16200000000001</v>
      </c>
      <c r="AY93">
        <f ca="1">IFERROR(IF(0=LEN(ReferenceData!$AY$93),"",ReferenceData!$AY$93),"")</f>
        <v>125.053</v>
      </c>
      <c r="AZ93">
        <f ca="1">IFERROR(IF(0=LEN(ReferenceData!$AZ$93),"",ReferenceData!$AZ$93),"")</f>
        <v>120.919</v>
      </c>
      <c r="BA93">
        <f ca="1">IFERROR(IF(0=LEN(ReferenceData!$BA$93),"",ReferenceData!$BA$93),"")</f>
        <v>78.863</v>
      </c>
      <c r="BB93">
        <f ca="1">IFERROR(IF(0=LEN(ReferenceData!$BB$93),"",ReferenceData!$BB$93),"")</f>
        <v>104.527</v>
      </c>
      <c r="BC93">
        <f ca="1">IFERROR(IF(0=LEN(ReferenceData!$BC$93),"",ReferenceData!$BC$93),"")</f>
        <v>102.886</v>
      </c>
      <c r="BD93">
        <f ca="1">IFERROR(IF(0=LEN(ReferenceData!$BD$93),"",ReferenceData!$BD$93),"")</f>
        <v>147.57400000000001</v>
      </c>
      <c r="BE93">
        <f ca="1">IFERROR(IF(0=LEN(ReferenceData!$BE$93),"",ReferenceData!$BE$93),"")</f>
        <v>-6.2389999999999999</v>
      </c>
      <c r="BF93">
        <f ca="1">IFERROR(IF(0=LEN(ReferenceData!$BF$93),"",ReferenceData!$BF$93),"")</f>
        <v>140.33600000000001</v>
      </c>
      <c r="BG93">
        <f ca="1">IFERROR(IF(0=LEN(ReferenceData!$BG$93),"",ReferenceData!$BG$93),"")</f>
        <v>118.89100000000001</v>
      </c>
      <c r="BH93">
        <f ca="1">IFERROR(IF(0=LEN(ReferenceData!$BH$93),"",ReferenceData!$BH$93),"")</f>
        <v>119.937</v>
      </c>
      <c r="BI93">
        <f ca="1">IFERROR(IF(0=LEN(ReferenceData!$BI$93),"",ReferenceData!$BI$93),"")</f>
        <v>116.903999</v>
      </c>
      <c r="BJ93">
        <f ca="1">IFERROR(IF(0=LEN(ReferenceData!$BJ$93),"",ReferenceData!$BJ$93),"")</f>
        <v>103.831001</v>
      </c>
      <c r="BK93">
        <f ca="1">IFERROR(IF(0=LEN(ReferenceData!$BK$93),"",ReferenceData!$BK$93),"")</f>
        <v>106.931</v>
      </c>
      <c r="BL93">
        <f ca="1">IFERROR(IF(0=LEN(ReferenceData!$BL$93),"",ReferenceData!$BL$93),"")</f>
        <v>99.056999000000005</v>
      </c>
      <c r="BM93">
        <f ca="1">IFERROR(IF(0=LEN(ReferenceData!$BM$93),"",ReferenceData!$BM$93),"")</f>
        <v>0.625</v>
      </c>
    </row>
    <row r="94" spans="1:65">
      <c r="A94" t="str">
        <f>IFERROR(IF(0=LEN(ReferenceData!$A$94),"",ReferenceData!$A$94),"")</f>
        <v xml:space="preserve">    Brandywine Realty Trust</v>
      </c>
      <c r="B94" t="str">
        <f>IFERROR(IF(0=LEN(ReferenceData!$B$94),"",ReferenceData!$B$94),"")</f>
        <v>BDN US Equity</v>
      </c>
      <c r="C94" t="str">
        <f>IFERROR(IF(0=LEN(ReferenceData!$C$94),"",ReferenceData!$C$94),"")</f>
        <v>F0578</v>
      </c>
      <c r="D94" t="str">
        <f>IFERROR(IF(0=LEN(ReferenceData!$D$94),"",ReferenceData!$D$94),"")</f>
        <v>FUNDS_AVAILABLE_FOR_DISTRIBUTION</v>
      </c>
      <c r="E94" t="str">
        <f>IFERROR(IF(0=LEN(ReferenceData!$E$94),"",ReferenceData!$E$94),"")</f>
        <v>动态</v>
      </c>
      <c r="F94" t="str">
        <f ca="1">IFERROR(IF(0=LEN(ReferenceData!$F$94),"",ReferenceData!$F$94),"")</f>
        <v/>
      </c>
      <c r="G94">
        <f ca="1">IFERROR(IF(0=LEN(ReferenceData!$G$94),"",ReferenceData!$G$94),"")</f>
        <v>38.427999999999997</v>
      </c>
      <c r="H94">
        <f ca="1">IFERROR(IF(0=LEN(ReferenceData!$H$94),"",ReferenceData!$H$94),"")</f>
        <v>42.707000000000001</v>
      </c>
      <c r="I94">
        <f ca="1">IFERROR(IF(0=LEN(ReferenceData!$I$94),"",ReferenceData!$I$94),"")</f>
        <v>42.918999999999997</v>
      </c>
      <c r="J94">
        <f ca="1">IFERROR(IF(0=LEN(ReferenceData!$J$94),"",ReferenceData!$J$94),"")</f>
        <v>41.683</v>
      </c>
      <c r="K94">
        <f ca="1">IFERROR(IF(0=LEN(ReferenceData!$K$94),"",ReferenceData!$K$94),"")</f>
        <v>49.375</v>
      </c>
      <c r="L94">
        <f ca="1">IFERROR(IF(0=LEN(ReferenceData!$L$94),"",ReferenceData!$L$94),"")</f>
        <v>37.533000000000001</v>
      </c>
      <c r="M94">
        <f ca="1">IFERROR(IF(0=LEN(ReferenceData!$M$94),"",ReferenceData!$M$94),"")</f>
        <v>37.058</v>
      </c>
      <c r="N94">
        <f ca="1">IFERROR(IF(0=LEN(ReferenceData!$N$94),"",ReferenceData!$N$94),"")</f>
        <v>35.463999999999999</v>
      </c>
      <c r="O94">
        <f ca="1">IFERROR(IF(0=LEN(ReferenceData!$O$94),"",ReferenceData!$O$94),"")</f>
        <v>23.119</v>
      </c>
      <c r="P94">
        <f ca="1">IFERROR(IF(0=LEN(ReferenceData!$P$94),"",ReferenceData!$P$94),"")</f>
        <v>43.424999999999997</v>
      </c>
      <c r="Q94">
        <f ca="1">IFERROR(IF(0=LEN(ReferenceData!$Q$94),"",ReferenceData!$Q$94),"")</f>
        <v>34.667000000000002</v>
      </c>
      <c r="R94">
        <f ca="1">IFERROR(IF(0=LEN(ReferenceData!$R$94),"",ReferenceData!$R$94),"")</f>
        <v>39.476999999999997</v>
      </c>
      <c r="S94">
        <f ca="1">IFERROR(IF(0=LEN(ReferenceData!$S$94),"",ReferenceData!$S$94),"")</f>
        <v>19.722999999999999</v>
      </c>
      <c r="T94">
        <f ca="1">IFERROR(IF(0=LEN(ReferenceData!$T$94),"",ReferenceData!$T$94),"")</f>
        <v>46.536999999999999</v>
      </c>
      <c r="U94">
        <f ca="1">IFERROR(IF(0=LEN(ReferenceData!$U$94),"",ReferenceData!$U$94),"")</f>
        <v>28.369</v>
      </c>
      <c r="V94">
        <f ca="1">IFERROR(IF(0=LEN(ReferenceData!$V$94),"",ReferenceData!$V$94),"")</f>
        <v>34.546999999999997</v>
      </c>
      <c r="W94">
        <f ca="1">IFERROR(IF(0=LEN(ReferenceData!$W$94),"",ReferenceData!$W$94),"")</f>
        <v>23.376000000000001</v>
      </c>
      <c r="X94">
        <f ca="1">IFERROR(IF(0=LEN(ReferenceData!$X$94),"",ReferenceData!$X$94),"")</f>
        <v>27.135999999999999</v>
      </c>
      <c r="Y94">
        <f ca="1">IFERROR(IF(0=LEN(ReferenceData!$Y$94),"",ReferenceData!$Y$94),"")</f>
        <v>30.347999999999999</v>
      </c>
      <c r="Z94">
        <f ca="1">IFERROR(IF(0=LEN(ReferenceData!$Z$94),"",ReferenceData!$Z$94),"")</f>
        <v>38.15</v>
      </c>
      <c r="AA94">
        <f ca="1">IFERROR(IF(0=LEN(ReferenceData!$AA$94),"",ReferenceData!$AA$94),"")</f>
        <v>24.873999999999999</v>
      </c>
      <c r="AB94">
        <f ca="1">IFERROR(IF(0=LEN(ReferenceData!$AB$94),"",ReferenceData!$AB$94),"")</f>
        <v>30.324000000000002</v>
      </c>
      <c r="AC94">
        <f ca="1">IFERROR(IF(0=LEN(ReferenceData!$AC$94),"",ReferenceData!$AC$94),"")</f>
        <v>30.402000000000001</v>
      </c>
      <c r="AD94">
        <f ca="1">IFERROR(IF(0=LEN(ReferenceData!$AD$94),"",ReferenceData!$AD$94),"")</f>
        <v>27.981000000000002</v>
      </c>
      <c r="AE94">
        <f ca="1">IFERROR(IF(0=LEN(ReferenceData!$AE$94),"",ReferenceData!$AE$94),"")</f>
        <v>24.550999999999998</v>
      </c>
      <c r="AF94">
        <f ca="1">IFERROR(IF(0=LEN(ReferenceData!$AF$94),"",ReferenceData!$AF$94),"")</f>
        <v>10.071</v>
      </c>
      <c r="AG94">
        <f ca="1">IFERROR(IF(0=LEN(ReferenceData!$AG$94),"",ReferenceData!$AG$94),"")</f>
        <v>20.475000000000001</v>
      </c>
      <c r="AH94">
        <f ca="1">IFERROR(IF(0=LEN(ReferenceData!$AH$94),"",ReferenceData!$AH$94),"")</f>
        <v>25.411000000000001</v>
      </c>
      <c r="AI94">
        <f ca="1">IFERROR(IF(0=LEN(ReferenceData!$AI$94),"",ReferenceData!$AI$94),"")</f>
        <v>26.454999999999998</v>
      </c>
      <c r="AJ94">
        <f ca="1">IFERROR(IF(0=LEN(ReferenceData!$AJ$94),"",ReferenceData!$AJ$94),"")</f>
        <v>29.666</v>
      </c>
      <c r="AK94">
        <f ca="1">IFERROR(IF(0=LEN(ReferenceData!$AK$94),"",ReferenceData!$AK$94),"")</f>
        <v>31.925999999999998</v>
      </c>
      <c r="AL94">
        <f ca="1">IFERROR(IF(0=LEN(ReferenceData!$AL$94),"",ReferenceData!$AL$94),"")</f>
        <v>34.581000000000003</v>
      </c>
      <c r="AM94">
        <f ca="1">IFERROR(IF(0=LEN(ReferenceData!$AM$94),"",ReferenceData!$AM$94),"")</f>
        <v>33.503999999999998</v>
      </c>
      <c r="AN94">
        <f ca="1">IFERROR(IF(0=LEN(ReferenceData!$AN$94),"",ReferenceData!$AN$94),"")</f>
        <v>45.633000000000003</v>
      </c>
      <c r="AO94">
        <f ca="1">IFERROR(IF(0=LEN(ReferenceData!$AO$94),"",ReferenceData!$AO$94),"")</f>
        <v>44.607999999999997</v>
      </c>
      <c r="AP94">
        <f ca="1">IFERROR(IF(0=LEN(ReferenceData!$AP$94),"",ReferenceData!$AP$94),"")</f>
        <v>43.924999999999997</v>
      </c>
      <c r="AQ94">
        <f ca="1">IFERROR(IF(0=LEN(ReferenceData!$AQ$94),"",ReferenceData!$AQ$94),"")</f>
        <v>52.064999999999998</v>
      </c>
      <c r="AR94">
        <f ca="1">IFERROR(IF(0=LEN(ReferenceData!$AR$94),"",ReferenceData!$AR$94),"")</f>
        <v>41.543999999999997</v>
      </c>
      <c r="AS94">
        <f ca="1">IFERROR(IF(0=LEN(ReferenceData!$AS$94),"",ReferenceData!$AS$94),"")</f>
        <v>43.073999999999998</v>
      </c>
      <c r="AT94">
        <f ca="1">IFERROR(IF(0=LEN(ReferenceData!$AT$94),"",ReferenceData!$AT$94),"")</f>
        <v>46.621000000000002</v>
      </c>
      <c r="AU94">
        <f ca="1">IFERROR(IF(0=LEN(ReferenceData!$AU$94),"",ReferenceData!$AU$94),"")</f>
        <v>36.648000000000003</v>
      </c>
      <c r="AV94">
        <f ca="1">IFERROR(IF(0=LEN(ReferenceData!$AV$94),"",ReferenceData!$AV$94),"")</f>
        <v>40.283000000000001</v>
      </c>
      <c r="AW94">
        <f ca="1">IFERROR(IF(0=LEN(ReferenceData!$AW$94),"",ReferenceData!$AW$94),"")</f>
        <v>37.203000000000003</v>
      </c>
      <c r="AX94">
        <f ca="1">IFERROR(IF(0=LEN(ReferenceData!$AX$94),"",ReferenceData!$AX$94),"")</f>
        <v>38.775387000000002</v>
      </c>
      <c r="AY94">
        <f ca="1">IFERROR(IF(0=LEN(ReferenceData!$AY$94),"",ReferenceData!$AY$94),"")</f>
        <v>44.225000000000001</v>
      </c>
      <c r="AZ94">
        <f ca="1">IFERROR(IF(0=LEN(ReferenceData!$AZ$94),"",ReferenceData!$AZ$94),"")</f>
        <v>41.798000000000002</v>
      </c>
      <c r="BA94">
        <f ca="1">IFERROR(IF(0=LEN(ReferenceData!$BA$94),"",ReferenceData!$BA$94),"")</f>
        <v>40.445</v>
      </c>
      <c r="BB94">
        <f ca="1">IFERROR(IF(0=LEN(ReferenceData!$BB$94),"",ReferenceData!$BB$94),"")</f>
        <v>39.555</v>
      </c>
      <c r="BC94">
        <f ca="1">IFERROR(IF(0=LEN(ReferenceData!$BC$94),"",ReferenceData!$BC$94),"")</f>
        <v>58.965000000000003</v>
      </c>
      <c r="BD94">
        <f ca="1">IFERROR(IF(0=LEN(ReferenceData!$BD$94),"",ReferenceData!$BD$94),"")</f>
        <v>36.200000000000003</v>
      </c>
      <c r="BE94">
        <f ca="1">IFERROR(IF(0=LEN(ReferenceData!$BE$94),"",ReferenceData!$BE$94),"")</f>
        <v>35.283999999999999</v>
      </c>
      <c r="BF94">
        <f ca="1">IFERROR(IF(0=LEN(ReferenceData!$BF$94),"",ReferenceData!$BF$94),"")</f>
        <v>36.253999999999998</v>
      </c>
      <c r="BG94">
        <f ca="1">IFERROR(IF(0=LEN(ReferenceData!$BG$94),"",ReferenceData!$BG$94),"")</f>
        <v>35.921999999999997</v>
      </c>
      <c r="BH94">
        <f ca="1">IFERROR(IF(0=LEN(ReferenceData!$BH$94),"",ReferenceData!$BH$94),"")</f>
        <v>33.700000000000003</v>
      </c>
      <c r="BI94">
        <f ca="1">IFERROR(IF(0=LEN(ReferenceData!$BI$94),"",ReferenceData!$BI$94),"")</f>
        <v>32.737000000000002</v>
      </c>
      <c r="BJ94">
        <f ca="1">IFERROR(IF(0=LEN(ReferenceData!$BJ$94),"",ReferenceData!$BJ$94),"")</f>
        <v>33.064</v>
      </c>
      <c r="BK94">
        <f ca="1">IFERROR(IF(0=LEN(ReferenceData!$BK$94),"",ReferenceData!$BK$94),"")</f>
        <v>14.005000000000001</v>
      </c>
      <c r="BL94">
        <f ca="1">IFERROR(IF(0=LEN(ReferenceData!$BL$94),"",ReferenceData!$BL$94),"")</f>
        <v>34.420999999999999</v>
      </c>
      <c r="BM94">
        <f ca="1">IFERROR(IF(0=LEN(ReferenceData!$BM$94),"",ReferenceData!$BM$94),"")</f>
        <v>31.265000000000001</v>
      </c>
    </row>
    <row r="95" spans="1:65">
      <c r="A95" t="str">
        <f>IFERROR(IF(0=LEN(ReferenceData!$A$95),"",ReferenceData!$A$95),"")</f>
        <v xml:space="preserve">    Columbia Property Trust Inc</v>
      </c>
      <c r="B95" t="str">
        <f>IFERROR(IF(0=LEN(ReferenceData!$B$95),"",ReferenceData!$B$95),"")</f>
        <v>CXP US Equity</v>
      </c>
      <c r="C95" t="str">
        <f>IFERROR(IF(0=LEN(ReferenceData!$C$95),"",ReferenceData!$C$95),"")</f>
        <v>F0578</v>
      </c>
      <c r="D95" t="str">
        <f>IFERROR(IF(0=LEN(ReferenceData!$D$95),"",ReferenceData!$D$95),"")</f>
        <v>FUNDS_AVAILABLE_FOR_DISTRIBUTION</v>
      </c>
      <c r="E95" t="str">
        <f>IFERROR(IF(0=LEN(ReferenceData!$E$95),"",ReferenceData!$E$95),"")</f>
        <v>动态</v>
      </c>
      <c r="F95" t="str">
        <f ca="1">IFERROR(IF(0=LEN(ReferenceData!$F$95),"",ReferenceData!$F$95),"")</f>
        <v/>
      </c>
      <c r="G95">
        <f ca="1">IFERROR(IF(0=LEN(ReferenceData!$G$95),"",ReferenceData!$G$95),"")</f>
        <v>40.853999999999999</v>
      </c>
      <c r="H95">
        <f ca="1">IFERROR(IF(0=LEN(ReferenceData!$H$95),"",ReferenceData!$H$95),"")</f>
        <v>37.545999999999999</v>
      </c>
      <c r="I95">
        <f ca="1">IFERROR(IF(0=LEN(ReferenceData!$I$95),"",ReferenceData!$I$95),"")</f>
        <v>19.989000000000001</v>
      </c>
      <c r="J95">
        <f ca="1">IFERROR(IF(0=LEN(ReferenceData!$J$95),"",ReferenceData!$J$95),"")</f>
        <v>57.305</v>
      </c>
      <c r="K95">
        <f ca="1">IFERROR(IF(0=LEN(ReferenceData!$K$95),"",ReferenceData!$K$95),"")</f>
        <v>-40.21</v>
      </c>
      <c r="L95">
        <f ca="1">IFERROR(IF(0=LEN(ReferenceData!$L$95),"",ReferenceData!$L$95),"")</f>
        <v>17.126999999999999</v>
      </c>
      <c r="M95">
        <f ca="1">IFERROR(IF(0=LEN(ReferenceData!$M$95),"",ReferenceData!$M$95),"")</f>
        <v>54.402000000000001</v>
      </c>
      <c r="N95">
        <f ca="1">IFERROR(IF(0=LEN(ReferenceData!$N$95),"",ReferenceData!$N$95),"")</f>
        <v>46.466000000000001</v>
      </c>
      <c r="O95">
        <f ca="1">IFERROR(IF(0=LEN(ReferenceData!$O$95),"",ReferenceData!$O$95),"")</f>
        <v>33.896000000000001</v>
      </c>
      <c r="P95">
        <f ca="1">IFERROR(IF(0=LEN(ReferenceData!$P$95),"",ReferenceData!$P$95),"")</f>
        <v>43.682000000000002</v>
      </c>
      <c r="Q95">
        <f ca="1">IFERROR(IF(0=LEN(ReferenceData!$Q$95),"",ReferenceData!$Q$95),"")</f>
        <v>45.835999999999999</v>
      </c>
      <c r="R95">
        <f ca="1">IFERROR(IF(0=LEN(ReferenceData!$R$95),"",ReferenceData!$R$95),"")</f>
        <v>46.238</v>
      </c>
      <c r="S95">
        <f ca="1">IFERROR(IF(0=LEN(ReferenceData!$S$95),"",ReferenceData!$S$95),"")</f>
        <v>35.107999999999997</v>
      </c>
      <c r="T95">
        <f ca="1">IFERROR(IF(0=LEN(ReferenceData!$T$95),"",ReferenceData!$T$95),"")</f>
        <v>49.4</v>
      </c>
      <c r="U95">
        <f ca="1">IFERROR(IF(0=LEN(ReferenceData!$U$95),"",ReferenceData!$U$95),"")</f>
        <v>56.033999999999999</v>
      </c>
      <c r="V95">
        <f ca="1">IFERROR(IF(0=LEN(ReferenceData!$V$95),"",ReferenceData!$V$95),"")</f>
        <v>41.273000000000003</v>
      </c>
      <c r="W95">
        <f ca="1">IFERROR(IF(0=LEN(ReferenceData!$W$95),"",ReferenceData!$W$95),"")</f>
        <v>45.942999999999998</v>
      </c>
      <c r="X95">
        <f ca="1">IFERROR(IF(0=LEN(ReferenceData!$X$95),"",ReferenceData!$X$95),"")</f>
        <v>50.625999999999998</v>
      </c>
      <c r="Y95">
        <f ca="1">IFERROR(IF(0=LEN(ReferenceData!$Y$95),"",ReferenceData!$Y$95),"")</f>
        <v>44.601999999999997</v>
      </c>
      <c r="Z95">
        <f ca="1">IFERROR(IF(0=LEN(ReferenceData!$Z$95),"",ReferenceData!$Z$95),"")</f>
        <v>48.613</v>
      </c>
      <c r="AA95">
        <f ca="1">IFERROR(IF(0=LEN(ReferenceData!$AA$95),"",ReferenceData!$AA$95),"")</f>
        <v>42.383000000000003</v>
      </c>
      <c r="AB95">
        <f ca="1">IFERROR(IF(0=LEN(ReferenceData!$AB$95),"",ReferenceData!$AB$95),"")</f>
        <v>66.025000000000006</v>
      </c>
      <c r="AC95">
        <f ca="1">IFERROR(IF(0=LEN(ReferenceData!$AC$95),"",ReferenceData!$AC$95),"")</f>
        <v>68.278000000000006</v>
      </c>
      <c r="AD95">
        <f ca="1">IFERROR(IF(0=LEN(ReferenceData!$AD$95),"",ReferenceData!$AD$95),"")</f>
        <v>71.031999999999996</v>
      </c>
      <c r="AE95">
        <f ca="1">IFERROR(IF(0=LEN(ReferenceData!$AE$95),"",ReferenceData!$AE$95),"")</f>
        <v>69.007000000000005</v>
      </c>
      <c r="AF95">
        <f ca="1">IFERROR(IF(0=LEN(ReferenceData!$AF$95),"",ReferenceData!$AF$95),"")</f>
        <v>70.442999999999998</v>
      </c>
      <c r="AG95">
        <f ca="1">IFERROR(IF(0=LEN(ReferenceData!$AG$95),"",ReferenceData!$AG$95),"")</f>
        <v>66.287000000000006</v>
      </c>
      <c r="AH95">
        <f ca="1">IFERROR(IF(0=LEN(ReferenceData!$AH$95),"",ReferenceData!$AH$95),"")</f>
        <v>74.447999999999993</v>
      </c>
      <c r="AI95">
        <f ca="1">IFERROR(IF(0=LEN(ReferenceData!$AI$95),"",ReferenceData!$AI$95),"")</f>
        <v>85.504999999999995</v>
      </c>
      <c r="AJ95">
        <f ca="1">IFERROR(IF(0=LEN(ReferenceData!$AJ$95),"",ReferenceData!$AJ$95),"")</f>
        <v>75.765000000000001</v>
      </c>
      <c r="AK95">
        <f ca="1">IFERROR(IF(0=LEN(ReferenceData!$AK$95),"",ReferenceData!$AK$95),"")</f>
        <v>62.920999999999999</v>
      </c>
      <c r="AL95">
        <f ca="1">IFERROR(IF(0=LEN(ReferenceData!$AL$95),"",ReferenceData!$AL$95),"")</f>
        <v>59.448999999999998</v>
      </c>
      <c r="AM95">
        <f ca="1">IFERROR(IF(0=LEN(ReferenceData!$AM$95),"",ReferenceData!$AM$95),"")</f>
        <v>82.287999999999997</v>
      </c>
      <c r="AN95">
        <f ca="1">IFERROR(IF(0=LEN(ReferenceData!$AN$95),"",ReferenceData!$AN$95),"")</f>
        <v>64.945999999999998</v>
      </c>
      <c r="AO95" t="str">
        <f ca="1">IFERROR(IF(0=LEN(ReferenceData!$AO$95),"",ReferenceData!$AO$95),"")</f>
        <v/>
      </c>
      <c r="AP95" t="str">
        <f ca="1">IFERROR(IF(0=LEN(ReferenceData!$AP$95),"",ReferenceData!$AP$95),"")</f>
        <v/>
      </c>
      <c r="AQ95" t="str">
        <f ca="1">IFERROR(IF(0=LEN(ReferenceData!$AQ$95),"",ReferenceData!$AQ$95),"")</f>
        <v/>
      </c>
      <c r="AR95" t="str">
        <f ca="1">IFERROR(IF(0=LEN(ReferenceData!$AR$95),"",ReferenceData!$AR$95),"")</f>
        <v/>
      </c>
      <c r="AS95" t="str">
        <f ca="1">IFERROR(IF(0=LEN(ReferenceData!$AS$95),"",ReferenceData!$AS$95),"")</f>
        <v/>
      </c>
      <c r="AT95" t="str">
        <f ca="1">IFERROR(IF(0=LEN(ReferenceData!$AT$95),"",ReferenceData!$AT$95),"")</f>
        <v/>
      </c>
      <c r="AU95" t="str">
        <f ca="1">IFERROR(IF(0=LEN(ReferenceData!$AU$95),"",ReferenceData!$AU$95),"")</f>
        <v/>
      </c>
      <c r="AV95" t="str">
        <f ca="1">IFERROR(IF(0=LEN(ReferenceData!$AV$95),"",ReferenceData!$AV$95),"")</f>
        <v/>
      </c>
      <c r="AW95" t="str">
        <f ca="1">IFERROR(IF(0=LEN(ReferenceData!$AW$95),"",ReferenceData!$AW$95),"")</f>
        <v/>
      </c>
      <c r="AX95" t="str">
        <f ca="1">IFERROR(IF(0=LEN(ReferenceData!$AX$95),"",ReferenceData!$AX$95),"")</f>
        <v/>
      </c>
      <c r="AY95" t="str">
        <f ca="1">IFERROR(IF(0=LEN(ReferenceData!$AY$95),"",ReferenceData!$AY$95),"")</f>
        <v/>
      </c>
      <c r="AZ95" t="str">
        <f ca="1">IFERROR(IF(0=LEN(ReferenceData!$AZ$95),"",ReferenceData!$AZ$95),"")</f>
        <v/>
      </c>
      <c r="BA95" t="str">
        <f ca="1">IFERROR(IF(0=LEN(ReferenceData!$BA$95),"",ReferenceData!$BA$95),"")</f>
        <v/>
      </c>
      <c r="BB95" t="str">
        <f ca="1">IFERROR(IF(0=LEN(ReferenceData!$BB$95),"",ReferenceData!$BB$95),"")</f>
        <v/>
      </c>
      <c r="BC95" t="str">
        <f ca="1">IFERROR(IF(0=LEN(ReferenceData!$BC$95),"",ReferenceData!$BC$95),"")</f>
        <v/>
      </c>
      <c r="BD95" t="str">
        <f ca="1">IFERROR(IF(0=LEN(ReferenceData!$BD$95),"",ReferenceData!$BD$95),"")</f>
        <v/>
      </c>
      <c r="BE95" t="str">
        <f ca="1">IFERROR(IF(0=LEN(ReferenceData!$BE$95),"",ReferenceData!$BE$95),"")</f>
        <v/>
      </c>
      <c r="BF95" t="str">
        <f ca="1">IFERROR(IF(0=LEN(ReferenceData!$BF$95),"",ReferenceData!$BF$95),"")</f>
        <v/>
      </c>
      <c r="BG95" t="str">
        <f ca="1">IFERROR(IF(0=LEN(ReferenceData!$BG$95),"",ReferenceData!$BG$95),"")</f>
        <v/>
      </c>
      <c r="BH95" t="str">
        <f ca="1">IFERROR(IF(0=LEN(ReferenceData!$BH$95),"",ReferenceData!$BH$95),"")</f>
        <v/>
      </c>
      <c r="BI95" t="str">
        <f ca="1">IFERROR(IF(0=LEN(ReferenceData!$BI$95),"",ReferenceData!$BI$95),"")</f>
        <v/>
      </c>
      <c r="BJ95" t="str">
        <f ca="1">IFERROR(IF(0=LEN(ReferenceData!$BJ$95),"",ReferenceData!$BJ$95),"")</f>
        <v/>
      </c>
      <c r="BK95" t="str">
        <f ca="1">IFERROR(IF(0=LEN(ReferenceData!$BK$95),"",ReferenceData!$BK$95),"")</f>
        <v/>
      </c>
      <c r="BL95" t="str">
        <f ca="1">IFERROR(IF(0=LEN(ReferenceData!$BL$95),"",ReferenceData!$BL$95),"")</f>
        <v/>
      </c>
      <c r="BM95" t="str">
        <f ca="1">IFERROR(IF(0=LEN(ReferenceData!$BM$95),"",ReferenceData!$BM$95),"")</f>
        <v/>
      </c>
    </row>
    <row r="96" spans="1:65">
      <c r="A96" t="str">
        <f>IFERROR(IF(0=LEN(ReferenceData!$A$96),"",ReferenceData!$A$96),"")</f>
        <v xml:space="preserve">    Corporate Office Properties Tr</v>
      </c>
      <c r="B96" t="str">
        <f>IFERROR(IF(0=LEN(ReferenceData!$B$96),"",ReferenceData!$B$96),"")</f>
        <v>OFC US Equity</v>
      </c>
      <c r="C96" t="str">
        <f>IFERROR(IF(0=LEN(ReferenceData!$C$96),"",ReferenceData!$C$96),"")</f>
        <v>F0578</v>
      </c>
      <c r="D96" t="str">
        <f>IFERROR(IF(0=LEN(ReferenceData!$D$96),"",ReferenceData!$D$96),"")</f>
        <v>FUNDS_AVAILABLE_FOR_DISTRIBUTION</v>
      </c>
      <c r="E96" t="str">
        <f>IFERROR(IF(0=LEN(ReferenceData!$E$96),"",ReferenceData!$E$96),"")</f>
        <v>动态</v>
      </c>
      <c r="F96" t="str">
        <f ca="1">IFERROR(IF(0=LEN(ReferenceData!$F$96),"",ReferenceData!$F$96),"")</f>
        <v/>
      </c>
      <c r="G96">
        <f ca="1">IFERROR(IF(0=LEN(ReferenceData!$G$96),"",ReferenceData!$G$96),"")</f>
        <v>31.92</v>
      </c>
      <c r="H96">
        <f ca="1">IFERROR(IF(0=LEN(ReferenceData!$H$96),"",ReferenceData!$H$96),"")</f>
        <v>41.100999999999999</v>
      </c>
      <c r="I96">
        <f ca="1">IFERROR(IF(0=LEN(ReferenceData!$I$96),"",ReferenceData!$I$96),"")</f>
        <v>43.686999999999998</v>
      </c>
      <c r="J96">
        <f ca="1">IFERROR(IF(0=LEN(ReferenceData!$J$96),"",ReferenceData!$J$96),"")</f>
        <v>39.499000000000002</v>
      </c>
      <c r="K96">
        <f ca="1">IFERROR(IF(0=LEN(ReferenceData!$K$96),"",ReferenceData!$K$96),"")</f>
        <v>40.716999999999999</v>
      </c>
      <c r="L96">
        <f ca="1">IFERROR(IF(0=LEN(ReferenceData!$L$96),"",ReferenceData!$L$96),"")</f>
        <v>37.997999999999998</v>
      </c>
      <c r="M96">
        <f ca="1">IFERROR(IF(0=LEN(ReferenceData!$M$96),"",ReferenceData!$M$96),"")</f>
        <v>42.936999999999998</v>
      </c>
      <c r="N96">
        <f ca="1">IFERROR(IF(0=LEN(ReferenceData!$N$96),"",ReferenceData!$N$96),"")</f>
        <v>36.835000000000001</v>
      </c>
      <c r="O96">
        <f ca="1">IFERROR(IF(0=LEN(ReferenceData!$O$96),"",ReferenceData!$O$96),"")</f>
        <v>31.591999999999999</v>
      </c>
      <c r="P96">
        <f ca="1">IFERROR(IF(0=LEN(ReferenceData!$P$96),"",ReferenceData!$P$96),"")</f>
        <v>37.106999999999999</v>
      </c>
      <c r="Q96">
        <f ca="1">IFERROR(IF(0=LEN(ReferenceData!$Q$96),"",ReferenceData!$Q$96),"")</f>
        <v>40.811999999999998</v>
      </c>
      <c r="R96">
        <f ca="1">IFERROR(IF(0=LEN(ReferenceData!$R$96),"",ReferenceData!$R$96),"")</f>
        <v>37.723999999999997</v>
      </c>
      <c r="S96">
        <f ca="1">IFERROR(IF(0=LEN(ReferenceData!$S$96),"",ReferenceData!$S$96),"")</f>
        <v>40.136000000000003</v>
      </c>
      <c r="T96">
        <f ca="1">IFERROR(IF(0=LEN(ReferenceData!$T$96),"",ReferenceData!$T$96),"")</f>
        <v>28.977</v>
      </c>
      <c r="U96">
        <f ca="1">IFERROR(IF(0=LEN(ReferenceData!$U$96),"",ReferenceData!$U$96),"")</f>
        <v>27.561</v>
      </c>
      <c r="V96">
        <f ca="1">IFERROR(IF(0=LEN(ReferenceData!$V$96),"",ReferenceData!$V$96),"")</f>
        <v>36.506999999999998</v>
      </c>
      <c r="W96">
        <f ca="1">IFERROR(IF(0=LEN(ReferenceData!$W$96),"",ReferenceData!$W$96),"")</f>
        <v>28.193999999999999</v>
      </c>
      <c r="X96">
        <f ca="1">IFERROR(IF(0=LEN(ReferenceData!$X$96),"",ReferenceData!$X$96),"")</f>
        <v>35.503</v>
      </c>
      <c r="Y96">
        <f ca="1">IFERROR(IF(0=LEN(ReferenceData!$Y$96),"",ReferenceData!$Y$96),"")</f>
        <v>42.417000000000002</v>
      </c>
      <c r="Z96">
        <f ca="1">IFERROR(IF(0=LEN(ReferenceData!$Z$96),"",ReferenceData!$Z$96),"")</f>
        <v>35.890999999999998</v>
      </c>
      <c r="AA96">
        <f ca="1">IFERROR(IF(0=LEN(ReferenceData!$AA$96),"",ReferenceData!$AA$96),"")</f>
        <v>15.86</v>
      </c>
      <c r="AB96">
        <f ca="1">IFERROR(IF(0=LEN(ReferenceData!$AB$96),"",ReferenceData!$AB$96),"")</f>
        <v>33.71</v>
      </c>
      <c r="AC96">
        <f ca="1">IFERROR(IF(0=LEN(ReferenceData!$AC$96),"",ReferenceData!$AC$96),"")</f>
        <v>39.026000000000003</v>
      </c>
      <c r="AD96">
        <f ca="1">IFERROR(IF(0=LEN(ReferenceData!$AD$96),"",ReferenceData!$AD$96),"")</f>
        <v>41.603000000000002</v>
      </c>
      <c r="AE96">
        <f ca="1">IFERROR(IF(0=LEN(ReferenceData!$AE$96),"",ReferenceData!$AE$96),"")</f>
        <v>38.277999999999999</v>
      </c>
      <c r="AF96">
        <f ca="1">IFERROR(IF(0=LEN(ReferenceData!$AF$96),"",ReferenceData!$AF$96),"")</f>
        <v>36.189</v>
      </c>
      <c r="AG96">
        <f ca="1">IFERROR(IF(0=LEN(ReferenceData!$AG$96),"",ReferenceData!$AG$96),"")</f>
        <v>34.643999999999998</v>
      </c>
      <c r="AH96">
        <f ca="1">IFERROR(IF(0=LEN(ReferenceData!$AH$96),"",ReferenceData!$AH$96),"")</f>
        <v>28.766999999999999</v>
      </c>
      <c r="AI96">
        <f ca="1">IFERROR(IF(0=LEN(ReferenceData!$AI$96),"",ReferenceData!$AI$96),"")</f>
        <v>35.01</v>
      </c>
      <c r="AJ96">
        <f ca="1">IFERROR(IF(0=LEN(ReferenceData!$AJ$96),"",ReferenceData!$AJ$96),"")</f>
        <v>33.642000000000003</v>
      </c>
      <c r="AK96">
        <f ca="1">IFERROR(IF(0=LEN(ReferenceData!$AK$96),"",ReferenceData!$AK$96),"")</f>
        <v>26.992000000000001</v>
      </c>
      <c r="AL96">
        <f ca="1">IFERROR(IF(0=LEN(ReferenceData!$AL$96),"",ReferenceData!$AL$96),"")</f>
        <v>25.215</v>
      </c>
      <c r="AM96">
        <f ca="1">IFERROR(IF(0=LEN(ReferenceData!$AM$96),"",ReferenceData!$AM$96),"")</f>
        <v>22.422000000000001</v>
      </c>
      <c r="AN96">
        <f ca="1">IFERROR(IF(0=LEN(ReferenceData!$AN$96),"",ReferenceData!$AN$96),"")</f>
        <v>27.846</v>
      </c>
      <c r="AO96">
        <f ca="1">IFERROR(IF(0=LEN(ReferenceData!$AO$96),"",ReferenceData!$AO$96),"")</f>
        <v>36.203000000000003</v>
      </c>
      <c r="AP96">
        <f ca="1">IFERROR(IF(0=LEN(ReferenceData!$AP$96),"",ReferenceData!$AP$96),"")</f>
        <v>33.366</v>
      </c>
      <c r="AQ96">
        <f ca="1">IFERROR(IF(0=LEN(ReferenceData!$AQ$96),"",ReferenceData!$AQ$96),"")</f>
        <v>44.176000000000002</v>
      </c>
      <c r="AR96">
        <f ca="1">IFERROR(IF(0=LEN(ReferenceData!$AR$96),"",ReferenceData!$AR$96),"")</f>
        <v>35.037999999999997</v>
      </c>
      <c r="AS96">
        <f ca="1">IFERROR(IF(0=LEN(ReferenceData!$AS$96),"",ReferenceData!$AS$96),"")</f>
        <v>33.082000000000001</v>
      </c>
      <c r="AT96">
        <f ca="1">IFERROR(IF(0=LEN(ReferenceData!$AT$96),"",ReferenceData!$AT$96),"")</f>
        <v>24.216000000000001</v>
      </c>
      <c r="AU96">
        <f ca="1">IFERROR(IF(0=LEN(ReferenceData!$AU$96),"",ReferenceData!$AU$96),"")</f>
        <v>32.832000000000001</v>
      </c>
      <c r="AV96">
        <f ca="1">IFERROR(IF(0=LEN(ReferenceData!$AV$96),"",ReferenceData!$AV$96),"")</f>
        <v>32.351999999999997</v>
      </c>
      <c r="AW96">
        <f ca="1">IFERROR(IF(0=LEN(ReferenceData!$AW$96),"",ReferenceData!$AW$96),"")</f>
        <v>31.837</v>
      </c>
      <c r="AX96">
        <f ca="1">IFERROR(IF(0=LEN(ReferenceData!$AX$96),"",ReferenceData!$AX$96),"")</f>
        <v>28.288</v>
      </c>
      <c r="AY96">
        <f ca="1">IFERROR(IF(0=LEN(ReferenceData!$AY$96),"",ReferenceData!$AY$96),"")</f>
        <v>25.077000000000002</v>
      </c>
      <c r="AZ96">
        <f ca="1">IFERROR(IF(0=LEN(ReferenceData!$AZ$96),"",ReferenceData!$AZ$96),"")</f>
        <v>24.329000000000001</v>
      </c>
      <c r="BA96">
        <f ca="1">IFERROR(IF(0=LEN(ReferenceData!$BA$96),"",ReferenceData!$BA$96),"")</f>
        <v>25.181000000000001</v>
      </c>
      <c r="BB96">
        <f ca="1">IFERROR(IF(0=LEN(ReferenceData!$BB$96),"",ReferenceData!$BB$96),"")</f>
        <v>24.35</v>
      </c>
      <c r="BC96">
        <f ca="1">IFERROR(IF(0=LEN(ReferenceData!$BC$96),"",ReferenceData!$BC$96),"")</f>
        <v>66.674000000000007</v>
      </c>
      <c r="BD96">
        <f ca="1">IFERROR(IF(0=LEN(ReferenceData!$BD$96),"",ReferenceData!$BD$96),"")</f>
        <v>28.719000000000001</v>
      </c>
      <c r="BE96">
        <f ca="1">IFERROR(IF(0=LEN(ReferenceData!$BE$96),"",ReferenceData!$BE$96),"")</f>
        <v>21.834</v>
      </c>
      <c r="BF96">
        <f ca="1">IFERROR(IF(0=LEN(ReferenceData!$BF$96),"",ReferenceData!$BF$96),"")</f>
        <v>21.143000000000001</v>
      </c>
      <c r="BG96">
        <f ca="1">IFERROR(IF(0=LEN(ReferenceData!$BG$96),"",ReferenceData!$BG$96),"")</f>
        <v>20.879000000000001</v>
      </c>
      <c r="BH96">
        <f ca="1">IFERROR(IF(0=LEN(ReferenceData!$BH$96),"",ReferenceData!$BH$96),"")</f>
        <v>17.367999999999999</v>
      </c>
      <c r="BI96">
        <f ca="1">IFERROR(IF(0=LEN(ReferenceData!$BI$96),"",ReferenceData!$BI$96),"")</f>
        <v>21.41</v>
      </c>
      <c r="BJ96">
        <f ca="1">IFERROR(IF(0=LEN(ReferenceData!$BJ$96),"",ReferenceData!$BJ$96),"")</f>
        <v>16.306999999999999</v>
      </c>
      <c r="BK96">
        <f ca="1">IFERROR(IF(0=LEN(ReferenceData!$BK$96),"",ReferenceData!$BK$96),"")</f>
        <v>16.187000269999999</v>
      </c>
      <c r="BL96">
        <f ca="1">IFERROR(IF(0=LEN(ReferenceData!$BL$96),"",ReferenceData!$BL$96),"")</f>
        <v>16.751999999999999</v>
      </c>
      <c r="BM96">
        <f ca="1">IFERROR(IF(0=LEN(ReferenceData!$BM$96),"",ReferenceData!$BM$96),"")</f>
        <v>14.909000000000001</v>
      </c>
    </row>
    <row r="97" spans="1:65">
      <c r="A97" t="str">
        <f>IFERROR(IF(0=LEN(ReferenceData!$A$97),"",ReferenceData!$A$97),"")</f>
        <v xml:space="preserve">    Highwoods Properties Inc</v>
      </c>
      <c r="B97" t="str">
        <f>IFERROR(IF(0=LEN(ReferenceData!$B$97),"",ReferenceData!$B$97),"")</f>
        <v>HIW US Equity</v>
      </c>
      <c r="C97" t="str">
        <f>IFERROR(IF(0=LEN(ReferenceData!$C$97),"",ReferenceData!$C$97),"")</f>
        <v>F0578</v>
      </c>
      <c r="D97" t="str">
        <f>IFERROR(IF(0=LEN(ReferenceData!$D$97),"",ReferenceData!$D$97),"")</f>
        <v>FUNDS_AVAILABLE_FOR_DISTRIBUTION</v>
      </c>
      <c r="E97" t="str">
        <f>IFERROR(IF(0=LEN(ReferenceData!$E$97),"",ReferenceData!$E$97),"")</f>
        <v>动态</v>
      </c>
      <c r="F97" t="str">
        <f ca="1">IFERROR(IF(0=LEN(ReferenceData!$F$97),"",ReferenceData!$F$97),"")</f>
        <v/>
      </c>
      <c r="G97">
        <f ca="1">IFERROR(IF(0=LEN(ReferenceData!$G$97),"",ReferenceData!$G$97),"")</f>
        <v>38.119</v>
      </c>
      <c r="H97">
        <f ca="1">IFERROR(IF(0=LEN(ReferenceData!$H$97),"",ReferenceData!$H$97),"")</f>
        <v>55.048000000000002</v>
      </c>
      <c r="I97">
        <f ca="1">IFERROR(IF(0=LEN(ReferenceData!$I$97),"",ReferenceData!$I$97),"")</f>
        <v>63.890999999999998</v>
      </c>
      <c r="J97">
        <f ca="1">IFERROR(IF(0=LEN(ReferenceData!$J$97),"",ReferenceData!$J$97),"")</f>
        <v>61.133000000000003</v>
      </c>
      <c r="K97">
        <f ca="1">IFERROR(IF(0=LEN(ReferenceData!$K$97),"",ReferenceData!$K$97),"")</f>
        <v>44.335999999999999</v>
      </c>
      <c r="L97">
        <f ca="1">IFERROR(IF(0=LEN(ReferenceData!$L$97),"",ReferenceData!$L$97),"")</f>
        <v>48.436</v>
      </c>
      <c r="M97">
        <f ca="1">IFERROR(IF(0=LEN(ReferenceData!$M$97),"",ReferenceData!$M$97),"")</f>
        <v>53.040999999999997</v>
      </c>
      <c r="N97">
        <f ca="1">IFERROR(IF(0=LEN(ReferenceData!$N$97),"",ReferenceData!$N$97),"")</f>
        <v>38.424999999999997</v>
      </c>
      <c r="O97">
        <f ca="1">IFERROR(IF(0=LEN(ReferenceData!$O$97),"",ReferenceData!$O$97),"")</f>
        <v>46.186999999999998</v>
      </c>
      <c r="P97">
        <f ca="1">IFERROR(IF(0=LEN(ReferenceData!$P$97),"",ReferenceData!$P$97),"")</f>
        <v>45.366</v>
      </c>
      <c r="Q97">
        <f ca="1">IFERROR(IF(0=LEN(ReferenceData!$Q$97),"",ReferenceData!$Q$97),"")</f>
        <v>50.886000000000003</v>
      </c>
      <c r="R97">
        <f ca="1">IFERROR(IF(0=LEN(ReferenceData!$R$97),"",ReferenceData!$R$97),"")</f>
        <v>42.548000000000002</v>
      </c>
      <c r="S97">
        <f ca="1">IFERROR(IF(0=LEN(ReferenceData!$S$97),"",ReferenceData!$S$97),"")</f>
        <v>39.594000000000001</v>
      </c>
      <c r="T97">
        <f ca="1">IFERROR(IF(0=LEN(ReferenceData!$T$97),"",ReferenceData!$T$97),"")</f>
        <v>42.051000000000002</v>
      </c>
      <c r="U97">
        <f ca="1">IFERROR(IF(0=LEN(ReferenceData!$U$97),"",ReferenceData!$U$97),"")</f>
        <v>41.533000000000001</v>
      </c>
      <c r="V97">
        <f ca="1">IFERROR(IF(0=LEN(ReferenceData!$V$97),"",ReferenceData!$V$97),"")</f>
        <v>37.744</v>
      </c>
      <c r="W97">
        <f ca="1">IFERROR(IF(0=LEN(ReferenceData!$W$97),"",ReferenceData!$W$97),"")</f>
        <v>49.793999999999997</v>
      </c>
      <c r="X97">
        <f ca="1">IFERROR(IF(0=LEN(ReferenceData!$X$97),"",ReferenceData!$X$97),"")</f>
        <v>37.677999999999997</v>
      </c>
      <c r="Y97">
        <f ca="1">IFERROR(IF(0=LEN(ReferenceData!$Y$97),"",ReferenceData!$Y$97),"")</f>
        <v>36.332999999999998</v>
      </c>
      <c r="Z97">
        <f ca="1">IFERROR(IF(0=LEN(ReferenceData!$Z$97),"",ReferenceData!$Z$97),"")</f>
        <v>36.027999999999999</v>
      </c>
      <c r="AA97">
        <f ca="1">IFERROR(IF(0=LEN(ReferenceData!$AA$97),"",ReferenceData!$AA$97),"")</f>
        <v>36.923999999999999</v>
      </c>
      <c r="AB97">
        <f ca="1">IFERROR(IF(0=LEN(ReferenceData!$AB$97),"",ReferenceData!$AB$97),"")</f>
        <v>34.216999999999999</v>
      </c>
      <c r="AC97">
        <f ca="1">IFERROR(IF(0=LEN(ReferenceData!$AC$97),"",ReferenceData!$AC$97),"")</f>
        <v>32.969000000000001</v>
      </c>
      <c r="AD97">
        <f ca="1">IFERROR(IF(0=LEN(ReferenceData!$AD$97),"",ReferenceData!$AD$97),"")</f>
        <v>34.149000000000001</v>
      </c>
      <c r="AE97">
        <f ca="1">IFERROR(IF(0=LEN(ReferenceData!$AE$97),"",ReferenceData!$AE$97),"")</f>
        <v>22.167999999999999</v>
      </c>
      <c r="AF97">
        <f ca="1">IFERROR(IF(0=LEN(ReferenceData!$AF$97),"",ReferenceData!$AF$97),"")</f>
        <v>28.276</v>
      </c>
      <c r="AG97">
        <f ca="1">IFERROR(IF(0=LEN(ReferenceData!$AG$97),"",ReferenceData!$AG$97),"")</f>
        <v>34.046999999999997</v>
      </c>
      <c r="AH97">
        <f ca="1">IFERROR(IF(0=LEN(ReferenceData!$AH$97),"",ReferenceData!$AH$97),"")</f>
        <v>32.115000000000002</v>
      </c>
      <c r="AI97">
        <f ca="1">IFERROR(IF(0=LEN(ReferenceData!$AI$97),"",ReferenceData!$AI$97),"")</f>
        <v>26.718</v>
      </c>
      <c r="AJ97">
        <f ca="1">IFERROR(IF(0=LEN(ReferenceData!$AJ$97),"",ReferenceData!$AJ$97),"")</f>
        <v>28.361999999999998</v>
      </c>
      <c r="AK97">
        <f ca="1">IFERROR(IF(0=LEN(ReferenceData!$AK$97),"",ReferenceData!$AK$97),"")</f>
        <v>30.766999999999999</v>
      </c>
      <c r="AL97">
        <f ca="1">IFERROR(IF(0=LEN(ReferenceData!$AL$97),"",ReferenceData!$AL$97),"")</f>
        <v>35.142000000000003</v>
      </c>
      <c r="AM97">
        <f ca="1">IFERROR(IF(0=LEN(ReferenceData!$AM$97),"",ReferenceData!$AM$97),"")</f>
        <v>12.558</v>
      </c>
      <c r="AN97">
        <f ca="1">IFERROR(IF(0=LEN(ReferenceData!$AN$97),"",ReferenceData!$AN$97),"")</f>
        <v>38.030999999999999</v>
      </c>
      <c r="AO97">
        <f ca="1">IFERROR(IF(0=LEN(ReferenceData!$AO$97),"",ReferenceData!$AO$97),"")</f>
        <v>42.527999999999999</v>
      </c>
      <c r="AP97">
        <f ca="1">IFERROR(IF(0=LEN(ReferenceData!$AP$97),"",ReferenceData!$AP$97),"")</f>
        <v>40.616999999999997</v>
      </c>
      <c r="AQ97">
        <f ca="1">IFERROR(IF(0=LEN(ReferenceData!$AQ$97),"",ReferenceData!$AQ$97),"")</f>
        <v>25.053000000000001</v>
      </c>
      <c r="AR97">
        <f ca="1">IFERROR(IF(0=LEN(ReferenceData!$AR$97),"",ReferenceData!$AR$97),"")</f>
        <v>34.04</v>
      </c>
      <c r="AS97">
        <f ca="1">IFERROR(IF(0=LEN(ReferenceData!$AS$97),"",ReferenceData!$AS$97),"")</f>
        <v>32.819000000000003</v>
      </c>
      <c r="AT97">
        <f ca="1">IFERROR(IF(0=LEN(ReferenceData!$AT$97),"",ReferenceData!$AT$97),"")</f>
        <v>28.576000000000001</v>
      </c>
      <c r="AU97">
        <f ca="1">IFERROR(IF(0=LEN(ReferenceData!$AU$97),"",ReferenceData!$AU$97),"")</f>
        <v>27.731000000000002</v>
      </c>
      <c r="AV97">
        <f ca="1">IFERROR(IF(0=LEN(ReferenceData!$AV$97),"",ReferenceData!$AV$97),"")</f>
        <v>17.356000000000002</v>
      </c>
      <c r="AW97">
        <f ca="1">IFERROR(IF(0=LEN(ReferenceData!$AW$97),"",ReferenceData!$AW$97),"")</f>
        <v>22.882999999999999</v>
      </c>
      <c r="AX97">
        <f ca="1">IFERROR(IF(0=LEN(ReferenceData!$AX$97),"",ReferenceData!$AX$97),"")</f>
        <v>34.622999999999998</v>
      </c>
      <c r="AY97">
        <f ca="1">IFERROR(IF(0=LEN(ReferenceData!$AY$97),"",ReferenceData!$AY$97),"")</f>
        <v>41.369</v>
      </c>
      <c r="AZ97">
        <f ca="1">IFERROR(IF(0=LEN(ReferenceData!$AZ$97),"",ReferenceData!$AZ$97),"")</f>
        <v>33.432000000000002</v>
      </c>
      <c r="BA97">
        <f ca="1">IFERROR(IF(0=LEN(ReferenceData!$BA$97),"",ReferenceData!$BA$97),"")</f>
        <v>30.875</v>
      </c>
      <c r="BB97">
        <f ca="1">IFERROR(IF(0=LEN(ReferenceData!$BB$97),"",ReferenceData!$BB$97),"")</f>
        <v>33.247</v>
      </c>
      <c r="BC97">
        <f ca="1">IFERROR(IF(0=LEN(ReferenceData!$BC$97),"",ReferenceData!$BC$97),"")</f>
        <v>25.689</v>
      </c>
      <c r="BD97">
        <f ca="1">IFERROR(IF(0=LEN(ReferenceData!$BD$97),"",ReferenceData!$BD$97),"")</f>
        <v>29.003</v>
      </c>
      <c r="BE97">
        <f ca="1">IFERROR(IF(0=LEN(ReferenceData!$BE$97),"",ReferenceData!$BE$97),"")</f>
        <v>36.301000000000002</v>
      </c>
      <c r="BF97">
        <f ca="1">IFERROR(IF(0=LEN(ReferenceData!$BF$97),"",ReferenceData!$BF$97),"")</f>
        <v>36.228000000000002</v>
      </c>
      <c r="BG97">
        <f ca="1">IFERROR(IF(0=LEN(ReferenceData!$BG$97),"",ReferenceData!$BG$97),"")</f>
        <v>30.638000000000002</v>
      </c>
      <c r="BH97">
        <f ca="1">IFERROR(IF(0=LEN(ReferenceData!$BH$97),"",ReferenceData!$BH$97),"")</f>
        <v>47.448</v>
      </c>
      <c r="BI97">
        <f ca="1">IFERROR(IF(0=LEN(ReferenceData!$BI$97),"",ReferenceData!$BI$97),"")</f>
        <v>16.917000000000002</v>
      </c>
      <c r="BJ97">
        <f ca="1">IFERROR(IF(0=LEN(ReferenceData!$BJ$97),"",ReferenceData!$BJ$97),"")</f>
        <v>29.157</v>
      </c>
      <c r="BK97">
        <f ca="1">IFERROR(IF(0=LEN(ReferenceData!$BK$97),"",ReferenceData!$BK$97),"")</f>
        <v>95.06</v>
      </c>
      <c r="BL97">
        <f ca="1">IFERROR(IF(0=LEN(ReferenceData!$BL$97),"",ReferenceData!$BL$97),"")</f>
        <v>44.804000000000002</v>
      </c>
      <c r="BM97">
        <f ca="1">IFERROR(IF(0=LEN(ReferenceData!$BM$97),"",ReferenceData!$BM$97),"")</f>
        <v>33.323999999999998</v>
      </c>
    </row>
    <row r="98" spans="1:65">
      <c r="A98" t="str">
        <f>IFERROR(IF(0=LEN(ReferenceData!$A$98),"",ReferenceData!$A$98),"")</f>
        <v xml:space="preserve">    Kilroy Realty Corp</v>
      </c>
      <c r="B98" t="str">
        <f>IFERROR(IF(0=LEN(ReferenceData!$B$98),"",ReferenceData!$B$98),"")</f>
        <v>KRC US Equity</v>
      </c>
      <c r="C98" t="str">
        <f>IFERROR(IF(0=LEN(ReferenceData!$C$98),"",ReferenceData!$C$98),"")</f>
        <v>F0578</v>
      </c>
      <c r="D98" t="str">
        <f>IFERROR(IF(0=LEN(ReferenceData!$D$98),"",ReferenceData!$D$98),"")</f>
        <v>FUNDS_AVAILABLE_FOR_DISTRIBUTION</v>
      </c>
      <c r="E98" t="str">
        <f>IFERROR(IF(0=LEN(ReferenceData!$E$98),"",ReferenceData!$E$98),"")</f>
        <v>动态</v>
      </c>
      <c r="F98" t="str">
        <f ca="1">IFERROR(IF(0=LEN(ReferenceData!$F$98),"",ReferenceData!$F$98),"")</f>
        <v/>
      </c>
      <c r="G98">
        <f ca="1">IFERROR(IF(0=LEN(ReferenceData!$G$98),"",ReferenceData!$G$98),"")</f>
        <v>51.177</v>
      </c>
      <c r="H98">
        <f ca="1">IFERROR(IF(0=LEN(ReferenceData!$H$98),"",ReferenceData!$H$98),"")</f>
        <v>60.508000000000003</v>
      </c>
      <c r="I98">
        <f ca="1">IFERROR(IF(0=LEN(ReferenceData!$I$98),"",ReferenceData!$I$98),"")</f>
        <v>63.654000000000003</v>
      </c>
      <c r="J98">
        <f ca="1">IFERROR(IF(0=LEN(ReferenceData!$J$98),"",ReferenceData!$J$98),"")</f>
        <v>60.146000000000001</v>
      </c>
      <c r="K98">
        <f ca="1">IFERROR(IF(0=LEN(ReferenceData!$K$98),"",ReferenceData!$K$98),"")</f>
        <v>57.02</v>
      </c>
      <c r="L98">
        <f ca="1">IFERROR(IF(0=LEN(ReferenceData!$L$98),"",ReferenceData!$L$98),"")</f>
        <v>63.072000000000003</v>
      </c>
      <c r="M98">
        <f ca="1">IFERROR(IF(0=LEN(ReferenceData!$M$98),"",ReferenceData!$M$98),"")</f>
        <v>63.185000000000002</v>
      </c>
      <c r="N98">
        <f ca="1">IFERROR(IF(0=LEN(ReferenceData!$N$98),"",ReferenceData!$N$98),"")</f>
        <v>56.421999999999997</v>
      </c>
      <c r="O98">
        <f ca="1">IFERROR(IF(0=LEN(ReferenceData!$O$98),"",ReferenceData!$O$98),"")</f>
        <v>44.389000000000003</v>
      </c>
      <c r="P98">
        <f ca="1">IFERROR(IF(0=LEN(ReferenceData!$P$98),"",ReferenceData!$P$98),"")</f>
        <v>48.320999999999998</v>
      </c>
      <c r="Q98">
        <f ca="1">IFERROR(IF(0=LEN(ReferenceData!$Q$98),"",ReferenceData!$Q$98),"")</f>
        <v>44.987000000000002</v>
      </c>
      <c r="R98">
        <f ca="1">IFERROR(IF(0=LEN(ReferenceData!$R$98),"",ReferenceData!$R$98),"")</f>
        <v>61.277000000000001</v>
      </c>
      <c r="S98">
        <f ca="1">IFERROR(IF(0=LEN(ReferenceData!$S$98),"",ReferenceData!$S$98),"")</f>
        <v>26.187000000000001</v>
      </c>
      <c r="T98">
        <f ca="1">IFERROR(IF(0=LEN(ReferenceData!$T$98),"",ReferenceData!$T$98),"")</f>
        <v>37.667000000000002</v>
      </c>
      <c r="U98">
        <f ca="1">IFERROR(IF(0=LEN(ReferenceData!$U$98),"",ReferenceData!$U$98),"")</f>
        <v>34.500999999999998</v>
      </c>
      <c r="V98">
        <f ca="1">IFERROR(IF(0=LEN(ReferenceData!$V$98),"",ReferenceData!$V$98),"")</f>
        <v>38.347999999999999</v>
      </c>
      <c r="W98">
        <f ca="1">IFERROR(IF(0=LEN(ReferenceData!$W$98),"",ReferenceData!$W$98),"")</f>
        <v>26.206</v>
      </c>
      <c r="X98">
        <f ca="1">IFERROR(IF(0=LEN(ReferenceData!$X$98),"",ReferenceData!$X$98),"")</f>
        <v>20.766999999999999</v>
      </c>
      <c r="Y98">
        <f ca="1">IFERROR(IF(0=LEN(ReferenceData!$Y$98),"",ReferenceData!$Y$98),"")</f>
        <v>24.265000000000001</v>
      </c>
      <c r="Z98">
        <f ca="1">IFERROR(IF(0=LEN(ReferenceData!$Z$98),"",ReferenceData!$Z$98),"")</f>
        <v>28.103000000000002</v>
      </c>
      <c r="AA98">
        <f ca="1">IFERROR(IF(0=LEN(ReferenceData!$AA$98),"",ReferenceData!$AA$98),"")</f>
        <v>30.562000000000001</v>
      </c>
      <c r="AB98">
        <f ca="1">IFERROR(IF(0=LEN(ReferenceData!$AB$98),"",ReferenceData!$AB$98),"")</f>
        <v>32.921999999999997</v>
      </c>
      <c r="AC98">
        <f ca="1">IFERROR(IF(0=LEN(ReferenceData!$AC$98),"",ReferenceData!$AC$98),"")</f>
        <v>22.911999999999999</v>
      </c>
      <c r="AD98">
        <f ca="1">IFERROR(IF(0=LEN(ReferenceData!$AD$98),"",ReferenceData!$AD$98),"")</f>
        <v>23.428000000000001</v>
      </c>
      <c r="AE98">
        <f ca="1">IFERROR(IF(0=LEN(ReferenceData!$AE$98),"",ReferenceData!$AE$98),"")</f>
        <v>23.798999999999999</v>
      </c>
      <c r="AF98">
        <f ca="1">IFERROR(IF(0=LEN(ReferenceData!$AF$98),"",ReferenceData!$AF$98),"")</f>
        <v>18.853999999999999</v>
      </c>
      <c r="AG98">
        <f ca="1">IFERROR(IF(0=LEN(ReferenceData!$AG$98),"",ReferenceData!$AG$98),"")</f>
        <v>18.047999999999998</v>
      </c>
      <c r="AH98">
        <f ca="1">IFERROR(IF(0=LEN(ReferenceData!$AH$98),"",ReferenceData!$AH$98),"")</f>
        <v>20.315000000000001</v>
      </c>
      <c r="AI98">
        <f ca="1">IFERROR(IF(0=LEN(ReferenceData!$AI$98),"",ReferenceData!$AI$98),"")</f>
        <v>15.919</v>
      </c>
      <c r="AJ98">
        <f ca="1">IFERROR(IF(0=LEN(ReferenceData!$AJ$98),"",ReferenceData!$AJ$98),"")</f>
        <v>14.76</v>
      </c>
      <c r="AK98">
        <f ca="1">IFERROR(IF(0=LEN(ReferenceData!$AK$98),"",ReferenceData!$AK$98),"")</f>
        <v>10.695</v>
      </c>
      <c r="AL98">
        <f ca="1">IFERROR(IF(0=LEN(ReferenceData!$AL$98),"",ReferenceData!$AL$98),"")</f>
        <v>13.791</v>
      </c>
      <c r="AM98">
        <f ca="1">IFERROR(IF(0=LEN(ReferenceData!$AM$98),"",ReferenceData!$AM$98),"")</f>
        <v>12.919</v>
      </c>
      <c r="AN98">
        <f ca="1">IFERROR(IF(0=LEN(ReferenceData!$AN$98),"",ReferenceData!$AN$98),"")</f>
        <v>23.917999999999999</v>
      </c>
      <c r="AO98">
        <f ca="1">IFERROR(IF(0=LEN(ReferenceData!$AO$98),"",ReferenceData!$AO$98),"")</f>
        <v>25.068000000000001</v>
      </c>
      <c r="AP98">
        <f ca="1">IFERROR(IF(0=LEN(ReferenceData!$AP$98),"",ReferenceData!$AP$98),"")</f>
        <v>23.978999999999999</v>
      </c>
      <c r="AQ98">
        <f ca="1">IFERROR(IF(0=LEN(ReferenceData!$AQ$98),"",ReferenceData!$AQ$98),"")</f>
        <v>20.076000000000001</v>
      </c>
      <c r="AR98">
        <f ca="1">IFERROR(IF(0=LEN(ReferenceData!$AR$98),"",ReferenceData!$AR$98),"")</f>
        <v>28.341000000000001</v>
      </c>
      <c r="AS98">
        <f ca="1">IFERROR(IF(0=LEN(ReferenceData!$AS$98),"",ReferenceData!$AS$98),"")</f>
        <v>24.905999999999999</v>
      </c>
      <c r="AT98">
        <f ca="1">IFERROR(IF(0=LEN(ReferenceData!$AT$98),"",ReferenceData!$AT$98),"")</f>
        <v>25.747</v>
      </c>
      <c r="AU98">
        <f ca="1">IFERROR(IF(0=LEN(ReferenceData!$AU$98),"",ReferenceData!$AU$98),"")</f>
        <v>23.31</v>
      </c>
      <c r="AV98">
        <f ca="1">IFERROR(IF(0=LEN(ReferenceData!$AV$98),"",ReferenceData!$AV$98),"")</f>
        <v>18.309000000000001</v>
      </c>
      <c r="AW98">
        <f ca="1">IFERROR(IF(0=LEN(ReferenceData!$AW$98),"",ReferenceData!$AW$98),"")</f>
        <v>29.562999999999999</v>
      </c>
      <c r="AX98">
        <f ca="1">IFERROR(IF(0=LEN(ReferenceData!$AX$98),"",ReferenceData!$AX$98),"")</f>
        <v>23.460999999999999</v>
      </c>
      <c r="AY98">
        <f ca="1">IFERROR(IF(0=LEN(ReferenceData!$AY$98),"",ReferenceData!$AY$98),"")</f>
        <v>21.574999999999999</v>
      </c>
      <c r="AZ98">
        <f ca="1">IFERROR(IF(0=LEN(ReferenceData!$AZ$98),"",ReferenceData!$AZ$98),"")</f>
        <v>20.998000000000001</v>
      </c>
      <c r="BA98">
        <f ca="1">IFERROR(IF(0=LEN(ReferenceData!$BA$98),"",ReferenceData!$BA$98),"")</f>
        <v>29.763999999999999</v>
      </c>
      <c r="BB98">
        <f ca="1">IFERROR(IF(0=LEN(ReferenceData!$BB$98),"",ReferenceData!$BB$98),"")</f>
        <v>22.01</v>
      </c>
      <c r="BC98">
        <f ca="1">IFERROR(IF(0=LEN(ReferenceData!$BC$98),"",ReferenceData!$BC$98),"")</f>
        <v>8.5060000000000002</v>
      </c>
      <c r="BD98">
        <f ca="1">IFERROR(IF(0=LEN(ReferenceData!$BD$98),"",ReferenceData!$BD$98),"")</f>
        <v>14.15</v>
      </c>
      <c r="BE98">
        <f ca="1">IFERROR(IF(0=LEN(ReferenceData!$BE$98),"",ReferenceData!$BE$98),"")</f>
        <v>14.695</v>
      </c>
      <c r="BF98">
        <f ca="1">IFERROR(IF(0=LEN(ReferenceData!$BF$98),"",ReferenceData!$BF$98),"")</f>
        <v>26.25</v>
      </c>
      <c r="BG98">
        <f ca="1">IFERROR(IF(0=LEN(ReferenceData!$BG$98),"",ReferenceData!$BG$98),"")</f>
        <v>17.36</v>
      </c>
      <c r="BH98">
        <f ca="1">IFERROR(IF(0=LEN(ReferenceData!$BH$98),"",ReferenceData!$BH$98),"")</f>
        <v>20.722000000000001</v>
      </c>
      <c r="BI98">
        <f ca="1">IFERROR(IF(0=LEN(ReferenceData!$BI$98),"",ReferenceData!$BI$98),"")</f>
        <v>23.385000000000002</v>
      </c>
      <c r="BJ98">
        <f ca="1">IFERROR(IF(0=LEN(ReferenceData!$BJ$98),"",ReferenceData!$BJ$98),"")</f>
        <v>20.956</v>
      </c>
      <c r="BK98">
        <f ca="1">IFERROR(IF(0=LEN(ReferenceData!$BK$98),"",ReferenceData!$BK$98),"")</f>
        <v>20.197000500000001</v>
      </c>
      <c r="BL98">
        <f ca="1">IFERROR(IF(0=LEN(ReferenceData!$BL$98),"",ReferenceData!$BL$98),"")</f>
        <v>37.473999999999997</v>
      </c>
      <c r="BM98">
        <f ca="1">IFERROR(IF(0=LEN(ReferenceData!$BM$98),"",ReferenceData!$BM$98),"")</f>
        <v>24.89</v>
      </c>
    </row>
    <row r="99" spans="1:65">
      <c r="A99" t="str">
        <f>IFERROR(IF(0=LEN(ReferenceData!$A$99),"",ReferenceData!$A$99),"")</f>
        <v xml:space="preserve">    Mack-Cali Realty Corp</v>
      </c>
      <c r="B99" t="str">
        <f>IFERROR(IF(0=LEN(ReferenceData!$B$99),"",ReferenceData!$B$99),"")</f>
        <v>CLI US Equity</v>
      </c>
      <c r="C99" t="str">
        <f>IFERROR(IF(0=LEN(ReferenceData!$C$99),"",ReferenceData!$C$99),"")</f>
        <v>F0578</v>
      </c>
      <c r="D99" t="str">
        <f>IFERROR(IF(0=LEN(ReferenceData!$D$99),"",ReferenceData!$D$99),"")</f>
        <v>FUNDS_AVAILABLE_FOR_DISTRIBUTION</v>
      </c>
      <c r="E99" t="str">
        <f>IFERROR(IF(0=LEN(ReferenceData!$E$99),"",ReferenceData!$E$99),"")</f>
        <v>动态</v>
      </c>
      <c r="F99" t="str">
        <f ca="1">IFERROR(IF(0=LEN(ReferenceData!$F$99),"",ReferenceData!$F$99),"")</f>
        <v/>
      </c>
      <c r="G99">
        <f ca="1">IFERROR(IF(0=LEN(ReferenceData!$G$99),"",ReferenceData!$G$99),"")</f>
        <v>48.284999999999997</v>
      </c>
      <c r="H99">
        <f ca="1">IFERROR(IF(0=LEN(ReferenceData!$H$99),"",ReferenceData!$H$99),"")</f>
        <v>51.930999999999997</v>
      </c>
      <c r="I99">
        <f ca="1">IFERROR(IF(0=LEN(ReferenceData!$I$99),"",ReferenceData!$I$99),"")</f>
        <v>56.107999999999997</v>
      </c>
      <c r="J99">
        <f ca="1">IFERROR(IF(0=LEN(ReferenceData!$J$99),"",ReferenceData!$J$99),"")</f>
        <v>48.62</v>
      </c>
      <c r="K99">
        <f ca="1">IFERROR(IF(0=LEN(ReferenceData!$K$99),"",ReferenceData!$K$99),"")</f>
        <v>34.576999999999998</v>
      </c>
      <c r="L99">
        <f ca="1">IFERROR(IF(0=LEN(ReferenceData!$L$99),"",ReferenceData!$L$99),"")</f>
        <v>43.997</v>
      </c>
      <c r="M99">
        <f ca="1">IFERROR(IF(0=LEN(ReferenceData!$M$99),"",ReferenceData!$M$99),"")</f>
        <v>40.761000000000003</v>
      </c>
      <c r="N99">
        <f ca="1">IFERROR(IF(0=LEN(ReferenceData!$N$99),"",ReferenceData!$N$99),"")</f>
        <v>32.473999999999997</v>
      </c>
      <c r="O99">
        <f ca="1">IFERROR(IF(0=LEN(ReferenceData!$O$99),"",ReferenceData!$O$99),"")</f>
        <v>27.722999999999999</v>
      </c>
      <c r="P99">
        <f ca="1">IFERROR(IF(0=LEN(ReferenceData!$P$99),"",ReferenceData!$P$99),"")</f>
        <v>36.808</v>
      </c>
      <c r="Q99">
        <f ca="1">IFERROR(IF(0=LEN(ReferenceData!$Q$99),"",ReferenceData!$Q$99),"")</f>
        <v>32.735999999999997</v>
      </c>
      <c r="R99">
        <f ca="1">IFERROR(IF(0=LEN(ReferenceData!$R$99),"",ReferenceData!$R$99),"")</f>
        <v>31.402000000000001</v>
      </c>
      <c r="S99">
        <f ca="1">IFERROR(IF(0=LEN(ReferenceData!$S$99),"",ReferenceData!$S$99),"")</f>
        <v>22.675000000000001</v>
      </c>
      <c r="T99">
        <f ca="1">IFERROR(IF(0=LEN(ReferenceData!$T$99),"",ReferenceData!$T$99),"")</f>
        <v>30.463999999999999</v>
      </c>
      <c r="U99">
        <f ca="1">IFERROR(IF(0=LEN(ReferenceData!$U$99),"",ReferenceData!$U$99),"")</f>
        <v>31.158999999999999</v>
      </c>
      <c r="V99">
        <f ca="1">IFERROR(IF(0=LEN(ReferenceData!$V$99),"",ReferenceData!$V$99),"")</f>
        <v>29.119</v>
      </c>
      <c r="W99">
        <f ca="1">IFERROR(IF(0=LEN(ReferenceData!$W$99),"",ReferenceData!$W$99),"")</f>
        <v>31.596</v>
      </c>
      <c r="X99">
        <f ca="1">IFERROR(IF(0=LEN(ReferenceData!$X$99),"",ReferenceData!$X$99),"")</f>
        <v>42.389000000000003</v>
      </c>
      <c r="Y99">
        <f ca="1">IFERROR(IF(0=LEN(ReferenceData!$Y$99),"",ReferenceData!$Y$99),"")</f>
        <v>48.62</v>
      </c>
      <c r="Z99">
        <f ca="1">IFERROR(IF(0=LEN(ReferenceData!$Z$99),"",ReferenceData!$Z$99),"")</f>
        <v>37.957000000000001</v>
      </c>
      <c r="AA99">
        <f ca="1">IFERROR(IF(0=LEN(ReferenceData!$AA$99),"",ReferenceData!$AA$99),"")</f>
        <v>38.223999999999997</v>
      </c>
      <c r="AB99">
        <f ca="1">IFERROR(IF(0=LEN(ReferenceData!$AB$99),"",ReferenceData!$AB$99),"")</f>
        <v>39.17</v>
      </c>
      <c r="AC99">
        <f ca="1">IFERROR(IF(0=LEN(ReferenceData!$AC$99),"",ReferenceData!$AC$99),"")</f>
        <v>44.606999999999999</v>
      </c>
      <c r="AD99">
        <f ca="1">IFERROR(IF(0=LEN(ReferenceData!$AD$99),"",ReferenceData!$AD$99),"")</f>
        <v>58.119</v>
      </c>
      <c r="AE99">
        <f ca="1">IFERROR(IF(0=LEN(ReferenceData!$AE$99),"",ReferenceData!$AE$99),"")</f>
        <v>46.514000000000003</v>
      </c>
      <c r="AF99">
        <f ca="1">IFERROR(IF(0=LEN(ReferenceData!$AF$99),"",ReferenceData!$AF$99),"")</f>
        <v>52.171999999999997</v>
      </c>
      <c r="AG99">
        <f ca="1">IFERROR(IF(0=LEN(ReferenceData!$AG$99),"",ReferenceData!$AG$99),"")</f>
        <v>51.954999999999998</v>
      </c>
      <c r="AH99">
        <f ca="1">IFERROR(IF(0=LEN(ReferenceData!$AH$99),"",ReferenceData!$AH$99),"")</f>
        <v>52.542000000000002</v>
      </c>
      <c r="AI99">
        <f ca="1">IFERROR(IF(0=LEN(ReferenceData!$AI$99),"",ReferenceData!$AI$99),"")</f>
        <v>44.054000000000002</v>
      </c>
      <c r="AJ99">
        <f ca="1">IFERROR(IF(0=LEN(ReferenceData!$AJ$99),"",ReferenceData!$AJ$99),"")</f>
        <v>48.85</v>
      </c>
      <c r="AK99">
        <f ca="1">IFERROR(IF(0=LEN(ReferenceData!$AK$99),"",ReferenceData!$AK$99),"")</f>
        <v>52.701000000000001</v>
      </c>
      <c r="AL99">
        <f ca="1">IFERROR(IF(0=LEN(ReferenceData!$AL$99),"",ReferenceData!$AL$99),"")</f>
        <v>54.906999999999996</v>
      </c>
      <c r="AM99">
        <f ca="1">IFERROR(IF(0=LEN(ReferenceData!$AM$99),"",ReferenceData!$AM$99),"")</f>
        <v>50.906999999999996</v>
      </c>
      <c r="AN99">
        <f ca="1">IFERROR(IF(0=LEN(ReferenceData!$AN$99),"",ReferenceData!$AN$99),"")</f>
        <v>51.573</v>
      </c>
      <c r="AO99">
        <f ca="1">IFERROR(IF(0=LEN(ReferenceData!$AO$99),"",ReferenceData!$AO$99),"")</f>
        <v>64.337000000000003</v>
      </c>
      <c r="AP99">
        <f ca="1">IFERROR(IF(0=LEN(ReferenceData!$AP$99),"",ReferenceData!$AP$99),"")</f>
        <v>55.168999999999997</v>
      </c>
      <c r="AQ99">
        <f ca="1">IFERROR(IF(0=LEN(ReferenceData!$AQ$99),"",ReferenceData!$AQ$99),"")</f>
        <v>29.193999999999999</v>
      </c>
      <c r="AR99">
        <f ca="1">IFERROR(IF(0=LEN(ReferenceData!$AR$99),"",ReferenceData!$AR$99),"")</f>
        <v>65.555000000000007</v>
      </c>
      <c r="AS99">
        <f ca="1">IFERROR(IF(0=LEN(ReferenceData!$AS$99),"",ReferenceData!$AS$99),"")</f>
        <v>53.878999999999998</v>
      </c>
      <c r="AT99">
        <f ca="1">IFERROR(IF(0=LEN(ReferenceData!$AT$99),"",ReferenceData!$AT$99),"")</f>
        <v>51.978000000000002</v>
      </c>
      <c r="AU99">
        <f ca="1">IFERROR(IF(0=LEN(ReferenceData!$AU$99),"",ReferenceData!$AU$99),"")</f>
        <v>52.615000000000002</v>
      </c>
      <c r="AV99">
        <f ca="1">IFERROR(IF(0=LEN(ReferenceData!$AV$99),"",ReferenceData!$AV$99),"")</f>
        <v>45.503999999999998</v>
      </c>
      <c r="AW99">
        <f ca="1">IFERROR(IF(0=LEN(ReferenceData!$AW$99),"",ReferenceData!$AW$99),"")</f>
        <v>56.997</v>
      </c>
      <c r="AX99">
        <f ca="1">IFERROR(IF(0=LEN(ReferenceData!$AX$99),"",ReferenceData!$AX$99),"")</f>
        <v>50.576999999999998</v>
      </c>
      <c r="AY99">
        <f ca="1">IFERROR(IF(0=LEN(ReferenceData!$AY$99),"",ReferenceData!$AY$99),"")</f>
        <v>36.340000000000003</v>
      </c>
      <c r="AZ99">
        <f ca="1">IFERROR(IF(0=LEN(ReferenceData!$AZ$99),"",ReferenceData!$AZ$99),"")</f>
        <v>42.99</v>
      </c>
      <c r="BA99">
        <f ca="1">IFERROR(IF(0=LEN(ReferenceData!$BA$99),"",ReferenceData!$BA$99),"")</f>
        <v>46.707999999999998</v>
      </c>
      <c r="BB99">
        <f ca="1">IFERROR(IF(0=LEN(ReferenceData!$BB$99),"",ReferenceData!$BB$99),"")</f>
        <v>43.783999999999999</v>
      </c>
      <c r="BC99">
        <f ca="1">IFERROR(IF(0=LEN(ReferenceData!$BC$99),"",ReferenceData!$BC$99),"")</f>
        <v>65.138000000000005</v>
      </c>
      <c r="BD99">
        <f ca="1">IFERROR(IF(0=LEN(ReferenceData!$BD$99),"",ReferenceData!$BD$99),"")</f>
        <v>66.682000000000002</v>
      </c>
      <c r="BE99">
        <f ca="1">IFERROR(IF(0=LEN(ReferenceData!$BE$99),"",ReferenceData!$BE$99),"")</f>
        <v>71.444000000000003</v>
      </c>
      <c r="BF99">
        <f ca="1">IFERROR(IF(0=LEN(ReferenceData!$BF$99),"",ReferenceData!$BF$99),"")</f>
        <v>67.069999999999993</v>
      </c>
      <c r="BG99">
        <f ca="1">IFERROR(IF(0=LEN(ReferenceData!$BG$99),"",ReferenceData!$BG$99),"")</f>
        <v>67.911000000000001</v>
      </c>
      <c r="BH99">
        <f ca="1">IFERROR(IF(0=LEN(ReferenceData!$BH$99),"",ReferenceData!$BH$99),"")</f>
        <v>69.715000000000003</v>
      </c>
      <c r="BI99">
        <f ca="1">IFERROR(IF(0=LEN(ReferenceData!$BI$99),"",ReferenceData!$BI$99),"")</f>
        <v>67.555000000000007</v>
      </c>
      <c r="BJ99">
        <f ca="1">IFERROR(IF(0=LEN(ReferenceData!$BJ$99),"",ReferenceData!$BJ$99),"")</f>
        <v>64.948997000000006</v>
      </c>
      <c r="BK99">
        <f ca="1">IFERROR(IF(0=LEN(ReferenceData!$BK$99),"",ReferenceData!$BK$99),"")</f>
        <v>66.510002139999997</v>
      </c>
      <c r="BL99">
        <f ca="1">IFERROR(IF(0=LEN(ReferenceData!$BL$99),"",ReferenceData!$BL$99),"")</f>
        <v>69.582001000000005</v>
      </c>
      <c r="BM99">
        <f ca="1">IFERROR(IF(0=LEN(ReferenceData!$BM$99),"",ReferenceData!$BM$99),"")</f>
        <v>70.680000000000007</v>
      </c>
    </row>
    <row r="100" spans="1:65">
      <c r="A100" t="str">
        <f>IFERROR(IF(0=LEN(ReferenceData!$A$100),"",ReferenceData!$A$100),"")</f>
        <v xml:space="preserve">    Piedmont Office Realty Trust I</v>
      </c>
      <c r="B100" t="str">
        <f>IFERROR(IF(0=LEN(ReferenceData!$B$100),"",ReferenceData!$B$100),"")</f>
        <v>PDM US Equity</v>
      </c>
      <c r="C100" t="str">
        <f>IFERROR(IF(0=LEN(ReferenceData!$C$100),"",ReferenceData!$C$100),"")</f>
        <v>F0578</v>
      </c>
      <c r="D100" t="str">
        <f>IFERROR(IF(0=LEN(ReferenceData!$D$100),"",ReferenceData!$D$100),"")</f>
        <v>FUNDS_AVAILABLE_FOR_DISTRIBUTION</v>
      </c>
      <c r="E100" t="str">
        <f>IFERROR(IF(0=LEN(ReferenceData!$E$100),"",ReferenceData!$E$100),"")</f>
        <v>动态</v>
      </c>
      <c r="F100" t="str">
        <f ca="1">IFERROR(IF(0=LEN(ReferenceData!$F$100),"",ReferenceData!$F$100),"")</f>
        <v/>
      </c>
      <c r="G100">
        <f ca="1">IFERROR(IF(0=LEN(ReferenceData!$G$100),"",ReferenceData!$G$100),"")</f>
        <v>63.436999999999998</v>
      </c>
      <c r="H100">
        <f ca="1">IFERROR(IF(0=LEN(ReferenceData!$H$100),"",ReferenceData!$H$100),"")</f>
        <v>52.37</v>
      </c>
      <c r="I100">
        <f ca="1">IFERROR(IF(0=LEN(ReferenceData!$I$100),"",ReferenceData!$I$100),"")</f>
        <v>50.87</v>
      </c>
      <c r="J100">
        <f ca="1">IFERROR(IF(0=LEN(ReferenceData!$J$100),"",ReferenceData!$J$100),"")</f>
        <v>54.124000000000002</v>
      </c>
      <c r="K100">
        <f ca="1">IFERROR(IF(0=LEN(ReferenceData!$K$100),"",ReferenceData!$K$100),"")</f>
        <v>45.640999999999998</v>
      </c>
      <c r="L100">
        <f ca="1">IFERROR(IF(0=LEN(ReferenceData!$L$100),"",ReferenceData!$L$100),"")</f>
        <v>52.393999999999998</v>
      </c>
      <c r="M100">
        <f ca="1">IFERROR(IF(0=LEN(ReferenceData!$M$100),"",ReferenceData!$M$100),"")</f>
        <v>49.670999999999999</v>
      </c>
      <c r="N100">
        <f ca="1">IFERROR(IF(0=LEN(ReferenceData!$N$100),"",ReferenceData!$N$100),"")</f>
        <v>43.561999999999998</v>
      </c>
      <c r="O100">
        <f ca="1">IFERROR(IF(0=LEN(ReferenceData!$O$100),"",ReferenceData!$O$100),"")</f>
        <v>41.713999999999999</v>
      </c>
      <c r="P100">
        <f ca="1">IFERROR(IF(0=LEN(ReferenceData!$P$100),"",ReferenceData!$P$100),"")</f>
        <v>52.433</v>
      </c>
      <c r="Q100">
        <f ca="1">IFERROR(IF(0=LEN(ReferenceData!$Q$100),"",ReferenceData!$Q$100),"")</f>
        <v>45.737000000000002</v>
      </c>
      <c r="R100">
        <f ca="1">IFERROR(IF(0=LEN(ReferenceData!$R$100),"",ReferenceData!$R$100),"")</f>
        <v>45.752000000000002</v>
      </c>
      <c r="S100">
        <f ca="1">IFERROR(IF(0=LEN(ReferenceData!$S$100),"",ReferenceData!$S$100),"")</f>
        <v>41.225999999999999</v>
      </c>
      <c r="T100">
        <f ca="1">IFERROR(IF(0=LEN(ReferenceData!$T$100),"",ReferenceData!$T$100),"")</f>
        <v>21.939</v>
      </c>
      <c r="U100">
        <f ca="1">IFERROR(IF(0=LEN(ReferenceData!$U$100),"",ReferenceData!$U$100),"")</f>
        <v>23.468</v>
      </c>
      <c r="V100">
        <f ca="1">IFERROR(IF(0=LEN(ReferenceData!$V$100),"",ReferenceData!$V$100),"")</f>
        <v>32.103999999999999</v>
      </c>
      <c r="W100">
        <f ca="1">IFERROR(IF(0=LEN(ReferenceData!$W$100),"",ReferenceData!$W$100),"")</f>
        <v>13.141</v>
      </c>
      <c r="X100">
        <f ca="1">IFERROR(IF(0=LEN(ReferenceData!$X$100),"",ReferenceData!$X$100),"")</f>
        <v>34.106000000000002</v>
      </c>
      <c r="Y100">
        <f ca="1">IFERROR(IF(0=LEN(ReferenceData!$Y$100),"",ReferenceData!$Y$100),"")</f>
        <v>33.701000000000001</v>
      </c>
      <c r="Z100">
        <f ca="1">IFERROR(IF(0=LEN(ReferenceData!$Z$100),"",ReferenceData!$Z$100),"")</f>
        <v>37.832999999999998</v>
      </c>
      <c r="AA100">
        <f ca="1">IFERROR(IF(0=LEN(ReferenceData!$AA$100),"",ReferenceData!$AA$100),"")</f>
        <v>54.555</v>
      </c>
      <c r="AB100">
        <f ca="1">IFERROR(IF(0=LEN(ReferenceData!$AB$100),"",ReferenceData!$AB$100),"")</f>
        <v>20.358000000000001</v>
      </c>
      <c r="AC100">
        <f ca="1">IFERROR(IF(0=LEN(ReferenceData!$AC$100),"",ReferenceData!$AC$100),"")</f>
        <v>36.299999999999997</v>
      </c>
      <c r="AD100">
        <f ca="1">IFERROR(IF(0=LEN(ReferenceData!$AD$100),"",ReferenceData!$AD$100),"")</f>
        <v>50.11</v>
      </c>
      <c r="AE100">
        <f ca="1">IFERROR(IF(0=LEN(ReferenceData!$AE$100),"",ReferenceData!$AE$100),"")</f>
        <v>44.728000000000002</v>
      </c>
      <c r="AF100">
        <f ca="1">IFERROR(IF(0=LEN(ReferenceData!$AF$100),"",ReferenceData!$AF$100),"")</f>
        <v>50.703000000000003</v>
      </c>
      <c r="AG100">
        <f ca="1">IFERROR(IF(0=LEN(ReferenceData!$AG$100),"",ReferenceData!$AG$100),"")</f>
        <v>51.293999999999997</v>
      </c>
      <c r="AH100">
        <f ca="1">IFERROR(IF(0=LEN(ReferenceData!$AH$100),"",ReferenceData!$AH$100),"")</f>
        <v>56.284999999999997</v>
      </c>
      <c r="AI100">
        <f ca="1">IFERROR(IF(0=LEN(ReferenceData!$AI$100),"",ReferenceData!$AI$100),"")</f>
        <v>42.287999999999997</v>
      </c>
      <c r="AJ100">
        <f ca="1">IFERROR(IF(0=LEN(ReferenceData!$AJ$100),"",ReferenceData!$AJ$100),"")</f>
        <v>67.084000000000003</v>
      </c>
      <c r="AK100">
        <f ca="1">IFERROR(IF(0=LEN(ReferenceData!$AK$100),"",ReferenceData!$AK$100),"")</f>
        <v>55.86</v>
      </c>
      <c r="AL100">
        <f ca="1">IFERROR(IF(0=LEN(ReferenceData!$AL$100),"",ReferenceData!$AL$100),"")</f>
        <v>60.290999999999997</v>
      </c>
      <c r="AM100">
        <f ca="1">IFERROR(IF(0=LEN(ReferenceData!$AM$100),"",ReferenceData!$AM$100),"")</f>
        <v>47.433</v>
      </c>
      <c r="AN100">
        <f ca="1">IFERROR(IF(0=LEN(ReferenceData!$AN$100),"",ReferenceData!$AN$100),"")</f>
        <v>61.363999999999997</v>
      </c>
      <c r="AO100">
        <f ca="1">IFERROR(IF(0=LEN(ReferenceData!$AO$100),"",ReferenceData!$AO$100),"")</f>
        <v>59.442999999999998</v>
      </c>
      <c r="AP100">
        <f ca="1">IFERROR(IF(0=LEN(ReferenceData!$AP$100),"",ReferenceData!$AP$100),"")</f>
        <v>64.885000000000005</v>
      </c>
      <c r="AQ100">
        <f ca="1">IFERROR(IF(0=LEN(ReferenceData!$AQ$100),"",ReferenceData!$AQ$100),"")</f>
        <v>77.308999999999997</v>
      </c>
      <c r="AR100">
        <f ca="1">IFERROR(IF(0=LEN(ReferenceData!$AR$100),"",ReferenceData!$AR$100),"")</f>
        <v>74.290999999999997</v>
      </c>
      <c r="AS100">
        <f ca="1">IFERROR(IF(0=LEN(ReferenceData!$AS$100),"",ReferenceData!$AS$100),"")</f>
        <v>69.581999999999994</v>
      </c>
      <c r="AT100">
        <f ca="1">IFERROR(IF(0=LEN(ReferenceData!$AT$100),"",ReferenceData!$AT$100),"")</f>
        <v>76.680999999999997</v>
      </c>
      <c r="AU100">
        <f ca="1">IFERROR(IF(0=LEN(ReferenceData!$AU$100),"",ReferenceData!$AU$100),"")</f>
        <v>73.611999999999995</v>
      </c>
      <c r="AV100">
        <f ca="1">IFERROR(IF(0=LEN(ReferenceData!$AV$100),"",ReferenceData!$AV$100),"")</f>
        <v>69.563000000000002</v>
      </c>
      <c r="AW100">
        <f ca="1">IFERROR(IF(0=LEN(ReferenceData!$AW$100),"",ReferenceData!$AW$100),"")</f>
        <v>67.040000000000006</v>
      </c>
      <c r="AX100">
        <f ca="1">IFERROR(IF(0=LEN(ReferenceData!$AX$100),"",ReferenceData!$AX$100),"")</f>
        <v>69.888999999999996</v>
      </c>
      <c r="AY100">
        <f ca="1">IFERROR(IF(0=LEN(ReferenceData!$AY$100),"",ReferenceData!$AY$100),"")</f>
        <v>65.942999999999998</v>
      </c>
      <c r="AZ100">
        <f ca="1">IFERROR(IF(0=LEN(ReferenceData!$AZ$100),"",ReferenceData!$AZ$100),"")</f>
        <v>73.036000000000001</v>
      </c>
      <c r="BA100">
        <f ca="1">IFERROR(IF(0=LEN(ReferenceData!$BA$100),"",ReferenceData!$BA$100),"")</f>
        <v>64.506</v>
      </c>
      <c r="BB100">
        <f ca="1">IFERROR(IF(0=LEN(ReferenceData!$BB$100),"",ReferenceData!$BB$100),"")</f>
        <v>68.057000000000002</v>
      </c>
      <c r="BC100">
        <f ca="1">IFERROR(IF(0=LEN(ReferenceData!$BC$100),"",ReferenceData!$BC$100),"")</f>
        <v>68.087000000000003</v>
      </c>
      <c r="BD100">
        <f ca="1">IFERROR(IF(0=LEN(ReferenceData!$BD$100),"",ReferenceData!$BD$100),"")</f>
        <v>72.972999999999999</v>
      </c>
      <c r="BE100">
        <f ca="1">IFERROR(IF(0=LEN(ReferenceData!$BE$100),"",ReferenceData!$BE$100),"")</f>
        <v>67.010000000000005</v>
      </c>
      <c r="BF100">
        <f ca="1">IFERROR(IF(0=LEN(ReferenceData!$BF$100),"",ReferenceData!$BF$100),"")</f>
        <v>93.05</v>
      </c>
      <c r="BG100">
        <f ca="1">IFERROR(IF(0=LEN(ReferenceData!$BG$100),"",ReferenceData!$BG$100),"")</f>
        <v>98.649000000000001</v>
      </c>
      <c r="BH100">
        <f ca="1">IFERROR(IF(0=LEN(ReferenceData!$BH$100),"",ReferenceData!$BH$100),"")</f>
        <v>85.756</v>
      </c>
      <c r="BI100">
        <f ca="1">IFERROR(IF(0=LEN(ReferenceData!$BI$100),"",ReferenceData!$BI$100),"")</f>
        <v>95.262001040000001</v>
      </c>
      <c r="BJ100">
        <f ca="1">IFERROR(IF(0=LEN(ReferenceData!$BJ$100),"",ReferenceData!$BJ$100),"")</f>
        <v>83.623001099999996</v>
      </c>
      <c r="BK100">
        <f ca="1">IFERROR(IF(0=LEN(ReferenceData!$BK$100),"",ReferenceData!$BK$100),"")</f>
        <v>71.882003780000005</v>
      </c>
      <c r="BL100">
        <f ca="1">IFERROR(IF(0=LEN(ReferenceData!$BL$100),"",ReferenceData!$BL$100),"")</f>
        <v>64.483001709999996</v>
      </c>
      <c r="BM100">
        <f ca="1">IFERROR(IF(0=LEN(ReferenceData!$BM$100),"",ReferenceData!$BM$100),"")</f>
        <v>54.09500122</v>
      </c>
    </row>
    <row r="101" spans="1:65">
      <c r="A101" t="str">
        <f>IFERROR(IF(0=LEN(ReferenceData!$A$101),"",ReferenceData!$A$101),"")</f>
        <v xml:space="preserve">    SL Green Realty Corp</v>
      </c>
      <c r="B101" t="str">
        <f>IFERROR(IF(0=LEN(ReferenceData!$B$101),"",ReferenceData!$B$101),"")</f>
        <v>SLG US Equity</v>
      </c>
      <c r="C101" t="str">
        <f>IFERROR(IF(0=LEN(ReferenceData!$C$101),"",ReferenceData!$C$101),"")</f>
        <v>F0578</v>
      </c>
      <c r="D101" t="str">
        <f>IFERROR(IF(0=LEN(ReferenceData!$D$101),"",ReferenceData!$D$101),"")</f>
        <v>FUNDS_AVAILABLE_FOR_DISTRIBUTION</v>
      </c>
      <c r="E101" t="str">
        <f>IFERROR(IF(0=LEN(ReferenceData!$E$101),"",ReferenceData!$E$101),"")</f>
        <v>动态</v>
      </c>
      <c r="F101" t="str">
        <f ca="1">IFERROR(IF(0=LEN(ReferenceData!$F$101),"",ReferenceData!$F$101),"")</f>
        <v/>
      </c>
      <c r="G101">
        <f ca="1">IFERROR(IF(0=LEN(ReferenceData!$G$101),"",ReferenceData!$G$101),"")</f>
        <v>85.347999999999999</v>
      </c>
      <c r="H101">
        <f ca="1">IFERROR(IF(0=LEN(ReferenceData!$H$101),"",ReferenceData!$H$101),"")</f>
        <v>80.563000000000002</v>
      </c>
      <c r="I101">
        <f ca="1">IFERROR(IF(0=LEN(ReferenceData!$I$101),"",ReferenceData!$I$101),"")</f>
        <v>122.452</v>
      </c>
      <c r="J101">
        <f ca="1">IFERROR(IF(0=LEN(ReferenceData!$J$101),"",ReferenceData!$J$101),"")</f>
        <v>134.63800000000001</v>
      </c>
      <c r="K101">
        <f ca="1">IFERROR(IF(0=LEN(ReferenceData!$K$101),"",ReferenceData!$K$101),"")</f>
        <v>75.515000000000001</v>
      </c>
      <c r="L101">
        <f ca="1">IFERROR(IF(0=LEN(ReferenceData!$L$101),"",ReferenceData!$L$101),"")</f>
        <v>90.082999999999998</v>
      </c>
      <c r="M101">
        <f ca="1">IFERROR(IF(0=LEN(ReferenceData!$M$101),"",ReferenceData!$M$101),"")</f>
        <v>123.54</v>
      </c>
      <c r="N101">
        <f ca="1">IFERROR(IF(0=LEN(ReferenceData!$N$101),"",ReferenceData!$N$101),"")</f>
        <v>157.309</v>
      </c>
      <c r="O101">
        <f ca="1">IFERROR(IF(0=LEN(ReferenceData!$O$101),"",ReferenceData!$O$101),"")</f>
        <v>24.544</v>
      </c>
      <c r="P101">
        <f ca="1">IFERROR(IF(0=LEN(ReferenceData!$P$101),"",ReferenceData!$P$101),"")</f>
        <v>108.875</v>
      </c>
      <c r="Q101">
        <f ca="1">IFERROR(IF(0=LEN(ReferenceData!$Q$101),"",ReferenceData!$Q$101),"")</f>
        <v>97.09</v>
      </c>
      <c r="R101">
        <f ca="1">IFERROR(IF(0=LEN(ReferenceData!$R$101),"",ReferenceData!$R$101),"")</f>
        <v>108.693</v>
      </c>
      <c r="S101">
        <f ca="1">IFERROR(IF(0=LEN(ReferenceData!$S$101),"",ReferenceData!$S$101),"")</f>
        <v>104.252</v>
      </c>
      <c r="T101">
        <f ca="1">IFERROR(IF(0=LEN(ReferenceData!$T$101),"",ReferenceData!$T$101),"")</f>
        <v>20.57</v>
      </c>
      <c r="U101">
        <f ca="1">IFERROR(IF(0=LEN(ReferenceData!$U$101),"",ReferenceData!$U$101),"")</f>
        <v>100.313</v>
      </c>
      <c r="V101">
        <f ca="1">IFERROR(IF(0=LEN(ReferenceData!$V$101),"",ReferenceData!$V$101),"")</f>
        <v>108.815</v>
      </c>
      <c r="W101">
        <f ca="1">IFERROR(IF(0=LEN(ReferenceData!$W$101),"",ReferenceData!$W$101),"")</f>
        <v>102.045</v>
      </c>
      <c r="X101">
        <f ca="1">IFERROR(IF(0=LEN(ReferenceData!$X$101),"",ReferenceData!$X$101),"")</f>
        <v>108.43300000000001</v>
      </c>
      <c r="Y101">
        <f ca="1">IFERROR(IF(0=LEN(ReferenceData!$Y$101),"",ReferenceData!$Y$101),"")</f>
        <v>100.047</v>
      </c>
      <c r="Z101">
        <f ca="1">IFERROR(IF(0=LEN(ReferenceData!$Z$101),"",ReferenceData!$Z$101),"")</f>
        <v>109.401</v>
      </c>
      <c r="AA101">
        <f ca="1">IFERROR(IF(0=LEN(ReferenceData!$AA$101),"",ReferenceData!$AA$101),"")</f>
        <v>70.861000000000004</v>
      </c>
      <c r="AB101">
        <f ca="1">IFERROR(IF(0=LEN(ReferenceData!$AB$101),"",ReferenceData!$AB$101),"")</f>
        <v>77.747</v>
      </c>
      <c r="AC101">
        <f ca="1">IFERROR(IF(0=LEN(ReferenceData!$AC$101),"",ReferenceData!$AC$101),"")</f>
        <v>0.46400000000000002</v>
      </c>
      <c r="AD101">
        <f ca="1">IFERROR(IF(0=LEN(ReferenceData!$AD$101),"",ReferenceData!$AD$101),"")</f>
        <v>80.191000000000003</v>
      </c>
      <c r="AE101">
        <f ca="1">IFERROR(IF(0=LEN(ReferenceData!$AE$101),"",ReferenceData!$AE$101),"")</f>
        <v>48.107999999999997</v>
      </c>
      <c r="AF101">
        <f ca="1">IFERROR(IF(0=LEN(ReferenceData!$AF$101),"",ReferenceData!$AF$101),"")</f>
        <v>38.604999999999997</v>
      </c>
      <c r="AG101">
        <f ca="1">IFERROR(IF(0=LEN(ReferenceData!$AG$101),"",ReferenceData!$AG$101),"")</f>
        <v>52.212000000000003</v>
      </c>
      <c r="AH101">
        <f ca="1">IFERROR(IF(0=LEN(ReferenceData!$AH$101),"",ReferenceData!$AH$101),"")</f>
        <v>43.328000000000003</v>
      </c>
      <c r="AI101">
        <f ca="1">IFERROR(IF(0=LEN(ReferenceData!$AI$101),"",ReferenceData!$AI$101),"")</f>
        <v>34.021000000000001</v>
      </c>
      <c r="AJ101">
        <f ca="1">IFERROR(IF(0=LEN(ReferenceData!$AJ$101),"",ReferenceData!$AJ$101),"")</f>
        <v>50.466000000000001</v>
      </c>
      <c r="AK101">
        <f ca="1">IFERROR(IF(0=LEN(ReferenceData!$AK$101),"",ReferenceData!$AK$101),"")</f>
        <v>57.889000000000003</v>
      </c>
      <c r="AL101">
        <f ca="1">IFERROR(IF(0=LEN(ReferenceData!$AL$101),"",ReferenceData!$AL$101),"")</f>
        <v>54.822000000000003</v>
      </c>
      <c r="AM101">
        <f ca="1">IFERROR(IF(0=LEN(ReferenceData!$AM$101),"",ReferenceData!$AM$101),"")</f>
        <v>46.835999999999999</v>
      </c>
      <c r="AN101">
        <f ca="1">IFERROR(IF(0=LEN(ReferenceData!$AN$101),"",ReferenceData!$AN$101),"")</f>
        <v>60.216000000000001</v>
      </c>
      <c r="AO101">
        <f ca="1">IFERROR(IF(0=LEN(ReferenceData!$AO$101),"",ReferenceData!$AO$101),"")</f>
        <v>66.653999999999996</v>
      </c>
      <c r="AP101">
        <f ca="1">IFERROR(IF(0=LEN(ReferenceData!$AP$101),"",ReferenceData!$AP$101),"")</f>
        <v>54.924999999999997</v>
      </c>
      <c r="AQ101">
        <f ca="1">IFERROR(IF(0=LEN(ReferenceData!$AQ$101),"",ReferenceData!$AQ$101),"")</f>
        <v>57.603999999999999</v>
      </c>
      <c r="AR101">
        <f ca="1">IFERROR(IF(0=LEN(ReferenceData!$AR$101),"",ReferenceData!$AR$101),"")</f>
        <v>55.948</v>
      </c>
      <c r="AS101">
        <f ca="1">IFERROR(IF(0=LEN(ReferenceData!$AS$101),"",ReferenceData!$AS$101),"")</f>
        <v>94.811000000000007</v>
      </c>
      <c r="AT101">
        <f ca="1">IFERROR(IF(0=LEN(ReferenceData!$AT$101),"",ReferenceData!$AT$101),"")</f>
        <v>61.384</v>
      </c>
      <c r="AU101">
        <f ca="1">IFERROR(IF(0=LEN(ReferenceData!$AU$101),"",ReferenceData!$AU$101),"")</f>
        <v>52.389000000000003</v>
      </c>
      <c r="AV101">
        <f ca="1">IFERROR(IF(0=LEN(ReferenceData!$AV$101),"",ReferenceData!$AV$101),"")</f>
        <v>53.088999999999999</v>
      </c>
      <c r="AW101">
        <f ca="1">IFERROR(IF(0=LEN(ReferenceData!$AW$101),"",ReferenceData!$AW$101),"")</f>
        <v>61.444000000000003</v>
      </c>
      <c r="AX101">
        <f ca="1">IFERROR(IF(0=LEN(ReferenceData!$AX$101),"",ReferenceData!$AX$101),"")</f>
        <v>117.801</v>
      </c>
      <c r="AY101">
        <f ca="1">IFERROR(IF(0=LEN(ReferenceData!$AY$101),"",ReferenceData!$AY$101),"")</f>
        <v>36.94</v>
      </c>
      <c r="AZ101">
        <f ca="1">IFERROR(IF(0=LEN(ReferenceData!$AZ$101),"",ReferenceData!$AZ$101),"")</f>
        <v>40.037999999999997</v>
      </c>
      <c r="BA101">
        <f ca="1">IFERROR(IF(0=LEN(ReferenceData!$BA$101),"",ReferenceData!$BA$101),"")</f>
        <v>44.031999999999996</v>
      </c>
      <c r="BB101">
        <f ca="1">IFERROR(IF(0=LEN(ReferenceData!$BB$101),"",ReferenceData!$BB$101),"")</f>
        <v>37.087000000000003</v>
      </c>
      <c r="BC101">
        <f ca="1">IFERROR(IF(0=LEN(ReferenceData!$BC$101),"",ReferenceData!$BC$101),"")</f>
        <v>46.874000000000002</v>
      </c>
      <c r="BD101">
        <f ca="1">IFERROR(IF(0=LEN(ReferenceData!$BD$101),"",ReferenceData!$BD$101),"")</f>
        <v>51.704999999999998</v>
      </c>
      <c r="BE101">
        <f ca="1">IFERROR(IF(0=LEN(ReferenceData!$BE$101),"",ReferenceData!$BE$101),"")</f>
        <v>46.372</v>
      </c>
      <c r="BF101">
        <f ca="1">IFERROR(IF(0=LEN(ReferenceData!$BF$101),"",ReferenceData!$BF$101),"")</f>
        <v>44.561</v>
      </c>
      <c r="BG101">
        <f ca="1">IFERROR(IF(0=LEN(ReferenceData!$BG$101),"",ReferenceData!$BG$101),"")</f>
        <v>42.578000000000003</v>
      </c>
      <c r="BH101">
        <f ca="1">IFERROR(IF(0=LEN(ReferenceData!$BH$101),"",ReferenceData!$BH$101),"")</f>
        <v>40.662999999999997</v>
      </c>
      <c r="BI101">
        <f ca="1">IFERROR(IF(0=LEN(ReferenceData!$BI$101),"",ReferenceData!$BI$101),"")</f>
        <v>44.146000000000001</v>
      </c>
      <c r="BJ101">
        <f ca="1">IFERROR(IF(0=LEN(ReferenceData!$BJ$101),"",ReferenceData!$BJ$101),"")</f>
        <v>34.99</v>
      </c>
      <c r="BK101">
        <f ca="1">IFERROR(IF(0=LEN(ReferenceData!$BK$101),"",ReferenceData!$BK$101),"")</f>
        <v>35.242000580000003</v>
      </c>
      <c r="BL101">
        <f ca="1">IFERROR(IF(0=LEN(ReferenceData!$BL$101),"",ReferenceData!$BL$101),"")</f>
        <v>-32.478999999999999</v>
      </c>
      <c r="BM101">
        <f ca="1">IFERROR(IF(0=LEN(ReferenceData!$BM$101),"",ReferenceData!$BM$101),"")</f>
        <v>33.875999999999998</v>
      </c>
    </row>
    <row r="102" spans="1:65">
      <c r="A102" t="str">
        <f>IFERROR(IF(0=LEN(ReferenceData!$A$102),"",ReferenceData!$A$102),"")</f>
        <v xml:space="preserve">    Vornado Realty Trust</v>
      </c>
      <c r="B102" t="str">
        <f>IFERROR(IF(0=LEN(ReferenceData!$B$102),"",ReferenceData!$B$102),"")</f>
        <v>VNO US Equity</v>
      </c>
      <c r="C102" t="str">
        <f>IFERROR(IF(0=LEN(ReferenceData!$C$102),"",ReferenceData!$C$102),"")</f>
        <v>F0578</v>
      </c>
      <c r="D102" t="str">
        <f>IFERROR(IF(0=LEN(ReferenceData!$D$102),"",ReferenceData!$D$102),"")</f>
        <v>FUNDS_AVAILABLE_FOR_DISTRIBUTION</v>
      </c>
      <c r="E102" t="str">
        <f>IFERROR(IF(0=LEN(ReferenceData!$E$102),"",ReferenceData!$E$102),"")</f>
        <v>动态</v>
      </c>
      <c r="F102" t="str">
        <f ca="1">IFERROR(IF(0=LEN(ReferenceData!$F$102),"",ReferenceData!$F$102),"")</f>
        <v/>
      </c>
      <c r="G102">
        <f ca="1">IFERROR(IF(0=LEN(ReferenceData!$G$102),"",ReferenceData!$G$102),"")</f>
        <v>157.33699999999999</v>
      </c>
      <c r="H102">
        <f ca="1">IFERROR(IF(0=LEN(ReferenceData!$H$102),"",ReferenceData!$H$102),"")</f>
        <v>107.989</v>
      </c>
      <c r="I102">
        <f ca="1">IFERROR(IF(0=LEN(ReferenceData!$I$102),"",ReferenceData!$I$102),"")</f>
        <v>141.803</v>
      </c>
      <c r="J102">
        <f ca="1">IFERROR(IF(0=LEN(ReferenceData!$J$102),"",ReferenceData!$J$102),"")</f>
        <v>163.77500000000001</v>
      </c>
      <c r="K102">
        <f ca="1">IFERROR(IF(0=LEN(ReferenceData!$K$102),"",ReferenceData!$K$102),"")</f>
        <v>164.83699999999999</v>
      </c>
      <c r="L102">
        <f ca="1">IFERROR(IF(0=LEN(ReferenceData!$L$102),"",ReferenceData!$L$102),"")</f>
        <v>128.39099999999999</v>
      </c>
      <c r="M102">
        <f ca="1">IFERROR(IF(0=LEN(ReferenceData!$M$102),"",ReferenceData!$M$102),"")</f>
        <v>96.872</v>
      </c>
      <c r="N102">
        <f ca="1">IFERROR(IF(0=LEN(ReferenceData!$N$102),"",ReferenceData!$N$102),"")</f>
        <v>105.786</v>
      </c>
      <c r="O102">
        <f ca="1">IFERROR(IF(0=LEN(ReferenceData!$O$102),"",ReferenceData!$O$102),"")</f>
        <v>374.40600000000001</v>
      </c>
      <c r="P102">
        <f ca="1">IFERROR(IF(0=LEN(ReferenceData!$P$102),"",ReferenceData!$P$102),"")</f>
        <v>151.14400000000001</v>
      </c>
      <c r="Q102">
        <f ca="1">IFERROR(IF(0=LEN(ReferenceData!$Q$102),"",ReferenceData!$Q$102),"")</f>
        <v>58.517000000000003</v>
      </c>
      <c r="R102">
        <f ca="1">IFERROR(IF(0=LEN(ReferenceData!$R$102),"",ReferenceData!$R$102),"")</f>
        <v>153.012</v>
      </c>
      <c r="S102">
        <f ca="1">IFERROR(IF(0=LEN(ReferenceData!$S$102),"",ReferenceData!$S$102),"")</f>
        <v>270.87400000000002</v>
      </c>
      <c r="T102">
        <f ca="1">IFERROR(IF(0=LEN(ReferenceData!$T$102),"",ReferenceData!$T$102),"")</f>
        <v>158.16900000000001</v>
      </c>
      <c r="U102">
        <f ca="1">IFERROR(IF(0=LEN(ReferenceData!$U$102),"",ReferenceData!$U$102),"")</f>
        <v>260.14600000000002</v>
      </c>
      <c r="V102">
        <f ca="1">IFERROR(IF(0=LEN(ReferenceData!$V$102),"",ReferenceData!$V$102),"")</f>
        <v>92.289000000000001</v>
      </c>
      <c r="W102">
        <f ca="1">IFERROR(IF(0=LEN(ReferenceData!$W$102),"",ReferenceData!$W$102),"")</f>
        <v>425.86599999999999</v>
      </c>
      <c r="X102">
        <f ca="1">IFERROR(IF(0=LEN(ReferenceData!$X$102),"",ReferenceData!$X$102),"")</f>
        <v>181.066</v>
      </c>
      <c r="Y102">
        <f ca="1">IFERROR(IF(0=LEN(ReferenceData!$Y$102),"",ReferenceData!$Y$102),"")</f>
        <v>188.31399999999999</v>
      </c>
      <c r="Z102">
        <f ca="1">IFERROR(IF(0=LEN(ReferenceData!$Z$102),"",ReferenceData!$Z$102),"")</f>
        <v>143.02699999999999</v>
      </c>
      <c r="AA102">
        <f ca="1">IFERROR(IF(0=LEN(ReferenceData!$AA$102),"",ReferenceData!$AA$102),"")</f>
        <v>112.76</v>
      </c>
      <c r="AB102">
        <f ca="1">IFERROR(IF(0=LEN(ReferenceData!$AB$102),"",ReferenceData!$AB$102),"")</f>
        <v>132.684</v>
      </c>
      <c r="AC102">
        <f ca="1">IFERROR(IF(0=LEN(ReferenceData!$AC$102),"",ReferenceData!$AC$102),"")</f>
        <v>180.56</v>
      </c>
      <c r="AD102">
        <f ca="1">IFERROR(IF(0=LEN(ReferenceData!$AD$102),"",ReferenceData!$AD$102),"")</f>
        <v>189.23099999999999</v>
      </c>
      <c r="AE102">
        <f ca="1">IFERROR(IF(0=LEN(ReferenceData!$AE$102),"",ReferenceData!$AE$102),"")</f>
        <v>145.66200000000001</v>
      </c>
      <c r="AF102">
        <f ca="1">IFERROR(IF(0=LEN(ReferenceData!$AF$102),"",ReferenceData!$AF$102),"")</f>
        <v>173.744</v>
      </c>
      <c r="AG102">
        <f ca="1">IFERROR(IF(0=LEN(ReferenceData!$AG$102),"",ReferenceData!$AG$102),"")</f>
        <v>169.465</v>
      </c>
      <c r="AH102">
        <f ca="1">IFERROR(IF(0=LEN(ReferenceData!$AH$102),"",ReferenceData!$AH$102),"")</f>
        <v>305.18700000000001</v>
      </c>
      <c r="AI102">
        <f ca="1">IFERROR(IF(0=LEN(ReferenceData!$AI$102),"",ReferenceData!$AI$102),"")</f>
        <v>26.376000000000001</v>
      </c>
      <c r="AJ102">
        <f ca="1">IFERROR(IF(0=LEN(ReferenceData!$AJ$102),"",ReferenceData!$AJ$102),"")</f>
        <v>183.43</v>
      </c>
      <c r="AK102">
        <f ca="1">IFERROR(IF(0=LEN(ReferenceData!$AK$102),"",ReferenceData!$AK$102),"")</f>
        <v>169.31399999999999</v>
      </c>
      <c r="AL102">
        <f ca="1">IFERROR(IF(0=LEN(ReferenceData!$AL$102),"",ReferenceData!$AL$102),"")</f>
        <v>305.52</v>
      </c>
      <c r="AM102">
        <f ca="1">IFERROR(IF(0=LEN(ReferenceData!$AM$102),"",ReferenceData!$AM$102),"")</f>
        <v>138.52699999999999</v>
      </c>
      <c r="AN102">
        <f ca="1">IFERROR(IF(0=LEN(ReferenceData!$AN$102),"",ReferenceData!$AN$102),"")</f>
        <v>132.96799999999999</v>
      </c>
      <c r="AO102">
        <f ca="1">IFERROR(IF(0=LEN(ReferenceData!$AO$102),"",ReferenceData!$AO$102),"")</f>
        <v>129.66499999999999</v>
      </c>
      <c r="AP102">
        <f ca="1">IFERROR(IF(0=LEN(ReferenceData!$AP$102),"",ReferenceData!$AP$102),"")</f>
        <v>240.219447</v>
      </c>
      <c r="AQ102">
        <f ca="1">IFERROR(IF(0=LEN(ReferenceData!$AQ$102),"",ReferenceData!$AQ$102),"")</f>
        <v>-88.153999999999996</v>
      </c>
      <c r="AR102">
        <f ca="1">IFERROR(IF(0=LEN(ReferenceData!$AR$102),"",ReferenceData!$AR$102),"")</f>
        <v>193.24700000000001</v>
      </c>
      <c r="AS102">
        <f ca="1">IFERROR(IF(0=LEN(ReferenceData!$AS$102),"",ReferenceData!$AS$102),"")</f>
        <v>194.43</v>
      </c>
      <c r="AT102">
        <f ca="1">IFERROR(IF(0=LEN(ReferenceData!$AT$102),"",ReferenceData!$AT$102),"")</f>
        <v>521.54499999999996</v>
      </c>
      <c r="AU102">
        <f ca="1">IFERROR(IF(0=LEN(ReferenceData!$AU$102),"",ReferenceData!$AU$102),"")</f>
        <v>188.089</v>
      </c>
      <c r="AV102">
        <f ca="1">IFERROR(IF(0=LEN(ReferenceData!$AV$102),"",ReferenceData!$AV$102),"")</f>
        <v>215.99600000000001</v>
      </c>
      <c r="AW102">
        <f ca="1">IFERROR(IF(0=LEN(ReferenceData!$AW$102),"",ReferenceData!$AW$102),"")</f>
        <v>276.46899999999999</v>
      </c>
      <c r="AX102">
        <f ca="1">IFERROR(IF(0=LEN(ReferenceData!$AX$102),"",ReferenceData!$AX$102),"")</f>
        <v>264.78300000000002</v>
      </c>
      <c r="AY102">
        <f ca="1">IFERROR(IF(0=LEN(ReferenceData!$AY$102),"",ReferenceData!$AY$102),"")</f>
        <v>207.11500000000001</v>
      </c>
      <c r="AZ102">
        <f ca="1">IFERROR(IF(0=LEN(ReferenceData!$AZ$102),"",ReferenceData!$AZ$102),"")</f>
        <v>199.303</v>
      </c>
      <c r="BA102">
        <f ca="1">IFERROR(IF(0=LEN(ReferenceData!$BA$102),"",ReferenceData!$BA$102),"")</f>
        <v>225.15700000000001</v>
      </c>
      <c r="BB102">
        <f ca="1">IFERROR(IF(0=LEN(ReferenceData!$BB$102),"",ReferenceData!$BB$102),"")</f>
        <v>206.631</v>
      </c>
      <c r="BC102">
        <f ca="1">IFERROR(IF(0=LEN(ReferenceData!$BC$102),"",ReferenceData!$BC$102),"")</f>
        <v>194.12100000000001</v>
      </c>
      <c r="BD102">
        <f ca="1">IFERROR(IF(0=LEN(ReferenceData!$BD$102),"",ReferenceData!$BD$102),"")</f>
        <v>93.272000000000006</v>
      </c>
      <c r="BE102">
        <f ca="1">IFERROR(IF(0=LEN(ReferenceData!$BE$102),"",ReferenceData!$BE$102),"")</f>
        <v>215.80199999999999</v>
      </c>
      <c r="BF102">
        <f ca="1">IFERROR(IF(0=LEN(ReferenceData!$BF$102),"",ReferenceData!$BF$102),"")</f>
        <v>248.47</v>
      </c>
      <c r="BG102">
        <f ca="1">IFERROR(IF(0=LEN(ReferenceData!$BG$102),"",ReferenceData!$BG$102),"")</f>
        <v>299.44099999999997</v>
      </c>
      <c r="BH102">
        <f ca="1">IFERROR(IF(0=LEN(ReferenceData!$BH$102),"",ReferenceData!$BH$102),"")</f>
        <v>156.703</v>
      </c>
      <c r="BI102">
        <f ca="1">IFERROR(IF(0=LEN(ReferenceData!$BI$102),"",ReferenceData!$BI$102),"")</f>
        <v>159.67399599999999</v>
      </c>
      <c r="BJ102">
        <f ca="1">IFERROR(IF(0=LEN(ReferenceData!$BJ$102),"",ReferenceData!$BJ$102),"")</f>
        <v>128.97500600000001</v>
      </c>
      <c r="BK102">
        <f ca="1">IFERROR(IF(0=LEN(ReferenceData!$BK$102),"",ReferenceData!$BK$102),"")</f>
        <v>130.729004</v>
      </c>
      <c r="BL102">
        <f ca="1">IFERROR(IF(0=LEN(ReferenceData!$BL$102),"",ReferenceData!$BL$102),"")</f>
        <v>123.914001</v>
      </c>
      <c r="BM102">
        <f ca="1">IFERROR(IF(0=LEN(ReferenceData!$BM$102),"",ReferenceData!$BM$102),"")</f>
        <v>133.41</v>
      </c>
    </row>
    <row r="103" spans="1:65">
      <c r="A103" t="str">
        <f>IFERROR(IF(0=LEN(ReferenceData!$A$103),"",ReferenceData!$A$103),"")</f>
        <v>收入增长同比(%)</v>
      </c>
      <c r="B103" t="str">
        <f>IFERROR(IF(0=LEN(ReferenceData!$B$103),"",ReferenceData!$B$103),"")</f>
        <v/>
      </c>
      <c r="C103" t="str">
        <f>IFERROR(IF(0=LEN(ReferenceData!$C$103),"",ReferenceData!$C$103),"")</f>
        <v/>
      </c>
      <c r="D103" t="str">
        <f>IFERROR(IF(0=LEN(ReferenceData!$D$103),"",ReferenceData!$D$103),"")</f>
        <v/>
      </c>
      <c r="E103" t="str">
        <f>IFERROR(IF(0=LEN(ReferenceData!$E$103),"",ReferenceData!$E$103),"")</f>
        <v>Median</v>
      </c>
      <c r="F103" t="str">
        <f ca="1">IFERROR(IF(0=LEN(ReferenceData!$F$103),"",ReferenceData!$F$103),"")</f>
        <v/>
      </c>
      <c r="G103">
        <f ca="1">IFERROR(IF(0=LEN(ReferenceData!$G$103),"",ReferenceData!$G$103),"")</f>
        <v>1.9829786185</v>
      </c>
      <c r="H103">
        <f ca="1">IFERROR(IF(0=LEN(ReferenceData!$H$103),"",ReferenceData!$H$103),"")</f>
        <v>3.3798442599999996</v>
      </c>
      <c r="I103">
        <f ca="1">IFERROR(IF(0=LEN(ReferenceData!$I$103),"",ReferenceData!$I$103),"")</f>
        <v>4.562348353</v>
      </c>
      <c r="J103">
        <f ca="1">IFERROR(IF(0=LEN(ReferenceData!$J$103),"",ReferenceData!$J$103),"")</f>
        <v>-2.55391126</v>
      </c>
      <c r="K103">
        <f ca="1">IFERROR(IF(0=LEN(ReferenceData!$K$103),"",ReferenceData!$K$103),"")</f>
        <v>0.48145545299999992</v>
      </c>
      <c r="L103">
        <f ca="1">IFERROR(IF(0=LEN(ReferenceData!$L$103),"",ReferenceData!$L$103),"")</f>
        <v>-2.1499911525000002</v>
      </c>
      <c r="M103">
        <f ca="1">IFERROR(IF(0=LEN(ReferenceData!$M$103),"",ReferenceData!$M$103),"")</f>
        <v>0.652793238</v>
      </c>
      <c r="N103">
        <f ca="1">IFERROR(IF(0=LEN(ReferenceData!$N$103),"",ReferenceData!$N$103),"")</f>
        <v>-0.47530557800000006</v>
      </c>
      <c r="O103">
        <f ca="1">IFERROR(IF(0=LEN(ReferenceData!$O$103),"",ReferenceData!$O$103),"")</f>
        <v>2.8501747245000004</v>
      </c>
      <c r="P103">
        <f ca="1">IFERROR(IF(0=LEN(ReferenceData!$P$103),"",ReferenceData!$P$103),"")</f>
        <v>3.4990652584999999</v>
      </c>
      <c r="Q103">
        <f ca="1">IFERROR(IF(0=LEN(ReferenceData!$Q$103),"",ReferenceData!$Q$103),"")</f>
        <v>6.5871951959999997</v>
      </c>
      <c r="R103">
        <f ca="1">IFERROR(IF(0=LEN(ReferenceData!$R$103),"",ReferenceData!$R$103),"")</f>
        <v>8.6195946719999998</v>
      </c>
      <c r="S103">
        <f ca="1">IFERROR(IF(0=LEN(ReferenceData!$S$103),"",ReferenceData!$S$103),"")</f>
        <v>5.0946556150000006</v>
      </c>
      <c r="T103">
        <f ca="1">IFERROR(IF(0=LEN(ReferenceData!$T$103),"",ReferenceData!$T$103),"")</f>
        <v>4.3837216889999997</v>
      </c>
      <c r="U103">
        <f ca="1">IFERROR(IF(0=LEN(ReferenceData!$U$103),"",ReferenceData!$U$103),"")</f>
        <v>5.7725805164999997</v>
      </c>
      <c r="V103">
        <f ca="1">IFERROR(IF(0=LEN(ReferenceData!$V$103),"",ReferenceData!$V$103),"")</f>
        <v>6.0774124199999999</v>
      </c>
      <c r="W103">
        <f ca="1">IFERROR(IF(0=LEN(ReferenceData!$W$103),"",ReferenceData!$W$103),"")</f>
        <v>3.9705366379999996</v>
      </c>
      <c r="X103">
        <f ca="1">IFERROR(IF(0=LEN(ReferenceData!$X$103),"",ReferenceData!$X$103),"")</f>
        <v>5.1037144989999996</v>
      </c>
      <c r="Y103">
        <f ca="1">IFERROR(IF(0=LEN(ReferenceData!$Y$103),"",ReferenceData!$Y$103),"")</f>
        <v>3.6893383515</v>
      </c>
      <c r="Z103">
        <f ca="1">IFERROR(IF(0=LEN(ReferenceData!$Z$103),"",ReferenceData!$Z$103),"")</f>
        <v>4.0588332549999997</v>
      </c>
      <c r="AA103">
        <f ca="1">IFERROR(IF(0=LEN(ReferenceData!$AA$103),"",ReferenceData!$AA$103),"")</f>
        <v>2.226566799</v>
      </c>
      <c r="AB103">
        <f ca="1">IFERROR(IF(0=LEN(ReferenceData!$AB$103),"",ReferenceData!$AB$103),"")</f>
        <v>2.4605731369999999</v>
      </c>
      <c r="AC103">
        <f ca="1">IFERROR(IF(0=LEN(ReferenceData!$AC$103),"",ReferenceData!$AC$103),"")</f>
        <v>-2.7366208329999999</v>
      </c>
      <c r="AD103">
        <f ca="1">IFERROR(IF(0=LEN(ReferenceData!$AD$103),"",ReferenceData!$AD$103),"")</f>
        <v>-1.0480896795000001</v>
      </c>
      <c r="AE103">
        <f ca="1">IFERROR(IF(0=LEN(ReferenceData!$AE$103),"",ReferenceData!$AE$103),"")</f>
        <v>0.56114661350000006</v>
      </c>
      <c r="AF103">
        <f ca="1">IFERROR(IF(0=LEN(ReferenceData!$AF$103),"",ReferenceData!$AF$103),"")</f>
        <v>0.80524952400000005</v>
      </c>
      <c r="AG103">
        <f ca="1">IFERROR(IF(0=LEN(ReferenceData!$AG$103),"",ReferenceData!$AG$103),"")</f>
        <v>3.0118650589999998</v>
      </c>
      <c r="AH103">
        <f ca="1">IFERROR(IF(0=LEN(ReferenceData!$AH$103),"",ReferenceData!$AH$103),"")</f>
        <v>4.0453297285000005</v>
      </c>
      <c r="AI103">
        <f ca="1">IFERROR(IF(0=LEN(ReferenceData!$AI$103),"",ReferenceData!$AI$103),"")</f>
        <v>-0.222464836</v>
      </c>
      <c r="AJ103">
        <f ca="1">IFERROR(IF(0=LEN(ReferenceData!$AJ$103),"",ReferenceData!$AJ$103),"")</f>
        <v>2.6321045065000002</v>
      </c>
      <c r="AK103">
        <f ca="1">IFERROR(IF(0=LEN(ReferenceData!$AK$103),"",ReferenceData!$AK$103),"")</f>
        <v>0.91293937749999998</v>
      </c>
      <c r="AL103">
        <f ca="1">IFERROR(IF(0=LEN(ReferenceData!$AL$103),"",ReferenceData!$AL$103),"")</f>
        <v>-2.4468555094999997</v>
      </c>
      <c r="AM103">
        <f ca="1">IFERROR(IF(0=LEN(ReferenceData!$AM$103),"",ReferenceData!$AM$103),"")</f>
        <v>-1.6598484339999999</v>
      </c>
      <c r="AN103">
        <f ca="1">IFERROR(IF(0=LEN(ReferenceData!$AN$103),"",ReferenceData!$AN$103),"")</f>
        <v>-0.717235544</v>
      </c>
      <c r="AO103">
        <f ca="1">IFERROR(IF(0=LEN(ReferenceData!$AO$103),"",ReferenceData!$AO$103),"")</f>
        <v>-0.81008260399999998</v>
      </c>
      <c r="AP103">
        <f ca="1">IFERROR(IF(0=LEN(ReferenceData!$AP$103),"",ReferenceData!$AP$103),"")</f>
        <v>1.6455232719999999</v>
      </c>
      <c r="AQ103">
        <f ca="1">IFERROR(IF(0=LEN(ReferenceData!$AQ$103),"",ReferenceData!$AQ$103),"")</f>
        <v>5.7804268629999997</v>
      </c>
      <c r="AR103">
        <f ca="1">IFERROR(IF(0=LEN(ReferenceData!$AR$103),"",ReferenceData!$AR$103),"")</f>
        <v>4.8103736750000001</v>
      </c>
      <c r="AS103">
        <f ca="1">IFERROR(IF(0=LEN(ReferenceData!$AS$103),"",ReferenceData!$AS$103),"")</f>
        <v>5.1901436680000002</v>
      </c>
      <c r="AT103">
        <f ca="1">IFERROR(IF(0=LEN(ReferenceData!$AT$103),"",ReferenceData!$AT$103),"")</f>
        <v>5.3948077530000003</v>
      </c>
      <c r="AU103">
        <f ca="1">IFERROR(IF(0=LEN(ReferenceData!$AU$103),"",ReferenceData!$AU$103),"")</f>
        <v>7.9737657689999999</v>
      </c>
      <c r="AV103">
        <f ca="1">IFERROR(IF(0=LEN(ReferenceData!$AV$103),"",ReferenceData!$AV$103),"")</f>
        <v>2.879438457</v>
      </c>
      <c r="AW103">
        <f ca="1">IFERROR(IF(0=LEN(ReferenceData!$AW$103),"",ReferenceData!$AW$103),"")</f>
        <v>3.2491153220000002</v>
      </c>
      <c r="AX103">
        <f ca="1">IFERROR(IF(0=LEN(ReferenceData!$AX$103),"",ReferenceData!$AX$103),"")</f>
        <v>6.2037833190000002</v>
      </c>
      <c r="AY103">
        <f ca="1">IFERROR(IF(0=LEN(ReferenceData!$AY$103),"",ReferenceData!$AY$103),"")</f>
        <v>3.6343378610000001</v>
      </c>
      <c r="AZ103">
        <f ca="1">IFERROR(IF(0=LEN(ReferenceData!$AZ$103),"",ReferenceData!$AZ$103),"")</f>
        <v>7.4299194530000001</v>
      </c>
      <c r="BA103">
        <f ca="1">IFERROR(IF(0=LEN(ReferenceData!$BA$103),"",ReferenceData!$BA$103),"")</f>
        <v>9.5939387679999992</v>
      </c>
      <c r="BB103">
        <f ca="1">IFERROR(IF(0=LEN(ReferenceData!$BB$103),"",ReferenceData!$BB$103),"")</f>
        <v>4.7149030620000003</v>
      </c>
      <c r="BC103">
        <f ca="1">IFERROR(IF(0=LEN(ReferenceData!$BC$103),"",ReferenceData!$BC$103),"")</f>
        <v>4.1598912889999999</v>
      </c>
      <c r="BD103">
        <f ca="1">IFERROR(IF(0=LEN(ReferenceData!$BD$103),"",ReferenceData!$BD$103),"")</f>
        <v>9.0552623860000008</v>
      </c>
      <c r="BE103">
        <f ca="1">IFERROR(IF(0=LEN(ReferenceData!$BE$103),"",ReferenceData!$BE$103),"")</f>
        <v>10.566533229999999</v>
      </c>
      <c r="BF103">
        <f ca="1">IFERROR(IF(0=LEN(ReferenceData!$BF$103),"",ReferenceData!$BF$103),"")</f>
        <v>8.5021911140000004</v>
      </c>
      <c r="BG103">
        <f ca="1">IFERROR(IF(0=LEN(ReferenceData!$BG$103),"",ReferenceData!$BG$103),"")</f>
        <v>9.4846742269999993</v>
      </c>
      <c r="BH103">
        <f ca="1">IFERROR(IF(0=LEN(ReferenceData!$BH$103),"",ReferenceData!$BH$103),"")</f>
        <v>3.4403715269999999</v>
      </c>
      <c r="BI103">
        <f ca="1">IFERROR(IF(0=LEN(ReferenceData!$BI$103),"",ReferenceData!$BI$103),"")</f>
        <v>9.0297059740000005</v>
      </c>
      <c r="BJ103">
        <f ca="1">IFERROR(IF(0=LEN(ReferenceData!$BJ$103),"",ReferenceData!$BJ$103),"")</f>
        <v>7.3436459579999998</v>
      </c>
      <c r="BK103">
        <f ca="1">IFERROR(IF(0=LEN(ReferenceData!$BK$103),"",ReferenceData!$BK$103),"")</f>
        <v>9.0917905680000004</v>
      </c>
      <c r="BL103">
        <f ca="1">IFERROR(IF(0=LEN(ReferenceData!$BL$103),"",ReferenceData!$BL$103),"")</f>
        <v>22.840963129999999</v>
      </c>
      <c r="BM103">
        <f ca="1">IFERROR(IF(0=LEN(ReferenceData!$BM$103),"",ReferenceData!$BM$103),"")</f>
        <v>12.56926294</v>
      </c>
    </row>
    <row r="104" spans="1:65">
      <c r="A104" t="str">
        <f>IFERROR(IF(0=LEN(ReferenceData!$A$104),"",ReferenceData!$A$104),"")</f>
        <v xml:space="preserve">    Boston Properties Inc</v>
      </c>
      <c r="B104" t="str">
        <f>IFERROR(IF(0=LEN(ReferenceData!$B$104),"",ReferenceData!$B$104),"")</f>
        <v>BXP US Equity</v>
      </c>
      <c r="C104" t="str">
        <f>IFERROR(IF(0=LEN(ReferenceData!$C$104),"",ReferenceData!$C$104),"")</f>
        <v>RR033</v>
      </c>
      <c r="D104" t="str">
        <f>IFERROR(IF(0=LEN(ReferenceData!$D$104),"",ReferenceData!$D$104),"")</f>
        <v>SALES_GROWTH</v>
      </c>
      <c r="E104" t="str">
        <f>IFERROR(IF(0=LEN(ReferenceData!$E$104),"",ReferenceData!$E$104),"")</f>
        <v>动态</v>
      </c>
      <c r="F104" t="str">
        <f ca="1">IFERROR(IF(0=LEN(ReferenceData!$F$104),"",ReferenceData!$F$104),"")</f>
        <v/>
      </c>
      <c r="G104">
        <f ca="1">IFERROR(IF(0=LEN(ReferenceData!$G$104),"",ReferenceData!$G$104),"")</f>
        <v>3.0135474430000002</v>
      </c>
      <c r="H104">
        <f ca="1">IFERROR(IF(0=LEN(ReferenceData!$H$104),"",ReferenceData!$H$104),"")</f>
        <v>5.1955446649999999</v>
      </c>
      <c r="I104">
        <f ca="1">IFERROR(IF(0=LEN(ReferenceData!$I$104),"",ReferenceData!$I$104),"")</f>
        <v>5.3502067210000002</v>
      </c>
      <c r="J104">
        <f ca="1">IFERROR(IF(0=LEN(ReferenceData!$J$104),"",ReferenceData!$J$104),"")</f>
        <v>-5.0687327790000003</v>
      </c>
      <c r="K104">
        <f ca="1">IFERROR(IF(0=LEN(ReferenceData!$K$104),"",ReferenceData!$K$104),"")</f>
        <v>1.8936626940000001</v>
      </c>
      <c r="L104">
        <f ca="1">IFERROR(IF(0=LEN(ReferenceData!$L$104),"",ReferenceData!$L$104),"")</f>
        <v>-0.73918372300000001</v>
      </c>
      <c r="M104">
        <f ca="1">IFERROR(IF(0=LEN(ReferenceData!$M$104),"",ReferenceData!$M$104),"")</f>
        <v>0.861342465</v>
      </c>
      <c r="N104">
        <f ca="1">IFERROR(IF(0=LEN(ReferenceData!$N$104),"",ReferenceData!$N$104),"")</f>
        <v>7.6816238630000004</v>
      </c>
      <c r="O104">
        <f ca="1">IFERROR(IF(0=LEN(ReferenceData!$O$104),"",ReferenceData!$O$104),"")</f>
        <v>1.716291325</v>
      </c>
      <c r="P104">
        <f ca="1">IFERROR(IF(0=LEN(ReferenceData!$P$104),"",ReferenceData!$P$104),"")</f>
        <v>1.7907153</v>
      </c>
      <c r="Q104">
        <f ca="1">IFERROR(IF(0=LEN(ReferenceData!$Q$104),"",ReferenceData!$Q$104),"")</f>
        <v>4.8198184450000001</v>
      </c>
      <c r="R104">
        <f ca="1">IFERROR(IF(0=LEN(ReferenceData!$R$104),"",ReferenceData!$R$104),"")</f>
        <v>7.6183151379999998</v>
      </c>
      <c r="S104">
        <f ca="1">IFERROR(IF(0=LEN(ReferenceData!$S$104),"",ReferenceData!$S$104),"")</f>
        <v>6.5095565940000002</v>
      </c>
      <c r="T104">
        <f ca="1">IFERROR(IF(0=LEN(ReferenceData!$T$104),"",ReferenceData!$T$104),"")</f>
        <v>7.790002125</v>
      </c>
      <c r="U104">
        <f ca="1">IFERROR(IF(0=LEN(ReferenceData!$U$104),"",ReferenceData!$U$104),"")</f>
        <v>15.638399870000001</v>
      </c>
      <c r="V104">
        <f ca="1">IFERROR(IF(0=LEN(ReferenceData!$V$104),"",ReferenceData!$V$104),"")</f>
        <v>20.272651549999999</v>
      </c>
      <c r="W104">
        <f ca="1">IFERROR(IF(0=LEN(ReferenceData!$W$104),"",ReferenceData!$W$104),"")</f>
        <v>20.53187239</v>
      </c>
      <c r="X104">
        <f ca="1">IFERROR(IF(0=LEN(ReferenceData!$X$104),"",ReferenceData!$X$104),"")</f>
        <v>21.910622969999999</v>
      </c>
      <c r="Y104">
        <f ca="1">IFERROR(IF(0=LEN(ReferenceData!$Y$104),"",ReferenceData!$Y$104),"")</f>
        <v>8.2070822260000007</v>
      </c>
      <c r="Z104">
        <f ca="1">IFERROR(IF(0=LEN(ReferenceData!$Z$104),"",ReferenceData!$Z$104),"")</f>
        <v>7.6929318240000004</v>
      </c>
      <c r="AA104">
        <f ca="1">IFERROR(IF(0=LEN(ReferenceData!$AA$104),"",ReferenceData!$AA$104),"")</f>
        <v>6.1081664179999997</v>
      </c>
      <c r="AB104">
        <f ca="1">IFERROR(IF(0=LEN(ReferenceData!$AB$104),"",ReferenceData!$AB$104),"")</f>
        <v>4.7144448670000001</v>
      </c>
      <c r="AC104">
        <f ca="1">IFERROR(IF(0=LEN(ReferenceData!$AC$104),"",ReferenceData!$AC$104),"")</f>
        <v>8.6390529820000008</v>
      </c>
      <c r="AD104">
        <f ca="1">IFERROR(IF(0=LEN(ReferenceData!$AD$104),"",ReferenceData!$AD$104),"")</f>
        <v>6.3466230760000002</v>
      </c>
      <c r="AE104">
        <f ca="1">IFERROR(IF(0=LEN(ReferenceData!$AE$104),"",ReferenceData!$AE$104),"")</f>
        <v>14.78946805</v>
      </c>
      <c r="AF104">
        <f ca="1">IFERROR(IF(0=LEN(ReferenceData!$AF$104),"",ReferenceData!$AF$104),"")</f>
        <v>15.835960679999999</v>
      </c>
      <c r="AG104">
        <f ca="1">IFERROR(IF(0=LEN(ReferenceData!$AG$104),"",ReferenceData!$AG$104),"")</f>
        <v>9.5739952220000006</v>
      </c>
      <c r="AH104">
        <f ca="1">IFERROR(IF(0=LEN(ReferenceData!$AH$104),"",ReferenceData!$AH$104),"")</f>
        <v>10.353346330000001</v>
      </c>
      <c r="AI104">
        <f ca="1">IFERROR(IF(0=LEN(ReferenceData!$AI$104),"",ReferenceData!$AI$104),"")</f>
        <v>3.855394907</v>
      </c>
      <c r="AJ104">
        <f ca="1">IFERROR(IF(0=LEN(ReferenceData!$AJ$104),"",ReferenceData!$AJ$104),"")</f>
        <v>2.8944906349999999</v>
      </c>
      <c r="AK104">
        <f ca="1">IFERROR(IF(0=LEN(ReferenceData!$AK$104),"",ReferenceData!$AK$104),"")</f>
        <v>1.660633136</v>
      </c>
      <c r="AL104">
        <f ca="1">IFERROR(IF(0=LEN(ReferenceData!$AL$104),"",ReferenceData!$AL$104),"")</f>
        <v>0.13958637900000001</v>
      </c>
      <c r="AM104">
        <f ca="1">IFERROR(IF(0=LEN(ReferenceData!$AM$104),"",ReferenceData!$AM$104),"")</f>
        <v>-3.173968742</v>
      </c>
      <c r="AN104">
        <f ca="1">IFERROR(IF(0=LEN(ReferenceData!$AN$104),"",ReferenceData!$AN$104),"")</f>
        <v>5.3954322489999997</v>
      </c>
      <c r="AO104">
        <f ca="1">IFERROR(IF(0=LEN(ReferenceData!$AO$104),"",ReferenceData!$AO$104),"")</f>
        <v>5.6444613209999996</v>
      </c>
      <c r="AP104">
        <f ca="1">IFERROR(IF(0=LEN(ReferenceData!$AP$104),"",ReferenceData!$AP$104),"")</f>
        <v>1.6455232719999999</v>
      </c>
      <c r="AQ104">
        <f ca="1">IFERROR(IF(0=LEN(ReferenceData!$AQ$104),"",ReferenceData!$AQ$104),"")</f>
        <v>2.4974395340000002</v>
      </c>
      <c r="AR104">
        <f ca="1">IFERROR(IF(0=LEN(ReferenceData!$AR$104),"",ReferenceData!$AR$104),"")</f>
        <v>-2.8747856660000002</v>
      </c>
      <c r="AS104">
        <f ca="1">IFERROR(IF(0=LEN(ReferenceData!$AS$104),"",ReferenceData!$AS$104),"")</f>
        <v>-0.94918769599999997</v>
      </c>
      <c r="AT104">
        <f ca="1">IFERROR(IF(0=LEN(ReferenceData!$AT$104),"",ReferenceData!$AT$104),"")</f>
        <v>2.9744693</v>
      </c>
      <c r="AU104">
        <f ca="1">IFERROR(IF(0=LEN(ReferenceData!$AU$104),"",ReferenceData!$AU$104),"")</f>
        <v>7.9737657689999999</v>
      </c>
      <c r="AV104">
        <f ca="1">IFERROR(IF(0=LEN(ReferenceData!$AV$104),"",ReferenceData!$AV$104),"")</f>
        <v>2.5276984229999999</v>
      </c>
      <c r="AW104">
        <f ca="1">IFERROR(IF(0=LEN(ReferenceData!$AW$104),"",ReferenceData!$AW$104),"")</f>
        <v>3.9959654769999999</v>
      </c>
      <c r="AX104">
        <f ca="1">IFERROR(IF(0=LEN(ReferenceData!$AX$104),"",ReferenceData!$AX$104),"")</f>
        <v>3.78449144</v>
      </c>
      <c r="AY104">
        <f ca="1">IFERROR(IF(0=LEN(ReferenceData!$AY$104),"",ReferenceData!$AY$104),"")</f>
        <v>-3.7299397000000001</v>
      </c>
      <c r="AZ104">
        <f ca="1">IFERROR(IF(0=LEN(ReferenceData!$AZ$104),"",ReferenceData!$AZ$104),"")</f>
        <v>0.112226882</v>
      </c>
      <c r="BA104">
        <f ca="1">IFERROR(IF(0=LEN(ReferenceData!$BA$104),"",ReferenceData!$BA$104),"")</f>
        <v>-6.7051280000000003E-3</v>
      </c>
      <c r="BB104">
        <f ca="1">IFERROR(IF(0=LEN(ReferenceData!$BB$104),"",ReferenceData!$BB$104),"")</f>
        <v>-1.89768907</v>
      </c>
      <c r="BC104">
        <f ca="1">IFERROR(IF(0=LEN(ReferenceData!$BC$104),"",ReferenceData!$BC$104),"")</f>
        <v>1.9528771330000001</v>
      </c>
      <c r="BD104">
        <f ca="1">IFERROR(IF(0=LEN(ReferenceData!$BD$104),"",ReferenceData!$BD$104),"")</f>
        <v>-1.1973147E-2</v>
      </c>
      <c r="BE104">
        <f ca="1">IFERROR(IF(0=LEN(ReferenceData!$BE$104),"",ReferenceData!$BE$104),"")</f>
        <v>3.709294678</v>
      </c>
      <c r="BF104">
        <f ca="1">IFERROR(IF(0=LEN(ReferenceData!$BF$104),"",ReferenceData!$BF$104),"")</f>
        <v>6.1797550760000002</v>
      </c>
      <c r="BG104">
        <f ca="1">IFERROR(IF(0=LEN(ReferenceData!$BG$104),"",ReferenceData!$BG$104),"")</f>
        <v>7.6102487459999999</v>
      </c>
      <c r="BH104">
        <f ca="1">IFERROR(IF(0=LEN(ReferenceData!$BH$104),"",ReferenceData!$BH$104),"")</f>
        <v>9.4629535730000001</v>
      </c>
      <c r="BI104">
        <f ca="1">IFERROR(IF(0=LEN(ReferenceData!$BI$104),"",ReferenceData!$BI$104),"")</f>
        <v>7.4862579609999997</v>
      </c>
      <c r="BJ104">
        <f ca="1">IFERROR(IF(0=LEN(ReferenceData!$BJ$104),"",ReferenceData!$BJ$104),"")</f>
        <v>5.1216420669999998</v>
      </c>
      <c r="BK104">
        <f ca="1">IFERROR(IF(0=LEN(ReferenceData!$BK$104),"",ReferenceData!$BK$104),"")</f>
        <v>0.17220270900000001</v>
      </c>
      <c r="BL104">
        <f ca="1">IFERROR(IF(0=LEN(ReferenceData!$BL$104),"",ReferenceData!$BL$104),"")</f>
        <v>8.9301556229999992</v>
      </c>
      <c r="BM104">
        <f ca="1">IFERROR(IF(0=LEN(ReferenceData!$BM$104),"",ReferenceData!$BM$104),"")</f>
        <v>13.33178114</v>
      </c>
    </row>
    <row r="105" spans="1:65">
      <c r="A105" t="str">
        <f>IFERROR(IF(0=LEN(ReferenceData!$A$105),"",ReferenceData!$A$105),"")</f>
        <v xml:space="preserve">    Brandywine Realty Trust</v>
      </c>
      <c r="B105" t="str">
        <f>IFERROR(IF(0=LEN(ReferenceData!$B$105),"",ReferenceData!$B$105),"")</f>
        <v>BDN US Equity</v>
      </c>
      <c r="C105" t="str">
        <f>IFERROR(IF(0=LEN(ReferenceData!$C$105),"",ReferenceData!$C$105),"")</f>
        <v>RR033</v>
      </c>
      <c r="D105" t="str">
        <f>IFERROR(IF(0=LEN(ReferenceData!$D$105),"",ReferenceData!$D$105),"")</f>
        <v>SALES_GROWTH</v>
      </c>
      <c r="E105" t="str">
        <f>IFERROR(IF(0=LEN(ReferenceData!$E$105),"",ReferenceData!$E$105),"")</f>
        <v>动态</v>
      </c>
      <c r="F105" t="str">
        <f ca="1">IFERROR(IF(0=LEN(ReferenceData!$F$105),"",ReferenceData!$F$105),"")</f>
        <v/>
      </c>
      <c r="G105">
        <f ca="1">IFERROR(IF(0=LEN(ReferenceData!$G$105),"",ReferenceData!$G$105),"")</f>
        <v>0.95240979400000003</v>
      </c>
      <c r="H105">
        <f ca="1">IFERROR(IF(0=LEN(ReferenceData!$H$105),"",ReferenceData!$H$105),"")</f>
        <v>-0.96843338899999998</v>
      </c>
      <c r="I105">
        <f ca="1">IFERROR(IF(0=LEN(ReferenceData!$I$105),"",ReferenceData!$I$105),"")</f>
        <v>0.47963139199999999</v>
      </c>
      <c r="J105">
        <f ca="1">IFERROR(IF(0=LEN(ReferenceData!$J$105),"",ReferenceData!$J$105),"")</f>
        <v>-4.0893173730000001</v>
      </c>
      <c r="K105">
        <f ca="1">IFERROR(IF(0=LEN(ReferenceData!$K$105),"",ReferenceData!$K$105),"")</f>
        <v>-14.22541431</v>
      </c>
      <c r="L105">
        <f ca="1">IFERROR(IF(0=LEN(ReferenceData!$L$105),"",ReferenceData!$L$105),"")</f>
        <v>-15.00212996</v>
      </c>
      <c r="M105">
        <f ca="1">IFERROR(IF(0=LEN(ReferenceData!$M$105),"",ReferenceData!$M$105),"")</f>
        <v>-12.67919917</v>
      </c>
      <c r="N105">
        <f ca="1">IFERROR(IF(0=LEN(ReferenceData!$N$105),"",ReferenceData!$N$105),"")</f>
        <v>-9.2443120620000006</v>
      </c>
      <c r="O105">
        <f ca="1">IFERROR(IF(0=LEN(ReferenceData!$O$105),"",ReferenceData!$O$105),"")</f>
        <v>4.1823963199999996</v>
      </c>
      <c r="P105">
        <f ca="1">IFERROR(IF(0=LEN(ReferenceData!$P$105),"",ReferenceData!$P$105),"")</f>
        <v>4.1123650700000001</v>
      </c>
      <c r="Q105">
        <f ca="1">IFERROR(IF(0=LEN(ReferenceData!$Q$105),"",ReferenceData!$Q$105),"")</f>
        <v>-3.2239202659999999</v>
      </c>
      <c r="R105">
        <f ca="1">IFERROR(IF(0=LEN(ReferenceData!$R$105),"",ReferenceData!$R$105),"")</f>
        <v>-1.122842079</v>
      </c>
      <c r="S105">
        <f ca="1">IFERROR(IF(0=LEN(ReferenceData!$S$105),"",ReferenceData!$S$105),"")</f>
        <v>6.6004125260000004</v>
      </c>
      <c r="T105">
        <f ca="1">IFERROR(IF(0=LEN(ReferenceData!$T$105),"",ReferenceData!$T$105),"")</f>
        <v>2.2350265779999998</v>
      </c>
      <c r="U105">
        <f ca="1">IFERROR(IF(0=LEN(ReferenceData!$U$105),"",ReferenceData!$U$105),"")</f>
        <v>7.0077642840000003</v>
      </c>
      <c r="V105">
        <f ca="1">IFERROR(IF(0=LEN(ReferenceData!$V$105),"",ReferenceData!$V$105),"")</f>
        <v>9.0001003199999996</v>
      </c>
      <c r="W105">
        <f ca="1">IFERROR(IF(0=LEN(ReferenceData!$W$105),"",ReferenceData!$W$105),"")</f>
        <v>1.6591517280000001</v>
      </c>
      <c r="X105">
        <f ca="1">IFERROR(IF(0=LEN(ReferenceData!$X$105),"",ReferenceData!$X$105),"")</f>
        <v>6.5670532259999996</v>
      </c>
      <c r="Y105">
        <f ca="1">IFERROR(IF(0=LEN(ReferenceData!$Y$105),"",ReferenceData!$Y$105),"")</f>
        <v>6.7077380639999999</v>
      </c>
      <c r="Z105">
        <f ca="1">IFERROR(IF(0=LEN(ReferenceData!$Z$105),"",ReferenceData!$Z$105),"")</f>
        <v>3.7275436860000002</v>
      </c>
      <c r="AA105">
        <f ca="1">IFERROR(IF(0=LEN(ReferenceData!$AA$105),"",ReferenceData!$AA$105),"")</f>
        <v>-3.5982358680000002</v>
      </c>
      <c r="AB105">
        <f ca="1">IFERROR(IF(0=LEN(ReferenceData!$AB$105),"",ReferenceData!$AB$105),"")</f>
        <v>-3.5014096029999999</v>
      </c>
      <c r="AC105">
        <f ca="1">IFERROR(IF(0=LEN(ReferenceData!$AC$105),"",ReferenceData!$AC$105),"")</f>
        <v>-5.3472556359999999</v>
      </c>
      <c r="AD105">
        <f ca="1">IFERROR(IF(0=LEN(ReferenceData!$AD$105),"",ReferenceData!$AD$105),"")</f>
        <v>-6.7630874990000001</v>
      </c>
      <c r="AE105">
        <f ca="1">IFERROR(IF(0=LEN(ReferenceData!$AE$105),"",ReferenceData!$AE$105),"")</f>
        <v>-3.147504176</v>
      </c>
      <c r="AF105">
        <f ca="1">IFERROR(IF(0=LEN(ReferenceData!$AF$105),"",ReferenceData!$AF$105),"")</f>
        <v>-1.477822068</v>
      </c>
      <c r="AG105">
        <f ca="1">IFERROR(IF(0=LEN(ReferenceData!$AG$105),"",ReferenceData!$AG$105),"")</f>
        <v>2.7690649980000002</v>
      </c>
      <c r="AH105">
        <f ca="1">IFERROR(IF(0=LEN(ReferenceData!$AH$105),"",ReferenceData!$AH$105),"")</f>
        <v>2.0249727790000001</v>
      </c>
      <c r="AI105">
        <f ca="1">IFERROR(IF(0=LEN(ReferenceData!$AI$105),"",ReferenceData!$AI$105),"")</f>
        <v>-0.37576294900000001</v>
      </c>
      <c r="AJ105">
        <f ca="1">IFERROR(IF(0=LEN(ReferenceData!$AJ$105),"",ReferenceData!$AJ$105),"")</f>
        <v>-3.0438417370000002</v>
      </c>
      <c r="AK105">
        <f ca="1">IFERROR(IF(0=LEN(ReferenceData!$AK$105),"",ReferenceData!$AK$105),"")</f>
        <v>-4.6292777000000003</v>
      </c>
      <c r="AL105">
        <f ca="1">IFERROR(IF(0=LEN(ReferenceData!$AL$105),"",ReferenceData!$AL$105),"")</f>
        <v>-3.6100074289999999</v>
      </c>
      <c r="AM105">
        <f ca="1">IFERROR(IF(0=LEN(ReferenceData!$AM$105),"",ReferenceData!$AM$105),"")</f>
        <v>-1.6598484339999999</v>
      </c>
      <c r="AN105">
        <f ca="1">IFERROR(IF(0=LEN(ReferenceData!$AN$105),"",ReferenceData!$AN$105),"")</f>
        <v>1.105737921</v>
      </c>
      <c r="AO105">
        <f ca="1">IFERROR(IF(0=LEN(ReferenceData!$AO$105),"",ReferenceData!$AO$105),"")</f>
        <v>-5.7652255810000002</v>
      </c>
      <c r="AP105">
        <f ca="1">IFERROR(IF(0=LEN(ReferenceData!$AP$105),"",ReferenceData!$AP$105),"")</f>
        <v>-3.6211607680000002</v>
      </c>
      <c r="AQ105">
        <f ca="1">IFERROR(IF(0=LEN(ReferenceData!$AQ$105),"",ReferenceData!$AQ$105),"")</f>
        <v>-6.4912423730000004</v>
      </c>
      <c r="AR105">
        <f ca="1">IFERROR(IF(0=LEN(ReferenceData!$AR$105),"",ReferenceData!$AR$105),"")</f>
        <v>-11.525070489999999</v>
      </c>
      <c r="AS105">
        <f ca="1">IFERROR(IF(0=LEN(ReferenceData!$AS$105),"",ReferenceData!$AS$105),"")</f>
        <v>-0.95519642599999999</v>
      </c>
      <c r="AT105">
        <f ca="1">IFERROR(IF(0=LEN(ReferenceData!$AT$105),"",ReferenceData!$AT$105),"")</f>
        <v>-8.0563339450000004</v>
      </c>
      <c r="AU105">
        <f ca="1">IFERROR(IF(0=LEN(ReferenceData!$AU$105),"",ReferenceData!$AU$105),"")</f>
        <v>-9.6768529270000005</v>
      </c>
      <c r="AV105">
        <f ca="1">IFERROR(IF(0=LEN(ReferenceData!$AV$105),"",ReferenceData!$AV$105),"")</f>
        <v>-1.079910988</v>
      </c>
      <c r="AW105">
        <f ca="1">IFERROR(IF(0=LEN(ReferenceData!$AW$105),"",ReferenceData!$AW$105),"")</f>
        <v>-0.51110443000000005</v>
      </c>
      <c r="AX105">
        <f ca="1">IFERROR(IF(0=LEN(ReferenceData!$AX$105),"",ReferenceData!$AX$105),"")</f>
        <v>12.97418263</v>
      </c>
      <c r="AY105">
        <f ca="1">IFERROR(IF(0=LEN(ReferenceData!$AY$105),"",ReferenceData!$AY$105),"")</f>
        <v>80.775138229999996</v>
      </c>
      <c r="AZ105">
        <f ca="1">IFERROR(IF(0=LEN(ReferenceData!$AZ$105),"",ReferenceData!$AZ$105),"")</f>
        <v>72.998290170000004</v>
      </c>
      <c r="BA105">
        <f ca="1">IFERROR(IF(0=LEN(ReferenceData!$BA$105),"",ReferenceData!$BA$105),"")</f>
        <v>59.791542649999997</v>
      </c>
      <c r="BB105">
        <f ca="1">IFERROR(IF(0=LEN(ReferenceData!$BB$105),"",ReferenceData!$BB$105),"")</f>
        <v>47.003129260000001</v>
      </c>
      <c r="BC105">
        <f ca="1">IFERROR(IF(0=LEN(ReferenceData!$BC$105),"",ReferenceData!$BC$105),"")</f>
        <v>1.583140902</v>
      </c>
      <c r="BD105">
        <f ca="1">IFERROR(IF(0=LEN(ReferenceData!$BD$105),"",ReferenceData!$BD$105),"")</f>
        <v>19.976591410000001</v>
      </c>
      <c r="BE105">
        <f ca="1">IFERROR(IF(0=LEN(ReferenceData!$BE$105),"",ReferenceData!$BE$105),"")</f>
        <v>24.748876289999998</v>
      </c>
      <c r="BF105">
        <f ca="1">IFERROR(IF(0=LEN(ReferenceData!$BF$105),"",ReferenceData!$BF$105),"")</f>
        <v>34.990522609999999</v>
      </c>
      <c r="BG105" t="str">
        <f ca="1">IFERROR(IF(0=LEN(ReferenceData!$BG$105),"",ReferenceData!$BG$105),"")</f>
        <v/>
      </c>
      <c r="BH105">
        <f ca="1">IFERROR(IF(0=LEN(ReferenceData!$BH$105),"",ReferenceData!$BH$105),"")</f>
        <v>3.1881874730000002</v>
      </c>
      <c r="BI105">
        <f ca="1">IFERROR(IF(0=LEN(ReferenceData!$BI$105),"",ReferenceData!$BI$105),"")</f>
        <v>3.0766544910000002</v>
      </c>
      <c r="BJ105">
        <f ca="1">IFERROR(IF(0=LEN(ReferenceData!$BJ$105),"",ReferenceData!$BJ$105),"")</f>
        <v>-1.8354354669999999</v>
      </c>
      <c r="BK105" t="str">
        <f ca="1">IFERROR(IF(0=LEN(ReferenceData!$BK$105),"",ReferenceData!$BK$105),"")</f>
        <v/>
      </c>
      <c r="BL105">
        <f ca="1">IFERROR(IF(0=LEN(ReferenceData!$BL$105),"",ReferenceData!$BL$105),"")</f>
        <v>3.4333149760000001</v>
      </c>
      <c r="BM105">
        <f ca="1">IFERROR(IF(0=LEN(ReferenceData!$BM$105),"",ReferenceData!$BM$105),"")</f>
        <v>2.1257920289999999</v>
      </c>
    </row>
    <row r="106" spans="1:65">
      <c r="A106" t="str">
        <f>IFERROR(IF(0=LEN(ReferenceData!$A$106),"",ReferenceData!$A$106),"")</f>
        <v xml:space="preserve">    Columbia Property Trust Inc</v>
      </c>
      <c r="B106" t="str">
        <f>IFERROR(IF(0=LEN(ReferenceData!$B$106),"",ReferenceData!$B$106),"")</f>
        <v>CXP US Equity</v>
      </c>
      <c r="C106" t="str">
        <f>IFERROR(IF(0=LEN(ReferenceData!$C$106),"",ReferenceData!$C$106),"")</f>
        <v>RR033</v>
      </c>
      <c r="D106" t="str">
        <f>IFERROR(IF(0=LEN(ReferenceData!$D$106),"",ReferenceData!$D$106),"")</f>
        <v>SALES_GROWTH</v>
      </c>
      <c r="E106" t="str">
        <f>IFERROR(IF(0=LEN(ReferenceData!$E$106),"",ReferenceData!$E$106),"")</f>
        <v>动态</v>
      </c>
      <c r="F106" t="str">
        <f ca="1">IFERROR(IF(0=LEN(ReferenceData!$F$106),"",ReferenceData!$F$106),"")</f>
        <v/>
      </c>
      <c r="G106">
        <f ca="1">IFERROR(IF(0=LEN(ReferenceData!$G$106),"",ReferenceData!$G$106),"")</f>
        <v>-32.281030180000002</v>
      </c>
      <c r="H106">
        <f ca="1">IFERROR(IF(0=LEN(ReferenceData!$H$106),"",ReferenceData!$H$106),"")</f>
        <v>-46.707749900000003</v>
      </c>
      <c r="I106">
        <f ca="1">IFERROR(IF(0=LEN(ReferenceData!$I$106),"",ReferenceData!$I$106),"")</f>
        <v>-41.485968890000002</v>
      </c>
      <c r="J106">
        <f ca="1">IFERROR(IF(0=LEN(ReferenceData!$J$106),"",ReferenceData!$J$106),"")</f>
        <v>-35.095078960000002</v>
      </c>
      <c r="K106">
        <f ca="1">IFERROR(IF(0=LEN(ReferenceData!$K$106),"",ReferenceData!$K$106),"")</f>
        <v>-20.28278778</v>
      </c>
      <c r="L106">
        <f ca="1">IFERROR(IF(0=LEN(ReferenceData!$L$106),"",ReferenceData!$L$106),"")</f>
        <v>-17.755719979999999</v>
      </c>
      <c r="M106">
        <f ca="1">IFERROR(IF(0=LEN(ReferenceData!$M$106),"",ReferenceData!$M$106),"")</f>
        <v>-13.63317221</v>
      </c>
      <c r="N106">
        <f ca="1">IFERROR(IF(0=LEN(ReferenceData!$N$106),"",ReferenceData!$N$106),"")</f>
        <v>-14.20873915</v>
      </c>
      <c r="O106">
        <f ca="1">IFERROR(IF(0=LEN(ReferenceData!$O$106),"",ReferenceData!$O$106),"")</f>
        <v>-3.7797970859999999</v>
      </c>
      <c r="P106">
        <f ca="1">IFERROR(IF(0=LEN(ReferenceData!$P$106),"",ReferenceData!$P$106),"")</f>
        <v>0.53876084999999996</v>
      </c>
      <c r="Q106">
        <f ca="1">IFERROR(IF(0=LEN(ReferenceData!$Q$106),"",ReferenceData!$Q$106),"")</f>
        <v>8.3118231609999995</v>
      </c>
      <c r="R106">
        <f ca="1">IFERROR(IF(0=LEN(ReferenceData!$R$106),"",ReferenceData!$R$106),"")</f>
        <v>14.225659609999999</v>
      </c>
      <c r="S106">
        <f ca="1">IFERROR(IF(0=LEN(ReferenceData!$S$106),"",ReferenceData!$S$106),"")</f>
        <v>3.3766409020000001</v>
      </c>
      <c r="T106">
        <f ca="1">IFERROR(IF(0=LEN(ReferenceData!$T$106),"",ReferenceData!$T$106),"")</f>
        <v>3.3803263349999999</v>
      </c>
      <c r="U106">
        <f ca="1">IFERROR(IF(0=LEN(ReferenceData!$U$106),"",ReferenceData!$U$106),"")</f>
        <v>3.6846933590000002</v>
      </c>
      <c r="V106">
        <f ca="1">IFERROR(IF(0=LEN(ReferenceData!$V$106),"",ReferenceData!$V$106),"")</f>
        <v>0.291943599</v>
      </c>
      <c r="W106">
        <f ca="1">IFERROR(IF(0=LEN(ReferenceData!$W$106),"",ReferenceData!$W$106),"")</f>
        <v>6.2819215479999997</v>
      </c>
      <c r="X106">
        <f ca="1">IFERROR(IF(0=LEN(ReferenceData!$X$106),"",ReferenceData!$X$106),"")</f>
        <v>-8.4349172130000003</v>
      </c>
      <c r="Y106">
        <f ca="1">IFERROR(IF(0=LEN(ReferenceData!$Y$106),"",ReferenceData!$Y$106),"")</f>
        <v>-6.4367848710000004</v>
      </c>
      <c r="Z106">
        <f ca="1">IFERROR(IF(0=LEN(ReferenceData!$Z$106),"",ReferenceData!$Z$106),"")</f>
        <v>-8.8778831189999998</v>
      </c>
      <c r="AA106">
        <f ca="1">IFERROR(IF(0=LEN(ReferenceData!$AA$106),"",ReferenceData!$AA$106),"")</f>
        <v>2.5418327999999999</v>
      </c>
      <c r="AB106">
        <f ca="1">IFERROR(IF(0=LEN(ReferenceData!$AB$106),"",ReferenceData!$AB$106),"")</f>
        <v>-7.9137606270000003</v>
      </c>
      <c r="AC106">
        <f ca="1">IFERROR(IF(0=LEN(ReferenceData!$AC$106),"",ReferenceData!$AC$106),"")</f>
        <v>-7.7982131409999997</v>
      </c>
      <c r="AD106">
        <f ca="1">IFERROR(IF(0=LEN(ReferenceData!$AD$106),"",ReferenceData!$AD$106),"")</f>
        <v>-1.8192679860000001</v>
      </c>
      <c r="AE106">
        <f ca="1">IFERROR(IF(0=LEN(ReferenceData!$AE$106),"",ReferenceData!$AE$106),"")</f>
        <v>-6.3307414440000001</v>
      </c>
      <c r="AF106">
        <f ca="1">IFERROR(IF(0=LEN(ReferenceData!$AF$106),"",ReferenceData!$AF$106),"")</f>
        <v>8.6899986170000005</v>
      </c>
      <c r="AG106">
        <f ca="1">IFERROR(IF(0=LEN(ReferenceData!$AG$106),"",ReferenceData!$AG$106),"")</f>
        <v>9.1406177500000005</v>
      </c>
      <c r="AH106">
        <f ca="1">IFERROR(IF(0=LEN(ReferenceData!$AH$106),"",ReferenceData!$AH$106),"")</f>
        <v>6.1848141969999997</v>
      </c>
      <c r="AI106">
        <f ca="1">IFERROR(IF(0=LEN(ReferenceData!$AI$106),"",ReferenceData!$AI$106),"")</f>
        <v>-14.390544330000001</v>
      </c>
      <c r="AJ106">
        <f ca="1">IFERROR(IF(0=LEN(ReferenceData!$AJ$106),"",ReferenceData!$AJ$106),"")</f>
        <v>4.9247427320000003</v>
      </c>
      <c r="AK106">
        <f ca="1">IFERROR(IF(0=LEN(ReferenceData!$AK$106),"",ReferenceData!$AK$106),"")</f>
        <v>0.31220238700000003</v>
      </c>
      <c r="AL106">
        <f ca="1">IFERROR(IF(0=LEN(ReferenceData!$AL$106),"",ReferenceData!$AL$106),"")</f>
        <v>-1.28370359</v>
      </c>
      <c r="AM106" t="str">
        <f ca="1">IFERROR(IF(0=LEN(ReferenceData!$AM$106),"",ReferenceData!$AM$106),"")</f>
        <v/>
      </c>
      <c r="AN106" t="str">
        <f ca="1">IFERROR(IF(0=LEN(ReferenceData!$AN$106),"",ReferenceData!$AN$106),"")</f>
        <v/>
      </c>
      <c r="AO106" t="str">
        <f ca="1">IFERROR(IF(0=LEN(ReferenceData!$AO$106),"",ReferenceData!$AO$106),"")</f>
        <v/>
      </c>
      <c r="AP106" t="str">
        <f ca="1">IFERROR(IF(0=LEN(ReferenceData!$AP$106),"",ReferenceData!$AP$106),"")</f>
        <v/>
      </c>
      <c r="AQ106" t="str">
        <f ca="1">IFERROR(IF(0=LEN(ReferenceData!$AQ$106),"",ReferenceData!$AQ$106),"")</f>
        <v/>
      </c>
      <c r="AR106" t="str">
        <f ca="1">IFERROR(IF(0=LEN(ReferenceData!$AR$106),"",ReferenceData!$AR$106),"")</f>
        <v/>
      </c>
      <c r="AS106" t="str">
        <f ca="1">IFERROR(IF(0=LEN(ReferenceData!$AS$106),"",ReferenceData!$AS$106),"")</f>
        <v/>
      </c>
      <c r="AT106" t="str">
        <f ca="1">IFERROR(IF(0=LEN(ReferenceData!$AT$106),"",ReferenceData!$AT$106),"")</f>
        <v/>
      </c>
      <c r="AU106" t="str">
        <f ca="1">IFERROR(IF(0=LEN(ReferenceData!$AU$106),"",ReferenceData!$AU$106),"")</f>
        <v/>
      </c>
      <c r="AV106" t="str">
        <f ca="1">IFERROR(IF(0=LEN(ReferenceData!$AV$106),"",ReferenceData!$AV$106),"")</f>
        <v/>
      </c>
      <c r="AW106" t="str">
        <f ca="1">IFERROR(IF(0=LEN(ReferenceData!$AW$106),"",ReferenceData!$AW$106),"")</f>
        <v/>
      </c>
      <c r="AX106" t="str">
        <f ca="1">IFERROR(IF(0=LEN(ReferenceData!$AX$106),"",ReferenceData!$AX$106),"")</f>
        <v/>
      </c>
      <c r="AY106" t="str">
        <f ca="1">IFERROR(IF(0=LEN(ReferenceData!$AY$106),"",ReferenceData!$AY$106),"")</f>
        <v/>
      </c>
      <c r="AZ106" t="str">
        <f ca="1">IFERROR(IF(0=LEN(ReferenceData!$AZ$106),"",ReferenceData!$AZ$106),"")</f>
        <v/>
      </c>
      <c r="BA106" t="str">
        <f ca="1">IFERROR(IF(0=LEN(ReferenceData!$BA$106),"",ReferenceData!$BA$106),"")</f>
        <v/>
      </c>
      <c r="BB106" t="str">
        <f ca="1">IFERROR(IF(0=LEN(ReferenceData!$BB$106),"",ReferenceData!$BB$106),"")</f>
        <v/>
      </c>
      <c r="BC106" t="str">
        <f ca="1">IFERROR(IF(0=LEN(ReferenceData!$BC$106),"",ReferenceData!$BC$106),"")</f>
        <v/>
      </c>
      <c r="BD106" t="str">
        <f ca="1">IFERROR(IF(0=LEN(ReferenceData!$BD$106),"",ReferenceData!$BD$106),"")</f>
        <v/>
      </c>
      <c r="BE106" t="str">
        <f ca="1">IFERROR(IF(0=LEN(ReferenceData!$BE$106),"",ReferenceData!$BE$106),"")</f>
        <v/>
      </c>
      <c r="BF106" t="str">
        <f ca="1">IFERROR(IF(0=LEN(ReferenceData!$BF$106),"",ReferenceData!$BF$106),"")</f>
        <v/>
      </c>
      <c r="BG106" t="str">
        <f ca="1">IFERROR(IF(0=LEN(ReferenceData!$BG$106),"",ReferenceData!$BG$106),"")</f>
        <v/>
      </c>
      <c r="BH106" t="str">
        <f ca="1">IFERROR(IF(0=LEN(ReferenceData!$BH$106),"",ReferenceData!$BH$106),"")</f>
        <v/>
      </c>
      <c r="BI106" t="str">
        <f ca="1">IFERROR(IF(0=LEN(ReferenceData!$BI$106),"",ReferenceData!$BI$106),"")</f>
        <v/>
      </c>
      <c r="BJ106" t="str">
        <f ca="1">IFERROR(IF(0=LEN(ReferenceData!$BJ$106),"",ReferenceData!$BJ$106),"")</f>
        <v/>
      </c>
      <c r="BK106" t="str">
        <f ca="1">IFERROR(IF(0=LEN(ReferenceData!$BK$106),"",ReferenceData!$BK$106),"")</f>
        <v/>
      </c>
      <c r="BL106" t="str">
        <f ca="1">IFERROR(IF(0=LEN(ReferenceData!$BL$106),"",ReferenceData!$BL$106),"")</f>
        <v/>
      </c>
      <c r="BM106" t="str">
        <f ca="1">IFERROR(IF(0=LEN(ReferenceData!$BM$106),"",ReferenceData!$BM$106),"")</f>
        <v/>
      </c>
    </row>
    <row r="107" spans="1:65">
      <c r="A107" t="str">
        <f>IFERROR(IF(0=LEN(ReferenceData!$A$107),"",ReferenceData!$A$107),"")</f>
        <v xml:space="preserve">    Corporate Office Properties Tr</v>
      </c>
      <c r="B107" t="str">
        <f>IFERROR(IF(0=LEN(ReferenceData!$B$107),"",ReferenceData!$B$107),"")</f>
        <v>OFC US Equity</v>
      </c>
      <c r="C107" t="str">
        <f>IFERROR(IF(0=LEN(ReferenceData!$C$107),"",ReferenceData!$C$107),"")</f>
        <v>RR033</v>
      </c>
      <c r="D107" t="str">
        <f>IFERROR(IF(0=LEN(ReferenceData!$D$107),"",ReferenceData!$D$107),"")</f>
        <v>SALES_GROWTH</v>
      </c>
      <c r="E107" t="str">
        <f>IFERROR(IF(0=LEN(ReferenceData!$E$107),"",ReferenceData!$E$107),"")</f>
        <v>动态</v>
      </c>
      <c r="F107" t="str">
        <f ca="1">IFERROR(IF(0=LEN(ReferenceData!$F$107),"",ReferenceData!$F$107),"")</f>
        <v/>
      </c>
      <c r="G107">
        <f ca="1">IFERROR(IF(0=LEN(ReferenceData!$G$107),"",ReferenceData!$G$107),"")</f>
        <v>15.89959927</v>
      </c>
      <c r="H107">
        <f ca="1">IFERROR(IF(0=LEN(ReferenceData!$H$107),"",ReferenceData!$H$107),"")</f>
        <v>10.49520418</v>
      </c>
      <c r="I107">
        <f ca="1">IFERROR(IF(0=LEN(ReferenceData!$I$107),"",ReferenceData!$I$107),"")</f>
        <v>3.7744899850000002</v>
      </c>
      <c r="J107">
        <f ca="1">IFERROR(IF(0=LEN(ReferenceData!$J$107),"",ReferenceData!$J$107),"")</f>
        <v>-3.12250965</v>
      </c>
      <c r="K107">
        <f ca="1">IFERROR(IF(0=LEN(ReferenceData!$K$107),"",ReferenceData!$K$107),"")</f>
        <v>-0.93075178800000002</v>
      </c>
      <c r="L107">
        <f ca="1">IFERROR(IF(0=LEN(ReferenceData!$L$107),"",ReferenceData!$L$107),"")</f>
        <v>-5.7322347819999999</v>
      </c>
      <c r="M107">
        <f ca="1">IFERROR(IF(0=LEN(ReferenceData!$M$107),"",ReferenceData!$M$107),"")</f>
        <v>-14.34349008</v>
      </c>
      <c r="N107">
        <f ca="1">IFERROR(IF(0=LEN(ReferenceData!$N$107),"",ReferenceData!$N$107),"")</f>
        <v>-10.387247410000001</v>
      </c>
      <c r="O107">
        <f ca="1">IFERROR(IF(0=LEN(ReferenceData!$O$107),"",ReferenceData!$O$107),"")</f>
        <v>-2.4807615109999999</v>
      </c>
      <c r="P107">
        <f ca="1">IFERROR(IF(0=LEN(ReferenceData!$P$107),"",ReferenceData!$P$107),"")</f>
        <v>-1.4841682190000001</v>
      </c>
      <c r="Q107">
        <f ca="1">IFERROR(IF(0=LEN(ReferenceData!$Q$107),"",ReferenceData!$Q$107),"")</f>
        <v>21.84451438</v>
      </c>
      <c r="R107">
        <f ca="1">IFERROR(IF(0=LEN(ReferenceData!$R$107),"",ReferenceData!$R$107),"")</f>
        <v>9.7956595550000003</v>
      </c>
      <c r="S107">
        <f ca="1">IFERROR(IF(0=LEN(ReferenceData!$S$107),"",ReferenceData!$S$107),"")</f>
        <v>14.106147419999999</v>
      </c>
      <c r="T107">
        <f ca="1">IFERROR(IF(0=LEN(ReferenceData!$T$107),"",ReferenceData!$T$107),"")</f>
        <v>16.08578885</v>
      </c>
      <c r="U107">
        <f ca="1">IFERROR(IF(0=LEN(ReferenceData!$U$107),"",ReferenceData!$U$107),"")</f>
        <v>2.4119771179999998</v>
      </c>
      <c r="V107">
        <f ca="1">IFERROR(IF(0=LEN(ReferenceData!$V$107),"",ReferenceData!$V$107),"")</f>
        <v>16.200413569999998</v>
      </c>
      <c r="W107">
        <f ca="1">IFERROR(IF(0=LEN(ReferenceData!$W$107),"",ReferenceData!$W$107),"")</f>
        <v>-2.8898857769999999</v>
      </c>
      <c r="X107">
        <f ca="1">IFERROR(IF(0=LEN(ReferenceData!$X$107),"",ReferenceData!$X$107),"")</f>
        <v>1.281657241</v>
      </c>
      <c r="Y107">
        <f ca="1">IFERROR(IF(0=LEN(ReferenceData!$Y$107),"",ReferenceData!$Y$107),"")</f>
        <v>6.9424426620000004</v>
      </c>
      <c r="Z107">
        <f ca="1">IFERROR(IF(0=LEN(ReferenceData!$Z$107),"",ReferenceData!$Z$107),"")</f>
        <v>-4.5205945759999997</v>
      </c>
      <c r="AA107">
        <f ca="1">IFERROR(IF(0=LEN(ReferenceData!$AA$107),"",ReferenceData!$AA$107),"")</f>
        <v>3.642146061</v>
      </c>
      <c r="AB107">
        <f ca="1">IFERROR(IF(0=LEN(ReferenceData!$AB$107),"",ReferenceData!$AB$107),"")</f>
        <v>2.7125573169999999</v>
      </c>
      <c r="AC107">
        <f ca="1">IFERROR(IF(0=LEN(ReferenceData!$AC$107),"",ReferenceData!$AC$107),"")</f>
        <v>-6.8934332969999996</v>
      </c>
      <c r="AD107">
        <f ca="1">IFERROR(IF(0=LEN(ReferenceData!$AD$107),"",ReferenceData!$AD$107),"")</f>
        <v>-3.8504898569999999</v>
      </c>
      <c r="AE107">
        <f ca="1">IFERROR(IF(0=LEN(ReferenceData!$AE$107),"",ReferenceData!$AE$107),"")</f>
        <v>-11.249349840000001</v>
      </c>
      <c r="AF107">
        <f ca="1">IFERROR(IF(0=LEN(ReferenceData!$AF$107),"",ReferenceData!$AF$107),"")</f>
        <v>1.6241317909999999</v>
      </c>
      <c r="AG107">
        <f ca="1">IFERROR(IF(0=LEN(ReferenceData!$AG$107),"",ReferenceData!$AG$107),"")</f>
        <v>3.2546651199999999</v>
      </c>
      <c r="AH107">
        <f ca="1">IFERROR(IF(0=LEN(ReferenceData!$AH$107),"",ReferenceData!$AH$107),"")</f>
        <v>-8.091287694</v>
      </c>
      <c r="AI107">
        <f ca="1">IFERROR(IF(0=LEN(ReferenceData!$AI$107),"",ReferenceData!$AI$107),"")</f>
        <v>-19.12333838</v>
      </c>
      <c r="AJ107">
        <f ca="1">IFERROR(IF(0=LEN(ReferenceData!$AJ$107),"",ReferenceData!$AJ$107),"")</f>
        <v>-37.488029760000003</v>
      </c>
      <c r="AK107">
        <f ca="1">IFERROR(IF(0=LEN(ReferenceData!$AK$107),"",ReferenceData!$AK$107),"")</f>
        <v>-36.258166090000003</v>
      </c>
      <c r="AL107">
        <f ca="1">IFERROR(IF(0=LEN(ReferenceData!$AL$107),"",ReferenceData!$AL$107),"")</f>
        <v>-17.350563820000001</v>
      </c>
      <c r="AM107">
        <f ca="1">IFERROR(IF(0=LEN(ReferenceData!$AM$107),"",ReferenceData!$AM$107),"")</f>
        <v>5.9320523329999997</v>
      </c>
      <c r="AN107">
        <f ca="1">IFERROR(IF(0=LEN(ReferenceData!$AN$107),"",ReferenceData!$AN$107),"")</f>
        <v>4.3775642640000001</v>
      </c>
      <c r="AO107">
        <f ca="1">IFERROR(IF(0=LEN(ReferenceData!$AO$107),"",ReferenceData!$AO$107),"")</f>
        <v>73.075517160000004</v>
      </c>
      <c r="AP107">
        <f ca="1">IFERROR(IF(0=LEN(ReferenceData!$AP$107),"",ReferenceData!$AP$107),"")</f>
        <v>68.187815939999993</v>
      </c>
      <c r="AQ107">
        <f ca="1">IFERROR(IF(0=LEN(ReferenceData!$AQ$107),"",ReferenceData!$AQ$107),"")</f>
        <v>67.526999450000005</v>
      </c>
      <c r="AR107">
        <f ca="1">IFERROR(IF(0=LEN(ReferenceData!$AR$107),"",ReferenceData!$AR$107),"")</f>
        <v>81.090019999999996</v>
      </c>
      <c r="AS107">
        <f ca="1">IFERROR(IF(0=LEN(ReferenceData!$AS$107),"",ReferenceData!$AS$107),"")</f>
        <v>17.932338560000002</v>
      </c>
      <c r="AT107">
        <f ca="1">IFERROR(IF(0=LEN(ReferenceData!$AT$107),"",ReferenceData!$AT$107),"")</f>
        <v>8.6086833659999993</v>
      </c>
      <c r="AU107">
        <f ca="1">IFERROR(IF(0=LEN(ReferenceData!$AU$107),"",ReferenceData!$AU$107),"")</f>
        <v>9.7234660670000004</v>
      </c>
      <c r="AV107">
        <f ca="1">IFERROR(IF(0=LEN(ReferenceData!$AV$107),"",ReferenceData!$AV$107),"")</f>
        <v>15.122190700000001</v>
      </c>
      <c r="AW107">
        <f ca="1">IFERROR(IF(0=LEN(ReferenceData!$AW$107),"",ReferenceData!$AW$107),"")</f>
        <v>20.20751628</v>
      </c>
      <c r="AX107">
        <f ca="1">IFERROR(IF(0=LEN(ReferenceData!$AX$107),"",ReferenceData!$AX$107),"")</f>
        <v>15.848055090000001</v>
      </c>
      <c r="AY107">
        <f ca="1">IFERROR(IF(0=LEN(ReferenceData!$AY$107),"",ReferenceData!$AY$107),"")</f>
        <v>18.890071930000001</v>
      </c>
      <c r="AZ107">
        <f ca="1">IFERROR(IF(0=LEN(ReferenceData!$AZ$107),"",ReferenceData!$AZ$107),"")</f>
        <v>0.95603136799999999</v>
      </c>
      <c r="BA107">
        <f ca="1">IFERROR(IF(0=LEN(ReferenceData!$BA$107),"",ReferenceData!$BA$107),"")</f>
        <v>9.5939387679999992</v>
      </c>
      <c r="BB107">
        <f ca="1">IFERROR(IF(0=LEN(ReferenceData!$BB$107),"",ReferenceData!$BB$107),"")</f>
        <v>12.503781650000001</v>
      </c>
      <c r="BC107">
        <f ca="1">IFERROR(IF(0=LEN(ReferenceData!$BC$107),"",ReferenceData!$BC$107),"")</f>
        <v>19.457111829999999</v>
      </c>
      <c r="BD107">
        <f ca="1">IFERROR(IF(0=LEN(ReferenceData!$BD$107),"",ReferenceData!$BD$107),"")</f>
        <v>51.97348599</v>
      </c>
      <c r="BE107">
        <f ca="1">IFERROR(IF(0=LEN(ReferenceData!$BE$107),"",ReferenceData!$BE$107),"")</f>
        <v>28.588737120000001</v>
      </c>
      <c r="BF107">
        <f ca="1">IFERROR(IF(0=LEN(ReferenceData!$BF$107),"",ReferenceData!$BF$107),"")</f>
        <v>33.778528569999999</v>
      </c>
      <c r="BG107">
        <f ca="1">IFERROR(IF(0=LEN(ReferenceData!$BG$107),"",ReferenceData!$BG$107),"")</f>
        <v>38.410017359999998</v>
      </c>
      <c r="BH107">
        <f ca="1">IFERROR(IF(0=LEN(ReferenceData!$BH$107),"",ReferenceData!$BH$107),"")</f>
        <v>-8.4427824860000005</v>
      </c>
      <c r="BI107">
        <f ca="1">IFERROR(IF(0=LEN(ReferenceData!$BI$107),"",ReferenceData!$BI$107),"")</f>
        <v>39.894123380000003</v>
      </c>
      <c r="BJ107">
        <f ca="1">IFERROR(IF(0=LEN(ReferenceData!$BJ$107),"",ReferenceData!$BJ$107),"")</f>
        <v>34.669067990000002</v>
      </c>
      <c r="BK107">
        <f ca="1">IFERROR(IF(0=LEN(ReferenceData!$BK$107),"",ReferenceData!$BK$107),"")</f>
        <v>12.58852913</v>
      </c>
      <c r="BL107">
        <f ca="1">IFERROR(IF(0=LEN(ReferenceData!$BL$107),"",ReferenceData!$BL$107),"")</f>
        <v>66.575615240000005</v>
      </c>
      <c r="BM107">
        <f ca="1">IFERROR(IF(0=LEN(ReferenceData!$BM$107),"",ReferenceData!$BM$107),"")</f>
        <v>12.56926294</v>
      </c>
    </row>
    <row r="108" spans="1:65">
      <c r="A108" t="str">
        <f>IFERROR(IF(0=LEN(ReferenceData!$A$108),"",ReferenceData!$A$108),"")</f>
        <v xml:space="preserve">    Highwoods Properties Inc</v>
      </c>
      <c r="B108" t="str">
        <f>IFERROR(IF(0=LEN(ReferenceData!$B$108),"",ReferenceData!$B$108),"")</f>
        <v>HIW US Equity</v>
      </c>
      <c r="C108" t="str">
        <f>IFERROR(IF(0=LEN(ReferenceData!$C$108),"",ReferenceData!$C$108),"")</f>
        <v>RR033</v>
      </c>
      <c r="D108" t="str">
        <f>IFERROR(IF(0=LEN(ReferenceData!$D$108),"",ReferenceData!$D$108),"")</f>
        <v>SALES_GROWTH</v>
      </c>
      <c r="E108" t="str">
        <f>IFERROR(IF(0=LEN(ReferenceData!$E$108),"",ReferenceData!$E$108),"")</f>
        <v>动态</v>
      </c>
      <c r="F108" t="str">
        <f ca="1">IFERROR(IF(0=LEN(ReferenceData!$F$108),"",ReferenceData!$F$108),"")</f>
        <v/>
      </c>
      <c r="G108">
        <f ca="1">IFERROR(IF(0=LEN(ReferenceData!$G$108),"",ReferenceData!$G$108),"")</f>
        <v>4.9002063869999999</v>
      </c>
      <c r="H108">
        <f ca="1">IFERROR(IF(0=LEN(ReferenceData!$H$108),"",ReferenceData!$H$108),"")</f>
        <v>8.3695697940000002</v>
      </c>
      <c r="I108">
        <f ca="1">IFERROR(IF(0=LEN(ReferenceData!$I$108),"",ReferenceData!$I$108),"")</f>
        <v>6.2465539970000004</v>
      </c>
      <c r="J108">
        <f ca="1">IFERROR(IF(0=LEN(ReferenceData!$J$108),"",ReferenceData!$J$108),"")</f>
        <v>2.7593276680000001</v>
      </c>
      <c r="K108">
        <f ca="1">IFERROR(IF(0=LEN(ReferenceData!$K$108),"",ReferenceData!$K$108),"")</f>
        <v>4.6963016619999998</v>
      </c>
      <c r="L108">
        <f ca="1">IFERROR(IF(0=LEN(ReferenceData!$L$108),"",ReferenceData!$L$108),"")</f>
        <v>1.5470024920000001</v>
      </c>
      <c r="M108">
        <f ca="1">IFERROR(IF(0=LEN(ReferenceData!$M$108),"",ReferenceData!$M$108),"")</f>
        <v>12.331109509999999</v>
      </c>
      <c r="N108">
        <f ca="1">IFERROR(IF(0=LEN(ReferenceData!$N$108),"",ReferenceData!$N$108),"")</f>
        <v>4.7988049080000001</v>
      </c>
      <c r="O108">
        <f ca="1">IFERROR(IF(0=LEN(ReferenceData!$O$108),"",ReferenceData!$O$108),"")</f>
        <v>13.787271540000001</v>
      </c>
      <c r="P108">
        <f ca="1">IFERROR(IF(0=LEN(ReferenceData!$P$108),"",ReferenceData!$P$108),"")</f>
        <v>7.2771229579999996</v>
      </c>
      <c r="Q108">
        <f ca="1">IFERROR(IF(0=LEN(ReferenceData!$Q$108),"",ReferenceData!$Q$108),"")</f>
        <v>-2.7363444690000001</v>
      </c>
      <c r="R108">
        <f ca="1">IFERROR(IF(0=LEN(ReferenceData!$R$108),"",ReferenceData!$R$108),"")</f>
        <v>5.9661980559999996</v>
      </c>
      <c r="S108">
        <f ca="1">IFERROR(IF(0=LEN(ReferenceData!$S$108),"",ReferenceData!$S$108),"")</f>
        <v>-5.5467554430000003</v>
      </c>
      <c r="T108">
        <f ca="1">IFERROR(IF(0=LEN(ReferenceData!$T$108),"",ReferenceData!$T$108),"")</f>
        <v>5.3871170429999999</v>
      </c>
      <c r="U108">
        <f ca="1">IFERROR(IF(0=LEN(ReferenceData!$U$108),"",ReferenceData!$U$108),"")</f>
        <v>15.1593298</v>
      </c>
      <c r="V108">
        <f ca="1">IFERROR(IF(0=LEN(ReferenceData!$V$108),"",ReferenceData!$V$108),"")</f>
        <v>13.864408600000001</v>
      </c>
      <c r="W108">
        <f ca="1">IFERROR(IF(0=LEN(ReferenceData!$W$108),"",ReferenceData!$W$108),"")</f>
        <v>17.948636749999999</v>
      </c>
      <c r="X108">
        <f ca="1">IFERROR(IF(0=LEN(ReferenceData!$X$108),"",ReferenceData!$X$108),"")</f>
        <v>17.346740350000001</v>
      </c>
      <c r="Y108">
        <f ca="1">IFERROR(IF(0=LEN(ReferenceData!$Y$108),"",ReferenceData!$Y$108),"")</f>
        <v>4.6477495109999998</v>
      </c>
      <c r="Z108">
        <f ca="1">IFERROR(IF(0=LEN(ReferenceData!$Z$108),"",ReferenceData!$Z$108),"")</f>
        <v>4.3901228239999996</v>
      </c>
      <c r="AA108">
        <f ca="1">IFERROR(IF(0=LEN(ReferenceData!$AA$108),"",ReferenceData!$AA$108),"")</f>
        <v>1.9113007980000001</v>
      </c>
      <c r="AB108">
        <f ca="1">IFERROR(IF(0=LEN(ReferenceData!$AB$108),"",ReferenceData!$AB$108),"")</f>
        <v>5.247089925</v>
      </c>
      <c r="AC108">
        <f ca="1">IFERROR(IF(0=LEN(ReferenceData!$AC$108),"",ReferenceData!$AC$108),"")</f>
        <v>10.53370664</v>
      </c>
      <c r="AD108">
        <f ca="1">IFERROR(IF(0=LEN(ReferenceData!$AD$108),"",ReferenceData!$AD$108),"")</f>
        <v>9.2198581560000008</v>
      </c>
      <c r="AE108">
        <f ca="1">IFERROR(IF(0=LEN(ReferenceData!$AE$108),"",ReferenceData!$AE$108),"")</f>
        <v>6.1380898960000003</v>
      </c>
      <c r="AF108">
        <f ca="1">IFERROR(IF(0=LEN(ReferenceData!$AF$108),"",ReferenceData!$AF$108),"")</f>
        <v>1.5035316110000001</v>
      </c>
      <c r="AG108">
        <f ca="1">IFERROR(IF(0=LEN(ReferenceData!$AG$108),"",ReferenceData!$AG$108),"")</f>
        <v>0.7787984</v>
      </c>
      <c r="AH108">
        <f ca="1">IFERROR(IF(0=LEN(ReferenceData!$AH$108),"",ReferenceData!$AH$108),"")</f>
        <v>-0.61101743500000005</v>
      </c>
      <c r="AI108">
        <f ca="1">IFERROR(IF(0=LEN(ReferenceData!$AI$108),"",ReferenceData!$AI$108),"")</f>
        <v>3.611069214</v>
      </c>
      <c r="AJ108">
        <f ca="1">IFERROR(IF(0=LEN(ReferenceData!$AJ$108),"",ReferenceData!$AJ$108),"")</f>
        <v>2.0835910580000001</v>
      </c>
      <c r="AK108">
        <f ca="1">IFERROR(IF(0=LEN(ReferenceData!$AK$108),"",ReferenceData!$AK$108),"")</f>
        <v>1.6539485679999999</v>
      </c>
      <c r="AL108">
        <f ca="1">IFERROR(IF(0=LEN(ReferenceData!$AL$108),"",ReferenceData!$AL$108),"")</f>
        <v>1.6198551489999999</v>
      </c>
      <c r="AM108">
        <f ca="1">IFERROR(IF(0=LEN(ReferenceData!$AM$108),"",ReferenceData!$AM$108),"")</f>
        <v>1.2841480949999999</v>
      </c>
      <c r="AN108">
        <f ca="1">IFERROR(IF(0=LEN(ReferenceData!$AN$108),"",ReferenceData!$AN$108),"")</f>
        <v>0.36805463199999999</v>
      </c>
      <c r="AO108">
        <f ca="1">IFERROR(IF(0=LEN(ReferenceData!$AO$108),"",ReferenceData!$AO$108),"")</f>
        <v>-0.81008260399999998</v>
      </c>
      <c r="AP108">
        <f ca="1">IFERROR(IF(0=LEN(ReferenceData!$AP$108),"",ReferenceData!$AP$108),"")</f>
        <v>-0.183376239</v>
      </c>
      <c r="AQ108">
        <f ca="1">IFERROR(IF(0=LEN(ReferenceData!$AQ$108),"",ReferenceData!$AQ$108),"")</f>
        <v>-1.5935338960000001</v>
      </c>
      <c r="AR108">
        <f ca="1">IFERROR(IF(0=LEN(ReferenceData!$AR$108),"",ReferenceData!$AR$108),"")</f>
        <v>4.8103736750000001</v>
      </c>
      <c r="AS108">
        <f ca="1">IFERROR(IF(0=LEN(ReferenceData!$AS$108),"",ReferenceData!$AS$108),"")</f>
        <v>5.1901436680000002</v>
      </c>
      <c r="AT108">
        <f ca="1">IFERROR(IF(0=LEN(ReferenceData!$AT$108),"",ReferenceData!$AT$108),"")</f>
        <v>5.3948077530000003</v>
      </c>
      <c r="AU108">
        <f ca="1">IFERROR(IF(0=LEN(ReferenceData!$AU$108),"",ReferenceData!$AU$108),"")</f>
        <v>15.785593609999999</v>
      </c>
      <c r="AV108">
        <f ca="1">IFERROR(IF(0=LEN(ReferenceData!$AV$108),"",ReferenceData!$AV$108),"")</f>
        <v>2.879438457</v>
      </c>
      <c r="AW108">
        <f ca="1">IFERROR(IF(0=LEN(ReferenceData!$AW$108),"",ReferenceData!$AW$108),"")</f>
        <v>3.1524383789999999</v>
      </c>
      <c r="AX108">
        <f ca="1">IFERROR(IF(0=LEN(ReferenceData!$AX$108),"",ReferenceData!$AX$108),"")</f>
        <v>4.4306008380000002</v>
      </c>
      <c r="AY108">
        <f ca="1">IFERROR(IF(0=LEN(ReferenceData!$AY$108),"",ReferenceData!$AY$108),"")</f>
        <v>3.6343378610000001</v>
      </c>
      <c r="AZ108">
        <f ca="1">IFERROR(IF(0=LEN(ReferenceData!$AZ$108),"",ReferenceData!$AZ$108),"")</f>
        <v>2.3480473719999999</v>
      </c>
      <c r="BA108">
        <f ca="1">IFERROR(IF(0=LEN(ReferenceData!$BA$108),"",ReferenceData!$BA$108),"")</f>
        <v>1.308456742</v>
      </c>
      <c r="BB108">
        <f ca="1">IFERROR(IF(0=LEN(ReferenceData!$BB$108),"",ReferenceData!$BB$108),"")</f>
        <v>-1.0057347050000001</v>
      </c>
      <c r="BC108">
        <f ca="1">IFERROR(IF(0=LEN(ReferenceData!$BC$108),"",ReferenceData!$BC$108),"")</f>
        <v>19.741305919999999</v>
      </c>
      <c r="BD108">
        <f ca="1">IFERROR(IF(0=LEN(ReferenceData!$BD$108),"",ReferenceData!$BD$108),"")</f>
        <v>-1.2888390789999999</v>
      </c>
      <c r="BE108">
        <f ca="1">IFERROR(IF(0=LEN(ReferenceData!$BE$108),"",ReferenceData!$BE$108),"")</f>
        <v>-5.2787006280000002</v>
      </c>
      <c r="BF108">
        <f ca="1">IFERROR(IF(0=LEN(ReferenceData!$BF$108),"",ReferenceData!$BF$108),"")</f>
        <v>-13.034434360000001</v>
      </c>
      <c r="BG108" t="str">
        <f ca="1">IFERROR(IF(0=LEN(ReferenceData!$BG$108),"",ReferenceData!$BG$108),"")</f>
        <v/>
      </c>
      <c r="BH108">
        <f ca="1">IFERROR(IF(0=LEN(ReferenceData!$BH$108),"",ReferenceData!$BH$108),"")</f>
        <v>-25.793477249999999</v>
      </c>
      <c r="BI108">
        <f ca="1">IFERROR(IF(0=LEN(ReferenceData!$BI$108),"",ReferenceData!$BI$108),"")</f>
        <v>-15.41115673</v>
      </c>
      <c r="BJ108">
        <f ca="1">IFERROR(IF(0=LEN(ReferenceData!$BJ$108),"",ReferenceData!$BJ$108),"")</f>
        <v>10.283387380000001</v>
      </c>
      <c r="BK108" t="str">
        <f ca="1">IFERROR(IF(0=LEN(ReferenceData!$BK$108),"",ReferenceData!$BK$108),"")</f>
        <v/>
      </c>
      <c r="BL108">
        <f ca="1">IFERROR(IF(0=LEN(ReferenceData!$BL$108),"",ReferenceData!$BL$108),"")</f>
        <v>22.840963129999999</v>
      </c>
      <c r="BM108">
        <f ca="1">IFERROR(IF(0=LEN(ReferenceData!$BM$108),"",ReferenceData!$BM$108),"")</f>
        <v>13.33150496</v>
      </c>
    </row>
    <row r="109" spans="1:65">
      <c r="A109" t="str">
        <f>IFERROR(IF(0=LEN(ReferenceData!$A$109),"",ReferenceData!$A$109),"")</f>
        <v xml:space="preserve">    Kilroy Realty Corp</v>
      </c>
      <c r="B109" t="str">
        <f>IFERROR(IF(0=LEN(ReferenceData!$B$109),"",ReferenceData!$B$109),"")</f>
        <v>KRC US Equity</v>
      </c>
      <c r="C109" t="str">
        <f>IFERROR(IF(0=LEN(ReferenceData!$C$109),"",ReferenceData!$C$109),"")</f>
        <v>RR033</v>
      </c>
      <c r="D109" t="str">
        <f>IFERROR(IF(0=LEN(ReferenceData!$D$109),"",ReferenceData!$D$109),"")</f>
        <v>SALES_GROWTH</v>
      </c>
      <c r="E109" t="str">
        <f>IFERROR(IF(0=LEN(ReferenceData!$E$109),"",ReferenceData!$E$109),"")</f>
        <v>动态</v>
      </c>
      <c r="F109" t="str">
        <f ca="1">IFERROR(IF(0=LEN(ReferenceData!$F$109),"",ReferenceData!$F$109),"")</f>
        <v/>
      </c>
      <c r="G109">
        <f ca="1">IFERROR(IF(0=LEN(ReferenceData!$G$109),"",ReferenceData!$G$109),"")</f>
        <v>5.2868451480000003</v>
      </c>
      <c r="H109">
        <f ca="1">IFERROR(IF(0=LEN(ReferenceData!$H$109),"",ReferenceData!$H$109),"")</f>
        <v>7.8325848840000001</v>
      </c>
      <c r="I109">
        <f ca="1">IFERROR(IF(0=LEN(ReferenceData!$I$109),"",ReferenceData!$I$109),"")</f>
        <v>12.78000162</v>
      </c>
      <c r="J109">
        <f ca="1">IFERROR(IF(0=LEN(ReferenceData!$J$109),"",ReferenceData!$J$109),"")</f>
        <v>23.281492790000001</v>
      </c>
      <c r="K109">
        <f ca="1">IFERROR(IF(0=LEN(ReferenceData!$K$109),"",ReferenceData!$K$109),"")</f>
        <v>14.40307164</v>
      </c>
      <c r="L109">
        <f ca="1">IFERROR(IF(0=LEN(ReferenceData!$L$109),"",ReferenceData!$L$109),"")</f>
        <v>18.929305630000002</v>
      </c>
      <c r="M109">
        <f ca="1">IFERROR(IF(0=LEN(ReferenceData!$M$109),"",ReferenceData!$M$109),"")</f>
        <v>9.5098716379999999</v>
      </c>
      <c r="N109">
        <f ca="1">IFERROR(IF(0=LEN(ReferenceData!$N$109),"",ReferenceData!$N$109),"")</f>
        <v>-0.43537191400000003</v>
      </c>
      <c r="O109">
        <f ca="1">IFERROR(IF(0=LEN(ReferenceData!$O$109),"",ReferenceData!$O$109),"")</f>
        <v>3.9840581240000001</v>
      </c>
      <c r="P109">
        <f ca="1">IFERROR(IF(0=LEN(ReferenceData!$P$109),"",ReferenceData!$P$109),"")</f>
        <v>9.7105964779999994</v>
      </c>
      <c r="Q109">
        <f ca="1">IFERROR(IF(0=LEN(ReferenceData!$Q$109),"",ReferenceData!$Q$109),"")</f>
        <v>14.9782195</v>
      </c>
      <c r="R109">
        <f ca="1">IFERROR(IF(0=LEN(ReferenceData!$R$109),"",ReferenceData!$R$109),"")</f>
        <v>18.038429839999999</v>
      </c>
      <c r="S109">
        <f ca="1">IFERROR(IF(0=LEN(ReferenceData!$S$109),"",ReferenceData!$S$109),"")</f>
        <v>19.528009170000001</v>
      </c>
      <c r="T109">
        <f ca="1">IFERROR(IF(0=LEN(ReferenceData!$T$109),"",ReferenceData!$T$109),"")</f>
        <v>13.632480510000001</v>
      </c>
      <c r="U109">
        <f ca="1">IFERROR(IF(0=LEN(ReferenceData!$U$109),"",ReferenceData!$U$109),"")</f>
        <v>7.9288836079999996</v>
      </c>
      <c r="V109">
        <f ca="1">IFERROR(IF(0=LEN(ReferenceData!$V$109),"",ReferenceData!$V$109),"")</f>
        <v>11.529865539999999</v>
      </c>
      <c r="W109">
        <f ca="1">IFERROR(IF(0=LEN(ReferenceData!$W$109),"",ReferenceData!$W$109),"")</f>
        <v>6.7437067439999998</v>
      </c>
      <c r="X109">
        <f ca="1">IFERROR(IF(0=LEN(ReferenceData!$X$109),"",ReferenceData!$X$109),"")</f>
        <v>14.70929939</v>
      </c>
      <c r="Y109">
        <f ca="1">IFERROR(IF(0=LEN(ReferenceData!$Y$109),"",ReferenceData!$Y$109),"")</f>
        <v>21.340527850000001</v>
      </c>
      <c r="Z109">
        <f ca="1">IFERROR(IF(0=LEN(ReferenceData!$Z$109),"",ReferenceData!$Z$109),"")</f>
        <v>20.094808270000001</v>
      </c>
      <c r="AA109">
        <f ca="1">IFERROR(IF(0=LEN(ReferenceData!$AA$109),"",ReferenceData!$AA$109),"")</f>
        <v>17.919682470000001</v>
      </c>
      <c r="AB109">
        <f ca="1">IFERROR(IF(0=LEN(ReferenceData!$AB$109),"",ReferenceData!$AB$109),"")</f>
        <v>14.56729823</v>
      </c>
      <c r="AC109">
        <f ca="1">IFERROR(IF(0=LEN(ReferenceData!$AC$109),"",ReferenceData!$AC$109),"")</f>
        <v>9.8665007350000007</v>
      </c>
      <c r="AD109">
        <f ca="1">IFERROR(IF(0=LEN(ReferenceData!$AD$109),"",ReferenceData!$AD$109),"")</f>
        <v>10.29448629</v>
      </c>
      <c r="AE109">
        <f ca="1">IFERROR(IF(0=LEN(ReferenceData!$AE$109),"",ReferenceData!$AE$109),"")</f>
        <v>18.808710229999999</v>
      </c>
      <c r="AF109">
        <f ca="1">IFERROR(IF(0=LEN(ReferenceData!$AF$109),"",ReferenceData!$AF$109),"")</f>
        <v>8.9850648369999995</v>
      </c>
      <c r="AG109">
        <f ca="1">IFERROR(IF(0=LEN(ReferenceData!$AG$109),"",ReferenceData!$AG$109),"")</f>
        <v>22.058661069999999</v>
      </c>
      <c r="AH109">
        <f ca="1">IFERROR(IF(0=LEN(ReferenceData!$AH$109),"",ReferenceData!$AH$109),"")</f>
        <v>25.373022639999999</v>
      </c>
      <c r="AI109">
        <f ca="1">IFERROR(IF(0=LEN(ReferenceData!$AI$109),"",ReferenceData!$AI$109),"")</f>
        <v>17.705813379999999</v>
      </c>
      <c r="AJ109">
        <f ca="1">IFERROR(IF(0=LEN(ReferenceData!$AJ$109),"",ReferenceData!$AJ$109),"")</f>
        <v>15.74152481</v>
      </c>
      <c r="AK109">
        <f ca="1">IFERROR(IF(0=LEN(ReferenceData!$AK$109),"",ReferenceData!$AK$109),"")</f>
        <v>1.922589726</v>
      </c>
      <c r="AL109">
        <f ca="1">IFERROR(IF(0=LEN(ReferenceData!$AL$109),"",ReferenceData!$AL$109),"")</f>
        <v>-7.8511142979999997</v>
      </c>
      <c r="AM109">
        <f ca="1">IFERROR(IF(0=LEN(ReferenceData!$AM$109),"",ReferenceData!$AM$109),"")</f>
        <v>-6.7857340490000002</v>
      </c>
      <c r="AN109">
        <f ca="1">IFERROR(IF(0=LEN(ReferenceData!$AN$109),"",ReferenceData!$AN$109),"")</f>
        <v>-10.98432667</v>
      </c>
      <c r="AO109">
        <f ca="1">IFERROR(IF(0=LEN(ReferenceData!$AO$109),"",ReferenceData!$AO$109),"")</f>
        <v>2.2655305430000001</v>
      </c>
      <c r="AP109">
        <f ca="1">IFERROR(IF(0=LEN(ReferenceData!$AP$109),"",ReferenceData!$AP$109),"")</f>
        <v>2.4151860119999999</v>
      </c>
      <c r="AQ109">
        <f ca="1">IFERROR(IF(0=LEN(ReferenceData!$AQ$109),"",ReferenceData!$AQ$109),"")</f>
        <v>18.636445699999999</v>
      </c>
      <c r="AR109">
        <f ca="1">IFERROR(IF(0=LEN(ReferenceData!$AR$109),"",ReferenceData!$AR$109),"")</f>
        <v>18.165763160000001</v>
      </c>
      <c r="AS109">
        <f ca="1">IFERROR(IF(0=LEN(ReferenceData!$AS$109),"",ReferenceData!$AS$109),"")</f>
        <v>11.73367642</v>
      </c>
      <c r="AT109">
        <f ca="1">IFERROR(IF(0=LEN(ReferenceData!$AT$109),"",ReferenceData!$AT$109),"")</f>
        <v>15.25076099</v>
      </c>
      <c r="AU109">
        <f ca="1">IFERROR(IF(0=LEN(ReferenceData!$AU$109),"",ReferenceData!$AU$109),"")</f>
        <v>14.08215998</v>
      </c>
      <c r="AV109">
        <f ca="1">IFERROR(IF(0=LEN(ReferenceData!$AV$109),"",ReferenceData!$AV$109),"")</f>
        <v>3.327515075</v>
      </c>
      <c r="AW109">
        <f ca="1">IFERROR(IF(0=LEN(ReferenceData!$AW$109),"",ReferenceData!$AW$109),"")</f>
        <v>-1.047137083</v>
      </c>
      <c r="AX109">
        <f ca="1">IFERROR(IF(0=LEN(ReferenceData!$AX$109),"",ReferenceData!$AX$109),"")</f>
        <v>-1.3520674429999999</v>
      </c>
      <c r="AY109">
        <f ca="1">IFERROR(IF(0=LEN(ReferenceData!$AY$109),"",ReferenceData!$AY$109),"")</f>
        <v>-7.4673412109999999</v>
      </c>
      <c r="AZ109">
        <f ca="1">IFERROR(IF(0=LEN(ReferenceData!$AZ$109),"",ReferenceData!$AZ$109),"")</f>
        <v>5.8839342720000003</v>
      </c>
      <c r="BA109">
        <f ca="1">IFERROR(IF(0=LEN(ReferenceData!$BA$109),"",ReferenceData!$BA$109),"")</f>
        <v>4.2919737099999997</v>
      </c>
      <c r="BB109">
        <f ca="1">IFERROR(IF(0=LEN(ReferenceData!$BB$109),"",ReferenceData!$BB$109),"")</f>
        <v>4.7149030620000003</v>
      </c>
      <c r="BC109">
        <f ca="1">IFERROR(IF(0=LEN(ReferenceData!$BC$109),"",ReferenceData!$BC$109),"")</f>
        <v>-0.63354336700000002</v>
      </c>
      <c r="BD109">
        <f ca="1">IFERROR(IF(0=LEN(ReferenceData!$BD$109),"",ReferenceData!$BD$109),"")</f>
        <v>9.0552623860000008</v>
      </c>
      <c r="BE109">
        <f ca="1">IFERROR(IF(0=LEN(ReferenceData!$BE$109),"",ReferenceData!$BE$109),"")</f>
        <v>10.44672154</v>
      </c>
      <c r="BF109">
        <f ca="1">IFERROR(IF(0=LEN(ReferenceData!$BF$109),"",ReferenceData!$BF$109),"")</f>
        <v>8.3635502269999993</v>
      </c>
      <c r="BG109">
        <f ca="1">IFERROR(IF(0=LEN(ReferenceData!$BG$109),"",ReferenceData!$BG$109),"")</f>
        <v>9.4846742269999993</v>
      </c>
      <c r="BH109">
        <f ca="1">IFERROR(IF(0=LEN(ReferenceData!$BH$109),"",ReferenceData!$BH$109),"")</f>
        <v>-20.696319330000001</v>
      </c>
      <c r="BI109">
        <f ca="1">IFERROR(IF(0=LEN(ReferenceData!$BI$109),"",ReferenceData!$BI$109),"")</f>
        <v>11.784353100000001</v>
      </c>
      <c r="BJ109">
        <f ca="1">IFERROR(IF(0=LEN(ReferenceData!$BJ$109),"",ReferenceData!$BJ$109),"")</f>
        <v>3.420269099</v>
      </c>
      <c r="BK109">
        <f ca="1">IFERROR(IF(0=LEN(ReferenceData!$BK$109),"",ReferenceData!$BK$109),"")</f>
        <v>0.85736594499999996</v>
      </c>
      <c r="BL109">
        <f ca="1">IFERROR(IF(0=LEN(ReferenceData!$BL$109),"",ReferenceData!$BL$109),"")</f>
        <v>37.396182719999999</v>
      </c>
      <c r="BM109">
        <f ca="1">IFERROR(IF(0=LEN(ReferenceData!$BM$109),"",ReferenceData!$BM$109),"")</f>
        <v>-4.1952138830000001</v>
      </c>
    </row>
    <row r="110" spans="1:65">
      <c r="A110" t="str">
        <f>IFERROR(IF(0=LEN(ReferenceData!$A$110),"",ReferenceData!$A$110),"")</f>
        <v xml:space="preserve">    Mack-Cali Realty Corp</v>
      </c>
      <c r="B110" t="str">
        <f>IFERROR(IF(0=LEN(ReferenceData!$B$110),"",ReferenceData!$B$110),"")</f>
        <v>CLI US Equity</v>
      </c>
      <c r="C110" t="str">
        <f>IFERROR(IF(0=LEN(ReferenceData!$C$110),"",ReferenceData!$C$110),"")</f>
        <v>RR033</v>
      </c>
      <c r="D110" t="str">
        <f>IFERROR(IF(0=LEN(ReferenceData!$D$110),"",ReferenceData!$D$110),"")</f>
        <v>SALES_GROWTH</v>
      </c>
      <c r="E110" t="str">
        <f>IFERROR(IF(0=LEN(ReferenceData!$E$110),"",ReferenceData!$E$110),"")</f>
        <v>动态</v>
      </c>
      <c r="F110" t="str">
        <f ca="1">IFERROR(IF(0=LEN(ReferenceData!$F$110),"",ReferenceData!$F$110),"")</f>
        <v/>
      </c>
      <c r="G110">
        <f ca="1">IFERROR(IF(0=LEN(ReferenceData!$G$110),"",ReferenceData!$G$110),"")</f>
        <v>-6.6362672460000001</v>
      </c>
      <c r="H110">
        <f ca="1">IFERROR(IF(0=LEN(ReferenceData!$H$110),"",ReferenceData!$H$110),"")</f>
        <v>1.58776513</v>
      </c>
      <c r="I110">
        <f ca="1">IFERROR(IF(0=LEN(ReferenceData!$I$110),"",ReferenceData!$I$110),"")</f>
        <v>9.0727549300000003</v>
      </c>
      <c r="J110">
        <f ca="1">IFERROR(IF(0=LEN(ReferenceData!$J$110),"",ReferenceData!$J$110),"")</f>
        <v>-1.98531287</v>
      </c>
      <c r="K110">
        <f ca="1">IFERROR(IF(0=LEN(ReferenceData!$K$110),"",ReferenceData!$K$110),"")</f>
        <v>4.9766803470000003</v>
      </c>
      <c r="L110">
        <f ca="1">IFERROR(IF(0=LEN(ReferenceData!$L$110),"",ReferenceData!$L$110),"")</f>
        <v>7.7717264879999997</v>
      </c>
      <c r="M110">
        <f ca="1">IFERROR(IF(0=LEN(ReferenceData!$M$110),"",ReferenceData!$M$110),"")</f>
        <v>0.44424401099999999</v>
      </c>
      <c r="N110">
        <f ca="1">IFERROR(IF(0=LEN(ReferenceData!$N$110),"",ReferenceData!$N$110),"")</f>
        <v>-0.51523924200000004</v>
      </c>
      <c r="O110">
        <f ca="1">IFERROR(IF(0=LEN(ReferenceData!$O$110),"",ReferenceData!$O$110),"")</f>
        <v>-3.2830517650000002</v>
      </c>
      <c r="P110">
        <f ca="1">IFERROR(IF(0=LEN(ReferenceData!$P$110),"",ReferenceData!$P$110),"")</f>
        <v>-6.0010675999999998</v>
      </c>
      <c r="Q110">
        <f ca="1">IFERROR(IF(0=LEN(ReferenceData!$Q$110),"",ReferenceData!$Q$110),"")</f>
        <v>-7.3194011229999996</v>
      </c>
      <c r="R110">
        <f ca="1">IFERROR(IF(0=LEN(ReferenceData!$R$110),"",ReferenceData!$R$110),"")</f>
        <v>-9.3640180189999995</v>
      </c>
      <c r="S110">
        <f ca="1">IFERROR(IF(0=LEN(ReferenceData!$S$110),"",ReferenceData!$S$110),"")</f>
        <v>-8.3821936620000006</v>
      </c>
      <c r="T110">
        <f ca="1">IFERROR(IF(0=LEN(ReferenceData!$T$110),"",ReferenceData!$T$110),"")</f>
        <v>-4.3174056179999996</v>
      </c>
      <c r="U110">
        <f ca="1">IFERROR(IF(0=LEN(ReferenceData!$U$110),"",ReferenceData!$U$110),"")</f>
        <v>-4.779442339</v>
      </c>
      <c r="V110">
        <f ca="1">IFERROR(IF(0=LEN(ReferenceData!$V$110),"",ReferenceData!$V$110),"")</f>
        <v>-0.77056748200000003</v>
      </c>
      <c r="W110">
        <f ca="1">IFERROR(IF(0=LEN(ReferenceData!$W$110),"",ReferenceData!$W$110),"")</f>
        <v>-6.644636502</v>
      </c>
      <c r="X110">
        <f ca="1">IFERROR(IF(0=LEN(ReferenceData!$X$110),"",ReferenceData!$X$110),"")</f>
        <v>3.6403757720000001</v>
      </c>
      <c r="Y110">
        <f ca="1">IFERROR(IF(0=LEN(ReferenceData!$Y$110),"",ReferenceData!$Y$110),"")</f>
        <v>-2.1500188900000001</v>
      </c>
      <c r="Z110">
        <f ca="1">IFERROR(IF(0=LEN(ReferenceData!$Z$110),"",ReferenceData!$Z$110),"")</f>
        <v>-3.8858865279999999</v>
      </c>
      <c r="AA110">
        <f ca="1">IFERROR(IF(0=LEN(ReferenceData!$AA$110),"",ReferenceData!$AA$110),"")</f>
        <v>0.86489812700000002</v>
      </c>
      <c r="AB110">
        <f ca="1">IFERROR(IF(0=LEN(ReferenceData!$AB$110),"",ReferenceData!$AB$110),"")</f>
        <v>-10.62489669</v>
      </c>
      <c r="AC110">
        <f ca="1">IFERROR(IF(0=LEN(ReferenceData!$AC$110),"",ReferenceData!$AC$110),"")</f>
        <v>-3.9755983210000001</v>
      </c>
      <c r="AD110">
        <f ca="1">IFERROR(IF(0=LEN(ReferenceData!$AD$110),"",ReferenceData!$AD$110),"")</f>
        <v>-3.4688105619999998</v>
      </c>
      <c r="AE110">
        <f ca="1">IFERROR(IF(0=LEN(ReferenceData!$AE$110),"",ReferenceData!$AE$110),"")</f>
        <v>-8.6617123589999991</v>
      </c>
      <c r="AF110">
        <f ca="1">IFERROR(IF(0=LEN(ReferenceData!$AF$110),"",ReferenceData!$AF$110),"")</f>
        <v>-11.375760270000001</v>
      </c>
      <c r="AG110">
        <f ca="1">IFERROR(IF(0=LEN(ReferenceData!$AG$110),"",ReferenceData!$AG$110),"")</f>
        <v>-11.64632493</v>
      </c>
      <c r="AH110">
        <f ca="1">IFERROR(IF(0=LEN(ReferenceData!$AH$110),"",ReferenceData!$AH$110),"")</f>
        <v>-5.3293453179999997</v>
      </c>
      <c r="AI110">
        <f ca="1">IFERROR(IF(0=LEN(ReferenceData!$AI$110),"",ReferenceData!$AI$110),"")</f>
        <v>-6.9166722999999999E-2</v>
      </c>
      <c r="AJ110">
        <f ca="1">IFERROR(IF(0=LEN(ReferenceData!$AJ$110),"",ReferenceData!$AJ$110),"")</f>
        <v>3.0232061909999999</v>
      </c>
      <c r="AK110">
        <f ca="1">IFERROR(IF(0=LEN(ReferenceData!$AK$110),"",ReferenceData!$AK$110),"")</f>
        <v>7.9660105520000002</v>
      </c>
      <c r="AL110">
        <f ca="1">IFERROR(IF(0=LEN(ReferenceData!$AL$110),"",ReferenceData!$AL$110),"")</f>
        <v>4.241265147</v>
      </c>
      <c r="AM110">
        <f ca="1">IFERROR(IF(0=LEN(ReferenceData!$AM$110),"",ReferenceData!$AM$110),"")</f>
        <v>3.325631381</v>
      </c>
      <c r="AN110">
        <f ca="1">IFERROR(IF(0=LEN(ReferenceData!$AN$110),"",ReferenceData!$AN$110),"")</f>
        <v>-6.0956895710000003</v>
      </c>
      <c r="AO110">
        <f ca="1">IFERROR(IF(0=LEN(ReferenceData!$AO$110),"",ReferenceData!$AO$110),"")</f>
        <v>-2.7302623060000002</v>
      </c>
      <c r="AP110">
        <f ca="1">IFERROR(IF(0=LEN(ReferenceData!$AP$110),"",ReferenceData!$AP$110),"")</f>
        <v>-4.4057172409999996</v>
      </c>
      <c r="AQ110">
        <f ca="1">IFERROR(IF(0=LEN(ReferenceData!$AQ$110),"",ReferenceData!$AQ$110),"")</f>
        <v>-7.9528536589999996</v>
      </c>
      <c r="AR110">
        <f ca="1">IFERROR(IF(0=LEN(ReferenceData!$AR$110),"",ReferenceData!$AR$110),"")</f>
        <v>-3.8805717749999999</v>
      </c>
      <c r="AS110">
        <f ca="1">IFERROR(IF(0=LEN(ReferenceData!$AS$110),"",ReferenceData!$AS$110),"")</f>
        <v>-4.4561877479999996</v>
      </c>
      <c r="AT110">
        <f ca="1">IFERROR(IF(0=LEN(ReferenceData!$AT$110),"",ReferenceData!$AT$110),"")</f>
        <v>0.202695075</v>
      </c>
      <c r="AU110">
        <f ca="1">IFERROR(IF(0=LEN(ReferenceData!$AU$110),"",ReferenceData!$AU$110),"")</f>
        <v>1.6649234669999999</v>
      </c>
      <c r="AV110">
        <f ca="1">IFERROR(IF(0=LEN(ReferenceData!$AV$110),"",ReferenceData!$AV$110),"")</f>
        <v>4.491216359</v>
      </c>
      <c r="AW110">
        <f ca="1">IFERROR(IF(0=LEN(ReferenceData!$AW$110),"",ReferenceData!$AW$110),"")</f>
        <v>10.32436622</v>
      </c>
      <c r="AX110">
        <f ca="1">IFERROR(IF(0=LEN(ReferenceData!$AX$110),"",ReferenceData!$AX$110),"")</f>
        <v>26.673166930000001</v>
      </c>
      <c r="AY110">
        <f ca="1">IFERROR(IF(0=LEN(ReferenceData!$AY$110),"",ReferenceData!$AY$110),"")</f>
        <v>51.052371729999997</v>
      </c>
      <c r="AZ110">
        <f ca="1">IFERROR(IF(0=LEN(ReferenceData!$AZ$110),"",ReferenceData!$AZ$110),"")</f>
        <v>31.89887349</v>
      </c>
      <c r="BA110">
        <f ca="1">IFERROR(IF(0=LEN(ReferenceData!$BA$110),"",ReferenceData!$BA$110),"")</f>
        <v>12.7505047</v>
      </c>
      <c r="BB110">
        <f ca="1">IFERROR(IF(0=LEN(ReferenceData!$BB$110),"",ReferenceData!$BB$110),"")</f>
        <v>0.94488189</v>
      </c>
      <c r="BC110">
        <f ca="1">IFERROR(IF(0=LEN(ReferenceData!$BC$110),"",ReferenceData!$BC$110),"")</f>
        <v>-11.875740479999999</v>
      </c>
      <c r="BD110">
        <f ca="1">IFERROR(IF(0=LEN(ReferenceData!$BD$110),"",ReferenceData!$BD$110),"")</f>
        <v>4.288762255</v>
      </c>
      <c r="BE110">
        <f ca="1">IFERROR(IF(0=LEN(ReferenceData!$BE$110),"",ReferenceData!$BE$110),"")</f>
        <v>10.566533229999999</v>
      </c>
      <c r="BF110">
        <f ca="1">IFERROR(IF(0=LEN(ReferenceData!$BF$110),"",ReferenceData!$BF$110),"")</f>
        <v>8.5021911140000004</v>
      </c>
      <c r="BG110">
        <f ca="1">IFERROR(IF(0=LEN(ReferenceData!$BG$110),"",ReferenceData!$BG$110),"")</f>
        <v>3.7673678580000001</v>
      </c>
      <c r="BH110">
        <f ca="1">IFERROR(IF(0=LEN(ReferenceData!$BH$110),"",ReferenceData!$BH$110),"")</f>
        <v>3.4403715269999999</v>
      </c>
      <c r="BI110">
        <f ca="1">IFERROR(IF(0=LEN(ReferenceData!$BI$110),"",ReferenceData!$BI$110),"")</f>
        <v>3.0267554890000001</v>
      </c>
      <c r="BJ110">
        <f ca="1">IFERROR(IF(0=LEN(ReferenceData!$BJ$110),"",ReferenceData!$BJ$110),"")</f>
        <v>-4.8645394529999999</v>
      </c>
      <c r="BK110">
        <f ca="1">IFERROR(IF(0=LEN(ReferenceData!$BK$110),"",ReferenceData!$BK$110),"")</f>
        <v>2.3589694300000001</v>
      </c>
      <c r="BL110">
        <f ca="1">IFERROR(IF(0=LEN(ReferenceData!$BL$110),"",ReferenceData!$BL$110),"")</f>
        <v>9.2278221999999993E-2</v>
      </c>
      <c r="BM110">
        <f ca="1">IFERROR(IF(0=LEN(ReferenceData!$BM$110),"",ReferenceData!$BM$110),"")</f>
        <v>1.0578602420000001</v>
      </c>
    </row>
    <row r="111" spans="1:65">
      <c r="A111" t="str">
        <f>IFERROR(IF(0=LEN(ReferenceData!$A$111),"",ReferenceData!$A$111),"")</f>
        <v xml:space="preserve">    Piedmont Office Realty Trust I</v>
      </c>
      <c r="B111" t="str">
        <f>IFERROR(IF(0=LEN(ReferenceData!$B$111),"",ReferenceData!$B$111),"")</f>
        <v>PDM US Equity</v>
      </c>
      <c r="C111" t="str">
        <f>IFERROR(IF(0=LEN(ReferenceData!$C$111),"",ReferenceData!$C$111),"")</f>
        <v>RR033</v>
      </c>
      <c r="D111" t="str">
        <f>IFERROR(IF(0=LEN(ReferenceData!$D$111),"",ReferenceData!$D$111),"")</f>
        <v>SALES_GROWTH</v>
      </c>
      <c r="E111" t="str">
        <f>IFERROR(IF(0=LEN(ReferenceData!$E$111),"",ReferenceData!$E$111),"")</f>
        <v>动态</v>
      </c>
      <c r="F111" t="str">
        <f ca="1">IFERROR(IF(0=LEN(ReferenceData!$F$111),"",ReferenceData!$F$111),"")</f>
        <v/>
      </c>
      <c r="G111">
        <f ca="1">IFERROR(IF(0=LEN(ReferenceData!$G$111),"",ReferenceData!$G$111),"")</f>
        <v>-3.1040017789999998</v>
      </c>
      <c r="H111">
        <f ca="1">IFERROR(IF(0=LEN(ReferenceData!$H$111),"",ReferenceData!$H$111),"")</f>
        <v>-0.64844568000000002</v>
      </c>
      <c r="I111">
        <f ca="1">IFERROR(IF(0=LEN(ReferenceData!$I$111),"",ReferenceData!$I$111),"")</f>
        <v>9.8827111680000002</v>
      </c>
      <c r="J111">
        <f ca="1">IFERROR(IF(0=LEN(ReferenceData!$J$111),"",ReferenceData!$J$111),"")</f>
        <v>7.5725299250000004</v>
      </c>
      <c r="K111">
        <f ca="1">IFERROR(IF(0=LEN(ReferenceData!$K$111),"",ReferenceData!$K$111),"")</f>
        <v>3.1908562250000001</v>
      </c>
      <c r="L111">
        <f ca="1">IFERROR(IF(0=LEN(ReferenceData!$L$111),"",ReferenceData!$L$111),"")</f>
        <v>-6.9415045529999997</v>
      </c>
      <c r="M111">
        <f ca="1">IFERROR(IF(0=LEN(ReferenceData!$M$111),"",ReferenceData!$M$111),"")</f>
        <v>-7.7875611649999996</v>
      </c>
      <c r="N111">
        <f ca="1">IFERROR(IF(0=LEN(ReferenceData!$N$111),"",ReferenceData!$N$111),"")</f>
        <v>-7.8439359240000002</v>
      </c>
      <c r="O111">
        <f ca="1">IFERROR(IF(0=LEN(ReferenceData!$O$111),"",ReferenceData!$O$111),"")</f>
        <v>-4.9416880809999997</v>
      </c>
      <c r="P111">
        <f ca="1">IFERROR(IF(0=LEN(ReferenceData!$P$111),"",ReferenceData!$P$111),"")</f>
        <v>2.8857654469999998</v>
      </c>
      <c r="Q111">
        <f ca="1">IFERROR(IF(0=LEN(ReferenceData!$Q$111),"",ReferenceData!$Q$111),"")</f>
        <v>5.8839659400000004</v>
      </c>
      <c r="R111">
        <f ca="1">IFERROR(IF(0=LEN(ReferenceData!$R$111),"",ReferenceData!$R$111),"")</f>
        <v>9.8584213619999996</v>
      </c>
      <c r="S111">
        <f ca="1">IFERROR(IF(0=LEN(ReferenceData!$S$111),"",ReferenceData!$S$111),"")</f>
        <v>3.6797546360000002</v>
      </c>
      <c r="T111">
        <f ca="1">IFERROR(IF(0=LEN(ReferenceData!$T$111),"",ReferenceData!$T$111),"")</f>
        <v>0.87314926500000001</v>
      </c>
      <c r="U111">
        <f ca="1">IFERROR(IF(0=LEN(ReferenceData!$U$111),"",ReferenceData!$U$111),"")</f>
        <v>4.537396749</v>
      </c>
      <c r="V111">
        <f ca="1">IFERROR(IF(0=LEN(ReferenceData!$V$111),"",ReferenceData!$V$111),"")</f>
        <v>3.1547245199999998</v>
      </c>
      <c r="W111">
        <f ca="1">IFERROR(IF(0=LEN(ReferenceData!$W$111),"",ReferenceData!$W$111),"")</f>
        <v>6.8930872719999998</v>
      </c>
      <c r="X111">
        <f ca="1">IFERROR(IF(0=LEN(ReferenceData!$X$111),"",ReferenceData!$X$111),"")</f>
        <v>8.1365007540000001</v>
      </c>
      <c r="Y111">
        <f ca="1">IFERROR(IF(0=LEN(ReferenceData!$Y$111),"",ReferenceData!$Y$111),"")</f>
        <v>0.69349497199999999</v>
      </c>
      <c r="Z111">
        <f ca="1">IFERROR(IF(0=LEN(ReferenceData!$Z$111),"",ReferenceData!$Z$111),"")</f>
        <v>0.812443739</v>
      </c>
      <c r="AA111">
        <f ca="1">IFERROR(IF(0=LEN(ReferenceData!$AA$111),"",ReferenceData!$AA$111),"")</f>
        <v>-2.3919246740000002</v>
      </c>
      <c r="AB111">
        <f ca="1">IFERROR(IF(0=LEN(ReferenceData!$AB$111),"",ReferenceData!$AB$111),"")</f>
        <v>9.2090762000000007E-2</v>
      </c>
      <c r="AC111">
        <f ca="1">IFERROR(IF(0=LEN(ReferenceData!$AC$111),"",ReferenceData!$AC$111),"")</f>
        <v>-2.879274095</v>
      </c>
      <c r="AD111">
        <f ca="1">IFERROR(IF(0=LEN(ReferenceData!$AD$111),"",ReferenceData!$AD$111),"")</f>
        <v>-0.27691137300000002</v>
      </c>
      <c r="AE111">
        <f ca="1">IFERROR(IF(0=LEN(ReferenceData!$AE$111),"",ReferenceData!$AE$111),"")</f>
        <v>0.28839114700000001</v>
      </c>
      <c r="AF111">
        <f ca="1">IFERROR(IF(0=LEN(ReferenceData!$AF$111),"",ReferenceData!$AF$111),"")</f>
        <v>-1.2213307879999999</v>
      </c>
      <c r="AG111">
        <f ca="1">IFERROR(IF(0=LEN(ReferenceData!$AG$111),"",ReferenceData!$AG$111),"")</f>
        <v>-6.0388030529999996</v>
      </c>
      <c r="AH111">
        <f ca="1">IFERROR(IF(0=LEN(ReferenceData!$AH$111),"",ReferenceData!$AH$111),"")</f>
        <v>-10.483233909999999</v>
      </c>
      <c r="AI111">
        <f ca="1">IFERROR(IF(0=LEN(ReferenceData!$AI$111),"",ReferenceData!$AI$111),"")</f>
        <v>-9.4965299850000005</v>
      </c>
      <c r="AJ111">
        <f ca="1">IFERROR(IF(0=LEN(ReferenceData!$AJ$111),"",ReferenceData!$AJ$111),"")</f>
        <v>-9.9554194870000003</v>
      </c>
      <c r="AK111">
        <f ca="1">IFERROR(IF(0=LEN(ReferenceData!$AK$111),"",ReferenceData!$AK$111),"")</f>
        <v>-2.5124167989999999</v>
      </c>
      <c r="AL111">
        <f ca="1">IFERROR(IF(0=LEN(ReferenceData!$AL$111),"",ReferenceData!$AL$111),"")</f>
        <v>-4.4904649169999997</v>
      </c>
      <c r="AM111">
        <f ca="1">IFERROR(IF(0=LEN(ReferenceData!$AM$111),"",ReferenceData!$AM$111),"")</f>
        <v>-3.8561023319999999</v>
      </c>
      <c r="AN111">
        <f ca="1">IFERROR(IF(0=LEN(ReferenceData!$AN$111),"",ReferenceData!$AN$111),"")</f>
        <v>-4.7496019079999998</v>
      </c>
      <c r="AO111">
        <f ca="1">IFERROR(IF(0=LEN(ReferenceData!$AO$111),"",ReferenceData!$AO$111),"")</f>
        <v>-2.744461459</v>
      </c>
      <c r="AP111">
        <f ca="1">IFERROR(IF(0=LEN(ReferenceData!$AP$111),"",ReferenceData!$AP$111),"")</f>
        <v>-3.35967013</v>
      </c>
      <c r="AQ111">
        <f ca="1">IFERROR(IF(0=LEN(ReferenceData!$AQ$111),"",ReferenceData!$AQ$111),"")</f>
        <v>6.3349685610000002</v>
      </c>
      <c r="AR111">
        <f ca="1">IFERROR(IF(0=LEN(ReferenceData!$AR$111),"",ReferenceData!$AR$111),"")</f>
        <v>4.0489466749999998</v>
      </c>
      <c r="AS111">
        <f ca="1">IFERROR(IF(0=LEN(ReferenceData!$AS$111),"",ReferenceData!$AS$111),"")</f>
        <v>4.0936672659999997</v>
      </c>
      <c r="AT111">
        <f ca="1">IFERROR(IF(0=LEN(ReferenceData!$AT$111),"",ReferenceData!$AT$111),"")</f>
        <v>7.3371655259999997</v>
      </c>
      <c r="AU111">
        <f ca="1">IFERROR(IF(0=LEN(ReferenceData!$AU$111),"",ReferenceData!$AU$111),"")</f>
        <v>5.4683610070000004</v>
      </c>
      <c r="AV111">
        <f ca="1">IFERROR(IF(0=LEN(ReferenceData!$AV$111),"",ReferenceData!$AV$111),"")</f>
        <v>-0.89747901399999996</v>
      </c>
      <c r="AW111">
        <f ca="1">IFERROR(IF(0=LEN(ReferenceData!$AW$111),"",ReferenceData!$AW$111),"")</f>
        <v>3.2491153220000002</v>
      </c>
      <c r="AX111">
        <f ca="1">IFERROR(IF(0=LEN(ReferenceData!$AX$111),"",ReferenceData!$AX$111),"")</f>
        <v>6.2037833190000002</v>
      </c>
      <c r="AY111">
        <f ca="1">IFERROR(IF(0=LEN(ReferenceData!$AY$111),"",ReferenceData!$AY$111),"")</f>
        <v>1.5692109240000001</v>
      </c>
      <c r="AZ111">
        <f ca="1">IFERROR(IF(0=LEN(ReferenceData!$AZ$111),"",ReferenceData!$AZ$111),"")</f>
        <v>7.4299194530000001</v>
      </c>
      <c r="BA111">
        <f ca="1">IFERROR(IF(0=LEN(ReferenceData!$BA$111),"",ReferenceData!$BA$111),"")</f>
        <v>-4.6857012060000001</v>
      </c>
      <c r="BB111">
        <f ca="1">IFERROR(IF(0=LEN(ReferenceData!$BB$111),"",ReferenceData!$BB$111),"")</f>
        <v>-2.8634269250000002</v>
      </c>
      <c r="BC111">
        <f ca="1">IFERROR(IF(0=LEN(ReferenceData!$BC$111),"",ReferenceData!$BC$111),"")</f>
        <v>4.1598912889999999</v>
      </c>
      <c r="BD111">
        <f ca="1">IFERROR(IF(0=LEN(ReferenceData!$BD$111),"",ReferenceData!$BD$111),"")</f>
        <v>2.9178240990000002</v>
      </c>
      <c r="BE111">
        <f ca="1">IFERROR(IF(0=LEN(ReferenceData!$BE$111),"",ReferenceData!$BE$111),"")</f>
        <v>2.204597449</v>
      </c>
      <c r="BF111">
        <f ca="1">IFERROR(IF(0=LEN(ReferenceData!$BF$111),"",ReferenceData!$BF$111),"")</f>
        <v>6.3235888200000003</v>
      </c>
      <c r="BG111">
        <f ca="1">IFERROR(IF(0=LEN(ReferenceData!$BG$111),"",ReferenceData!$BG$111),"")</f>
        <v>4.447773121</v>
      </c>
      <c r="BH111">
        <f ca="1">IFERROR(IF(0=LEN(ReferenceData!$BH$111),"",ReferenceData!$BH$111),"")</f>
        <v>27.938993199999999</v>
      </c>
      <c r="BI111">
        <f ca="1">IFERROR(IF(0=LEN(ReferenceData!$BI$111),"",ReferenceData!$BI$111),"")</f>
        <v>69.302891009999996</v>
      </c>
      <c r="BJ111">
        <f ca="1">IFERROR(IF(0=LEN(ReferenceData!$BJ$111),"",ReferenceData!$BJ$111),"")</f>
        <v>110.8162481</v>
      </c>
      <c r="BK111">
        <f ca="1">IFERROR(IF(0=LEN(ReferenceData!$BK$111),"",ReferenceData!$BK$111),"")</f>
        <v>147.1542345</v>
      </c>
      <c r="BL111">
        <f ca="1">IFERROR(IF(0=LEN(ReferenceData!$BL$111),"",ReferenceData!$BL$111),"")</f>
        <v>218.5505556</v>
      </c>
      <c r="BM111">
        <f ca="1">IFERROR(IF(0=LEN(ReferenceData!$BM$111),"",ReferenceData!$BM$111),"")</f>
        <v>205.15090570000001</v>
      </c>
    </row>
    <row r="112" spans="1:65">
      <c r="A112" t="str">
        <f>IFERROR(IF(0=LEN(ReferenceData!$A$112),"",ReferenceData!$A$112),"")</f>
        <v xml:space="preserve">    SL Green Realty Corp</v>
      </c>
      <c r="B112" t="str">
        <f>IFERROR(IF(0=LEN(ReferenceData!$B$112),"",ReferenceData!$B$112),"")</f>
        <v>SLG US Equity</v>
      </c>
      <c r="C112" t="str">
        <f>IFERROR(IF(0=LEN(ReferenceData!$C$112),"",ReferenceData!$C$112),"")</f>
        <v>RR033</v>
      </c>
      <c r="D112" t="str">
        <f>IFERROR(IF(0=LEN(ReferenceData!$D$112),"",ReferenceData!$D$112),"")</f>
        <v>SALES_GROWTH</v>
      </c>
      <c r="E112" t="str">
        <f>IFERROR(IF(0=LEN(ReferenceData!$E$112),"",ReferenceData!$E$112),"")</f>
        <v>动态</v>
      </c>
      <c r="F112" t="str">
        <f ca="1">IFERROR(IF(0=LEN(ReferenceData!$F$112),"",ReferenceData!$F$112),"")</f>
        <v/>
      </c>
      <c r="G112">
        <f ca="1">IFERROR(IF(0=LEN(ReferenceData!$G$112),"",ReferenceData!$G$112),"")</f>
        <v>-3.4469674700000001</v>
      </c>
      <c r="H112">
        <f ca="1">IFERROR(IF(0=LEN(ReferenceData!$H$112),"",ReferenceData!$H$112),"")</f>
        <v>-10.09909259</v>
      </c>
      <c r="I112">
        <f ca="1">IFERROR(IF(0=LEN(ReferenceData!$I$112),"",ReferenceData!$I$112),"")</f>
        <v>-35.53416859</v>
      </c>
      <c r="J112">
        <f ca="1">IFERROR(IF(0=LEN(ReferenceData!$J$112),"",ReferenceData!$J$112),"")</f>
        <v>-17.139977689999998</v>
      </c>
      <c r="K112">
        <f ca="1">IFERROR(IF(0=LEN(ReferenceData!$K$112),"",ReferenceData!$K$112),"")</f>
        <v>-12.02378993</v>
      </c>
      <c r="L112">
        <f ca="1">IFERROR(IF(0=LEN(ReferenceData!$L$112),"",ReferenceData!$L$112),"")</f>
        <v>-3.5607985819999999</v>
      </c>
      <c r="M112">
        <f ca="1">IFERROR(IF(0=LEN(ReferenceData!$M$112),"",ReferenceData!$M$112),"")</f>
        <v>50.97855156</v>
      </c>
      <c r="N112">
        <f ca="1">IFERROR(IF(0=LEN(ReferenceData!$N$112),"",ReferenceData!$N$112),"")</f>
        <v>14.92433743</v>
      </c>
      <c r="O112">
        <f ca="1">IFERROR(IF(0=LEN(ReferenceData!$O$112),"",ReferenceData!$O$112),"")</f>
        <v>10.02594232</v>
      </c>
      <c r="P112">
        <f ca="1">IFERROR(IF(0=LEN(ReferenceData!$P$112),"",ReferenceData!$P$112),"")</f>
        <v>10.70837412</v>
      </c>
      <c r="Q112">
        <f ca="1">IFERROR(IF(0=LEN(ReferenceData!$Q$112),"",ReferenceData!$Q$112),"")</f>
        <v>7.4723092119999999</v>
      </c>
      <c r="R112">
        <f ca="1">IFERROR(IF(0=LEN(ReferenceData!$R$112),"",ReferenceData!$R$112),"")</f>
        <v>9.3404516550000007</v>
      </c>
      <c r="S112">
        <f ca="1">IFERROR(IF(0=LEN(ReferenceData!$S$112),"",ReferenceData!$S$112),"")</f>
        <v>10.322698470000001</v>
      </c>
      <c r="T112">
        <f ca="1">IFERROR(IF(0=LEN(ReferenceData!$T$112),"",ReferenceData!$T$112),"")</f>
        <v>15.19915462</v>
      </c>
      <c r="U112">
        <f ca="1">IFERROR(IF(0=LEN(ReferenceData!$U$112),"",ReferenceData!$U$112),"")</f>
        <v>7.5401758470000004</v>
      </c>
      <c r="V112">
        <f ca="1">IFERROR(IF(0=LEN(ReferenceData!$V$112),"",ReferenceData!$V$112),"")</f>
        <v>0.69231260800000005</v>
      </c>
      <c r="W112">
        <f ca="1">IFERROR(IF(0=LEN(ReferenceData!$W$112),"",ReferenceData!$W$112),"")</f>
        <v>1.1113707770000001</v>
      </c>
      <c r="X112">
        <f ca="1">IFERROR(IF(0=LEN(ReferenceData!$X$112),"",ReferenceData!$X$112),"")</f>
        <v>-5.1060051370000004</v>
      </c>
      <c r="Y112">
        <f ca="1">IFERROR(IF(0=LEN(ReferenceData!$Y$112),"",ReferenceData!$Y$112),"")</f>
        <v>2.7309271919999998</v>
      </c>
      <c r="Z112">
        <f ca="1">IFERROR(IF(0=LEN(ReferenceData!$Z$112),"",ReferenceData!$Z$112),"")</f>
        <v>6.1391843320000001</v>
      </c>
      <c r="AA112">
        <f ca="1">IFERROR(IF(0=LEN(ReferenceData!$AA$112),"",ReferenceData!$AA$112),"")</f>
        <v>5.3879998420000002</v>
      </c>
      <c r="AB112">
        <f ca="1">IFERROR(IF(0=LEN(ReferenceData!$AB$112),"",ReferenceData!$AB$112),"")</f>
        <v>16.433209510000001</v>
      </c>
      <c r="AC112">
        <f ca="1">IFERROR(IF(0=LEN(ReferenceData!$AC$112),"",ReferenceData!$AC$112),"")</f>
        <v>15.34289684</v>
      </c>
      <c r="AD112">
        <f ca="1">IFERROR(IF(0=LEN(ReferenceData!$AD$112),"",ReferenceData!$AD$112),"")</f>
        <v>3.0107435429999998</v>
      </c>
      <c r="AE112">
        <f ca="1">IFERROR(IF(0=LEN(ReferenceData!$AE$112),"",ReferenceData!$AE$112),"")</f>
        <v>25.151835729999998</v>
      </c>
      <c r="AF112">
        <f ca="1">IFERROR(IF(0=LEN(ReferenceData!$AF$112),"",ReferenceData!$AF$112),"")</f>
        <v>-3.9254146159999999</v>
      </c>
      <c r="AG112">
        <f ca="1">IFERROR(IF(0=LEN(ReferenceData!$AG$112),"",ReferenceData!$AG$112),"")</f>
        <v>18.73539186</v>
      </c>
      <c r="AH112">
        <f ca="1">IFERROR(IF(0=LEN(ReferenceData!$AH$112),"",ReferenceData!$AH$112),"")</f>
        <v>31.225959719999999</v>
      </c>
      <c r="AI112">
        <f ca="1">IFERROR(IF(0=LEN(ReferenceData!$AI$112),"",ReferenceData!$AI$112),"")</f>
        <v>8.1237656349999998</v>
      </c>
      <c r="AJ112">
        <f ca="1">IFERROR(IF(0=LEN(ReferenceData!$AJ$112),"",ReferenceData!$AJ$112),"")</f>
        <v>29.8581188</v>
      </c>
      <c r="AK112">
        <f ca="1">IFERROR(IF(0=LEN(ReferenceData!$AK$112),"",ReferenceData!$AK$112),"")</f>
        <v>-0.17182198800000001</v>
      </c>
      <c r="AL112">
        <f ca="1">IFERROR(IF(0=LEN(ReferenceData!$AL$112),"",ReferenceData!$AL$112),"")</f>
        <v>-4.4033425160000004</v>
      </c>
      <c r="AM112">
        <f ca="1">IFERROR(IF(0=LEN(ReferenceData!$AM$112),"",ReferenceData!$AM$112),"")</f>
        <v>-9.6589536290000009</v>
      </c>
      <c r="AN112">
        <f ca="1">IFERROR(IF(0=LEN(ReferenceData!$AN$112),"",ReferenceData!$AN$112),"")</f>
        <v>-8.4021273660000002</v>
      </c>
      <c r="AO112">
        <f ca="1">IFERROR(IF(0=LEN(ReferenceData!$AO$112),"",ReferenceData!$AO$112),"")</f>
        <v>-13.31753359</v>
      </c>
      <c r="AP112">
        <f ca="1">IFERROR(IF(0=LEN(ReferenceData!$AP$112),"",ReferenceData!$AP$112),"")</f>
        <v>3.0368823169999999</v>
      </c>
      <c r="AQ112">
        <f ca="1">IFERROR(IF(0=LEN(ReferenceData!$AQ$112),"",ReferenceData!$AQ$112),"")</f>
        <v>6.3293690790000001</v>
      </c>
      <c r="AR112">
        <f ca="1">IFERROR(IF(0=LEN(ReferenceData!$AR$112),"",ReferenceData!$AR$112),"")</f>
        <v>9.4034275090000001</v>
      </c>
      <c r="AS112">
        <f ca="1">IFERROR(IF(0=LEN(ReferenceData!$AS$112),"",ReferenceData!$AS$112),"")</f>
        <v>15.45246236</v>
      </c>
      <c r="AT112">
        <f ca="1">IFERROR(IF(0=LEN(ReferenceData!$AT$112),"",ReferenceData!$AT$112),"")</f>
        <v>-10.917815600000001</v>
      </c>
      <c r="AU112">
        <f ca="1">IFERROR(IF(0=LEN(ReferenceData!$AU$112),"",ReferenceData!$AU$112),"")</f>
        <v>74.124083819999996</v>
      </c>
      <c r="AV112">
        <f ca="1">IFERROR(IF(0=LEN(ReferenceData!$AV$112),"",ReferenceData!$AV$112),"")</f>
        <v>89.254406270000004</v>
      </c>
      <c r="AW112">
        <f ca="1">IFERROR(IF(0=LEN(ReferenceData!$AW$112),"",ReferenceData!$AW$112),"")</f>
        <v>103.66467160000001</v>
      </c>
      <c r="AX112">
        <f ca="1">IFERROR(IF(0=LEN(ReferenceData!$AX$112),"",ReferenceData!$AX$112),"")</f>
        <v>145.70579040000001</v>
      </c>
      <c r="AY112">
        <f ca="1">IFERROR(IF(0=LEN(ReferenceData!$AY$112),"",ReferenceData!$AY$112),"")</f>
        <v>36.535335410000002</v>
      </c>
      <c r="AZ112">
        <f ca="1">IFERROR(IF(0=LEN(ReferenceData!$AZ$112),"",ReferenceData!$AZ$112),"")</f>
        <v>12.10228551</v>
      </c>
      <c r="BA112">
        <f ca="1">IFERROR(IF(0=LEN(ReferenceData!$BA$112),"",ReferenceData!$BA$112),"")</f>
        <v>21.149173000000001</v>
      </c>
      <c r="BB112">
        <f ca="1">IFERROR(IF(0=LEN(ReferenceData!$BB$112),"",ReferenceData!$BB$112),"")</f>
        <v>16.235815890000001</v>
      </c>
      <c r="BC112">
        <f ca="1">IFERROR(IF(0=LEN(ReferenceData!$BC$112),"",ReferenceData!$BC$112),"")</f>
        <v>13.08002083</v>
      </c>
      <c r="BD112">
        <f ca="1">IFERROR(IF(0=LEN(ReferenceData!$BD$112),"",ReferenceData!$BD$112),"")</f>
        <v>34.622909579999998</v>
      </c>
      <c r="BE112">
        <f ca="1">IFERROR(IF(0=LEN(ReferenceData!$BE$112),"",ReferenceData!$BE$112),"")</f>
        <v>14.09916709</v>
      </c>
      <c r="BF112">
        <f ca="1">IFERROR(IF(0=LEN(ReferenceData!$BF$112),"",ReferenceData!$BF$112),"")</f>
        <v>14.165811379999999</v>
      </c>
      <c r="BG112">
        <f ca="1">IFERROR(IF(0=LEN(ReferenceData!$BG$112),"",ReferenceData!$BG$112),"")</f>
        <v>16.298002830000001</v>
      </c>
      <c r="BH112">
        <f ca="1">IFERROR(IF(0=LEN(ReferenceData!$BH$112),"",ReferenceData!$BH$112),"")</f>
        <v>13.1032666</v>
      </c>
      <c r="BI112">
        <f ca="1">IFERROR(IF(0=LEN(ReferenceData!$BI$112),"",ReferenceData!$BI$112),"")</f>
        <v>20.301004689999999</v>
      </c>
      <c r="BJ112">
        <f ca="1">IFERROR(IF(0=LEN(ReferenceData!$BJ$112),"",ReferenceData!$BJ$112),"")</f>
        <v>31.512642849999999</v>
      </c>
      <c r="BK112">
        <f ca="1">IFERROR(IF(0=LEN(ReferenceData!$BK$112),"",ReferenceData!$BK$112),"")</f>
        <v>37.138408720000001</v>
      </c>
      <c r="BL112">
        <f ca="1">IFERROR(IF(0=LEN(ReferenceData!$BL$112),"",ReferenceData!$BL$112),"")</f>
        <v>24.862260089999999</v>
      </c>
      <c r="BM112">
        <f ca="1">IFERROR(IF(0=LEN(ReferenceData!$BM$112),"",ReferenceData!$BM$112),"")</f>
        <v>28.37065557</v>
      </c>
    </row>
    <row r="113" spans="1:65">
      <c r="A113" t="str">
        <f>IFERROR(IF(0=LEN(ReferenceData!$A$113),"",ReferenceData!$A$113),"")</f>
        <v xml:space="preserve">    Vornado Realty Trust</v>
      </c>
      <c r="B113" t="str">
        <f>IFERROR(IF(0=LEN(ReferenceData!$B$113),"",ReferenceData!$B$113),"")</f>
        <v>VNO US Equity</v>
      </c>
      <c r="C113" t="str">
        <f>IFERROR(IF(0=LEN(ReferenceData!$C$113),"",ReferenceData!$C$113),"")</f>
        <v>RR033</v>
      </c>
      <c r="D113" t="str">
        <f>IFERROR(IF(0=LEN(ReferenceData!$D$113),"",ReferenceData!$D$113),"")</f>
        <v>SALES_GROWTH</v>
      </c>
      <c r="E113" t="str">
        <f>IFERROR(IF(0=LEN(ReferenceData!$E$113),"",ReferenceData!$E$113),"")</f>
        <v>动态</v>
      </c>
      <c r="F113" t="str">
        <f ca="1">IFERROR(IF(0=LEN(ReferenceData!$F$113),"",ReferenceData!$F$113),"")</f>
        <v/>
      </c>
      <c r="G113">
        <f ca="1">IFERROR(IF(0=LEN(ReferenceData!$G$113),"",ReferenceData!$G$113),"")</f>
        <v>4.3294018760000004</v>
      </c>
      <c r="H113">
        <f ca="1">IFERROR(IF(0=LEN(ReferenceData!$H$113),"",ReferenceData!$H$113),"")</f>
        <v>5.1719233899999999</v>
      </c>
      <c r="I113">
        <f ca="1">IFERROR(IF(0=LEN(ReferenceData!$I$113),"",ReferenceData!$I$113),"")</f>
        <v>0.69662928599999996</v>
      </c>
      <c r="J113">
        <f ca="1">IFERROR(IF(0=LEN(ReferenceData!$J$113),"",ReferenceData!$J$113),"")</f>
        <v>1.2741482159999999</v>
      </c>
      <c r="K113">
        <f ca="1">IFERROR(IF(0=LEN(ReferenceData!$K$113),"",ReferenceData!$K$113),"")</f>
        <v>-2.0444119760000001</v>
      </c>
      <c r="L113">
        <f ca="1">IFERROR(IF(0=LEN(ReferenceData!$L$113),"",ReferenceData!$L$113),"")</f>
        <v>0.89245310700000002</v>
      </c>
      <c r="M113">
        <f ca="1">IFERROR(IF(0=LEN(ReferenceData!$M$113),"",ReferenceData!$M$113),"")</f>
        <v>0.87945895399999996</v>
      </c>
      <c r="N113">
        <f ca="1">IFERROR(IF(0=LEN(ReferenceData!$N$113),"",ReferenceData!$N$113),"")</f>
        <v>1.0275180370000001</v>
      </c>
      <c r="O113">
        <f ca="1">IFERROR(IF(0=LEN(ReferenceData!$O$113),"",ReferenceData!$O$113),"")</f>
        <v>9.1407179109999994</v>
      </c>
      <c r="P113">
        <f ca="1">IFERROR(IF(0=LEN(ReferenceData!$P$113),"",ReferenceData!$P$113),"")</f>
        <v>8.4474088920000003</v>
      </c>
      <c r="Q113">
        <f ca="1">IFERROR(IF(0=LEN(ReferenceData!$Q$113),"",ReferenceData!$Q$113),"")</f>
        <v>7.2904244519999999</v>
      </c>
      <c r="R113">
        <f ca="1">IFERROR(IF(0=LEN(ReferenceData!$R$113),"",ReferenceData!$R$113),"")</f>
        <v>7.8987376889999998</v>
      </c>
      <c r="S113">
        <f ca="1">IFERROR(IF(0=LEN(ReferenceData!$S$113),"",ReferenceData!$S$113),"")</f>
        <v>-8.0678715679999993</v>
      </c>
      <c r="T113">
        <f ca="1">IFERROR(IF(0=LEN(ReferenceData!$T$113),"",ReferenceData!$T$113),"")</f>
        <v>-13.494840719999999</v>
      </c>
      <c r="U113">
        <f ca="1">IFERROR(IF(0=LEN(ReferenceData!$U$113),"",ReferenceData!$U$113),"")</f>
        <v>-14.42233201</v>
      </c>
      <c r="V113">
        <f ca="1">IFERROR(IF(0=LEN(ReferenceData!$V$113),"",ReferenceData!$V$113),"")</f>
        <v>-21.75165887</v>
      </c>
      <c r="W113">
        <f ca="1">IFERROR(IF(0=LEN(ReferenceData!$W$113),"",ReferenceData!$W$113),"")</f>
        <v>-5.4303742719999999</v>
      </c>
      <c r="X113">
        <f ca="1">IFERROR(IF(0=LEN(ReferenceData!$X$113),"",ReferenceData!$X$113),"")</f>
        <v>-4.8450185760000002</v>
      </c>
      <c r="Y113">
        <f ca="1">IFERROR(IF(0=LEN(ReferenceData!$Y$113),"",ReferenceData!$Y$113),"")</f>
        <v>-0.99810762200000003</v>
      </c>
      <c r="Z113">
        <f ca="1">IFERROR(IF(0=LEN(ReferenceData!$Z$113),"",ReferenceData!$Z$113),"")</f>
        <v>7.3922548079999997</v>
      </c>
      <c r="AA113">
        <f ca="1">IFERROR(IF(0=LEN(ReferenceData!$AA$113),"",ReferenceData!$AA$113),"")</f>
        <v>-0.47336146099999998</v>
      </c>
      <c r="AB113">
        <f ca="1">IFERROR(IF(0=LEN(ReferenceData!$AB$113),"",ReferenceData!$AB$113),"")</f>
        <v>2.2085889569999999</v>
      </c>
      <c r="AC113">
        <f ca="1">IFERROR(IF(0=LEN(ReferenceData!$AC$113),"",ReferenceData!$AC$113),"")</f>
        <v>-2.5939675709999999</v>
      </c>
      <c r="AD113">
        <f ca="1">IFERROR(IF(0=LEN(ReferenceData!$AD$113),"",ReferenceData!$AD$113),"")</f>
        <v>-7.9300245020000002</v>
      </c>
      <c r="AE113">
        <f ca="1">IFERROR(IF(0=LEN(ReferenceData!$AE$113),"",ReferenceData!$AE$113),"")</f>
        <v>0.83390207999999999</v>
      </c>
      <c r="AF113">
        <f ca="1">IFERROR(IF(0=LEN(ReferenceData!$AF$113),"",ReferenceData!$AF$113),"")</f>
        <v>0.106967437</v>
      </c>
      <c r="AG113">
        <f ca="1">IFERROR(IF(0=LEN(ReferenceData!$AG$113),"",ReferenceData!$AG$113),"")</f>
        <v>1.761578037</v>
      </c>
      <c r="AH113">
        <f ca="1">IFERROR(IF(0=LEN(ReferenceData!$AH$113),"",ReferenceData!$AH$113),"")</f>
        <v>6.0656866779999996</v>
      </c>
      <c r="AI113">
        <f ca="1">IFERROR(IF(0=LEN(ReferenceData!$AI$113),"",ReferenceData!$AI$113),"")</f>
        <v>-3.1560309790000001</v>
      </c>
      <c r="AJ113">
        <f ca="1">IFERROR(IF(0=LEN(ReferenceData!$AJ$113),"",ReferenceData!$AJ$113),"")</f>
        <v>2.369718378</v>
      </c>
      <c r="AK113">
        <f ca="1">IFERROR(IF(0=LEN(ReferenceData!$AK$113),"",ReferenceData!$AK$113),"")</f>
        <v>1.513676368</v>
      </c>
      <c r="AL113">
        <f ca="1">IFERROR(IF(0=LEN(ReferenceData!$AL$113),"",ReferenceData!$AL$113),"")</f>
        <v>0.994450061</v>
      </c>
      <c r="AM113">
        <f ca="1">IFERROR(IF(0=LEN(ReferenceData!$AM$113),"",ReferenceData!$AM$113),"")</f>
        <v>1.6397828969999999</v>
      </c>
      <c r="AN113">
        <f ca="1">IFERROR(IF(0=LEN(ReferenceData!$AN$113),"",ReferenceData!$AN$113),"")</f>
        <v>-0.717235544</v>
      </c>
      <c r="AO113">
        <f ca="1">IFERROR(IF(0=LEN(ReferenceData!$AO$113),"",ReferenceData!$AO$113),"")</f>
        <v>-8.5265398000000006E-2</v>
      </c>
      <c r="AP113">
        <f ca="1">IFERROR(IF(0=LEN(ReferenceData!$AP$113),"",ReferenceData!$AP$113),"")</f>
        <v>4.5102128199999996</v>
      </c>
      <c r="AQ113">
        <f ca="1">IFERROR(IF(0=LEN(ReferenceData!$AQ$113),"",ReferenceData!$AQ$113),"")</f>
        <v>5.7804268629999997</v>
      </c>
      <c r="AR113">
        <f ca="1">IFERROR(IF(0=LEN(ReferenceData!$AR$113),"",ReferenceData!$AR$113),"")</f>
        <v>6.1201297170000002</v>
      </c>
      <c r="AS113">
        <f ca="1">IFERROR(IF(0=LEN(ReferenceData!$AS$113),"",ReferenceData!$AS$113),"")</f>
        <v>15.627893419999999</v>
      </c>
      <c r="AT113">
        <f ca="1">IFERROR(IF(0=LEN(ReferenceData!$AT$113),"",ReferenceData!$AT$113),"")</f>
        <v>21.079583169999999</v>
      </c>
      <c r="AU113">
        <f ca="1">IFERROR(IF(0=LEN(ReferenceData!$AU$113),"",ReferenceData!$AU$113),"")</f>
        <v>-9.0489364739999996</v>
      </c>
      <c r="AV113">
        <f ca="1">IFERROR(IF(0=LEN(ReferenceData!$AV$113),"",ReferenceData!$AV$113),"")</f>
        <v>-5.748071919</v>
      </c>
      <c r="AW113">
        <f ca="1">IFERROR(IF(0=LEN(ReferenceData!$AW$113),"",ReferenceData!$AW$113),"")</f>
        <v>-12.03742806</v>
      </c>
      <c r="AX113">
        <f ca="1">IFERROR(IF(0=LEN(ReferenceData!$AX$113),"",ReferenceData!$AX$113),"")</f>
        <v>-19.941117810000001</v>
      </c>
      <c r="AY113">
        <f ca="1">IFERROR(IF(0=LEN(ReferenceData!$AY$113),"",ReferenceData!$AY$113),"")</f>
        <v>-0.384922402</v>
      </c>
      <c r="AZ113">
        <f ca="1">IFERROR(IF(0=LEN(ReferenceData!$AZ$113),"",ReferenceData!$AZ$113),"")</f>
        <v>9.4091786840000005</v>
      </c>
      <c r="BA113">
        <f ca="1">IFERROR(IF(0=LEN(ReferenceData!$BA$113),"",ReferenceData!$BA$113),"")</f>
        <v>12.09805993</v>
      </c>
      <c r="BB113">
        <f ca="1">IFERROR(IF(0=LEN(ReferenceData!$BB$113),"",ReferenceData!$BB$113),"")</f>
        <v>12.349878560000001</v>
      </c>
      <c r="BC113">
        <f ca="1">IFERROR(IF(0=LEN(ReferenceData!$BC$113),"",ReferenceData!$BC$113),"")</f>
        <v>7.9304213260000003</v>
      </c>
      <c r="BD113">
        <f ca="1">IFERROR(IF(0=LEN(ReferenceData!$BD$113),"",ReferenceData!$BD$113),"")</f>
        <v>42.643636229999998</v>
      </c>
      <c r="BE113">
        <f ca="1">IFERROR(IF(0=LEN(ReferenceData!$BE$113),"",ReferenceData!$BE$113),"")</f>
        <v>44.755423810000003</v>
      </c>
      <c r="BF113">
        <f ca="1">IFERROR(IF(0=LEN(ReferenceData!$BF$113),"",ReferenceData!$BF$113),"")</f>
        <v>48.195722230000001</v>
      </c>
      <c r="BG113">
        <f ca="1">IFERROR(IF(0=LEN(ReferenceData!$BG$113),"",ReferenceData!$BG$113),"")</f>
        <v>70.342819899999995</v>
      </c>
      <c r="BH113">
        <f ca="1">IFERROR(IF(0=LEN(ReferenceData!$BH$113),"",ReferenceData!$BH$113),"")</f>
        <v>13.09248154</v>
      </c>
      <c r="BI113">
        <f ca="1">IFERROR(IF(0=LEN(ReferenceData!$BI$113),"",ReferenceData!$BI$113),"")</f>
        <v>9.0297059740000005</v>
      </c>
      <c r="BJ113">
        <f ca="1">IFERROR(IF(0=LEN(ReferenceData!$BJ$113),"",ReferenceData!$BJ$113),"")</f>
        <v>7.3436459579999998</v>
      </c>
      <c r="BK113">
        <f ca="1">IFERROR(IF(0=LEN(ReferenceData!$BK$113),"",ReferenceData!$BK$113),"")</f>
        <v>9.0917905680000004</v>
      </c>
      <c r="BL113">
        <f ca="1">IFERROR(IF(0=LEN(ReferenceData!$BL$113),"",ReferenceData!$BL$113),"")</f>
        <v>6.0982483639999998</v>
      </c>
      <c r="BM113">
        <f ca="1">IFERROR(IF(0=LEN(ReferenceData!$BM$113),"",ReferenceData!$BM$113),"")</f>
        <v>5.3779576860000002</v>
      </c>
    </row>
    <row r="114" spans="1:65">
      <c r="A114" t="str">
        <f>IFERROR(IF(0=LEN(ReferenceData!$A$114),"",ReferenceData!$A$114),"")</f>
        <v>NOI增长(%)</v>
      </c>
      <c r="B114" t="str">
        <f>IFERROR(IF(0=LEN(ReferenceData!$B$114),"",ReferenceData!$B$114),"")</f>
        <v/>
      </c>
      <c r="C114" t="str">
        <f>IFERROR(IF(0=LEN(ReferenceData!$C$114),"",ReferenceData!$C$114),"")</f>
        <v/>
      </c>
      <c r="D114" t="str">
        <f>IFERROR(IF(0=LEN(ReferenceData!$D$114),"",ReferenceData!$D$114),"")</f>
        <v/>
      </c>
      <c r="E114" t="str">
        <f>IFERROR(IF(0=LEN(ReferenceData!$E$114),"",ReferenceData!$E$114),"")</f>
        <v>Median</v>
      </c>
      <c r="F114" t="str">
        <f ca="1">IFERROR(IF(0=LEN(ReferenceData!$F$114),"",ReferenceData!$F$114),"")</f>
        <v/>
      </c>
      <c r="G114">
        <f ca="1">IFERROR(IF(0=LEN(ReferenceData!$G$114),"",ReferenceData!$G$114),"")</f>
        <v>0.58210073699999998</v>
      </c>
      <c r="H114">
        <f ca="1">IFERROR(IF(0=LEN(ReferenceData!$H$114),"",ReferenceData!$H$114),"")</f>
        <v>1.5285339755</v>
      </c>
      <c r="I114">
        <f ca="1">IFERROR(IF(0=LEN(ReferenceData!$I$114),"",ReferenceData!$I$114),"")</f>
        <v>2.6417905910000004</v>
      </c>
      <c r="J114">
        <f ca="1">IFERROR(IF(0=LEN(ReferenceData!$J$114),"",ReferenceData!$J$114),"")</f>
        <v>-1.2282166404999999</v>
      </c>
      <c r="K114">
        <f ca="1">IFERROR(IF(0=LEN(ReferenceData!$K$114),"",ReferenceData!$K$114),"")</f>
        <v>-1.6858065150000003</v>
      </c>
      <c r="L114">
        <f ca="1">IFERROR(IF(0=LEN(ReferenceData!$L$114),"",ReferenceData!$L$114),"")</f>
        <v>-3.7082658469999998</v>
      </c>
      <c r="M114">
        <f ca="1">IFERROR(IF(0=LEN(ReferenceData!$M$114),"",ReferenceData!$M$114),"")</f>
        <v>2.8496632900000001</v>
      </c>
      <c r="N114">
        <f ca="1">IFERROR(IF(0=LEN(ReferenceData!$N$114),"",ReferenceData!$N$114),"")</f>
        <v>3.5562640499999998</v>
      </c>
      <c r="O114">
        <f ca="1">IFERROR(IF(0=LEN(ReferenceData!$O$114),"",ReferenceData!$O$114),"")</f>
        <v>3.3170451979999998</v>
      </c>
      <c r="P114">
        <f ca="1">IFERROR(IF(0=LEN(ReferenceData!$P$114),"",ReferenceData!$P$114),"")</f>
        <v>8.9790464604999993</v>
      </c>
      <c r="Q114">
        <f ca="1">IFERROR(IF(0=LEN(ReferenceData!$Q$114),"",ReferenceData!$Q$114),"")</f>
        <v>6.6396272679999999</v>
      </c>
      <c r="R114">
        <f ca="1">IFERROR(IF(0=LEN(ReferenceData!$R$114),"",ReferenceData!$R$114),"")</f>
        <v>7.9070026255000005</v>
      </c>
      <c r="S114">
        <f ca="1">IFERROR(IF(0=LEN(ReferenceData!$S$114),"",ReferenceData!$S$114),"")</f>
        <v>2.8375387410000004</v>
      </c>
      <c r="T114">
        <f ca="1">IFERROR(IF(0=LEN(ReferenceData!$T$114),"",ReferenceData!$T$114),"")</f>
        <v>2.4998692624999999</v>
      </c>
      <c r="U114">
        <f ca="1">IFERROR(IF(0=LEN(ReferenceData!$U$114),"",ReferenceData!$U$114),"")</f>
        <v>6.4883242735</v>
      </c>
      <c r="V114">
        <f ca="1">IFERROR(IF(0=LEN(ReferenceData!$V$114),"",ReferenceData!$V$114),"")</f>
        <v>5.7368682700000004</v>
      </c>
      <c r="W114">
        <f ca="1">IFERROR(IF(0=LEN(ReferenceData!$W$114),"",ReferenceData!$W$114),"")</f>
        <v>6.1356969220000002</v>
      </c>
      <c r="X114">
        <f ca="1">IFERROR(IF(0=LEN(ReferenceData!$X$114),"",ReferenceData!$X$114),"")</f>
        <v>6.2789687764999993</v>
      </c>
      <c r="Y114">
        <f ca="1">IFERROR(IF(0=LEN(ReferenceData!$Y$114),"",ReferenceData!$Y$114),"")</f>
        <v>4.3719814809999997</v>
      </c>
      <c r="Z114">
        <f ca="1">IFERROR(IF(0=LEN(ReferenceData!$Z$114),"",ReferenceData!$Z$114),"")</f>
        <v>3.5855262845000002</v>
      </c>
      <c r="AA114">
        <f ca="1">IFERROR(IF(0=LEN(ReferenceData!$AA$114),"",ReferenceData!$AA$114),"")</f>
        <v>0.43135122100000001</v>
      </c>
      <c r="AB114">
        <f ca="1">IFERROR(IF(0=LEN(ReferenceData!$AB$114),"",ReferenceData!$AB$114),"")</f>
        <v>0.83759245000000004</v>
      </c>
      <c r="AC114">
        <f ca="1">IFERROR(IF(0=LEN(ReferenceData!$AC$114),"",ReferenceData!$AC$114),"")</f>
        <v>0.62127532000000008</v>
      </c>
      <c r="AD114">
        <f ca="1">IFERROR(IF(0=LEN(ReferenceData!$AD$114),"",ReferenceData!$AD$114),"")</f>
        <v>0.6757100935</v>
      </c>
      <c r="AE114">
        <f ca="1">IFERROR(IF(0=LEN(ReferenceData!$AE$114),"",ReferenceData!$AE$114),"")</f>
        <v>1.0284768500000041E-2</v>
      </c>
      <c r="AF114">
        <f ca="1">IFERROR(IF(0=LEN(ReferenceData!$AF$114),"",ReferenceData!$AF$114),"")</f>
        <v>2.8931450329999997</v>
      </c>
      <c r="AG114">
        <f ca="1">IFERROR(IF(0=LEN(ReferenceData!$AG$114),"",ReferenceData!$AG$114),"")</f>
        <v>1.994998222</v>
      </c>
      <c r="AH114">
        <f ca="1">IFERROR(IF(0=LEN(ReferenceData!$AH$114),"",ReferenceData!$AH$114),"")</f>
        <v>4.7016351504999996</v>
      </c>
      <c r="AI114">
        <f ca="1">IFERROR(IF(0=LEN(ReferenceData!$AI$114),"",ReferenceData!$AI$114),"")</f>
        <v>2.8173557305000001</v>
      </c>
      <c r="AJ114">
        <f ca="1">IFERROR(IF(0=LEN(ReferenceData!$AJ$114),"",ReferenceData!$AJ$114),"")</f>
        <v>2.311739303</v>
      </c>
      <c r="AK114">
        <f ca="1">IFERROR(IF(0=LEN(ReferenceData!$AK$114),"",ReferenceData!$AK$114),"")</f>
        <v>-1.0285812365</v>
      </c>
      <c r="AL114">
        <f ca="1">IFERROR(IF(0=LEN(ReferenceData!$AL$114),"",ReferenceData!$AL$114),"")</f>
        <v>-1.1444054834999999</v>
      </c>
      <c r="AM114">
        <f ca="1">IFERROR(IF(0=LEN(ReferenceData!$AM$114),"",ReferenceData!$AM$114),"")</f>
        <v>-3.1450306399999999</v>
      </c>
      <c r="AN114">
        <f ca="1">IFERROR(IF(0=LEN(ReferenceData!$AN$114),"",ReferenceData!$AN$114),"")</f>
        <v>0.57793720900000001</v>
      </c>
      <c r="AO114">
        <f ca="1">IFERROR(IF(0=LEN(ReferenceData!$AO$114),"",ReferenceData!$AO$114),"")</f>
        <v>-0.48722220500000002</v>
      </c>
      <c r="AP114">
        <f ca="1">IFERROR(IF(0=LEN(ReferenceData!$AP$114),"",ReferenceData!$AP$114),"")</f>
        <v>1.1595996000000001E-2</v>
      </c>
      <c r="AQ114">
        <f ca="1">IFERROR(IF(0=LEN(ReferenceData!$AQ$114),"",ReferenceData!$AQ$114),"")</f>
        <v>3.8543409039999998</v>
      </c>
      <c r="AR114">
        <f ca="1">IFERROR(IF(0=LEN(ReferenceData!$AR$114),"",ReferenceData!$AR$114),"")</f>
        <v>4.2758860920000004</v>
      </c>
      <c r="AS114">
        <f ca="1">IFERROR(IF(0=LEN(ReferenceData!$AS$114),"",ReferenceData!$AS$114),"")</f>
        <v>5.5906409669999997</v>
      </c>
      <c r="AT114">
        <f ca="1">IFERROR(IF(0=LEN(ReferenceData!$AT$114),"",ReferenceData!$AT$114),"")</f>
        <v>9.8016781080000008</v>
      </c>
      <c r="AU114">
        <f ca="1">IFERROR(IF(0=LEN(ReferenceData!$AU$114),"",ReferenceData!$AU$114),"")</f>
        <v>14.522769220000001</v>
      </c>
      <c r="AV114">
        <f ca="1">IFERROR(IF(0=LEN(ReferenceData!$AV$114),"",ReferenceData!$AV$114),"")</f>
        <v>6.8186046510000002</v>
      </c>
      <c r="AW114">
        <f ca="1">IFERROR(IF(0=LEN(ReferenceData!$AW$114),"",ReferenceData!$AW$114),"")</f>
        <v>3.7376777849999998</v>
      </c>
      <c r="AX114">
        <f ca="1">IFERROR(IF(0=LEN(ReferenceData!$AX$114),"",ReferenceData!$AX$114),"")</f>
        <v>4.9413503280000004</v>
      </c>
      <c r="AY114">
        <f ca="1">IFERROR(IF(0=LEN(ReferenceData!$AY$114),"",ReferenceData!$AY$114),"")</f>
        <v>9.5680844450000002</v>
      </c>
      <c r="AZ114">
        <f ca="1">IFERROR(IF(0=LEN(ReferenceData!$AZ$114),"",ReferenceData!$AZ$114),"")</f>
        <v>8.7512586950000006</v>
      </c>
      <c r="BA114">
        <f ca="1">IFERROR(IF(0=LEN(ReferenceData!$BA$114),"",ReferenceData!$BA$114),"")</f>
        <v>3.4085346859999999</v>
      </c>
      <c r="BB114">
        <f ca="1">IFERROR(IF(0=LEN(ReferenceData!$BB$114),"",ReferenceData!$BB$114),"")</f>
        <v>1.5982797989999999</v>
      </c>
      <c r="BC114">
        <f ca="1">IFERROR(IF(0=LEN(ReferenceData!$BC$114),"",ReferenceData!$BC$114),"")</f>
        <v>2.657818851</v>
      </c>
      <c r="BD114">
        <f ca="1">IFERROR(IF(0=LEN(ReferenceData!$BD$114),"",ReferenceData!$BD$114),"")</f>
        <v>5.1526169739999998</v>
      </c>
      <c r="BE114">
        <f ca="1">IFERROR(IF(0=LEN(ReferenceData!$BE$114),"",ReferenceData!$BE$114),"")</f>
        <v>6.6963944450000001</v>
      </c>
      <c r="BF114">
        <f ca="1">IFERROR(IF(0=LEN(ReferenceData!$BF$114),"",ReferenceData!$BF$114),"")</f>
        <v>12.62826755</v>
      </c>
      <c r="BG114">
        <f ca="1">IFERROR(IF(0=LEN(ReferenceData!$BG$114),"",ReferenceData!$BG$114),"")</f>
        <v>11.34542486</v>
      </c>
      <c r="BH114">
        <f ca="1">IFERROR(IF(0=LEN(ReferenceData!$BH$114),"",ReferenceData!$BH$114),"")</f>
        <v>8.8390741750000004</v>
      </c>
      <c r="BI114">
        <f ca="1">IFERROR(IF(0=LEN(ReferenceData!$BI$114),"",ReferenceData!$BI$114),"")</f>
        <v>10.310326379999999</v>
      </c>
      <c r="BJ114">
        <f ca="1">IFERROR(IF(0=LEN(ReferenceData!$BJ$114),"",ReferenceData!$BJ$114),"")</f>
        <v>7.9298070129999996</v>
      </c>
      <c r="BK114">
        <f ca="1">IFERROR(IF(0=LEN(ReferenceData!$BK$114),"",ReferenceData!$BK$114),"")</f>
        <v>6.8695529439999996</v>
      </c>
      <c r="BL114">
        <f ca="1">IFERROR(IF(0=LEN(ReferenceData!$BL$114),"",ReferenceData!$BL$114),"")</f>
        <v>8.4922512829999999</v>
      </c>
      <c r="BM114">
        <f ca="1">IFERROR(IF(0=LEN(ReferenceData!$BM$114),"",ReferenceData!$BM$114),"")</f>
        <v>3.292060056</v>
      </c>
    </row>
    <row r="115" spans="1:65">
      <c r="A115" t="str">
        <f>IFERROR(IF(0=LEN(ReferenceData!$A$115),"",ReferenceData!$A$115),"")</f>
        <v xml:space="preserve">    Boston Properties Inc</v>
      </c>
      <c r="B115" t="str">
        <f>IFERROR(IF(0=LEN(ReferenceData!$B$115),"",ReferenceData!$B$115),"")</f>
        <v>BXP US Equity</v>
      </c>
      <c r="C115" t="str">
        <f>IFERROR(IF(0=LEN(ReferenceData!$C$115),"",ReferenceData!$C$115),"")</f>
        <v>RR551</v>
      </c>
      <c r="D115" t="str">
        <f>IFERROR(IF(0=LEN(ReferenceData!$D$115),"",ReferenceData!$D$115),"")</f>
        <v>NOI_GROWTH</v>
      </c>
      <c r="E115" t="str">
        <f>IFERROR(IF(0=LEN(ReferenceData!$E$115),"",ReferenceData!$E$115),"")</f>
        <v>动态</v>
      </c>
      <c r="F115" t="str">
        <f ca="1">IFERROR(IF(0=LEN(ReferenceData!$F$115),"",ReferenceData!$F$115),"")</f>
        <v/>
      </c>
      <c r="G115">
        <f ca="1">IFERROR(IF(0=LEN(ReferenceData!$G$115),"",ReferenceData!$G$115),"")</f>
        <v>2.08792103</v>
      </c>
      <c r="H115">
        <f ca="1">IFERROR(IF(0=LEN(ReferenceData!$H$115),"",ReferenceData!$H$115),"")</f>
        <v>6.0245191340000002</v>
      </c>
      <c r="I115">
        <f ca="1">IFERROR(IF(0=LEN(ReferenceData!$I$115),"",ReferenceData!$I$115),"")</f>
        <v>5.1587487200000002</v>
      </c>
      <c r="J115">
        <f ca="1">IFERROR(IF(0=LEN(ReferenceData!$J$115),"",ReferenceData!$J$115),"")</f>
        <v>-9.5236767639999993</v>
      </c>
      <c r="K115">
        <f ca="1">IFERROR(IF(0=LEN(ReferenceData!$K$115),"",ReferenceData!$K$115),"")</f>
        <v>1.155178756</v>
      </c>
      <c r="L115">
        <f ca="1">IFERROR(IF(0=LEN(ReferenceData!$L$115),"",ReferenceData!$L$115),"")</f>
        <v>-3.3769622749999999</v>
      </c>
      <c r="M115">
        <f ca="1">IFERROR(IF(0=LEN(ReferenceData!$M$115),"",ReferenceData!$M$115),"")</f>
        <v>0.77594085800000001</v>
      </c>
      <c r="N115">
        <f ca="1">IFERROR(IF(0=LEN(ReferenceData!$N$115),"",ReferenceData!$N$115),"")</f>
        <v>13.130511350000001</v>
      </c>
      <c r="O115">
        <f ca="1">IFERROR(IF(0=LEN(ReferenceData!$O$115),"",ReferenceData!$O$115),"")</f>
        <v>1.193959145</v>
      </c>
      <c r="P115">
        <f ca="1">IFERROR(IF(0=LEN(ReferenceData!$P$115),"",ReferenceData!$P$115),"")</f>
        <v>8.7902538519999993</v>
      </c>
      <c r="Q115">
        <f ca="1">IFERROR(IF(0=LEN(ReferenceData!$Q$115),"",ReferenceData!$Q$115),"")</f>
        <v>11.927624679999999</v>
      </c>
      <c r="R115">
        <f ca="1">IFERROR(IF(0=LEN(ReferenceData!$R$115),"",ReferenceData!$R$115),"")</f>
        <v>7.6840561989999996</v>
      </c>
      <c r="S115">
        <f ca="1">IFERROR(IF(0=LEN(ReferenceData!$S$115),"",ReferenceData!$S$115),"")</f>
        <v>6.7610753250000002</v>
      </c>
      <c r="T115">
        <f ca="1">IFERROR(IF(0=LEN(ReferenceData!$T$115),"",ReferenceData!$T$115),"")</f>
        <v>5.9351634229999997</v>
      </c>
      <c r="U115">
        <f ca="1">IFERROR(IF(0=LEN(ReferenceData!$U$115),"",ReferenceData!$U$115),"")</f>
        <v>16.831669609999999</v>
      </c>
      <c r="V115">
        <f ca="1">IFERROR(IF(0=LEN(ReferenceData!$V$115),"",ReferenceData!$V$115),"")</f>
        <v>20.40936649</v>
      </c>
      <c r="W115">
        <f ca="1">IFERROR(IF(0=LEN(ReferenceData!$W$115),"",ReferenceData!$W$115),"")</f>
        <v>22.71738315</v>
      </c>
      <c r="X115">
        <f ca="1">IFERROR(IF(0=LEN(ReferenceData!$X$115),"",ReferenceData!$X$115),"")</f>
        <v>25.33910127</v>
      </c>
      <c r="Y115">
        <f ca="1">IFERROR(IF(0=LEN(ReferenceData!$Y$115),"",ReferenceData!$Y$115),"")</f>
        <v>5.5074212710000001</v>
      </c>
      <c r="Z115">
        <f ca="1">IFERROR(IF(0=LEN(ReferenceData!$Z$115),"",ReferenceData!$Z$115),"")</f>
        <v>13.39111819</v>
      </c>
      <c r="AA115">
        <f ca="1">IFERROR(IF(0=LEN(ReferenceData!$AA$115),"",ReferenceData!$AA$115),"")</f>
        <v>10.78753991</v>
      </c>
      <c r="AB115">
        <f ca="1">IFERROR(IF(0=LEN(ReferenceData!$AB$115),"",ReferenceData!$AB$115),"")</f>
        <v>1.2520520049999999</v>
      </c>
      <c r="AC115">
        <f ca="1">IFERROR(IF(0=LEN(ReferenceData!$AC$115),"",ReferenceData!$AC$115),"")</f>
        <v>6.3558670719999997</v>
      </c>
      <c r="AD115">
        <f ca="1">IFERROR(IF(0=LEN(ReferenceData!$AD$115),"",ReferenceData!$AD$115),"")</f>
        <v>2.4563292840000002</v>
      </c>
      <c r="AE115">
        <f ca="1">IFERROR(IF(0=LEN(ReferenceData!$AE$115),"",ReferenceData!$AE$115),"")</f>
        <v>10.4381895</v>
      </c>
      <c r="AF115">
        <f ca="1">IFERROR(IF(0=LEN(ReferenceData!$AF$115),"",ReferenceData!$AF$115),"")</f>
        <v>13.517950730000001</v>
      </c>
      <c r="AG115">
        <f ca="1">IFERROR(IF(0=LEN(ReferenceData!$AG$115),"",ReferenceData!$AG$115),"")</f>
        <v>5.8873793040000004</v>
      </c>
      <c r="AH115">
        <f ca="1">IFERROR(IF(0=LEN(ReferenceData!$AH$115),"",ReferenceData!$AH$115),"")</f>
        <v>8.9207627889999994</v>
      </c>
      <c r="AI115">
        <f ca="1">IFERROR(IF(0=LEN(ReferenceData!$AI$115),"",ReferenceData!$AI$115),"")</f>
        <v>5.9043949339999999</v>
      </c>
      <c r="AJ115">
        <f ca="1">IFERROR(IF(0=LEN(ReferenceData!$AJ$115),"",ReferenceData!$AJ$115),"")</f>
        <v>4.5781918240000001</v>
      </c>
      <c r="AK115">
        <f ca="1">IFERROR(IF(0=LEN(ReferenceData!$AK$115),"",ReferenceData!$AK$115),"")</f>
        <v>3.0426907500000002</v>
      </c>
      <c r="AL115">
        <f ca="1">IFERROR(IF(0=LEN(ReferenceData!$AL$115),"",ReferenceData!$AL$115),"")</f>
        <v>0.66244139599999996</v>
      </c>
      <c r="AM115">
        <f ca="1">IFERROR(IF(0=LEN(ReferenceData!$AM$115),"",ReferenceData!$AM$115),"")</f>
        <v>-7.6068229509999998</v>
      </c>
      <c r="AN115">
        <f ca="1">IFERROR(IF(0=LEN(ReferenceData!$AN$115),"",ReferenceData!$AN$115),"")</f>
        <v>1.6307180509999999</v>
      </c>
      <c r="AO115">
        <f ca="1">IFERROR(IF(0=LEN(ReferenceData!$AO$115),"",ReferenceData!$AO$115),"")</f>
        <v>4.0851862360000002</v>
      </c>
      <c r="AP115">
        <f ca="1">IFERROR(IF(0=LEN(ReferenceData!$AP$115),"",ReferenceData!$AP$115),"")</f>
        <v>0.75844392199999999</v>
      </c>
      <c r="AQ115">
        <f ca="1">IFERROR(IF(0=LEN(ReferenceData!$AQ$115),"",ReferenceData!$AQ$115),"")</f>
        <v>6.600456104</v>
      </c>
      <c r="AR115">
        <f ca="1">IFERROR(IF(0=LEN(ReferenceData!$AR$115),"",ReferenceData!$AR$115),"")</f>
        <v>-0.32166107199999999</v>
      </c>
      <c r="AS115">
        <f ca="1">IFERROR(IF(0=LEN(ReferenceData!$AS$115),"",ReferenceData!$AS$115),"")</f>
        <v>2.4455124619999999</v>
      </c>
      <c r="AT115">
        <f ca="1">IFERROR(IF(0=LEN(ReferenceData!$AT$115),"",ReferenceData!$AT$115),"")</f>
        <v>2.0037031249999999</v>
      </c>
      <c r="AU115">
        <f ca="1">IFERROR(IF(0=LEN(ReferenceData!$AU$115),"",ReferenceData!$AU$115),"")</f>
        <v>2.115896556</v>
      </c>
      <c r="AV115">
        <f ca="1">IFERROR(IF(0=LEN(ReferenceData!$AV$115),"",ReferenceData!$AV$115),"")</f>
        <v>-1.792440692</v>
      </c>
      <c r="AW115">
        <f ca="1">IFERROR(IF(0=LEN(ReferenceData!$AW$115),"",ReferenceData!$AW$115),"")</f>
        <v>-3.2798581680000001</v>
      </c>
      <c r="AX115">
        <f ca="1">IFERROR(IF(0=LEN(ReferenceData!$AX$115),"",ReferenceData!$AX$115),"")</f>
        <v>-1.9398956110000001</v>
      </c>
      <c r="AY115">
        <f ca="1">IFERROR(IF(0=LEN(ReferenceData!$AY$115),"",ReferenceData!$AY$115),"")</f>
        <v>-1.8113823410000001</v>
      </c>
      <c r="AZ115">
        <f ca="1">IFERROR(IF(0=LEN(ReferenceData!$AZ$115),"",ReferenceData!$AZ$115),"")</f>
        <v>-0.17538653700000001</v>
      </c>
      <c r="BA115">
        <f ca="1">IFERROR(IF(0=LEN(ReferenceData!$BA$115),"",ReferenceData!$BA$115),"")</f>
        <v>0.11342089499999999</v>
      </c>
      <c r="BB115">
        <f ca="1">IFERROR(IF(0=LEN(ReferenceData!$BB$115),"",ReferenceData!$BB$115),"")</f>
        <v>-1.505201196</v>
      </c>
      <c r="BC115">
        <f ca="1">IFERROR(IF(0=LEN(ReferenceData!$BC$115),"",ReferenceData!$BC$115),"")</f>
        <v>-0.72002911300000005</v>
      </c>
      <c r="BD115">
        <f ca="1">IFERROR(IF(0=LEN(ReferenceData!$BD$115),"",ReferenceData!$BD$115),"")</f>
        <v>-1.7065217859999999</v>
      </c>
      <c r="BE115">
        <f ca="1">IFERROR(IF(0=LEN(ReferenceData!$BE$115),"",ReferenceData!$BE$115),"")</f>
        <v>3.5805087599999998</v>
      </c>
      <c r="BF115">
        <f ca="1">IFERROR(IF(0=LEN(ReferenceData!$BF$115),"",ReferenceData!$BF$115),"")</f>
        <v>9.5065969540000008</v>
      </c>
      <c r="BG115">
        <f ca="1">IFERROR(IF(0=LEN(ReferenceData!$BG$115),"",ReferenceData!$BG$115),"")</f>
        <v>8.5183633709999995</v>
      </c>
      <c r="BH115">
        <f ca="1">IFERROR(IF(0=LEN(ReferenceData!$BH$115),"",ReferenceData!$BH$115),"")</f>
        <v>12.90477321</v>
      </c>
      <c r="BI115">
        <f ca="1">IFERROR(IF(0=LEN(ReferenceData!$BI$115),"",ReferenceData!$BI$115),"")</f>
        <v>41.231492150000001</v>
      </c>
      <c r="BJ115">
        <f ca="1">IFERROR(IF(0=LEN(ReferenceData!$BJ$115),"",ReferenceData!$BJ$115),"")</f>
        <v>3.2024934260000002</v>
      </c>
      <c r="BK115">
        <f ca="1">IFERROR(IF(0=LEN(ReferenceData!$BK$115),"",ReferenceData!$BK$115),"")</f>
        <v>1.472682163</v>
      </c>
      <c r="BL115">
        <f ca="1">IFERROR(IF(0=LEN(ReferenceData!$BL$115),"",ReferenceData!$BL$115),"")</f>
        <v>10.065661739999999</v>
      </c>
      <c r="BM115">
        <f ca="1">IFERROR(IF(0=LEN(ReferenceData!$BM$115),"",ReferenceData!$BM$115),"")</f>
        <v>-17.96622443</v>
      </c>
    </row>
    <row r="116" spans="1:65">
      <c r="A116" t="str">
        <f>IFERROR(IF(0=LEN(ReferenceData!$A$116),"",ReferenceData!$A$116),"")</f>
        <v xml:space="preserve">    Brandywine Realty Trust</v>
      </c>
      <c r="B116" t="str">
        <f>IFERROR(IF(0=LEN(ReferenceData!$B$116),"",ReferenceData!$B$116),"")</f>
        <v>BDN US Equity</v>
      </c>
      <c r="C116" t="str">
        <f>IFERROR(IF(0=LEN(ReferenceData!$C$116),"",ReferenceData!$C$116),"")</f>
        <v>RR551</v>
      </c>
      <c r="D116" t="str">
        <f>IFERROR(IF(0=LEN(ReferenceData!$D$116),"",ReferenceData!$D$116),"")</f>
        <v>NOI_GROWTH</v>
      </c>
      <c r="E116" t="str">
        <f>IFERROR(IF(0=LEN(ReferenceData!$E$116),"",ReferenceData!$E$116),"")</f>
        <v>动态</v>
      </c>
      <c r="F116" t="str">
        <f ca="1">IFERROR(IF(0=LEN(ReferenceData!$F$116),"",ReferenceData!$F$116),"")</f>
        <v/>
      </c>
      <c r="G116">
        <f ca="1">IFERROR(IF(0=LEN(ReferenceData!$G$116),"",ReferenceData!$G$116),"")</f>
        <v>1.4140864769999999</v>
      </c>
      <c r="H116">
        <f ca="1">IFERROR(IF(0=LEN(ReferenceData!$H$116),"",ReferenceData!$H$116),"")</f>
        <v>-1.537408111</v>
      </c>
      <c r="I116">
        <f ca="1">IFERROR(IF(0=LEN(ReferenceData!$I$116),"",ReferenceData!$I$116),"")</f>
        <v>0.12483246200000001</v>
      </c>
      <c r="J116">
        <f ca="1">IFERROR(IF(0=LEN(ReferenceData!$J$116),"",ReferenceData!$J$116),"")</f>
        <v>-2.503365402</v>
      </c>
      <c r="K116">
        <f ca="1">IFERROR(IF(0=LEN(ReferenceData!$K$116),"",ReferenceData!$K$116),"")</f>
        <v>-14.5952223</v>
      </c>
      <c r="L116">
        <f ca="1">IFERROR(IF(0=LEN(ReferenceData!$L$116),"",ReferenceData!$L$116),"")</f>
        <v>-16.383454499999999</v>
      </c>
      <c r="M116">
        <f ca="1">IFERROR(IF(0=LEN(ReferenceData!$M$116),"",ReferenceData!$M$116),"")</f>
        <v>-13.58330305</v>
      </c>
      <c r="N116">
        <f ca="1">IFERROR(IF(0=LEN(ReferenceData!$N$116),"",ReferenceData!$N$116),"")</f>
        <v>-6.7948983590000003</v>
      </c>
      <c r="O116">
        <f ca="1">IFERROR(IF(0=LEN(ReferenceData!$O$116),"",ReferenceData!$O$116),"")</f>
        <v>2.9477063910000001</v>
      </c>
      <c r="P116">
        <f ca="1">IFERROR(IF(0=LEN(ReferenceData!$P$116),"",ReferenceData!$P$116),"")</f>
        <v>4.5953763759999999</v>
      </c>
      <c r="Q116">
        <f ca="1">IFERROR(IF(0=LEN(ReferenceData!$Q$116),"",ReferenceData!$Q$116),"")</f>
        <v>-4.229334551</v>
      </c>
      <c r="R116">
        <f ca="1">IFERROR(IF(0=LEN(ReferenceData!$R$116),"",ReferenceData!$R$116),"")</f>
        <v>-2.9449223550000001</v>
      </c>
      <c r="S116">
        <f ca="1">IFERROR(IF(0=LEN(ReferenceData!$S$116),"",ReferenceData!$S$116),"")</f>
        <v>6.885473331</v>
      </c>
      <c r="T116">
        <f ca="1">IFERROR(IF(0=LEN(ReferenceData!$T$116),"",ReferenceData!$T$116),"")</f>
        <v>2.6038768320000001</v>
      </c>
      <c r="U116">
        <f ca="1">IFERROR(IF(0=LEN(ReferenceData!$U$116),"",ReferenceData!$U$116),"")</f>
        <v>9.1896834260000002</v>
      </c>
      <c r="V116">
        <f ca="1">IFERROR(IF(0=LEN(ReferenceData!$V$116),"",ReferenceData!$V$116),"")</f>
        <v>7.054011386</v>
      </c>
      <c r="W116">
        <f ca="1">IFERROR(IF(0=LEN(ReferenceData!$W$116),"",ReferenceData!$W$116),"")</f>
        <v>1.6124843879999999</v>
      </c>
      <c r="X116">
        <f ca="1">IFERROR(IF(0=LEN(ReferenceData!$X$116),"",ReferenceData!$X$116),"")</f>
        <v>8.7402140609999996</v>
      </c>
      <c r="Y116">
        <f ca="1">IFERROR(IF(0=LEN(ReferenceData!$Y$116),"",ReferenceData!$Y$116),"")</f>
        <v>5.5577839060000001</v>
      </c>
      <c r="Z116">
        <f ca="1">IFERROR(IF(0=LEN(ReferenceData!$Z$116),"",ReferenceData!$Z$116),"")</f>
        <v>4.3415322029999999</v>
      </c>
      <c r="AA116">
        <f ca="1">IFERROR(IF(0=LEN(ReferenceData!$AA$116),"",ReferenceData!$AA$116),"")</f>
        <v>-1.0074425890000001</v>
      </c>
      <c r="AB116">
        <f ca="1">IFERROR(IF(0=LEN(ReferenceData!$AB$116),"",ReferenceData!$AB$116),"")</f>
        <v>-4.5164008430000004</v>
      </c>
      <c r="AC116">
        <f ca="1">IFERROR(IF(0=LEN(ReferenceData!$AC$116),"",ReferenceData!$AC$116),"")</f>
        <v>-4.4619548299999998</v>
      </c>
      <c r="AD116">
        <f ca="1">IFERROR(IF(0=LEN(ReferenceData!$AD$116),"",ReferenceData!$AD$116),"")</f>
        <v>-3.1566862050000002</v>
      </c>
      <c r="AE116">
        <f ca="1">IFERROR(IF(0=LEN(ReferenceData!$AE$116),"",ReferenceData!$AE$116),"")</f>
        <v>-3.4978087009999999</v>
      </c>
      <c r="AF116">
        <f ca="1">IFERROR(IF(0=LEN(ReferenceData!$AF$116),"",ReferenceData!$AF$116),"")</f>
        <v>0.34424447400000002</v>
      </c>
      <c r="AG116">
        <f ca="1">IFERROR(IF(0=LEN(ReferenceData!$AG$116),"",ReferenceData!$AG$116),"")</f>
        <v>2.3596180480000002</v>
      </c>
      <c r="AH116">
        <f ca="1">IFERROR(IF(0=LEN(ReferenceData!$AH$116),"",ReferenceData!$AH$116),"")</f>
        <v>1.123114902</v>
      </c>
      <c r="AI116">
        <f ca="1">IFERROR(IF(0=LEN(ReferenceData!$AI$116),"",ReferenceData!$AI$116),"")</f>
        <v>1.5206571929999999</v>
      </c>
      <c r="AJ116">
        <f ca="1">IFERROR(IF(0=LEN(ReferenceData!$AJ$116),"",ReferenceData!$AJ$116),"")</f>
        <v>-6.856127087</v>
      </c>
      <c r="AK116">
        <f ca="1">IFERROR(IF(0=LEN(ReferenceData!$AK$116),"",ReferenceData!$AK$116),"")</f>
        <v>-5.6485283060000002</v>
      </c>
      <c r="AL116">
        <f ca="1">IFERROR(IF(0=LEN(ReferenceData!$AL$116),"",ReferenceData!$AL$116),"")</f>
        <v>-4.2758039800000001</v>
      </c>
      <c r="AM116">
        <f ca="1">IFERROR(IF(0=LEN(ReferenceData!$AM$116),"",ReferenceData!$AM$116),"")</f>
        <v>-6.2889830409999998</v>
      </c>
      <c r="AN116">
        <f ca="1">IFERROR(IF(0=LEN(ReferenceData!$AN$116),"",ReferenceData!$AN$116),"")</f>
        <v>0.87730249299999996</v>
      </c>
      <c r="AO116">
        <f ca="1">IFERROR(IF(0=LEN(ReferenceData!$AO$116),"",ReferenceData!$AO$116),"")</f>
        <v>-6.1050962679999996</v>
      </c>
      <c r="AP116">
        <f ca="1">IFERROR(IF(0=LEN(ReferenceData!$AP$116),"",ReferenceData!$AP$116),"")</f>
        <v>-7.8173190979999996</v>
      </c>
      <c r="AQ116">
        <f ca="1">IFERROR(IF(0=LEN(ReferenceData!$AQ$116),"",ReferenceData!$AQ$116),"")</f>
        <v>-7.4502829090000002</v>
      </c>
      <c r="AR116">
        <f ca="1">IFERROR(IF(0=LEN(ReferenceData!$AR$116),"",ReferenceData!$AR$116),"")</f>
        <v>-11.638052070000001</v>
      </c>
      <c r="AS116">
        <f ca="1">IFERROR(IF(0=LEN(ReferenceData!$AS$116),"",ReferenceData!$AS$116),"")</f>
        <v>0.14245943699999999</v>
      </c>
      <c r="AT116">
        <f ca="1">IFERROR(IF(0=LEN(ReferenceData!$AT$116),"",ReferenceData!$AT$116),"")</f>
        <v>-9.6788646790000001</v>
      </c>
      <c r="AU116">
        <f ca="1">IFERROR(IF(0=LEN(ReferenceData!$AU$116),"",ReferenceData!$AU$116),"")</f>
        <v>-7.9045174139999999</v>
      </c>
      <c r="AV116">
        <f ca="1">IFERROR(IF(0=LEN(ReferenceData!$AV$116),"",ReferenceData!$AV$116),"")</f>
        <v>8.1788298600000005</v>
      </c>
      <c r="AW116">
        <f ca="1">IFERROR(IF(0=LEN(ReferenceData!$AW$116),"",ReferenceData!$AW$116),"")</f>
        <v>2.092793463</v>
      </c>
      <c r="AX116">
        <f ca="1">IFERROR(IF(0=LEN(ReferenceData!$AX$116),"",ReferenceData!$AX$116),"")</f>
        <v>21.467783539999999</v>
      </c>
      <c r="AY116">
        <f ca="1">IFERROR(IF(0=LEN(ReferenceData!$AY$116),"",ReferenceData!$AY$116),"")</f>
        <v>76.654934339999997</v>
      </c>
      <c r="AZ116">
        <f ca="1">IFERROR(IF(0=LEN(ReferenceData!$AZ$116),"",ReferenceData!$AZ$116),"")</f>
        <v>65.815794210000007</v>
      </c>
      <c r="BA116">
        <f ca="1">IFERROR(IF(0=LEN(ReferenceData!$BA$116),"",ReferenceData!$BA$116),"")</f>
        <v>62.583032490000001</v>
      </c>
      <c r="BB116">
        <f ca="1">IFERROR(IF(0=LEN(ReferenceData!$BB$116),"",ReferenceData!$BB$116),"")</f>
        <v>57.180049840000002</v>
      </c>
      <c r="BC116">
        <f ca="1">IFERROR(IF(0=LEN(ReferenceData!$BC$116),"",ReferenceData!$BC$116),"")</f>
        <v>2.657818851</v>
      </c>
      <c r="BD116">
        <f ca="1">IFERROR(IF(0=LEN(ReferenceData!$BD$116),"",ReferenceData!$BD$116),"")</f>
        <v>19.28672589</v>
      </c>
      <c r="BE116">
        <f ca="1">IFERROR(IF(0=LEN(ReferenceData!$BE$116),"",ReferenceData!$BE$116),"")</f>
        <v>21.827857680000001</v>
      </c>
      <c r="BF116">
        <f ca="1">IFERROR(IF(0=LEN(ReferenceData!$BF$116),"",ReferenceData!$BF$116),"")</f>
        <v>26.402143760000001</v>
      </c>
      <c r="BG116" t="str">
        <f ca="1">IFERROR(IF(0=LEN(ReferenceData!$BG$116),"",ReferenceData!$BG$116),"")</f>
        <v/>
      </c>
      <c r="BH116">
        <f ca="1">IFERROR(IF(0=LEN(ReferenceData!$BH$116),"",ReferenceData!$BH$116),"")</f>
        <v>-0.66716401999999997</v>
      </c>
      <c r="BI116">
        <f ca="1">IFERROR(IF(0=LEN(ReferenceData!$BI$116),"",ReferenceData!$BI$116),"")</f>
        <v>-3.6975857689999998</v>
      </c>
      <c r="BJ116">
        <f ca="1">IFERROR(IF(0=LEN(ReferenceData!$BJ$116),"",ReferenceData!$BJ$116),"")</f>
        <v>-4.6549676150000003</v>
      </c>
      <c r="BK116" t="str">
        <f ca="1">IFERROR(IF(0=LEN(ReferenceData!$BK$116),"",ReferenceData!$BK$116),"")</f>
        <v/>
      </c>
      <c r="BL116">
        <f ca="1">IFERROR(IF(0=LEN(ReferenceData!$BL$116),"",ReferenceData!$BL$116),"")</f>
        <v>1.0293515950000001</v>
      </c>
      <c r="BM116">
        <f ca="1">IFERROR(IF(0=LEN(ReferenceData!$BM$116),"",ReferenceData!$BM$116),"")</f>
        <v>2.9947433860000001</v>
      </c>
    </row>
    <row r="117" spans="1:65">
      <c r="A117" t="str">
        <f>IFERROR(IF(0=LEN(ReferenceData!$A$117),"",ReferenceData!$A$117),"")</f>
        <v xml:space="preserve">    Columbia Property Trust Inc</v>
      </c>
      <c r="B117" t="str">
        <f>IFERROR(IF(0=LEN(ReferenceData!$B$117),"",ReferenceData!$B$117),"")</f>
        <v>CXP US Equity</v>
      </c>
      <c r="C117" t="str">
        <f>IFERROR(IF(0=LEN(ReferenceData!$C$117),"",ReferenceData!$C$117),"")</f>
        <v>RR551</v>
      </c>
      <c r="D117" t="str">
        <f>IFERROR(IF(0=LEN(ReferenceData!$D$117),"",ReferenceData!$D$117),"")</f>
        <v>NOI_GROWTH</v>
      </c>
      <c r="E117" t="str">
        <f>IFERROR(IF(0=LEN(ReferenceData!$E$117),"",ReferenceData!$E$117),"")</f>
        <v>动态</v>
      </c>
      <c r="F117" t="str">
        <f ca="1">IFERROR(IF(0=LEN(ReferenceData!$F$117),"",ReferenceData!$F$117),"")</f>
        <v/>
      </c>
      <c r="G117">
        <f ca="1">IFERROR(IF(0=LEN(ReferenceData!$G$117),"",ReferenceData!$G$117),"")</f>
        <v>-25.746256540000001</v>
      </c>
      <c r="H117">
        <f ca="1">IFERROR(IF(0=LEN(ReferenceData!$H$117),"",ReferenceData!$H$117),"")</f>
        <v>-33.494773189999997</v>
      </c>
      <c r="I117">
        <f ca="1">IFERROR(IF(0=LEN(ReferenceData!$I$117),"",ReferenceData!$I$117),"")</f>
        <v>-30.36114998</v>
      </c>
      <c r="J117">
        <f ca="1">IFERROR(IF(0=LEN(ReferenceData!$J$117),"",ReferenceData!$J$117),"")</f>
        <v>-28.388150530000001</v>
      </c>
      <c r="K117">
        <f ca="1">IFERROR(IF(0=LEN(ReferenceData!$K$117),"",ReferenceData!$K$117),"")</f>
        <v>-21.63665288</v>
      </c>
      <c r="L117">
        <f ca="1">IFERROR(IF(0=LEN(ReferenceData!$L$117),"",ReferenceData!$L$117),"")</f>
        <v>-18.493427310000001</v>
      </c>
      <c r="M117">
        <f ca="1">IFERROR(IF(0=LEN(ReferenceData!$M$117),"",ReferenceData!$M$117),"")</f>
        <v>-13.34713532</v>
      </c>
      <c r="N117">
        <f ca="1">IFERROR(IF(0=LEN(ReferenceData!$N$117),"",ReferenceData!$N$117),"")</f>
        <v>-11.5297216</v>
      </c>
      <c r="O117">
        <f ca="1">IFERROR(IF(0=LEN(ReferenceData!$O$117),"",ReferenceData!$O$117),"")</f>
        <v>-4.1288937150000002</v>
      </c>
      <c r="P117">
        <f ca="1">IFERROR(IF(0=LEN(ReferenceData!$P$117),"",ReferenceData!$P$117),"")</f>
        <v>1.8159388759999999</v>
      </c>
      <c r="Q117">
        <f ca="1">IFERROR(IF(0=LEN(ReferenceData!$Q$117),"",ReferenceData!$Q$117),"")</f>
        <v>1.593148647</v>
      </c>
      <c r="R117">
        <f ca="1">IFERROR(IF(0=LEN(ReferenceData!$R$117),"",ReferenceData!$R$117),"")</f>
        <v>5.0381286950000002</v>
      </c>
      <c r="S117">
        <f ca="1">IFERROR(IF(0=LEN(ReferenceData!$S$117),"",ReferenceData!$S$117),"")</f>
        <v>-1.2030328969999999</v>
      </c>
      <c r="T117">
        <f ca="1">IFERROR(IF(0=LEN(ReferenceData!$T$117),"",ReferenceData!$T$117),"")</f>
        <v>-6.0503719949999999</v>
      </c>
      <c r="U117">
        <f ca="1">IFERROR(IF(0=LEN(ReferenceData!$U$117),"",ReferenceData!$U$117),"")</f>
        <v>3.7869651210000002</v>
      </c>
      <c r="V117">
        <f ca="1">IFERROR(IF(0=LEN(ReferenceData!$V$117),"",ReferenceData!$V$117),"")</f>
        <v>6.5330499299999998</v>
      </c>
      <c r="W117">
        <f ca="1">IFERROR(IF(0=LEN(ReferenceData!$W$117),"",ReferenceData!$W$117),"")</f>
        <v>20.988536589999999</v>
      </c>
      <c r="X117">
        <f ca="1">IFERROR(IF(0=LEN(ReferenceData!$X$117),"",ReferenceData!$X$117),"")</f>
        <v>0.75209683100000002</v>
      </c>
      <c r="Y117">
        <f ca="1">IFERROR(IF(0=LEN(ReferenceData!$Y$117),"",ReferenceData!$Y$117),"")</f>
        <v>3.429091771</v>
      </c>
      <c r="Z117">
        <f ca="1">IFERROR(IF(0=LEN(ReferenceData!$Z$117),"",ReferenceData!$Z$117),"")</f>
        <v>-6.6034174090000004</v>
      </c>
      <c r="AA117">
        <f ca="1">IFERROR(IF(0=LEN(ReferenceData!$AA$117),"",ReferenceData!$AA$117),"")</f>
        <v>-0.54250072500000002</v>
      </c>
      <c r="AB117">
        <f ca="1">IFERROR(IF(0=LEN(ReferenceData!$AB$117),"",ReferenceData!$AB$117),"")</f>
        <v>-12.410782040000001</v>
      </c>
      <c r="AC117">
        <f ca="1">IFERROR(IF(0=LEN(ReferenceData!$AC$117),"",ReferenceData!$AC$117),"")</f>
        <v>-10.226318320000001</v>
      </c>
      <c r="AD117">
        <f ca="1">IFERROR(IF(0=LEN(ReferenceData!$AD$117),"",ReferenceData!$AD$117),"")</f>
        <v>-2.7662975900000002</v>
      </c>
      <c r="AE117">
        <f ca="1">IFERROR(IF(0=LEN(ReferenceData!$AE$117),"",ReferenceData!$AE$117),"")</f>
        <v>-7.3561426609999998</v>
      </c>
      <c r="AF117">
        <f ca="1">IFERROR(IF(0=LEN(ReferenceData!$AF$117),"",ReferenceData!$AF$117),"")</f>
        <v>10.25840013</v>
      </c>
      <c r="AG117">
        <f ca="1">IFERROR(IF(0=LEN(ReferenceData!$AG$117),"",ReferenceData!$AG$117),"")</f>
        <v>12.23825444</v>
      </c>
      <c r="AH117">
        <f ca="1">IFERROR(IF(0=LEN(ReferenceData!$AH$117),"",ReferenceData!$AH$117),"")</f>
        <v>8.9472326150000008</v>
      </c>
      <c r="AI117">
        <f ca="1">IFERROR(IF(0=LEN(ReferenceData!$AI$117),"",ReferenceData!$AI$117),"")</f>
        <v>-19.521981289999999</v>
      </c>
      <c r="AJ117">
        <f ca="1">IFERROR(IF(0=LEN(ReferenceData!$AJ$117),"",ReferenceData!$AJ$117),"")</f>
        <v>8.5404053700000002</v>
      </c>
      <c r="AK117">
        <f ca="1">IFERROR(IF(0=LEN(ReferenceData!$AK$117),"",ReferenceData!$AK$117),"")</f>
        <v>2.0522818809999999</v>
      </c>
      <c r="AL117">
        <f ca="1">IFERROR(IF(0=LEN(ReferenceData!$AL$117),"",ReferenceData!$AL$117),"")</f>
        <v>0.47573986000000001</v>
      </c>
      <c r="AM117" t="str">
        <f ca="1">IFERROR(IF(0=LEN(ReferenceData!$AM$117),"",ReferenceData!$AM$117),"")</f>
        <v/>
      </c>
      <c r="AN117" t="str">
        <f ca="1">IFERROR(IF(0=LEN(ReferenceData!$AN$117),"",ReferenceData!$AN$117),"")</f>
        <v/>
      </c>
      <c r="AO117" t="str">
        <f ca="1">IFERROR(IF(0=LEN(ReferenceData!$AO$117),"",ReferenceData!$AO$117),"")</f>
        <v/>
      </c>
      <c r="AP117" t="str">
        <f ca="1">IFERROR(IF(0=LEN(ReferenceData!$AP$117),"",ReferenceData!$AP$117),"")</f>
        <v/>
      </c>
      <c r="AQ117" t="str">
        <f ca="1">IFERROR(IF(0=LEN(ReferenceData!$AQ$117),"",ReferenceData!$AQ$117),"")</f>
        <v/>
      </c>
      <c r="AR117" t="str">
        <f ca="1">IFERROR(IF(0=LEN(ReferenceData!$AR$117),"",ReferenceData!$AR$117),"")</f>
        <v/>
      </c>
      <c r="AS117" t="str">
        <f ca="1">IFERROR(IF(0=LEN(ReferenceData!$AS$117),"",ReferenceData!$AS$117),"")</f>
        <v/>
      </c>
      <c r="AT117" t="str">
        <f ca="1">IFERROR(IF(0=LEN(ReferenceData!$AT$117),"",ReferenceData!$AT$117),"")</f>
        <v/>
      </c>
      <c r="AU117" t="str">
        <f ca="1">IFERROR(IF(0=LEN(ReferenceData!$AU$117),"",ReferenceData!$AU$117),"")</f>
        <v/>
      </c>
      <c r="AV117" t="str">
        <f ca="1">IFERROR(IF(0=LEN(ReferenceData!$AV$117),"",ReferenceData!$AV$117),"")</f>
        <v/>
      </c>
      <c r="AW117" t="str">
        <f ca="1">IFERROR(IF(0=LEN(ReferenceData!$AW$117),"",ReferenceData!$AW$117),"")</f>
        <v/>
      </c>
      <c r="AX117" t="str">
        <f ca="1">IFERROR(IF(0=LEN(ReferenceData!$AX$117),"",ReferenceData!$AX$117),"")</f>
        <v/>
      </c>
      <c r="AY117" t="str">
        <f ca="1">IFERROR(IF(0=LEN(ReferenceData!$AY$117),"",ReferenceData!$AY$117),"")</f>
        <v/>
      </c>
      <c r="AZ117" t="str">
        <f ca="1">IFERROR(IF(0=LEN(ReferenceData!$AZ$117),"",ReferenceData!$AZ$117),"")</f>
        <v/>
      </c>
      <c r="BA117" t="str">
        <f ca="1">IFERROR(IF(0=LEN(ReferenceData!$BA$117),"",ReferenceData!$BA$117),"")</f>
        <v/>
      </c>
      <c r="BB117" t="str">
        <f ca="1">IFERROR(IF(0=LEN(ReferenceData!$BB$117),"",ReferenceData!$BB$117),"")</f>
        <v/>
      </c>
      <c r="BC117" t="str">
        <f ca="1">IFERROR(IF(0=LEN(ReferenceData!$BC$117),"",ReferenceData!$BC$117),"")</f>
        <v/>
      </c>
      <c r="BD117" t="str">
        <f ca="1">IFERROR(IF(0=LEN(ReferenceData!$BD$117),"",ReferenceData!$BD$117),"")</f>
        <v/>
      </c>
      <c r="BE117" t="str">
        <f ca="1">IFERROR(IF(0=LEN(ReferenceData!$BE$117),"",ReferenceData!$BE$117),"")</f>
        <v/>
      </c>
      <c r="BF117" t="str">
        <f ca="1">IFERROR(IF(0=LEN(ReferenceData!$BF$117),"",ReferenceData!$BF$117),"")</f>
        <v/>
      </c>
      <c r="BG117" t="str">
        <f ca="1">IFERROR(IF(0=LEN(ReferenceData!$BG$117),"",ReferenceData!$BG$117),"")</f>
        <v/>
      </c>
      <c r="BH117" t="str">
        <f ca="1">IFERROR(IF(0=LEN(ReferenceData!$BH$117),"",ReferenceData!$BH$117),"")</f>
        <v/>
      </c>
      <c r="BI117" t="str">
        <f ca="1">IFERROR(IF(0=LEN(ReferenceData!$BI$117),"",ReferenceData!$BI$117),"")</f>
        <v/>
      </c>
      <c r="BJ117" t="str">
        <f ca="1">IFERROR(IF(0=LEN(ReferenceData!$BJ$117),"",ReferenceData!$BJ$117),"")</f>
        <v/>
      </c>
      <c r="BK117" t="str">
        <f ca="1">IFERROR(IF(0=LEN(ReferenceData!$BK$117),"",ReferenceData!$BK$117),"")</f>
        <v/>
      </c>
      <c r="BL117" t="str">
        <f ca="1">IFERROR(IF(0=LEN(ReferenceData!$BL$117),"",ReferenceData!$BL$117),"")</f>
        <v/>
      </c>
      <c r="BM117" t="str">
        <f ca="1">IFERROR(IF(0=LEN(ReferenceData!$BM$117),"",ReferenceData!$BM$117),"")</f>
        <v/>
      </c>
    </row>
    <row r="118" spans="1:65">
      <c r="A118" t="str">
        <f>IFERROR(IF(0=LEN(ReferenceData!$A$118),"",ReferenceData!$A$118),"")</f>
        <v xml:space="preserve">    Corporate Office Properties Tr</v>
      </c>
      <c r="B118" t="str">
        <f>IFERROR(IF(0=LEN(ReferenceData!$B$118),"",ReferenceData!$B$118),"")</f>
        <v>OFC US Equity</v>
      </c>
      <c r="C118" t="str">
        <f>IFERROR(IF(0=LEN(ReferenceData!$C$118),"",ReferenceData!$C$118),"")</f>
        <v>RR551</v>
      </c>
      <c r="D118" t="str">
        <f>IFERROR(IF(0=LEN(ReferenceData!$D$118),"",ReferenceData!$D$118),"")</f>
        <v>NOI_GROWTH</v>
      </c>
      <c r="E118" t="str">
        <f>IFERROR(IF(0=LEN(ReferenceData!$E$118),"",ReferenceData!$E$118),"")</f>
        <v>动态</v>
      </c>
      <c r="F118" t="str">
        <f ca="1">IFERROR(IF(0=LEN(ReferenceData!$F$118),"",ReferenceData!$F$118),"")</f>
        <v/>
      </c>
      <c r="G118">
        <f ca="1">IFERROR(IF(0=LEN(ReferenceData!$G$118),"",ReferenceData!$G$118),"")</f>
        <v>-0.24988500299999999</v>
      </c>
      <c r="H118">
        <f ca="1">IFERROR(IF(0=LEN(ReferenceData!$H$118),"",ReferenceData!$H$118),"")</f>
        <v>-0.17160070099999999</v>
      </c>
      <c r="I118">
        <f ca="1">IFERROR(IF(0=LEN(ReferenceData!$I$118),"",ReferenceData!$I$118),"")</f>
        <v>-7.127286292</v>
      </c>
      <c r="J118">
        <f ca="1">IFERROR(IF(0=LEN(ReferenceData!$J$118),"",ReferenceData!$J$118),"")</f>
        <v>-3.6497069400000002</v>
      </c>
      <c r="K118">
        <f ca="1">IFERROR(IF(0=LEN(ReferenceData!$K$118),"",ReferenceData!$K$118),"")</f>
        <v>-6.445760011</v>
      </c>
      <c r="L118">
        <f ca="1">IFERROR(IF(0=LEN(ReferenceData!$L$118),"",ReferenceData!$L$118),"")</f>
        <v>-4.4663812519999997</v>
      </c>
      <c r="M118">
        <f ca="1">IFERROR(IF(0=LEN(ReferenceData!$M$118),"",ReferenceData!$M$118),"")</f>
        <v>4.9038191089999996</v>
      </c>
      <c r="N118">
        <f ca="1">IFERROR(IF(0=LEN(ReferenceData!$N$118),"",ReferenceData!$N$118),"")</f>
        <v>12.74903164</v>
      </c>
      <c r="O118">
        <f ca="1">IFERROR(IF(0=LEN(ReferenceData!$O$118),"",ReferenceData!$O$118),"")</f>
        <v>11.25790965</v>
      </c>
      <c r="P118">
        <f ca="1">IFERROR(IF(0=LEN(ReferenceData!$P$118),"",ReferenceData!$P$118),"")</f>
        <v>12.7213507</v>
      </c>
      <c r="Q118">
        <f ca="1">IFERROR(IF(0=LEN(ReferenceData!$Q$118),"",ReferenceData!$Q$118),"")</f>
        <v>13.279399339999999</v>
      </c>
      <c r="R118">
        <f ca="1">IFERROR(IF(0=LEN(ReferenceData!$R$118),"",ReferenceData!$R$118),"")</f>
        <v>-4.095599494</v>
      </c>
      <c r="S118">
        <f ca="1">IFERROR(IF(0=LEN(ReferenceData!$S$118),"",ReferenceData!$S$118),"")</f>
        <v>3.9115234640000001</v>
      </c>
      <c r="T118">
        <f ca="1">IFERROR(IF(0=LEN(ReferenceData!$T$118),"",ReferenceData!$T$118),"")</f>
        <v>2.3958616930000001</v>
      </c>
      <c r="U118">
        <f ca="1">IFERROR(IF(0=LEN(ReferenceData!$U$118),"",ReferenceData!$U$118),"")</f>
        <v>-2.9731582410000001</v>
      </c>
      <c r="V118">
        <f ca="1">IFERROR(IF(0=LEN(ReferenceData!$V$118),"",ReferenceData!$V$118),"")</f>
        <v>4.9406866100000002</v>
      </c>
      <c r="W118">
        <f ca="1">IFERROR(IF(0=LEN(ReferenceData!$W$118),"",ReferenceData!$W$118),"")</f>
        <v>6.3537689300000002</v>
      </c>
      <c r="X118">
        <f ca="1">IFERROR(IF(0=LEN(ReferenceData!$X$118),"",ReferenceData!$X$118),"")</f>
        <v>1.9399961139999999</v>
      </c>
      <c r="Y118">
        <f ca="1">IFERROR(IF(0=LEN(ReferenceData!$Y$118),"",ReferenceData!$Y$118),"")</f>
        <v>4.4519009379999996</v>
      </c>
      <c r="Z118">
        <f ca="1">IFERROR(IF(0=LEN(ReferenceData!$Z$118),"",ReferenceData!$Z$118),"")</f>
        <v>3.113473951</v>
      </c>
      <c r="AA118">
        <f ca="1">IFERROR(IF(0=LEN(ReferenceData!$AA$118),"",ReferenceData!$AA$118),"")</f>
        <v>1.405203167</v>
      </c>
      <c r="AB118">
        <f ca="1">IFERROR(IF(0=LEN(ReferenceData!$AB$118),"",ReferenceData!$AB$118),"")</f>
        <v>8.6760469919999998</v>
      </c>
      <c r="AC118">
        <f ca="1">IFERROR(IF(0=LEN(ReferenceData!$AC$118),"",ReferenceData!$AC$118),"")</f>
        <v>3.877845674</v>
      </c>
      <c r="AD118">
        <f ca="1">IFERROR(IF(0=LEN(ReferenceData!$AD$118),"",ReferenceData!$AD$118),"")</f>
        <v>1.1527378E-2</v>
      </c>
      <c r="AE118">
        <f ca="1">IFERROR(IF(0=LEN(ReferenceData!$AE$118),"",ReferenceData!$AE$118),"")</f>
        <v>-3.988972892</v>
      </c>
      <c r="AF118">
        <f ca="1">IFERROR(IF(0=LEN(ReferenceData!$AF$118),"",ReferenceData!$AF$118),"")</f>
        <v>-2.5741614140000002</v>
      </c>
      <c r="AG118">
        <f ca="1">IFERROR(IF(0=LEN(ReferenceData!$AG$118),"",ReferenceData!$AG$118),"")</f>
        <v>1.630378396</v>
      </c>
      <c r="AH118">
        <f ca="1">IFERROR(IF(0=LEN(ReferenceData!$AH$118),"",ReferenceData!$AH$118),"")</f>
        <v>8.2801553989999999</v>
      </c>
      <c r="AI118">
        <f ca="1">IFERROR(IF(0=LEN(ReferenceData!$AI$118),"",ReferenceData!$AI$118),"")</f>
        <v>8.5431464409999993</v>
      </c>
      <c r="AJ118">
        <f ca="1">IFERROR(IF(0=LEN(ReferenceData!$AJ$118),"",ReferenceData!$AJ$118),"")</f>
        <v>3.7372921400000001</v>
      </c>
      <c r="AK118">
        <f ca="1">IFERROR(IF(0=LEN(ReferenceData!$AK$118),"",ReferenceData!$AK$118),"")</f>
        <v>-0.64499977900000005</v>
      </c>
      <c r="AL118">
        <f ca="1">IFERROR(IF(0=LEN(ReferenceData!$AL$118),"",ReferenceData!$AL$118),"")</f>
        <v>-4.5439652089999996</v>
      </c>
      <c r="AM118">
        <f ca="1">IFERROR(IF(0=LEN(ReferenceData!$AM$118),"",ReferenceData!$AM$118),"")</f>
        <v>-3.7767202999999999E-2</v>
      </c>
      <c r="AN118">
        <f ca="1">IFERROR(IF(0=LEN(ReferenceData!$AN$118),"",ReferenceData!$AN$118),"")</f>
        <v>0.57793720900000001</v>
      </c>
      <c r="AO118">
        <f ca="1">IFERROR(IF(0=LEN(ReferenceData!$AO$118),"",ReferenceData!$AO$118),"")</f>
        <v>6.122927378</v>
      </c>
      <c r="AP118">
        <f ca="1">IFERROR(IF(0=LEN(ReferenceData!$AP$118),"",ReferenceData!$AP$118),"")</f>
        <v>7.4991994880000004</v>
      </c>
      <c r="AQ118">
        <f ca="1">IFERROR(IF(0=LEN(ReferenceData!$AQ$118),"",ReferenceData!$AQ$118),"")</f>
        <v>8.5769117210000001</v>
      </c>
      <c r="AR118">
        <f ca="1">IFERROR(IF(0=LEN(ReferenceData!$AR$118),"",ReferenceData!$AR$118),"")</f>
        <v>3.671211977</v>
      </c>
      <c r="AS118">
        <f ca="1">IFERROR(IF(0=LEN(ReferenceData!$AS$118),"",ReferenceData!$AS$118),"")</f>
        <v>4.3151511200000003</v>
      </c>
      <c r="AT118">
        <f ca="1">IFERROR(IF(0=LEN(ReferenceData!$AT$118),"",ReferenceData!$AT$118),"")</f>
        <v>8.7660641520000002</v>
      </c>
      <c r="AU118">
        <f ca="1">IFERROR(IF(0=LEN(ReferenceData!$AU$118),"",ReferenceData!$AU$118),"")</f>
        <v>18.392076899999999</v>
      </c>
      <c r="AV118">
        <f ca="1">IFERROR(IF(0=LEN(ReferenceData!$AV$118),"",ReferenceData!$AV$118),"")</f>
        <v>21.269706660000001</v>
      </c>
      <c r="AW118">
        <f ca="1">IFERROR(IF(0=LEN(ReferenceData!$AW$118),"",ReferenceData!$AW$118),"")</f>
        <v>24.859044560000001</v>
      </c>
      <c r="AX118">
        <f ca="1">IFERROR(IF(0=LEN(ReferenceData!$AX$118),"",ReferenceData!$AX$118),"")</f>
        <v>19.23755736</v>
      </c>
      <c r="AY118">
        <f ca="1">IFERROR(IF(0=LEN(ReferenceData!$AY$118),"",ReferenceData!$AY$118),"")</f>
        <v>15.84405651</v>
      </c>
      <c r="AZ118">
        <f ca="1">IFERROR(IF(0=LEN(ReferenceData!$AZ$118),"",ReferenceData!$AZ$118),"")</f>
        <v>21.410520399999999</v>
      </c>
      <c r="BA118">
        <f ca="1">IFERROR(IF(0=LEN(ReferenceData!$BA$118),"",ReferenceData!$BA$118),"")</f>
        <v>17.328588830000001</v>
      </c>
      <c r="BB118">
        <f ca="1">IFERROR(IF(0=LEN(ReferenceData!$BB$118),"",ReferenceData!$BB$118),"")</f>
        <v>18.160406290000001</v>
      </c>
      <c r="BC118">
        <f ca="1">IFERROR(IF(0=LEN(ReferenceData!$BC$118),"",ReferenceData!$BC$118),"")</f>
        <v>9.9861441010000007</v>
      </c>
      <c r="BD118">
        <f ca="1">IFERROR(IF(0=LEN(ReferenceData!$BD$118),"",ReferenceData!$BD$118),"")</f>
        <v>17.126647850000001</v>
      </c>
      <c r="BE118">
        <f ca="1">IFERROR(IF(0=LEN(ReferenceData!$BE$118),"",ReferenceData!$BE$118),"")</f>
        <v>6.6963944450000001</v>
      </c>
      <c r="BF118">
        <f ca="1">IFERROR(IF(0=LEN(ReferenceData!$BF$118),"",ReferenceData!$BF$118),"")</f>
        <v>20.11965107</v>
      </c>
      <c r="BG118">
        <f ca="1">IFERROR(IF(0=LEN(ReferenceData!$BG$118),"",ReferenceData!$BG$118),"")</f>
        <v>23.558551850000001</v>
      </c>
      <c r="BH118">
        <f ca="1">IFERROR(IF(0=LEN(ReferenceData!$BH$118),"",ReferenceData!$BH$118),"")</f>
        <v>12.70812097</v>
      </c>
      <c r="BI118">
        <f ca="1">IFERROR(IF(0=LEN(ReferenceData!$BI$118),"",ReferenceData!$BI$118),"")</f>
        <v>31.796352890000001</v>
      </c>
      <c r="BJ118">
        <f ca="1">IFERROR(IF(0=LEN(ReferenceData!$BJ$118),"",ReferenceData!$BJ$118),"")</f>
        <v>21.77720356</v>
      </c>
      <c r="BK118">
        <f ca="1">IFERROR(IF(0=LEN(ReferenceData!$BK$118),"",ReferenceData!$BK$118),"")</f>
        <v>11.49362576</v>
      </c>
      <c r="BL118">
        <f ca="1">IFERROR(IF(0=LEN(ReferenceData!$BL$118),"",ReferenceData!$BL$118),"")</f>
        <v>24.172452150000002</v>
      </c>
      <c r="BM118">
        <f ca="1">IFERROR(IF(0=LEN(ReferenceData!$BM$118),"",ReferenceData!$BM$118),"")</f>
        <v>9.6435672730000004</v>
      </c>
    </row>
    <row r="119" spans="1:65">
      <c r="A119" t="str">
        <f>IFERROR(IF(0=LEN(ReferenceData!$A$119),"",ReferenceData!$A$119),"")</f>
        <v xml:space="preserve">    Highwoods Properties Inc</v>
      </c>
      <c r="B119" t="str">
        <f>IFERROR(IF(0=LEN(ReferenceData!$B$119),"",ReferenceData!$B$119),"")</f>
        <v>HIW US Equity</v>
      </c>
      <c r="C119" t="str">
        <f>IFERROR(IF(0=LEN(ReferenceData!$C$119),"",ReferenceData!$C$119),"")</f>
        <v>RR551</v>
      </c>
      <c r="D119" t="str">
        <f>IFERROR(IF(0=LEN(ReferenceData!$D$119),"",ReferenceData!$D$119),"")</f>
        <v>NOI_GROWTH</v>
      </c>
      <c r="E119" t="str">
        <f>IFERROR(IF(0=LEN(ReferenceData!$E$119),"",ReferenceData!$E$119),"")</f>
        <v>动态</v>
      </c>
      <c r="F119" t="str">
        <f ca="1">IFERROR(IF(0=LEN(ReferenceData!$F$119),"",ReferenceData!$F$119),"")</f>
        <v/>
      </c>
      <c r="G119">
        <f ca="1">IFERROR(IF(0=LEN(ReferenceData!$G$119),"",ReferenceData!$G$119),"")</f>
        <v>5.6050273859999997</v>
      </c>
      <c r="H119">
        <f ca="1">IFERROR(IF(0=LEN(ReferenceData!$H$119),"",ReferenceData!$H$119),"")</f>
        <v>10.49893636</v>
      </c>
      <c r="I119">
        <f ca="1">IFERROR(IF(0=LEN(ReferenceData!$I$119),"",ReferenceData!$I$119),"")</f>
        <v>8.3076500979999999</v>
      </c>
      <c r="J119">
        <f ca="1">IFERROR(IF(0=LEN(ReferenceData!$J$119),"",ReferenceData!$J$119),"")</f>
        <v>4.4118606619999996</v>
      </c>
      <c r="K119">
        <f ca="1">IFERROR(IF(0=LEN(ReferenceData!$K$119),"",ReferenceData!$K$119),"")</f>
        <v>6.5478893520000003</v>
      </c>
      <c r="L119">
        <f ca="1">IFERROR(IF(0=LEN(ReferenceData!$L$119),"",ReferenceData!$L$119),"")</f>
        <v>3.5305545399999998</v>
      </c>
      <c r="M119">
        <f ca="1">IFERROR(IF(0=LEN(ReferenceData!$M$119),"",ReferenceData!$M$119),"")</f>
        <v>13.69615173</v>
      </c>
      <c r="N119">
        <f ca="1">IFERROR(IF(0=LEN(ReferenceData!$N$119),"",ReferenceData!$N$119),"")</f>
        <v>7.4972193550000004</v>
      </c>
      <c r="O119">
        <f ca="1">IFERROR(IF(0=LEN(ReferenceData!$O$119),"",ReferenceData!$O$119),"")</f>
        <v>15.936687879999999</v>
      </c>
      <c r="P119">
        <f ca="1">IFERROR(IF(0=LEN(ReferenceData!$P$119),"",ReferenceData!$P$119),"")</f>
        <v>9.1678390689999993</v>
      </c>
      <c r="Q119">
        <f ca="1">IFERROR(IF(0=LEN(ReferenceData!$Q$119),"",ReferenceData!$Q$119),"")</f>
        <v>-1.3073773440000001</v>
      </c>
      <c r="R119">
        <f ca="1">IFERROR(IF(0=LEN(ReferenceData!$R$119),"",ReferenceData!$R$119),"")</f>
        <v>8.400769039</v>
      </c>
      <c r="S119">
        <f ca="1">IFERROR(IF(0=LEN(ReferenceData!$S$119),"",ReferenceData!$S$119),"")</f>
        <v>-4.6819778550000004</v>
      </c>
      <c r="T119">
        <f ca="1">IFERROR(IF(0=LEN(ReferenceData!$T$119),"",ReferenceData!$T$119),"")</f>
        <v>4.9831909620000001</v>
      </c>
      <c r="U119">
        <f ca="1">IFERROR(IF(0=LEN(ReferenceData!$U$119),"",ReferenceData!$U$119),"")</f>
        <v>14.238988989999999</v>
      </c>
      <c r="V119">
        <f ca="1">IFERROR(IF(0=LEN(ReferenceData!$V$119),"",ReferenceData!$V$119),"")</f>
        <v>9.8826730959999995</v>
      </c>
      <c r="W119">
        <f ca="1">IFERROR(IF(0=LEN(ReferenceData!$W$119),"",ReferenceData!$W$119),"")</f>
        <v>17.351426530000001</v>
      </c>
      <c r="X119">
        <f ca="1">IFERROR(IF(0=LEN(ReferenceData!$X$119),"",ReferenceData!$X$119),"")</f>
        <v>17.043372810000001</v>
      </c>
      <c r="Y119">
        <f ca="1">IFERROR(IF(0=LEN(ReferenceData!$Y$119),"",ReferenceData!$Y$119),"")</f>
        <v>5.5130869330000003</v>
      </c>
      <c r="Z119">
        <f ca="1">IFERROR(IF(0=LEN(ReferenceData!$Z$119),"",ReferenceData!$Z$119),"")</f>
        <v>4.057578618</v>
      </c>
      <c r="AA119">
        <f ca="1">IFERROR(IF(0=LEN(ReferenceData!$AA$119),"",ReferenceData!$AA$119),"")</f>
        <v>1.729720084</v>
      </c>
      <c r="AB119">
        <f ca="1">IFERROR(IF(0=LEN(ReferenceData!$AB$119),"",ReferenceData!$AB$119),"")</f>
        <v>5.8442799790000004</v>
      </c>
      <c r="AC119">
        <f ca="1">IFERROR(IF(0=LEN(ReferenceData!$AC$119),"",ReferenceData!$AC$119),"")</f>
        <v>8.1959314780000003</v>
      </c>
      <c r="AD119">
        <f ca="1">IFERROR(IF(0=LEN(ReferenceData!$AD$119),"",ReferenceData!$AD$119),"")</f>
        <v>9.6694226130000001</v>
      </c>
      <c r="AE119">
        <f ca="1">IFERROR(IF(0=LEN(ReferenceData!$AE$119),"",ReferenceData!$AE$119),"")</f>
        <v>2.7692630139999999</v>
      </c>
      <c r="AF119">
        <f ca="1">IFERROR(IF(0=LEN(ReferenceData!$AF$119),"",ReferenceData!$AF$119),"")</f>
        <v>1.447588968</v>
      </c>
      <c r="AG119">
        <f ca="1">IFERROR(IF(0=LEN(ReferenceData!$AG$119),"",ReferenceData!$AG$119),"")</f>
        <v>-1.1927745890000001</v>
      </c>
      <c r="AH119">
        <f ca="1">IFERROR(IF(0=LEN(ReferenceData!$AH$119),"",ReferenceData!$AH$119),"")</f>
        <v>0.10635541799999999</v>
      </c>
      <c r="AI119">
        <f ca="1">IFERROR(IF(0=LEN(ReferenceData!$AI$119),"",ReferenceData!$AI$119),"")</f>
        <v>6.5577889450000004</v>
      </c>
      <c r="AJ119">
        <f ca="1">IFERROR(IF(0=LEN(ReferenceData!$AJ$119),"",ReferenceData!$AJ$119),"")</f>
        <v>2.242019092</v>
      </c>
      <c r="AK119">
        <f ca="1">IFERROR(IF(0=LEN(ReferenceData!$AK$119),"",ReferenceData!$AK$119),"")</f>
        <v>3.5733362550000001</v>
      </c>
      <c r="AL119">
        <f ca="1">IFERROR(IF(0=LEN(ReferenceData!$AL$119),"",ReferenceData!$AL$119),"")</f>
        <v>1.1140064249999999</v>
      </c>
      <c r="AM119">
        <f ca="1">IFERROR(IF(0=LEN(ReferenceData!$AM$119),"",ReferenceData!$AM$119),"")</f>
        <v>3.206845881</v>
      </c>
      <c r="AN119">
        <f ca="1">IFERROR(IF(0=LEN(ReferenceData!$AN$119),"",ReferenceData!$AN$119),"")</f>
        <v>-1.7231779970000001</v>
      </c>
      <c r="AO119">
        <f ca="1">IFERROR(IF(0=LEN(ReferenceData!$AO$119),"",ReferenceData!$AO$119),"")</f>
        <v>0.94847014299999999</v>
      </c>
      <c r="AP119">
        <f ca="1">IFERROR(IF(0=LEN(ReferenceData!$AP$119),"",ReferenceData!$AP$119),"")</f>
        <v>-3.1033745690000001</v>
      </c>
      <c r="AQ119">
        <f ca="1">IFERROR(IF(0=LEN(ReferenceData!$AQ$119),"",ReferenceData!$AQ$119),"")</f>
        <v>-4.393697317</v>
      </c>
      <c r="AR119">
        <f ca="1">IFERROR(IF(0=LEN(ReferenceData!$AR$119),"",ReferenceData!$AR$119),"")</f>
        <v>4.2758860920000004</v>
      </c>
      <c r="AS119">
        <f ca="1">IFERROR(IF(0=LEN(ReferenceData!$AS$119),"",ReferenceData!$AS$119),"")</f>
        <v>7.0575348949999999</v>
      </c>
      <c r="AT119">
        <f ca="1">IFERROR(IF(0=LEN(ReferenceData!$AT$119),"",ReferenceData!$AT$119),"")</f>
        <v>9.8016781080000008</v>
      </c>
      <c r="AU119">
        <f ca="1">IFERROR(IF(0=LEN(ReferenceData!$AU$119),"",ReferenceData!$AU$119),"")</f>
        <v>14.522769220000001</v>
      </c>
      <c r="AV119">
        <f ca="1">IFERROR(IF(0=LEN(ReferenceData!$AV$119),"",ReferenceData!$AV$119),"")</f>
        <v>6.8186046510000002</v>
      </c>
      <c r="AW119">
        <f ca="1">IFERROR(IF(0=LEN(ReferenceData!$AW$119),"",ReferenceData!$AW$119),"")</f>
        <v>2.4521549239999998</v>
      </c>
      <c r="AX119">
        <f ca="1">IFERROR(IF(0=LEN(ReferenceData!$AX$119),"",ReferenceData!$AX$119),"")</f>
        <v>4.9413503280000004</v>
      </c>
      <c r="AY119">
        <f ca="1">IFERROR(IF(0=LEN(ReferenceData!$AY$119),"",ReferenceData!$AY$119),"")</f>
        <v>10.771945759999999</v>
      </c>
      <c r="AZ119">
        <f ca="1">IFERROR(IF(0=LEN(ReferenceData!$AZ$119),"",ReferenceData!$AZ$119),"")</f>
        <v>2.306252577</v>
      </c>
      <c r="BA119">
        <f ca="1">IFERROR(IF(0=LEN(ReferenceData!$BA$119),"",ReferenceData!$BA$119),"")</f>
        <v>-1.662764514</v>
      </c>
      <c r="BB119">
        <f ca="1">IFERROR(IF(0=LEN(ReferenceData!$BB$119),"",ReferenceData!$BB$119),"")</f>
        <v>-3.2799821339999999</v>
      </c>
      <c r="BC119">
        <f ca="1">IFERROR(IF(0=LEN(ReferenceData!$BC$119),"",ReferenceData!$BC$119),"")</f>
        <v>7.3891995350000004</v>
      </c>
      <c r="BD119">
        <f ca="1">IFERROR(IF(0=LEN(ReferenceData!$BD$119),"",ReferenceData!$BD$119),"")</f>
        <v>-3.5123429389999998</v>
      </c>
      <c r="BE119">
        <f ca="1">IFERROR(IF(0=LEN(ReferenceData!$BE$119),"",ReferenceData!$BE$119),"")</f>
        <v>-2.7496990700000001</v>
      </c>
      <c r="BF119">
        <f ca="1">IFERROR(IF(0=LEN(ReferenceData!$BF$119),"",ReferenceData!$BF$119),"")</f>
        <v>-8.4633730830000005</v>
      </c>
      <c r="BG119" t="str">
        <f ca="1">IFERROR(IF(0=LEN(ReferenceData!$BG$119),"",ReferenceData!$BG$119),"")</f>
        <v/>
      </c>
      <c r="BH119">
        <f ca="1">IFERROR(IF(0=LEN(ReferenceData!$BH$119),"",ReferenceData!$BH$119),"")</f>
        <v>-17.059951000000002</v>
      </c>
      <c r="BI119">
        <f ca="1">IFERROR(IF(0=LEN(ReferenceData!$BI$119),"",ReferenceData!$BI$119),"")</f>
        <v>-16.152293400000001</v>
      </c>
      <c r="BJ119">
        <f ca="1">IFERROR(IF(0=LEN(ReferenceData!$BJ$119),"",ReferenceData!$BJ$119),"")</f>
        <v>7.9298070129999996</v>
      </c>
      <c r="BK119" t="str">
        <f ca="1">IFERROR(IF(0=LEN(ReferenceData!$BK$119),"",ReferenceData!$BK$119),"")</f>
        <v/>
      </c>
      <c r="BL119">
        <f ca="1">IFERROR(IF(0=LEN(ReferenceData!$BL$119),"",ReferenceData!$BL$119),"")</f>
        <v>5.6824736739999997</v>
      </c>
      <c r="BM119">
        <f ca="1">IFERROR(IF(0=LEN(ReferenceData!$BM$119),"",ReferenceData!$BM$119),"")</f>
        <v>11.71092848</v>
      </c>
    </row>
    <row r="120" spans="1:65">
      <c r="A120" t="str">
        <f>IFERROR(IF(0=LEN(ReferenceData!$A$120),"",ReferenceData!$A$120),"")</f>
        <v xml:space="preserve">    Kilroy Realty Corp</v>
      </c>
      <c r="B120" t="str">
        <f>IFERROR(IF(0=LEN(ReferenceData!$B$120),"",ReferenceData!$B$120),"")</f>
        <v>KRC US Equity</v>
      </c>
      <c r="C120" t="str">
        <f>IFERROR(IF(0=LEN(ReferenceData!$C$120),"",ReferenceData!$C$120),"")</f>
        <v>RR551</v>
      </c>
      <c r="D120" t="str">
        <f>IFERROR(IF(0=LEN(ReferenceData!$D$120),"",ReferenceData!$D$120),"")</f>
        <v>NOI_GROWTH</v>
      </c>
      <c r="E120" t="str">
        <f>IFERROR(IF(0=LEN(ReferenceData!$E$120),"",ReferenceData!$E$120),"")</f>
        <v>动态</v>
      </c>
      <c r="F120" t="str">
        <f ca="1">IFERROR(IF(0=LEN(ReferenceData!$F$120),"",ReferenceData!$F$120),"")</f>
        <v/>
      </c>
      <c r="G120">
        <f ca="1">IFERROR(IF(0=LEN(ReferenceData!$G$120),"",ReferenceData!$G$120),"")</f>
        <v>4.1321434420000003</v>
      </c>
      <c r="H120">
        <f ca="1">IFERROR(IF(0=LEN(ReferenceData!$H$120),"",ReferenceData!$H$120),"")</f>
        <v>9.4744009869999992</v>
      </c>
      <c r="I120">
        <f ca="1">IFERROR(IF(0=LEN(ReferenceData!$I$120),"",ReferenceData!$I$120),"")</f>
        <v>9.3491552900000006</v>
      </c>
      <c r="J120">
        <f ca="1">IFERROR(IF(0=LEN(ReferenceData!$J$120),"",ReferenceData!$J$120),"")</f>
        <v>16.55036196</v>
      </c>
      <c r="K120">
        <f ca="1">IFERROR(IF(0=LEN(ReferenceData!$K$120),"",ReferenceData!$K$120),"")</f>
        <v>15.001836040000001</v>
      </c>
      <c r="L120">
        <f ca="1">IFERROR(IF(0=LEN(ReferenceData!$L$120),"",ReferenceData!$L$120),"")</f>
        <v>15.682664089999999</v>
      </c>
      <c r="M120">
        <f ca="1">IFERROR(IF(0=LEN(ReferenceData!$M$120),"",ReferenceData!$M$120),"")</f>
        <v>9.8962232859999997</v>
      </c>
      <c r="N120">
        <f ca="1">IFERROR(IF(0=LEN(ReferenceData!$N$120),"",ReferenceData!$N$120),"")</f>
        <v>0.168918919</v>
      </c>
      <c r="O120">
        <f ca="1">IFERROR(IF(0=LEN(ReferenceData!$O$120),"",ReferenceData!$O$120),"")</f>
        <v>3.6863840049999999</v>
      </c>
      <c r="P120">
        <f ca="1">IFERROR(IF(0=LEN(ReferenceData!$P$120),"",ReferenceData!$P$120),"")</f>
        <v>14.126782560000001</v>
      </c>
      <c r="Q120">
        <f ca="1">IFERROR(IF(0=LEN(ReferenceData!$Q$120),"",ReferenceData!$Q$120),"")</f>
        <v>20.646481739999999</v>
      </c>
      <c r="R120">
        <f ca="1">IFERROR(IF(0=LEN(ReferenceData!$R$120),"",ReferenceData!$R$120),"")</f>
        <v>25.495707580000001</v>
      </c>
      <c r="S120">
        <f ca="1">IFERROR(IF(0=LEN(ReferenceData!$S$120),"",ReferenceData!$S$120),"")</f>
        <v>23.894479659999998</v>
      </c>
      <c r="T120">
        <f ca="1">IFERROR(IF(0=LEN(ReferenceData!$T$120),"",ReferenceData!$T$120),"")</f>
        <v>14.896061980000001</v>
      </c>
      <c r="U120">
        <f ca="1">IFERROR(IF(0=LEN(ReferenceData!$U$120),"",ReferenceData!$U$120),"")</f>
        <v>12.60928346</v>
      </c>
      <c r="V120">
        <f ca="1">IFERROR(IF(0=LEN(ReferenceData!$V$120),"",ReferenceData!$V$120),"")</f>
        <v>10.28403146</v>
      </c>
      <c r="W120">
        <f ca="1">IFERROR(IF(0=LEN(ReferenceData!$W$120),"",ReferenceData!$W$120),"")</f>
        <v>6.0410948360000001</v>
      </c>
      <c r="X120">
        <f ca="1">IFERROR(IF(0=LEN(ReferenceData!$X$120),"",ReferenceData!$X$120),"")</f>
        <v>13.5147811</v>
      </c>
      <c r="Y120">
        <f ca="1">IFERROR(IF(0=LEN(ReferenceData!$Y$120),"",ReferenceData!$Y$120),"")</f>
        <v>14.38986671</v>
      </c>
      <c r="Z120">
        <f ca="1">IFERROR(IF(0=LEN(ReferenceData!$Z$120),"",ReferenceData!$Z$120),"")</f>
        <v>15.68322749</v>
      </c>
      <c r="AA120">
        <f ca="1">IFERROR(IF(0=LEN(ReferenceData!$AA$120),"",ReferenceData!$AA$120),"")</f>
        <v>22.022067450000002</v>
      </c>
      <c r="AB120">
        <f ca="1">IFERROR(IF(0=LEN(ReferenceData!$AB$120),"",ReferenceData!$AB$120),"")</f>
        <v>13.576814880000001</v>
      </c>
      <c r="AC120">
        <f ca="1">IFERROR(IF(0=LEN(ReferenceData!$AC$120),"",ReferenceData!$AC$120),"")</f>
        <v>10.612404489999999</v>
      </c>
      <c r="AD120">
        <f ca="1">IFERROR(IF(0=LEN(ReferenceData!$AD$120),"",ReferenceData!$AD$120),"")</f>
        <v>16.836298249999999</v>
      </c>
      <c r="AE120">
        <f ca="1">IFERROR(IF(0=LEN(ReferenceData!$AE$120),"",ReferenceData!$AE$120),"")</f>
        <v>14.318686039999999</v>
      </c>
      <c r="AF120">
        <f ca="1">IFERROR(IF(0=LEN(ReferenceData!$AF$120),"",ReferenceData!$AF$120),"")</f>
        <v>10.082278130000001</v>
      </c>
      <c r="AG120">
        <f ca="1">IFERROR(IF(0=LEN(ReferenceData!$AG$120),"",ReferenceData!$AG$120),"")</f>
        <v>22.453417389999998</v>
      </c>
      <c r="AH120">
        <f ca="1">IFERROR(IF(0=LEN(ReferenceData!$AH$120),"",ReferenceData!$AH$120),"")</f>
        <v>18.407888209999999</v>
      </c>
      <c r="AI120">
        <f ca="1">IFERROR(IF(0=LEN(ReferenceData!$AI$120),"",ReferenceData!$AI$120),"")</f>
        <v>15.648989220000001</v>
      </c>
      <c r="AJ120">
        <f ca="1">IFERROR(IF(0=LEN(ReferenceData!$AJ$120),"",ReferenceData!$AJ$120),"")</f>
        <v>11.24452146</v>
      </c>
      <c r="AK120">
        <f ca="1">IFERROR(IF(0=LEN(ReferenceData!$AK$120),"",ReferenceData!$AK$120),"")</f>
        <v>-1.4121626940000001</v>
      </c>
      <c r="AL120">
        <f ca="1">IFERROR(IF(0=LEN(ReferenceData!$AL$120),"",ReferenceData!$AL$120),"")</f>
        <v>-6.7216844699999996</v>
      </c>
      <c r="AM120">
        <f ca="1">IFERROR(IF(0=LEN(ReferenceData!$AM$120),"",ReferenceData!$AM$120),"")</f>
        <v>-7.874571102</v>
      </c>
      <c r="AN120">
        <f ca="1">IFERROR(IF(0=LEN(ReferenceData!$AN$120),"",ReferenceData!$AN$120),"")</f>
        <v>-6.7253574690000004</v>
      </c>
      <c r="AO120">
        <f ca="1">IFERROR(IF(0=LEN(ReferenceData!$AO$120),"",ReferenceData!$AO$120),"")</f>
        <v>-2.0648740270000001</v>
      </c>
      <c r="AP120">
        <f ca="1">IFERROR(IF(0=LEN(ReferenceData!$AP$120),"",ReferenceData!$AP$120),"")</f>
        <v>-2.397621198</v>
      </c>
      <c r="AQ120">
        <f ca="1">IFERROR(IF(0=LEN(ReferenceData!$AQ$120),"",ReferenceData!$AQ$120),"")</f>
        <v>0.741252833</v>
      </c>
      <c r="AR120">
        <f ca="1">IFERROR(IF(0=LEN(ReferenceData!$AR$120),"",ReferenceData!$AR$120),"")</f>
        <v>9.7335531119999992</v>
      </c>
      <c r="AS120">
        <f ca="1">IFERROR(IF(0=LEN(ReferenceData!$AS$120),"",ReferenceData!$AS$120),"")</f>
        <v>16.484552040000001</v>
      </c>
      <c r="AT120">
        <f ca="1">IFERROR(IF(0=LEN(ReferenceData!$AT$120),"",ReferenceData!$AT$120),"")</f>
        <v>17.0216046</v>
      </c>
      <c r="AU120">
        <f ca="1">IFERROR(IF(0=LEN(ReferenceData!$AU$120),"",ReferenceData!$AU$120),"")</f>
        <v>17.694654759999999</v>
      </c>
      <c r="AV120">
        <f ca="1">IFERROR(IF(0=LEN(ReferenceData!$AV$120),"",ReferenceData!$AV$120),"")</f>
        <v>5.2092022650000001</v>
      </c>
      <c r="AW120">
        <f ca="1">IFERROR(IF(0=LEN(ReferenceData!$AW$120),"",ReferenceData!$AW$120),"")</f>
        <v>-4.1073195919999996</v>
      </c>
      <c r="AX120">
        <f ca="1">IFERROR(IF(0=LEN(ReferenceData!$AX$120),"",ReferenceData!$AX$120),"")</f>
        <v>-0.92729970299999998</v>
      </c>
      <c r="AY120">
        <f ca="1">IFERROR(IF(0=LEN(ReferenceData!$AY$120),"",ReferenceData!$AY$120),"")</f>
        <v>-0.28396925899999997</v>
      </c>
      <c r="AZ120">
        <f ca="1">IFERROR(IF(0=LEN(ReferenceData!$AZ$120),"",ReferenceData!$AZ$120),"")</f>
        <v>3.6307384319999998</v>
      </c>
      <c r="BA120">
        <f ca="1">IFERROR(IF(0=LEN(ReferenceData!$BA$120),"",ReferenceData!$BA$120),"")</f>
        <v>3.4085346859999999</v>
      </c>
      <c r="BB120">
        <f ca="1">IFERROR(IF(0=LEN(ReferenceData!$BB$120),"",ReferenceData!$BB$120),"")</f>
        <v>1.5982797989999999</v>
      </c>
      <c r="BC120">
        <f ca="1">IFERROR(IF(0=LEN(ReferenceData!$BC$120),"",ReferenceData!$BC$120),"")</f>
        <v>2.4616095140000001</v>
      </c>
      <c r="BD120">
        <f ca="1">IFERROR(IF(0=LEN(ReferenceData!$BD$120),"",ReferenceData!$BD$120),"")</f>
        <v>5.1526169739999998</v>
      </c>
      <c r="BE120">
        <f ca="1">IFERROR(IF(0=LEN(ReferenceData!$BE$120),"",ReferenceData!$BE$120),"")</f>
        <v>9.0022796720000002</v>
      </c>
      <c r="BF120">
        <f ca="1">IFERROR(IF(0=LEN(ReferenceData!$BF$120),"",ReferenceData!$BF$120),"")</f>
        <v>12.62826755</v>
      </c>
      <c r="BG120">
        <f ca="1">IFERROR(IF(0=LEN(ReferenceData!$BG$120),"",ReferenceData!$BG$120),"")</f>
        <v>10.64694291</v>
      </c>
      <c r="BH120">
        <f ca="1">IFERROR(IF(0=LEN(ReferenceData!$BH$120),"",ReferenceData!$BH$120),"")</f>
        <v>8.8390741750000004</v>
      </c>
      <c r="BI120">
        <f ca="1">IFERROR(IF(0=LEN(ReferenceData!$BI$120),"",ReferenceData!$BI$120),"")</f>
        <v>10.310326379999999</v>
      </c>
      <c r="BJ120">
        <f ca="1">IFERROR(IF(0=LEN(ReferenceData!$BJ$120),"",ReferenceData!$BJ$120),"")</f>
        <v>11.29543181</v>
      </c>
      <c r="BK120">
        <f ca="1">IFERROR(IF(0=LEN(ReferenceData!$BK$120),"",ReferenceData!$BK$120),"")</f>
        <v>0.145851337</v>
      </c>
      <c r="BL120">
        <f ca="1">IFERROR(IF(0=LEN(ReferenceData!$BL$120),"",ReferenceData!$BL$120),"")</f>
        <v>0.55501741000000004</v>
      </c>
      <c r="BM120">
        <f ca="1">IFERROR(IF(0=LEN(ReferenceData!$BM$120),"",ReferenceData!$BM$120),"")</f>
        <v>-5.2399422009999999</v>
      </c>
    </row>
    <row r="121" spans="1:65">
      <c r="A121" t="str">
        <f>IFERROR(IF(0=LEN(ReferenceData!$A$121),"",ReferenceData!$A$121),"")</f>
        <v xml:space="preserve">    Mack-Cali Realty Corp</v>
      </c>
      <c r="B121" t="str">
        <f>IFERROR(IF(0=LEN(ReferenceData!$B$121),"",ReferenceData!$B$121),"")</f>
        <v>CLI US Equity</v>
      </c>
      <c r="C121" t="str">
        <f>IFERROR(IF(0=LEN(ReferenceData!$C$121),"",ReferenceData!$C$121),"")</f>
        <v>RR551</v>
      </c>
      <c r="D121" t="str">
        <f>IFERROR(IF(0=LEN(ReferenceData!$D$121),"",ReferenceData!$D$121),"")</f>
        <v>NOI_GROWTH</v>
      </c>
      <c r="E121" t="str">
        <f>IFERROR(IF(0=LEN(ReferenceData!$E$121),"",ReferenceData!$E$121),"")</f>
        <v>动态</v>
      </c>
      <c r="F121" t="str">
        <f ca="1">IFERROR(IF(0=LEN(ReferenceData!$F$121),"",ReferenceData!$F$121),"")</f>
        <v/>
      </c>
      <c r="G121">
        <f ca="1">IFERROR(IF(0=LEN(ReferenceData!$G$121),"",ReferenceData!$G$121),"")</f>
        <v>-5.5876865670000004</v>
      </c>
      <c r="H121">
        <f ca="1">IFERROR(IF(0=LEN(ReferenceData!$H$121),"",ReferenceData!$H$121),"")</f>
        <v>3.201773636</v>
      </c>
      <c r="I121">
        <f ca="1">IFERROR(IF(0=LEN(ReferenceData!$I$121),"",ReferenceData!$I$121),"")</f>
        <v>12.885047950000001</v>
      </c>
      <c r="J121">
        <f ca="1">IFERROR(IF(0=LEN(ReferenceData!$J$121),"",ReferenceData!$J$121),"")</f>
        <v>4.6932121E-2</v>
      </c>
      <c r="K121">
        <f ca="1">IFERROR(IF(0=LEN(ReferenceData!$K$121),"",ReferenceData!$K$121),"")</f>
        <v>10.48414109</v>
      </c>
      <c r="L121">
        <f ca="1">IFERROR(IF(0=LEN(ReferenceData!$L$121),"",ReferenceData!$L$121),"")</f>
        <v>10.167873439999999</v>
      </c>
      <c r="M121">
        <f ca="1">IFERROR(IF(0=LEN(ReferenceData!$M$121),"",ReferenceData!$M$121),"")</f>
        <v>6.5396985560000003</v>
      </c>
      <c r="N121">
        <f ca="1">IFERROR(IF(0=LEN(ReferenceData!$N$121),"",ReferenceData!$N$121),"")</f>
        <v>5.8695851149999996</v>
      </c>
      <c r="O121">
        <f ca="1">IFERROR(IF(0=LEN(ReferenceData!$O$121),"",ReferenceData!$O$121),"")</f>
        <v>-1.5149208279999999</v>
      </c>
      <c r="P121">
        <f ca="1">IFERROR(IF(0=LEN(ReferenceData!$P$121),"",ReferenceData!$P$121),"")</f>
        <v>-2.6434589480000001</v>
      </c>
      <c r="Q121">
        <f ca="1">IFERROR(IF(0=LEN(ReferenceData!$Q$121),"",ReferenceData!$Q$121),"")</f>
        <v>-8.5039351910000001</v>
      </c>
      <c r="R121">
        <f ca="1">IFERROR(IF(0=LEN(ReferenceData!$R$121),"",ReferenceData!$R$121),"")</f>
        <v>-4.2564378620000003</v>
      </c>
      <c r="S121">
        <f ca="1">IFERROR(IF(0=LEN(ReferenceData!$S$121),"",ReferenceData!$S$121),"")</f>
        <v>-11.65116018</v>
      </c>
      <c r="T121">
        <f ca="1">IFERROR(IF(0=LEN(ReferenceData!$T$121),"",ReferenceData!$T$121),"")</f>
        <v>-7.1545444360000001</v>
      </c>
      <c r="U121">
        <f ca="1">IFERROR(IF(0=LEN(ReferenceData!$U$121),"",ReferenceData!$U$121),"")</f>
        <v>-9.3492065150000006</v>
      </c>
      <c r="V121">
        <f ca="1">IFERROR(IF(0=LEN(ReferenceData!$V$121),"",ReferenceData!$V$121),"")</f>
        <v>-12.469043810000001</v>
      </c>
      <c r="W121">
        <f ca="1">IFERROR(IF(0=LEN(ReferenceData!$W$121),"",ReferenceData!$W$121),"")</f>
        <v>-7.0487106019999999</v>
      </c>
      <c r="X121">
        <f ca="1">IFERROR(IF(0=LEN(ReferenceData!$X$121),"",ReferenceData!$X$121),"")</f>
        <v>-3.1708481640000001</v>
      </c>
      <c r="Y121">
        <f ca="1">IFERROR(IF(0=LEN(ReferenceData!$Y$121),"",ReferenceData!$Y$121),"")</f>
        <v>-4.387009012</v>
      </c>
      <c r="Z121">
        <f ca="1">IFERROR(IF(0=LEN(ReferenceData!$Z$121),"",ReferenceData!$Z$121),"")</f>
        <v>-9.9557958719999995</v>
      </c>
      <c r="AA121">
        <f ca="1">IFERROR(IF(0=LEN(ReferenceData!$AA$121),"",ReferenceData!$AA$121),"")</f>
        <v>-3.6395582329999998</v>
      </c>
      <c r="AB121">
        <f ca="1">IFERROR(IF(0=LEN(ReferenceData!$AB$121),"",ReferenceData!$AB$121),"")</f>
        <v>-14.57995384</v>
      </c>
      <c r="AC121">
        <f ca="1">IFERROR(IF(0=LEN(ReferenceData!$AC$121),"",ReferenceData!$AC$121),"")</f>
        <v>-2.6352950339999999</v>
      </c>
      <c r="AD121">
        <f ca="1">IFERROR(IF(0=LEN(ReferenceData!$AD$121),"",ReferenceData!$AD$121),"")</f>
        <v>1.339892809</v>
      </c>
      <c r="AE121">
        <f ca="1">IFERROR(IF(0=LEN(ReferenceData!$AE$121),"",ReferenceData!$AE$121),"")</f>
        <v>-5.4292713499999996</v>
      </c>
      <c r="AF121">
        <f ca="1">IFERROR(IF(0=LEN(ReferenceData!$AF$121),"",ReferenceData!$AF$121),"")</f>
        <v>4.3387010979999996</v>
      </c>
      <c r="AG121">
        <f ca="1">IFERROR(IF(0=LEN(ReferenceData!$AG$121),"",ReferenceData!$AG$121),"")</f>
        <v>-2.3322395020000002</v>
      </c>
      <c r="AH121">
        <f ca="1">IFERROR(IF(0=LEN(ReferenceData!$AH$121),"",ReferenceData!$AH$121),"")</f>
        <v>-7.5233022639999998</v>
      </c>
      <c r="AI121">
        <f ca="1">IFERROR(IF(0=LEN(ReferenceData!$AI$121),"",ReferenceData!$AI$121),"")</f>
        <v>-4.2598450970000004</v>
      </c>
      <c r="AJ121">
        <f ca="1">IFERROR(IF(0=LEN(ReferenceData!$AJ$121),"",ReferenceData!$AJ$121),"")</f>
        <v>-8.5526024849999995</v>
      </c>
      <c r="AK121">
        <f ca="1">IFERROR(IF(0=LEN(ReferenceData!$AK$121),"",ReferenceData!$AK$121),"")</f>
        <v>-5.8318255920000004</v>
      </c>
      <c r="AL121">
        <f ca="1">IFERROR(IF(0=LEN(ReferenceData!$AL$121),"",ReferenceData!$AL$121),"")</f>
        <v>3.0090012860000002</v>
      </c>
      <c r="AM121">
        <f ca="1">IFERROR(IF(0=LEN(ReferenceData!$AM$121),"",ReferenceData!$AM$121),"")</f>
        <v>-3.1450306399999999</v>
      </c>
      <c r="AN121">
        <f ca="1">IFERROR(IF(0=LEN(ReferenceData!$AN$121),"",ReferenceData!$AN$121),"")</f>
        <v>9.1972339729999995</v>
      </c>
      <c r="AO121">
        <f ca="1">IFERROR(IF(0=LEN(ReferenceData!$AO$121),"",ReferenceData!$AO$121),"")</f>
        <v>7.6251253180000003</v>
      </c>
      <c r="AP121">
        <f ca="1">IFERROR(IF(0=LEN(ReferenceData!$AP$121),"",ReferenceData!$AP$121),"")</f>
        <v>2.0361551169999998</v>
      </c>
      <c r="AQ121">
        <f ca="1">IFERROR(IF(0=LEN(ReferenceData!$AQ$121),"",ReferenceData!$AQ$121),"")</f>
        <v>7.2361960869999997</v>
      </c>
      <c r="AR121">
        <f ca="1">IFERROR(IF(0=LEN(ReferenceData!$AR$121),"",ReferenceData!$AR$121),"")</f>
        <v>1.9475404670000001</v>
      </c>
      <c r="AS121">
        <f ca="1">IFERROR(IF(0=LEN(ReferenceData!$AS$121),"",ReferenceData!$AS$121),"")</f>
        <v>1.9829137130000001</v>
      </c>
      <c r="AT121">
        <f ca="1">IFERROR(IF(0=LEN(ReferenceData!$AT$121),"",ReferenceData!$AT$121),"")</f>
        <v>2.750259647</v>
      </c>
      <c r="AU121">
        <f ca="1">IFERROR(IF(0=LEN(ReferenceData!$AU$121),"",ReferenceData!$AU$121),"")</f>
        <v>7.014246741</v>
      </c>
      <c r="AV121">
        <f ca="1">IFERROR(IF(0=LEN(ReferenceData!$AV$121),"",ReferenceData!$AV$121),"")</f>
        <v>1.110016028</v>
      </c>
      <c r="AW121">
        <f ca="1">IFERROR(IF(0=LEN(ReferenceData!$AW$121),"",ReferenceData!$AW$121),"")</f>
        <v>5.5734880489999998</v>
      </c>
      <c r="AX121">
        <f ca="1">IFERROR(IF(0=LEN(ReferenceData!$AX$121),"",ReferenceData!$AX$121),"")</f>
        <v>7.1729777170000002</v>
      </c>
      <c r="AY121">
        <f ca="1">IFERROR(IF(0=LEN(ReferenceData!$AY$121),"",ReferenceData!$AY$121),"")</f>
        <v>18.965765940000001</v>
      </c>
      <c r="AZ121">
        <f ca="1">IFERROR(IF(0=LEN(ReferenceData!$AZ$121),"",ReferenceData!$AZ$121),"")</f>
        <v>7.2749020150000003</v>
      </c>
      <c r="BA121">
        <f ca="1">IFERROR(IF(0=LEN(ReferenceData!$BA$121),"",ReferenceData!$BA$121),"")</f>
        <v>-5.1888370630000002</v>
      </c>
      <c r="BB121">
        <f ca="1">IFERROR(IF(0=LEN(ReferenceData!$BB$121),"",ReferenceData!$BB$121),"")</f>
        <v>-6.6779864160000004</v>
      </c>
      <c r="BC121">
        <f ca="1">IFERROR(IF(0=LEN(ReferenceData!$BC$121),"",ReferenceData!$BC$121),"")</f>
        <v>-16.45460297</v>
      </c>
      <c r="BD121">
        <f ca="1">IFERROR(IF(0=LEN(ReferenceData!$BD$121),"",ReferenceData!$BD$121),"")</f>
        <v>-7.1383944069999998</v>
      </c>
      <c r="BE121">
        <f ca="1">IFERROR(IF(0=LEN(ReferenceData!$BE$121),"",ReferenceData!$BE$121),"")</f>
        <v>1.008870098</v>
      </c>
      <c r="BF121">
        <f ca="1">IFERROR(IF(0=LEN(ReferenceData!$BF$121),"",ReferenceData!$BF$121),"")</f>
        <v>5.3772654510000004</v>
      </c>
      <c r="BG121">
        <f ca="1">IFERROR(IF(0=LEN(ReferenceData!$BG$121),"",ReferenceData!$BG$121),"")</f>
        <v>1.0851994739999999</v>
      </c>
      <c r="BH121">
        <f ca="1">IFERROR(IF(0=LEN(ReferenceData!$BH$121),"",ReferenceData!$BH$121),"")</f>
        <v>1.800062557</v>
      </c>
      <c r="BI121">
        <f ca="1">IFERROR(IF(0=LEN(ReferenceData!$BI$121),"",ReferenceData!$BI$121),"")</f>
        <v>0.13037938600000001</v>
      </c>
      <c r="BJ121">
        <f ca="1">IFERROR(IF(0=LEN(ReferenceData!$BJ$121),"",ReferenceData!$BJ$121),"")</f>
        <v>-5.5528472799999999</v>
      </c>
      <c r="BK121">
        <f ca="1">IFERROR(IF(0=LEN(ReferenceData!$BK$121),"",ReferenceData!$BK$121),"")</f>
        <v>1.3717403619999999</v>
      </c>
      <c r="BL121">
        <f ca="1">IFERROR(IF(0=LEN(ReferenceData!$BL$121),"",ReferenceData!$BL$121),"")</f>
        <v>-1.46040488</v>
      </c>
      <c r="BM121">
        <f ca="1">IFERROR(IF(0=LEN(ReferenceData!$BM$121),"",ReferenceData!$BM$121),"")</f>
        <v>0.79351262</v>
      </c>
    </row>
    <row r="122" spans="1:65">
      <c r="A122" t="str">
        <f>IFERROR(IF(0=LEN(ReferenceData!$A$122),"",ReferenceData!$A$122),"")</f>
        <v xml:space="preserve">    Piedmont Office Realty Trust I</v>
      </c>
      <c r="B122" t="str">
        <f>IFERROR(IF(0=LEN(ReferenceData!$B$122),"",ReferenceData!$B$122),"")</f>
        <v>PDM US Equity</v>
      </c>
      <c r="C122" t="str">
        <f>IFERROR(IF(0=LEN(ReferenceData!$C$122),"",ReferenceData!$C$122),"")</f>
        <v>RR551</v>
      </c>
      <c r="D122" t="str">
        <f>IFERROR(IF(0=LEN(ReferenceData!$D$122),"",ReferenceData!$D$122),"")</f>
        <v>NOI_GROWTH</v>
      </c>
      <c r="E122" t="str">
        <f>IFERROR(IF(0=LEN(ReferenceData!$E$122),"",ReferenceData!$E$122),"")</f>
        <v>动态</v>
      </c>
      <c r="F122" t="str">
        <f ca="1">IFERROR(IF(0=LEN(ReferenceData!$F$122),"",ReferenceData!$F$122),"")</f>
        <v/>
      </c>
      <c r="G122">
        <f ca="1">IFERROR(IF(0=LEN(ReferenceData!$G$122),"",ReferenceData!$G$122),"")</f>
        <v>-2.71712087</v>
      </c>
      <c r="H122">
        <f ca="1">IFERROR(IF(0=LEN(ReferenceData!$H$122),"",ReferenceData!$H$122),"")</f>
        <v>-0.144705685</v>
      </c>
      <c r="I122">
        <f ca="1">IFERROR(IF(0=LEN(ReferenceData!$I$122),"",ReferenceData!$I$122),"")</f>
        <v>11.9074866</v>
      </c>
      <c r="J122">
        <f ca="1">IFERROR(IF(0=LEN(ReferenceData!$J$122),"",ReferenceData!$J$122),"")</f>
        <v>11.040990649999999</v>
      </c>
      <c r="K122">
        <f ca="1">IFERROR(IF(0=LEN(ReferenceData!$K$122),"",ReferenceData!$K$122),"")</f>
        <v>1.8408306130000001</v>
      </c>
      <c r="L122">
        <f ca="1">IFERROR(IF(0=LEN(ReferenceData!$L$122),"",ReferenceData!$L$122),"")</f>
        <v>-4.0395694190000002</v>
      </c>
      <c r="M122">
        <f ca="1">IFERROR(IF(0=LEN(ReferenceData!$M$122),"",ReferenceData!$M$122),"")</f>
        <v>-2.6274118820000001</v>
      </c>
      <c r="N122">
        <f ca="1">IFERROR(IF(0=LEN(ReferenceData!$N$122),"",ReferenceData!$N$122),"")</f>
        <v>-1.9866000960000001</v>
      </c>
      <c r="O122">
        <f ca="1">IFERROR(IF(0=LEN(ReferenceData!$O$122),"",ReferenceData!$O$122),"")</f>
        <v>0.169993743</v>
      </c>
      <c r="P122">
        <f ca="1">IFERROR(IF(0=LEN(ReferenceData!$P$122),"",ReferenceData!$P$122),"")</f>
        <v>5.476069431</v>
      </c>
      <c r="Q122">
        <f ca="1">IFERROR(IF(0=LEN(ReferenceData!$Q$122),"",ReferenceData!$Q$122),"")</f>
        <v>4.6792888369999996</v>
      </c>
      <c r="R122">
        <f ca="1">IFERROR(IF(0=LEN(ReferenceData!$R$122),"",ReferenceData!$R$122),"")</f>
        <v>9.5760355669999999</v>
      </c>
      <c r="S122">
        <f ca="1">IFERROR(IF(0=LEN(ReferenceData!$S$122),"",ReferenceData!$S$122),"")</f>
        <v>1.763554018</v>
      </c>
      <c r="T122">
        <f ca="1">IFERROR(IF(0=LEN(ReferenceData!$T$122),"",ReferenceData!$T$122),"")</f>
        <v>-3.0943555580000002</v>
      </c>
      <c r="U122">
        <f ca="1">IFERROR(IF(0=LEN(ReferenceData!$U$122),"",ReferenceData!$U$122),"")</f>
        <v>1.3716362550000001</v>
      </c>
      <c r="V122">
        <f ca="1">IFERROR(IF(0=LEN(ReferenceData!$V$122),"",ReferenceData!$V$122),"")</f>
        <v>-2.433871694</v>
      </c>
      <c r="W122">
        <f ca="1">IFERROR(IF(0=LEN(ReferenceData!$W$122),"",ReferenceData!$W$122),"")</f>
        <v>6.2302990080000002</v>
      </c>
      <c r="X122">
        <f ca="1">IFERROR(IF(0=LEN(ReferenceData!$X$122),"",ReferenceData!$X$122),"")</f>
        <v>3.8177234919999998</v>
      </c>
      <c r="Y122">
        <f ca="1">IFERROR(IF(0=LEN(ReferenceData!$Y$122),"",ReferenceData!$Y$122),"")</f>
        <v>1.5650283169999999</v>
      </c>
      <c r="Z122">
        <f ca="1">IFERROR(IF(0=LEN(ReferenceData!$Z$122),"",ReferenceData!$Z$122),"")</f>
        <v>0.75697462100000001</v>
      </c>
      <c r="AA122">
        <f ca="1">IFERROR(IF(0=LEN(ReferenceData!$AA$122),"",ReferenceData!$AA$122),"")</f>
        <v>-2.8177748010000001</v>
      </c>
      <c r="AB122">
        <f ca="1">IFERROR(IF(0=LEN(ReferenceData!$AB$122),"",ReferenceData!$AB$122),"")</f>
        <v>0.42313289500000001</v>
      </c>
      <c r="AC122">
        <f ca="1">IFERROR(IF(0=LEN(ReferenceData!$AC$122),"",ReferenceData!$AC$122),"")</f>
        <v>-4.2382422369999997</v>
      </c>
      <c r="AD122">
        <f ca="1">IFERROR(IF(0=LEN(ReferenceData!$AD$122),"",ReferenceData!$AD$122),"")</f>
        <v>-3.9185313370000001</v>
      </c>
      <c r="AE122">
        <f ca="1">IFERROR(IF(0=LEN(ReferenceData!$AE$122),"",ReferenceData!$AE$122),"")</f>
        <v>-1.3989605629999999</v>
      </c>
      <c r="AF122">
        <f ca="1">IFERROR(IF(0=LEN(ReferenceData!$AF$122),"",ReferenceData!$AF$122),"")</f>
        <v>-8.8384485890000004</v>
      </c>
      <c r="AG122">
        <f ca="1">IFERROR(IF(0=LEN(ReferenceData!$AG$122),"",ReferenceData!$AG$122),"")</f>
        <v>-7.1634880140000003</v>
      </c>
      <c r="AH122">
        <f ca="1">IFERROR(IF(0=LEN(ReferenceData!$AH$122),"",ReferenceData!$AH$122),"")</f>
        <v>-9.6739284889999997</v>
      </c>
      <c r="AI122">
        <f ca="1">IFERROR(IF(0=LEN(ReferenceData!$AI$122),"",ReferenceData!$AI$122),"")</f>
        <v>-11.251112409999999</v>
      </c>
      <c r="AJ122">
        <f ca="1">IFERROR(IF(0=LEN(ReferenceData!$AJ$122),"",ReferenceData!$AJ$122),"")</f>
        <v>-1.8094841930000001</v>
      </c>
      <c r="AK122">
        <f ca="1">IFERROR(IF(0=LEN(ReferenceData!$AK$122),"",ReferenceData!$AK$122),"")</f>
        <v>-3.6596325209999998</v>
      </c>
      <c r="AL122">
        <f ca="1">IFERROR(IF(0=LEN(ReferenceData!$AL$122),"",ReferenceData!$AL$122),"")</f>
        <v>-2.7645508269999999</v>
      </c>
      <c r="AM122">
        <f ca="1">IFERROR(IF(0=LEN(ReferenceData!$AM$122),"",ReferenceData!$AM$122),"")</f>
        <v>-7.8755036540000001</v>
      </c>
      <c r="AN122">
        <f ca="1">IFERROR(IF(0=LEN(ReferenceData!$AN$122),"",ReferenceData!$AN$122),"")</f>
        <v>-9.582912683</v>
      </c>
      <c r="AO122">
        <f ca="1">IFERROR(IF(0=LEN(ReferenceData!$AO$122),"",ReferenceData!$AO$122),"")</f>
        <v>-4.0973988889999999</v>
      </c>
      <c r="AP122">
        <f ca="1">IFERROR(IF(0=LEN(ReferenceData!$AP$122),"",ReferenceData!$AP$122),"")</f>
        <v>-7.1252295119999998</v>
      </c>
      <c r="AQ122">
        <f ca="1">IFERROR(IF(0=LEN(ReferenceData!$AQ$122),"",ReferenceData!$AQ$122),"")</f>
        <v>3.1506538509999999</v>
      </c>
      <c r="AR122">
        <f ca="1">IFERROR(IF(0=LEN(ReferenceData!$AR$122),"",ReferenceData!$AR$122),"")</f>
        <v>8.2743026159999999</v>
      </c>
      <c r="AS122">
        <f ca="1">IFERROR(IF(0=LEN(ReferenceData!$AS$122),"",ReferenceData!$AS$122),"")</f>
        <v>5.5906409669999997</v>
      </c>
      <c r="AT122">
        <f ca="1">IFERROR(IF(0=LEN(ReferenceData!$AT$122),"",ReferenceData!$AT$122),"")</f>
        <v>17.11349264</v>
      </c>
      <c r="AU122">
        <f ca="1">IFERROR(IF(0=LEN(ReferenceData!$AU$122),"",ReferenceData!$AU$122),"")</f>
        <v>20.332588730000001</v>
      </c>
      <c r="AV122">
        <f ca="1">IFERROR(IF(0=LEN(ReferenceData!$AV$122),"",ReferenceData!$AV$122),"")</f>
        <v>-0.68859088999999996</v>
      </c>
      <c r="AW122">
        <f ca="1">IFERROR(IF(0=LEN(ReferenceData!$AW$122),"",ReferenceData!$AW$122),"")</f>
        <v>7.2734115880000001</v>
      </c>
      <c r="AX122">
        <f ca="1">IFERROR(IF(0=LEN(ReferenceData!$AX$122),"",ReferenceData!$AX$122),"")</f>
        <v>1.8965943759999999</v>
      </c>
      <c r="AY122">
        <f ca="1">IFERROR(IF(0=LEN(ReferenceData!$AY$122),"",ReferenceData!$AY$122),"")</f>
        <v>-4.887808218</v>
      </c>
      <c r="AZ122">
        <f ca="1">IFERROR(IF(0=LEN(ReferenceData!$AZ$122),"",ReferenceData!$AZ$122),"")</f>
        <v>8.7512586950000006</v>
      </c>
      <c r="BA122">
        <f ca="1">IFERROR(IF(0=LEN(ReferenceData!$BA$122),"",ReferenceData!$BA$122),"")</f>
        <v>-8.3024158759999995</v>
      </c>
      <c r="BB122">
        <f ca="1">IFERROR(IF(0=LEN(ReferenceData!$BB$122),"",ReferenceData!$BB$122),"")</f>
        <v>-6.8678756759999997</v>
      </c>
      <c r="BC122">
        <f ca="1">IFERROR(IF(0=LEN(ReferenceData!$BC$122),"",ReferenceData!$BC$122),"")</f>
        <v>-6.2187980830000003</v>
      </c>
      <c r="BD122">
        <f ca="1">IFERROR(IF(0=LEN(ReferenceData!$BD$122),"",ReferenceData!$BD$122),"")</f>
        <v>1.9842300340000001</v>
      </c>
      <c r="BE122">
        <f ca="1">IFERROR(IF(0=LEN(ReferenceData!$BE$122),"",ReferenceData!$BE$122),"")</f>
        <v>-3.393526402</v>
      </c>
      <c r="BF122">
        <f ca="1">IFERROR(IF(0=LEN(ReferenceData!$BF$122),"",ReferenceData!$BF$122),"")</f>
        <v>4.4783468900000001</v>
      </c>
      <c r="BG122">
        <f ca="1">IFERROR(IF(0=LEN(ReferenceData!$BG$122),"",ReferenceData!$BG$122),"")</f>
        <v>11.34542486</v>
      </c>
      <c r="BH122">
        <f ca="1">IFERROR(IF(0=LEN(ReferenceData!$BH$122),"",ReferenceData!$BH$122),"")</f>
        <v>23.53344577</v>
      </c>
      <c r="BI122">
        <f ca="1">IFERROR(IF(0=LEN(ReferenceData!$BI$122),"",ReferenceData!$BI$122),"")</f>
        <v>67.402725649999994</v>
      </c>
      <c r="BJ122">
        <f ca="1">IFERROR(IF(0=LEN(ReferenceData!$BJ$122),"",ReferenceData!$BJ$122),"")</f>
        <v>92.201095249999995</v>
      </c>
      <c r="BK122">
        <f ca="1">IFERROR(IF(0=LEN(ReferenceData!$BK$122),"",ReferenceData!$BK$122),"")</f>
        <v>117.48245110000001</v>
      </c>
      <c r="BL122">
        <f ca="1">IFERROR(IF(0=LEN(ReferenceData!$BL$122),"",ReferenceData!$BL$122),"")</f>
        <v>186.78542899999999</v>
      </c>
      <c r="BM122">
        <f ca="1">IFERROR(IF(0=LEN(ReferenceData!$BM$122),"",ReferenceData!$BM$122),"")</f>
        <v>195.668083</v>
      </c>
    </row>
    <row r="123" spans="1:65">
      <c r="A123" t="str">
        <f>IFERROR(IF(0=LEN(ReferenceData!$A$123),"",ReferenceData!$A$123),"")</f>
        <v xml:space="preserve">    SL Green Realty Corp</v>
      </c>
      <c r="B123" t="str">
        <f>IFERROR(IF(0=LEN(ReferenceData!$B$123),"",ReferenceData!$B$123),"")</f>
        <v>SLG US Equity</v>
      </c>
      <c r="C123" t="str">
        <f>IFERROR(IF(0=LEN(ReferenceData!$C$123),"",ReferenceData!$C$123),"")</f>
        <v>RR551</v>
      </c>
      <c r="D123" t="str">
        <f>IFERROR(IF(0=LEN(ReferenceData!$D$123),"",ReferenceData!$D$123),"")</f>
        <v>NOI_GROWTH</v>
      </c>
      <c r="E123" t="str">
        <f>IFERROR(IF(0=LEN(ReferenceData!$E$123),"",ReferenceData!$E$123),"")</f>
        <v>动态</v>
      </c>
      <c r="F123" t="str">
        <f ca="1">IFERROR(IF(0=LEN(ReferenceData!$F$123),"",ReferenceData!$F$123),"")</f>
        <v/>
      </c>
      <c r="G123">
        <f ca="1">IFERROR(IF(0=LEN(ReferenceData!$G$123),"",ReferenceData!$G$123),"")</f>
        <v>-7.5169628880000001</v>
      </c>
      <c r="H123">
        <f ca="1">IFERROR(IF(0=LEN(ReferenceData!$H$123),"",ReferenceData!$H$123),"")</f>
        <v>-6.346461175</v>
      </c>
      <c r="I123">
        <f ca="1">IFERROR(IF(0=LEN(ReferenceData!$I$123),"",ReferenceData!$I$123),"")</f>
        <v>-43.090687269999997</v>
      </c>
      <c r="J123">
        <f ca="1">IFERROR(IF(0=LEN(ReferenceData!$J$123),"",ReferenceData!$J$123),"")</f>
        <v>-24.85437456</v>
      </c>
      <c r="K123">
        <f ca="1">IFERROR(IF(0=LEN(ReferenceData!$K$123),"",ReferenceData!$K$123),"")</f>
        <v>-18.658330580000001</v>
      </c>
      <c r="L123">
        <f ca="1">IFERROR(IF(0=LEN(ReferenceData!$L$123),"",ReferenceData!$L$123),"")</f>
        <v>-16.49558978</v>
      </c>
      <c r="M123">
        <f ca="1">IFERROR(IF(0=LEN(ReferenceData!$M$123),"",ReferenceData!$M$123),"")</f>
        <v>51.396894109999998</v>
      </c>
      <c r="N123">
        <f ca="1">IFERROR(IF(0=LEN(ReferenceData!$N$123),"",ReferenceData!$N$123),"")</f>
        <v>18.715190809999999</v>
      </c>
      <c r="O123">
        <f ca="1">IFERROR(IF(0=LEN(ReferenceData!$O$123),"",ReferenceData!$O$123),"")</f>
        <v>11.379564370000001</v>
      </c>
      <c r="P123">
        <f ca="1">IFERROR(IF(0=LEN(ReferenceData!$P$123),"",ReferenceData!$P$123),"")</f>
        <v>9.7496137869999995</v>
      </c>
      <c r="Q123">
        <f ca="1">IFERROR(IF(0=LEN(ReferenceData!$Q$123),"",ReferenceData!$Q$123),"")</f>
        <v>11.57512603</v>
      </c>
      <c r="R123">
        <f ca="1">IFERROR(IF(0=LEN(ReferenceData!$R$123),"",ReferenceData!$R$123),"")</f>
        <v>24.538965449999999</v>
      </c>
      <c r="S123">
        <f ca="1">IFERROR(IF(0=LEN(ReferenceData!$S$123),"",ReferenceData!$S$123),"")</f>
        <v>21.740816599999999</v>
      </c>
      <c r="T123">
        <f ca="1">IFERROR(IF(0=LEN(ReferenceData!$T$123),"",ReferenceData!$T$123),"")</f>
        <v>30.974497769999999</v>
      </c>
      <c r="U123">
        <f ca="1">IFERROR(IF(0=LEN(ReferenceData!$U$123),"",ReferenceData!$U$123),"")</f>
        <v>9.2621247110000002</v>
      </c>
      <c r="V123">
        <f ca="1">IFERROR(IF(0=LEN(ReferenceData!$V$123),"",ReferenceData!$V$123),"")</f>
        <v>-3.6798105300000001</v>
      </c>
      <c r="W123">
        <f ca="1">IFERROR(IF(0=LEN(ReferenceData!$W$123),"",ReferenceData!$W$123),"")</f>
        <v>-3.3171634800000001</v>
      </c>
      <c r="X123">
        <f ca="1">IFERROR(IF(0=LEN(ReferenceData!$X$123),"",ReferenceData!$X$123),"")</f>
        <v>-13.19061089</v>
      </c>
      <c r="Y123">
        <f ca="1">IFERROR(IF(0=LEN(ReferenceData!$Y$123),"",ReferenceData!$Y$123),"")</f>
        <v>-1.7165555400000001</v>
      </c>
      <c r="Z123">
        <f ca="1">IFERROR(IF(0=LEN(ReferenceData!$Z$123),"",ReferenceData!$Z$123),"")</f>
        <v>0.50865121599999996</v>
      </c>
      <c r="AA123">
        <f ca="1">IFERROR(IF(0=LEN(ReferenceData!$AA$123),"",ReferenceData!$AA$123),"")</f>
        <v>1.435770657</v>
      </c>
      <c r="AB123">
        <f ca="1">IFERROR(IF(0=LEN(ReferenceData!$AB$123),"",ReferenceData!$AB$123),"")</f>
        <v>9.8400806799999998</v>
      </c>
      <c r="AC123">
        <f ca="1">IFERROR(IF(0=LEN(ReferenceData!$AC$123),"",ReferenceData!$AC$123),"")</f>
        <v>10.52331197</v>
      </c>
      <c r="AD123">
        <f ca="1">IFERROR(IF(0=LEN(ReferenceData!$AD$123),"",ReferenceData!$AD$123),"")</f>
        <v>13.26796158</v>
      </c>
      <c r="AE123">
        <f ca="1">IFERROR(IF(0=LEN(ReferenceData!$AE$123),"",ReferenceData!$AE$123),"")</f>
        <v>30.402975820000002</v>
      </c>
      <c r="AF123">
        <f ca="1">IFERROR(IF(0=LEN(ReferenceData!$AF$123),"",ReferenceData!$AF$123),"")</f>
        <v>27.739947990000001</v>
      </c>
      <c r="AG123">
        <f ca="1">IFERROR(IF(0=LEN(ReferenceData!$AG$123),"",ReferenceData!$AG$123),"")</f>
        <v>28.289590140000001</v>
      </c>
      <c r="AH123">
        <f ca="1">IFERROR(IF(0=LEN(ReferenceData!$AH$123),"",ReferenceData!$AH$123),"")</f>
        <v>23.5015407</v>
      </c>
      <c r="AI123">
        <f ca="1">IFERROR(IF(0=LEN(ReferenceData!$AI$123),"",ReferenceData!$AI$123),"")</f>
        <v>4.1140542680000003</v>
      </c>
      <c r="AJ123">
        <f ca="1">IFERROR(IF(0=LEN(ReferenceData!$AJ$123),"",ReferenceData!$AJ$123),"")</f>
        <v>2.3814595139999999</v>
      </c>
      <c r="AK123">
        <f ca="1">IFERROR(IF(0=LEN(ReferenceData!$AK$123),"",ReferenceData!$AK$123),"")</f>
        <v>-1.852612294</v>
      </c>
      <c r="AL123">
        <f ca="1">IFERROR(IF(0=LEN(ReferenceData!$AL$123),"",ReferenceData!$AL$123),"")</f>
        <v>-6.6831568370000003</v>
      </c>
      <c r="AM123">
        <f ca="1">IFERROR(IF(0=LEN(ReferenceData!$AM$123),"",ReferenceData!$AM$123),"")</f>
        <v>-1.7121332279999999</v>
      </c>
      <c r="AN123">
        <f ca="1">IFERROR(IF(0=LEN(ReferenceData!$AN$123),"",ReferenceData!$AN$123),"")</f>
        <v>-5.4601217489999998</v>
      </c>
      <c r="AO123">
        <f ca="1">IFERROR(IF(0=LEN(ReferenceData!$AO$123),"",ReferenceData!$AO$123),"")</f>
        <v>-0.48722220500000002</v>
      </c>
      <c r="AP123">
        <f ca="1">IFERROR(IF(0=LEN(ReferenceData!$AP$123),"",ReferenceData!$AP$123),"")</f>
        <v>1.1595996000000001E-2</v>
      </c>
      <c r="AQ123">
        <f ca="1">IFERROR(IF(0=LEN(ReferenceData!$AQ$123),"",ReferenceData!$AQ$123),"")</f>
        <v>11.8929519</v>
      </c>
      <c r="AR123">
        <f ca="1">IFERROR(IF(0=LEN(ReferenceData!$AR$123),"",ReferenceData!$AR$123),"")</f>
        <v>13.146272209999999</v>
      </c>
      <c r="AS123">
        <f ca="1">IFERROR(IF(0=LEN(ReferenceData!$AS$123),"",ReferenceData!$AS$123),"")</f>
        <v>19.27601301</v>
      </c>
      <c r="AT123">
        <f ca="1">IFERROR(IF(0=LEN(ReferenceData!$AT$123),"",ReferenceData!$AT$123),"")</f>
        <v>42.165536490000001</v>
      </c>
      <c r="AU123">
        <f ca="1">IFERROR(IF(0=LEN(ReferenceData!$AU$123),"",ReferenceData!$AU$123),"")</f>
        <v>194.40946729999999</v>
      </c>
      <c r="AV123">
        <f ca="1">IFERROR(IF(0=LEN(ReferenceData!$AV$123),"",ReferenceData!$AV$123),"")</f>
        <v>129.13019030000001</v>
      </c>
      <c r="AW123">
        <f ca="1">IFERROR(IF(0=LEN(ReferenceData!$AW$123),"",ReferenceData!$AW$123),"")</f>
        <v>131.43018290000001</v>
      </c>
      <c r="AX123">
        <f ca="1">IFERROR(IF(0=LEN(ReferenceData!$AX$123),"",ReferenceData!$AX$123),"")</f>
        <v>113.62430449999999</v>
      </c>
      <c r="AY123">
        <f ca="1">IFERROR(IF(0=LEN(ReferenceData!$AY$123),"",ReferenceData!$AY$123),"")</f>
        <v>-9.4138249280000004</v>
      </c>
      <c r="AZ123">
        <f ca="1">IFERROR(IF(0=LEN(ReferenceData!$AZ$123),"",ReferenceData!$AZ$123),"")</f>
        <v>20.40712714</v>
      </c>
      <c r="BA123">
        <f ca="1">IFERROR(IF(0=LEN(ReferenceData!$BA$123),"",ReferenceData!$BA$123),"")</f>
        <v>11.549629769999999</v>
      </c>
      <c r="BB123">
        <f ca="1">IFERROR(IF(0=LEN(ReferenceData!$BB$123),"",ReferenceData!$BB$123),"")</f>
        <v>8.2139227639999994</v>
      </c>
      <c r="BC123">
        <f ca="1">IFERROR(IF(0=LEN(ReferenceData!$BC$123),"",ReferenceData!$BC$123),"")</f>
        <v>3.078424198</v>
      </c>
      <c r="BD123">
        <f ca="1">IFERROR(IF(0=LEN(ReferenceData!$BD$123),"",ReferenceData!$BD$123),"")</f>
        <v>43.372616979999997</v>
      </c>
      <c r="BE123">
        <f ca="1">IFERROR(IF(0=LEN(ReferenceData!$BE$123),"",ReferenceData!$BE$123),"")</f>
        <v>16.585324570000001</v>
      </c>
      <c r="BF123">
        <f ca="1">IFERROR(IF(0=LEN(ReferenceData!$BF$123),"",ReferenceData!$BF$123),"")</f>
        <v>23.73856456</v>
      </c>
      <c r="BG123">
        <f ca="1">IFERROR(IF(0=LEN(ReferenceData!$BG$123),"",ReferenceData!$BG$123),"")</f>
        <v>23.765944869999998</v>
      </c>
      <c r="BH123">
        <f ca="1">IFERROR(IF(0=LEN(ReferenceData!$BH$123),"",ReferenceData!$BH$123),"")</f>
        <v>-9.8972485090000006</v>
      </c>
      <c r="BI123">
        <f ca="1">IFERROR(IF(0=LEN(ReferenceData!$BI$123),"",ReferenceData!$BI$123),"")</f>
        <v>-2.0909291790000002</v>
      </c>
      <c r="BJ123">
        <f ca="1">IFERROR(IF(0=LEN(ReferenceData!$BJ$123),"",ReferenceData!$BJ$123),"")</f>
        <v>4.005362281</v>
      </c>
      <c r="BK123">
        <f ca="1">IFERROR(IF(0=LEN(ReferenceData!$BK$123),"",ReferenceData!$BK$123),"")</f>
        <v>22.518975080000001</v>
      </c>
      <c r="BL123">
        <f ca="1">IFERROR(IF(0=LEN(ReferenceData!$BL$123),"",ReferenceData!$BL$123),"")</f>
        <v>15.41289695</v>
      </c>
      <c r="BM123">
        <f ca="1">IFERROR(IF(0=LEN(ReferenceData!$BM$123),"",ReferenceData!$BM$123),"")</f>
        <v>31.426289610000001</v>
      </c>
    </row>
    <row r="124" spans="1:65">
      <c r="A124" t="str">
        <f>IFERROR(IF(0=LEN(ReferenceData!$A$124),"",ReferenceData!$A$124),"")</f>
        <v xml:space="preserve">    Vornado Realty Trust</v>
      </c>
      <c r="B124" t="str">
        <f>IFERROR(IF(0=LEN(ReferenceData!$B$124),"",ReferenceData!$B$124),"")</f>
        <v>VNO US Equity</v>
      </c>
      <c r="C124" t="str">
        <f>IFERROR(IF(0=LEN(ReferenceData!$C$124),"",ReferenceData!$C$124),"")</f>
        <v>RR551</v>
      </c>
      <c r="D124" t="str">
        <f>IFERROR(IF(0=LEN(ReferenceData!$D$124),"",ReferenceData!$D$124),"")</f>
        <v>NOI_GROWTH</v>
      </c>
      <c r="E124" t="str">
        <f>IFERROR(IF(0=LEN(ReferenceData!$E$124),"",ReferenceData!$E$124),"")</f>
        <v>动态</v>
      </c>
      <c r="F124" t="str">
        <f ca="1">IFERROR(IF(0=LEN(ReferenceData!$F$124),"",ReferenceData!$F$124),"")</f>
        <v/>
      </c>
      <c r="G124">
        <f ca="1">IFERROR(IF(0=LEN(ReferenceData!$G$124),"",ReferenceData!$G$124),"")</f>
        <v>5.156544598</v>
      </c>
      <c r="H124">
        <f ca="1">IFERROR(IF(0=LEN(ReferenceData!$H$124),"",ReferenceData!$H$124),"")</f>
        <v>5.0306064890000002</v>
      </c>
      <c r="I124">
        <f ca="1">IFERROR(IF(0=LEN(ReferenceData!$I$124),"",ReferenceData!$I$124),"")</f>
        <v>-1.9167751019999999</v>
      </c>
      <c r="J124">
        <f ca="1">IFERROR(IF(0=LEN(ReferenceData!$J$124),"",ReferenceData!$J$124),"")</f>
        <v>0.91200152499999998</v>
      </c>
      <c r="K124">
        <f ca="1">IFERROR(IF(0=LEN(ReferenceData!$K$124),"",ReferenceData!$K$124),"")</f>
        <v>-4.5267917860000004</v>
      </c>
      <c r="L124">
        <f ca="1">IFERROR(IF(0=LEN(ReferenceData!$L$124),"",ReferenceData!$L$124),"")</f>
        <v>0.360073847</v>
      </c>
      <c r="M124">
        <f ca="1">IFERROR(IF(0=LEN(ReferenceData!$M$124),"",ReferenceData!$M$124),"")</f>
        <v>0.79550747099999997</v>
      </c>
      <c r="N124">
        <f ca="1">IFERROR(IF(0=LEN(ReferenceData!$N$124),"",ReferenceData!$N$124),"")</f>
        <v>1.242942985</v>
      </c>
      <c r="O124">
        <f ca="1">IFERROR(IF(0=LEN(ReferenceData!$O$124),"",ReferenceData!$O$124),"")</f>
        <v>12.44984962</v>
      </c>
      <c r="P124">
        <f ca="1">IFERROR(IF(0=LEN(ReferenceData!$P$124),"",ReferenceData!$P$124),"")</f>
        <v>9.5720301689999996</v>
      </c>
      <c r="Q124">
        <f ca="1">IFERROR(IF(0=LEN(ReferenceData!$Q$124),"",ReferenceData!$Q$124),"")</f>
        <v>8.5999656990000002</v>
      </c>
      <c r="R124">
        <f ca="1">IFERROR(IF(0=LEN(ReferenceData!$R$124),"",ReferenceData!$R$124),"")</f>
        <v>8.1299490520000006</v>
      </c>
      <c r="S124">
        <f ca="1">IFERROR(IF(0=LEN(ReferenceData!$S$124),"",ReferenceData!$S$124),"")</f>
        <v>-9.9615125710000001</v>
      </c>
      <c r="T124">
        <f ca="1">IFERROR(IF(0=LEN(ReferenceData!$T$124),"",ReferenceData!$T$124),"")</f>
        <v>-16.177278739999998</v>
      </c>
      <c r="U124">
        <f ca="1">IFERROR(IF(0=LEN(ReferenceData!$U$124),"",ReferenceData!$U$124),"")</f>
        <v>-13.32436375</v>
      </c>
      <c r="V124">
        <f ca="1">IFERROR(IF(0=LEN(ReferenceData!$V$124),"",ReferenceData!$V$124),"")</f>
        <v>-26.216960449999998</v>
      </c>
      <c r="W124">
        <f ca="1">IFERROR(IF(0=LEN(ReferenceData!$W$124),"",ReferenceData!$W$124),"")</f>
        <v>3.1090224169999998</v>
      </c>
      <c r="X124">
        <f ca="1">IFERROR(IF(0=LEN(ReferenceData!$X$124),"",ReferenceData!$X$124),"")</f>
        <v>8.8558887009999996</v>
      </c>
      <c r="Y124">
        <f ca="1">IFERROR(IF(0=LEN(ReferenceData!$Y$124),"",ReferenceData!$Y$124),"")</f>
        <v>4.2920620239999998</v>
      </c>
      <c r="Z124">
        <f ca="1">IFERROR(IF(0=LEN(ReferenceData!$Z$124),"",ReferenceData!$Z$124),"")</f>
        <v>19.435053310000001</v>
      </c>
      <c r="AA124">
        <f ca="1">IFERROR(IF(0=LEN(ReferenceData!$AA$124),"",ReferenceData!$AA$124),"")</f>
        <v>-9.8845273309999993</v>
      </c>
      <c r="AB124">
        <f ca="1">IFERROR(IF(0=LEN(ReferenceData!$AB$124),"",ReferenceData!$AB$124),"")</f>
        <v>-5.2336033339999997</v>
      </c>
      <c r="AC124">
        <f ca="1">IFERROR(IF(0=LEN(ReferenceData!$AC$124),"",ReferenceData!$AC$124),"")</f>
        <v>-6.923227432</v>
      </c>
      <c r="AD124">
        <f ca="1">IFERROR(IF(0=LEN(ReferenceData!$AD$124),"",ReferenceData!$AD$124),"")</f>
        <v>-8.0819305739999994</v>
      </c>
      <c r="AE124">
        <f ca="1">IFERROR(IF(0=LEN(ReferenceData!$AE$124),"",ReferenceData!$AE$124),"")</f>
        <v>1.4195301</v>
      </c>
      <c r="AF124">
        <f ca="1">IFERROR(IF(0=LEN(ReferenceData!$AF$124),"",ReferenceData!$AF$124),"")</f>
        <v>-4.9615578769999997</v>
      </c>
      <c r="AG124">
        <f ca="1">IFERROR(IF(0=LEN(ReferenceData!$AG$124),"",ReferenceData!$AG$124),"")</f>
        <v>-2.6995768820000001</v>
      </c>
      <c r="AH124">
        <f ca="1">IFERROR(IF(0=LEN(ReferenceData!$AH$124),"",ReferenceData!$AH$124),"")</f>
        <v>-2.040324289</v>
      </c>
      <c r="AI124">
        <f ca="1">IFERROR(IF(0=LEN(ReferenceData!$AI$124),"",ReferenceData!$AI$124),"")</f>
        <v>-5.8913598250000003</v>
      </c>
      <c r="AJ124">
        <f ca="1">IFERROR(IF(0=LEN(ReferenceData!$AJ$124),"",ReferenceData!$AJ$124),"")</f>
        <v>1.6732179030000001</v>
      </c>
      <c r="AK124">
        <f ca="1">IFERROR(IF(0=LEN(ReferenceData!$AK$124),"",ReferenceData!$AK$124),"")</f>
        <v>3.9930310659999999</v>
      </c>
      <c r="AL124">
        <f ca="1">IFERROR(IF(0=LEN(ReferenceData!$AL$124),"",ReferenceData!$AL$124),"")</f>
        <v>2.7405246349999999</v>
      </c>
      <c r="AM124">
        <f ca="1">IFERROR(IF(0=LEN(ReferenceData!$AM$124),"",ReferenceData!$AM$124),"")</f>
        <v>4.7198871870000003</v>
      </c>
      <c r="AN124">
        <f ca="1">IFERROR(IF(0=LEN(ReferenceData!$AN$124),"",ReferenceData!$AN$124),"")</f>
        <v>1.328656117</v>
      </c>
      <c r="AO124">
        <f ca="1">IFERROR(IF(0=LEN(ReferenceData!$AO$124),"",ReferenceData!$AO$124),"")</f>
        <v>-3.332001617</v>
      </c>
      <c r="AP124">
        <f ca="1">IFERROR(IF(0=LEN(ReferenceData!$AP$124),"",ReferenceData!$AP$124),"")</f>
        <v>2.9989871940000001</v>
      </c>
      <c r="AQ124">
        <f ca="1">IFERROR(IF(0=LEN(ReferenceData!$AQ$124),"",ReferenceData!$AQ$124),"")</f>
        <v>3.8543409039999998</v>
      </c>
      <c r="AR124">
        <f ca="1">IFERROR(IF(0=LEN(ReferenceData!$AR$124),"",ReferenceData!$AR$124),"")</f>
        <v>5.7858431330000002</v>
      </c>
      <c r="AS124">
        <f ca="1">IFERROR(IF(0=LEN(ReferenceData!$AS$124),"",ReferenceData!$AS$124),"")</f>
        <v>17.415058089999999</v>
      </c>
      <c r="AT124">
        <f ca="1">IFERROR(IF(0=LEN(ReferenceData!$AT$124),"",ReferenceData!$AT$124),"")</f>
        <v>19.969268060000001</v>
      </c>
      <c r="AU124">
        <f ca="1">IFERROR(IF(0=LEN(ReferenceData!$AU$124),"",ReferenceData!$AU$124),"")</f>
        <v>13.278333269999999</v>
      </c>
      <c r="AV124">
        <f ca="1">IFERROR(IF(0=LEN(ReferenceData!$AV$124),"",ReferenceData!$AV$124),"")</f>
        <v>14.78962613</v>
      </c>
      <c r="AW124">
        <f ca="1">IFERROR(IF(0=LEN(ReferenceData!$AW$124),"",ReferenceData!$AW$124),"")</f>
        <v>3.7376777849999998</v>
      </c>
      <c r="AX124">
        <f ca="1">IFERROR(IF(0=LEN(ReferenceData!$AX$124),"",ReferenceData!$AX$124),"")</f>
        <v>2.5426254350000002</v>
      </c>
      <c r="AY124">
        <f ca="1">IFERROR(IF(0=LEN(ReferenceData!$AY$124),"",ReferenceData!$AY$124),"")</f>
        <v>9.5680844450000002</v>
      </c>
      <c r="AZ124">
        <f ca="1">IFERROR(IF(0=LEN(ReferenceData!$AZ$124),"",ReferenceData!$AZ$124),"")</f>
        <v>9.2515133919999997</v>
      </c>
      <c r="BA124">
        <f ca="1">IFERROR(IF(0=LEN(ReferenceData!$BA$124),"",ReferenceData!$BA$124),"")</f>
        <v>11.0456406</v>
      </c>
      <c r="BB124">
        <f ca="1">IFERROR(IF(0=LEN(ReferenceData!$BB$124),"",ReferenceData!$BB$124),"")</f>
        <v>5.1052812220000003</v>
      </c>
      <c r="BC124">
        <f ca="1">IFERROR(IF(0=LEN(ReferenceData!$BC$124),"",ReferenceData!$BC$124),"")</f>
        <v>15.64848705</v>
      </c>
      <c r="BD124">
        <f ca="1">IFERROR(IF(0=LEN(ReferenceData!$BD$124),"",ReferenceData!$BD$124),"")</f>
        <v>18.28811331</v>
      </c>
      <c r="BE124">
        <f ca="1">IFERROR(IF(0=LEN(ReferenceData!$BE$124),"",ReferenceData!$BE$124),"")</f>
        <v>20.925231620000002</v>
      </c>
      <c r="BF124">
        <f ca="1">IFERROR(IF(0=LEN(ReferenceData!$BF$124),"",ReferenceData!$BF$124),"")</f>
        <v>25.73150691</v>
      </c>
      <c r="BG124">
        <f ca="1">IFERROR(IF(0=LEN(ReferenceData!$BG$124),"",ReferenceData!$BG$124),"")</f>
        <v>20.904405149999999</v>
      </c>
      <c r="BH124">
        <f ca="1">IFERROR(IF(0=LEN(ReferenceData!$BH$124),"",ReferenceData!$BH$124),"")</f>
        <v>10.176157180000001</v>
      </c>
      <c r="BI124">
        <f ca="1">IFERROR(IF(0=LEN(ReferenceData!$BI$124),"",ReferenceData!$BI$124),"")</f>
        <v>10.399939809999999</v>
      </c>
      <c r="BJ124">
        <f ca="1">IFERROR(IF(0=LEN(ReferenceData!$BJ$124),"",ReferenceData!$BJ$124),"")</f>
        <v>9.1860609069999999</v>
      </c>
      <c r="BK124">
        <f ca="1">IFERROR(IF(0=LEN(ReferenceData!$BK$124),"",ReferenceData!$BK$124),"")</f>
        <v>6.8695529439999996</v>
      </c>
      <c r="BL124">
        <f ca="1">IFERROR(IF(0=LEN(ReferenceData!$BL$124),"",ReferenceData!$BL$124),"")</f>
        <v>8.4922512829999999</v>
      </c>
      <c r="BM124">
        <f ca="1">IFERROR(IF(0=LEN(ReferenceData!$BM$124),"",ReferenceData!$BM$124),"")</f>
        <v>3.292060056</v>
      </c>
    </row>
    <row r="125" spans="1:65">
      <c r="A125" t="str">
        <f>IFERROR(IF(0=LEN(ReferenceData!$A$125),"",ReferenceData!$A$125),"")</f>
        <v>FFO增长同比(%)</v>
      </c>
      <c r="B125" t="str">
        <f>IFERROR(IF(0=LEN(ReferenceData!$B$125),"",ReferenceData!$B$125),"")</f>
        <v/>
      </c>
      <c r="C125" t="str">
        <f>IFERROR(IF(0=LEN(ReferenceData!$C$125),"",ReferenceData!$C$125),"")</f>
        <v/>
      </c>
      <c r="D125" t="str">
        <f>IFERROR(IF(0=LEN(ReferenceData!$D$125),"",ReferenceData!$D$125),"")</f>
        <v/>
      </c>
      <c r="E125" t="str">
        <f>IFERROR(IF(0=LEN(ReferenceData!$E$125),"",ReferenceData!$E$125),"")</f>
        <v>Median</v>
      </c>
      <c r="F125" t="str">
        <f ca="1">IFERROR(IF(0=LEN(ReferenceData!$F$125),"",ReferenceData!$F$125),"")</f>
        <v/>
      </c>
      <c r="G125" t="str">
        <f ca="1">IFERROR(IF(0=LEN(ReferenceData!$G$125),"",ReferenceData!$G$125),"")</f>
        <v/>
      </c>
      <c r="H125" t="str">
        <f ca="1">IFERROR(IF(0=LEN(ReferenceData!$H$125),"",ReferenceData!$H$125),"")</f>
        <v/>
      </c>
      <c r="I125" t="str">
        <f ca="1">IFERROR(IF(0=LEN(ReferenceData!$I$125),"",ReferenceData!$I$125),"")</f>
        <v/>
      </c>
      <c r="J125" t="str">
        <f ca="1">IFERROR(IF(0=LEN(ReferenceData!$J$125),"",ReferenceData!$J$125),"")</f>
        <v/>
      </c>
      <c r="K125" t="str">
        <f ca="1">IFERROR(IF(0=LEN(ReferenceData!$K$125),"",ReferenceData!$K$125),"")</f>
        <v/>
      </c>
      <c r="L125" t="str">
        <f ca="1">IFERROR(IF(0=LEN(ReferenceData!$L$125),"",ReferenceData!$L$125),"")</f>
        <v/>
      </c>
      <c r="M125" t="str">
        <f ca="1">IFERROR(IF(0=LEN(ReferenceData!$M$125),"",ReferenceData!$M$125),"")</f>
        <v/>
      </c>
      <c r="N125" t="str">
        <f ca="1">IFERROR(IF(0=LEN(ReferenceData!$N$125),"",ReferenceData!$N$125),"")</f>
        <v/>
      </c>
      <c r="O125" t="str">
        <f ca="1">IFERROR(IF(0=LEN(ReferenceData!$O$125),"",ReferenceData!$O$125),"")</f>
        <v/>
      </c>
      <c r="P125" t="str">
        <f ca="1">IFERROR(IF(0=LEN(ReferenceData!$P$125),"",ReferenceData!$P$125),"")</f>
        <v/>
      </c>
      <c r="Q125" t="str">
        <f ca="1">IFERROR(IF(0=LEN(ReferenceData!$Q$125),"",ReferenceData!$Q$125),"")</f>
        <v/>
      </c>
      <c r="R125" t="str">
        <f ca="1">IFERROR(IF(0=LEN(ReferenceData!$R$125),"",ReferenceData!$R$125),"")</f>
        <v/>
      </c>
      <c r="S125" t="str">
        <f ca="1">IFERROR(IF(0=LEN(ReferenceData!$S$125),"",ReferenceData!$S$125),"")</f>
        <v/>
      </c>
      <c r="T125" t="str">
        <f ca="1">IFERROR(IF(0=LEN(ReferenceData!$T$125),"",ReferenceData!$T$125),"")</f>
        <v/>
      </c>
      <c r="U125" t="str">
        <f ca="1">IFERROR(IF(0=LEN(ReferenceData!$U$125),"",ReferenceData!$U$125),"")</f>
        <v/>
      </c>
      <c r="V125" t="str">
        <f ca="1">IFERROR(IF(0=LEN(ReferenceData!$V$125),"",ReferenceData!$V$125),"")</f>
        <v/>
      </c>
      <c r="W125" t="str">
        <f ca="1">IFERROR(IF(0=LEN(ReferenceData!$W$125),"",ReferenceData!$W$125),"")</f>
        <v/>
      </c>
      <c r="X125" t="str">
        <f ca="1">IFERROR(IF(0=LEN(ReferenceData!$X$125),"",ReferenceData!$X$125),"")</f>
        <v/>
      </c>
      <c r="Y125" t="str">
        <f ca="1">IFERROR(IF(0=LEN(ReferenceData!$Y$125),"",ReferenceData!$Y$125),"")</f>
        <v/>
      </c>
      <c r="Z125" t="str">
        <f ca="1">IFERROR(IF(0=LEN(ReferenceData!$Z$125),"",ReferenceData!$Z$125),"")</f>
        <v/>
      </c>
      <c r="AA125" t="str">
        <f ca="1">IFERROR(IF(0=LEN(ReferenceData!$AA$125),"",ReferenceData!$AA$125),"")</f>
        <v/>
      </c>
      <c r="AB125" t="str">
        <f ca="1">IFERROR(IF(0=LEN(ReferenceData!$AB$125),"",ReferenceData!$AB$125),"")</f>
        <v/>
      </c>
      <c r="AC125" t="str">
        <f ca="1">IFERROR(IF(0=LEN(ReferenceData!$AC$125),"",ReferenceData!$AC$125),"")</f>
        <v/>
      </c>
      <c r="AD125" t="str">
        <f ca="1">IFERROR(IF(0=LEN(ReferenceData!$AD$125),"",ReferenceData!$AD$125),"")</f>
        <v/>
      </c>
      <c r="AE125" t="str">
        <f ca="1">IFERROR(IF(0=LEN(ReferenceData!$AE$125),"",ReferenceData!$AE$125),"")</f>
        <v/>
      </c>
      <c r="AF125" t="str">
        <f ca="1">IFERROR(IF(0=LEN(ReferenceData!$AF$125),"",ReferenceData!$AF$125),"")</f>
        <v/>
      </c>
      <c r="AG125" t="str">
        <f ca="1">IFERROR(IF(0=LEN(ReferenceData!$AG$125),"",ReferenceData!$AG$125),"")</f>
        <v/>
      </c>
      <c r="AH125" t="str">
        <f ca="1">IFERROR(IF(0=LEN(ReferenceData!$AH$125),"",ReferenceData!$AH$125),"")</f>
        <v/>
      </c>
      <c r="AI125" t="str">
        <f ca="1">IFERROR(IF(0=LEN(ReferenceData!$AI$125),"",ReferenceData!$AI$125),"")</f>
        <v/>
      </c>
      <c r="AJ125" t="str">
        <f ca="1">IFERROR(IF(0=LEN(ReferenceData!$AJ$125),"",ReferenceData!$AJ$125),"")</f>
        <v/>
      </c>
      <c r="AK125" t="str">
        <f ca="1">IFERROR(IF(0=LEN(ReferenceData!$AK$125),"",ReferenceData!$AK$125),"")</f>
        <v/>
      </c>
      <c r="AL125" t="str">
        <f ca="1">IFERROR(IF(0=LEN(ReferenceData!$AL$125),"",ReferenceData!$AL$125),"")</f>
        <v/>
      </c>
      <c r="AM125" t="str">
        <f ca="1">IFERROR(IF(0=LEN(ReferenceData!$AM$125),"",ReferenceData!$AM$125),"")</f>
        <v/>
      </c>
      <c r="AN125" t="str">
        <f ca="1">IFERROR(IF(0=LEN(ReferenceData!$AN$125),"",ReferenceData!$AN$125),"")</f>
        <v/>
      </c>
      <c r="AO125" t="str">
        <f ca="1">IFERROR(IF(0=LEN(ReferenceData!$AO$125),"",ReferenceData!$AO$125),"")</f>
        <v/>
      </c>
      <c r="AP125" t="str">
        <f ca="1">IFERROR(IF(0=LEN(ReferenceData!$AP$125),"",ReferenceData!$AP$125),"")</f>
        <v/>
      </c>
      <c r="AQ125" t="str">
        <f ca="1">IFERROR(IF(0=LEN(ReferenceData!$AQ$125),"",ReferenceData!$AQ$125),"")</f>
        <v/>
      </c>
      <c r="AR125" t="str">
        <f ca="1">IFERROR(IF(0=LEN(ReferenceData!$AR$125),"",ReferenceData!$AR$125),"")</f>
        <v/>
      </c>
      <c r="AS125" t="str">
        <f ca="1">IFERROR(IF(0=LEN(ReferenceData!$AS$125),"",ReferenceData!$AS$125),"")</f>
        <v/>
      </c>
      <c r="AT125" t="str">
        <f ca="1">IFERROR(IF(0=LEN(ReferenceData!$AT$125),"",ReferenceData!$AT$125),"")</f>
        <v/>
      </c>
      <c r="AU125" t="str">
        <f ca="1">IFERROR(IF(0=LEN(ReferenceData!$AU$125),"",ReferenceData!$AU$125),"")</f>
        <v/>
      </c>
      <c r="AV125" t="str">
        <f ca="1">IFERROR(IF(0=LEN(ReferenceData!$AV$125),"",ReferenceData!$AV$125),"")</f>
        <v/>
      </c>
      <c r="AW125" t="str">
        <f ca="1">IFERROR(IF(0=LEN(ReferenceData!$AW$125),"",ReferenceData!$AW$125),"")</f>
        <v/>
      </c>
      <c r="AX125" t="str">
        <f ca="1">IFERROR(IF(0=LEN(ReferenceData!$AX$125),"",ReferenceData!$AX$125),"")</f>
        <v/>
      </c>
      <c r="AY125" t="str">
        <f ca="1">IFERROR(IF(0=LEN(ReferenceData!$AY$125),"",ReferenceData!$AY$125),"")</f>
        <v/>
      </c>
      <c r="AZ125" t="str">
        <f ca="1">IFERROR(IF(0=LEN(ReferenceData!$AZ$125),"",ReferenceData!$AZ$125),"")</f>
        <v/>
      </c>
      <c r="BA125" t="str">
        <f ca="1">IFERROR(IF(0=LEN(ReferenceData!$BA$125),"",ReferenceData!$BA$125),"")</f>
        <v/>
      </c>
      <c r="BB125" t="str">
        <f ca="1">IFERROR(IF(0=LEN(ReferenceData!$BB$125),"",ReferenceData!$BB$125),"")</f>
        <v/>
      </c>
      <c r="BC125" t="str">
        <f ca="1">IFERROR(IF(0=LEN(ReferenceData!$BC$125),"",ReferenceData!$BC$125),"")</f>
        <v/>
      </c>
      <c r="BD125" t="str">
        <f ca="1">IFERROR(IF(0=LEN(ReferenceData!$BD$125),"",ReferenceData!$BD$125),"")</f>
        <v/>
      </c>
      <c r="BE125" t="str">
        <f ca="1">IFERROR(IF(0=LEN(ReferenceData!$BE$125),"",ReferenceData!$BE$125),"")</f>
        <v/>
      </c>
      <c r="BF125" t="str">
        <f ca="1">IFERROR(IF(0=LEN(ReferenceData!$BF$125),"",ReferenceData!$BF$125),"")</f>
        <v/>
      </c>
      <c r="BG125" t="str">
        <f ca="1">IFERROR(IF(0=LEN(ReferenceData!$BG$125),"",ReferenceData!$BG$125),"")</f>
        <v/>
      </c>
      <c r="BH125" t="str">
        <f ca="1">IFERROR(IF(0=LEN(ReferenceData!$BH$125),"",ReferenceData!$BH$125),"")</f>
        <v/>
      </c>
      <c r="BI125" t="str">
        <f ca="1">IFERROR(IF(0=LEN(ReferenceData!$BI$125),"",ReferenceData!$BI$125),"")</f>
        <v/>
      </c>
      <c r="BJ125" t="str">
        <f ca="1">IFERROR(IF(0=LEN(ReferenceData!$BJ$125),"",ReferenceData!$BJ$125),"")</f>
        <v/>
      </c>
      <c r="BK125" t="str">
        <f ca="1">IFERROR(IF(0=LEN(ReferenceData!$BK$125),"",ReferenceData!$BK$125),"")</f>
        <v/>
      </c>
      <c r="BL125" t="str">
        <f ca="1">IFERROR(IF(0=LEN(ReferenceData!$BL$125),"",ReferenceData!$BL$125),"")</f>
        <v/>
      </c>
      <c r="BM125" t="str">
        <f ca="1">IFERROR(IF(0=LEN(ReferenceData!$BM$125),"",ReferenceData!$BM$125),"")</f>
        <v/>
      </c>
    </row>
    <row r="126" spans="1:65">
      <c r="A126" t="str">
        <f>IFERROR(IF(0=LEN(ReferenceData!$A$126),"",ReferenceData!$A$126),"")</f>
        <v xml:space="preserve">    Boston Properties Inc</v>
      </c>
      <c r="B126" t="str">
        <f>IFERROR(IF(0=LEN(ReferenceData!$B$126),"",ReferenceData!$B$126),"")</f>
        <v>BXP US Equity</v>
      </c>
      <c r="C126" t="str">
        <f>IFERROR(IF(0=LEN(ReferenceData!$C$126),"",ReferenceData!$C$126),"")</f>
        <v>BE592</v>
      </c>
      <c r="D126" t="str">
        <f>IFERROR(IF(0=LEN(ReferenceData!$D$126),"",ReferenceData!$D$126),"")</f>
        <v>BEST_FFOPS_YOY_GTH</v>
      </c>
      <c r="E126" t="str">
        <f>IFERROR(IF(0=LEN(ReferenceData!$E$126),"",ReferenceData!$E$126),"")</f>
        <v>动态</v>
      </c>
      <c r="F126" t="str">
        <f ca="1">IFERROR(IF(0=LEN(ReferenceData!$F$126),"",ReferenceData!$F$126),"")</f>
        <v/>
      </c>
      <c r="G126" t="str">
        <f ca="1">IFERROR(IF(0=LEN(ReferenceData!$G$126),"",ReferenceData!$G$126),"")</f>
        <v/>
      </c>
      <c r="H126" t="str">
        <f ca="1">IFERROR(IF(0=LEN(ReferenceData!$H$126),"",ReferenceData!$H$126),"")</f>
        <v/>
      </c>
      <c r="I126" t="str">
        <f ca="1">IFERROR(IF(0=LEN(ReferenceData!$I$126),"",ReferenceData!$I$126),"")</f>
        <v/>
      </c>
      <c r="J126" t="str">
        <f ca="1">IFERROR(IF(0=LEN(ReferenceData!$J$126),"",ReferenceData!$J$126),"")</f>
        <v/>
      </c>
      <c r="K126" t="str">
        <f ca="1">IFERROR(IF(0=LEN(ReferenceData!$K$126),"",ReferenceData!$K$126),"")</f>
        <v/>
      </c>
      <c r="L126" t="str">
        <f ca="1">IFERROR(IF(0=LEN(ReferenceData!$L$126),"",ReferenceData!$L$126),"")</f>
        <v/>
      </c>
      <c r="M126" t="str">
        <f ca="1">IFERROR(IF(0=LEN(ReferenceData!$M$126),"",ReferenceData!$M$126),"")</f>
        <v/>
      </c>
      <c r="N126" t="str">
        <f ca="1">IFERROR(IF(0=LEN(ReferenceData!$N$126),"",ReferenceData!$N$126),"")</f>
        <v/>
      </c>
      <c r="O126" t="str">
        <f ca="1">IFERROR(IF(0=LEN(ReferenceData!$O$126),"",ReferenceData!$O$126),"")</f>
        <v/>
      </c>
      <c r="P126" t="str">
        <f ca="1">IFERROR(IF(0=LEN(ReferenceData!$P$126),"",ReferenceData!$P$126),"")</f>
        <v/>
      </c>
      <c r="Q126" t="str">
        <f ca="1">IFERROR(IF(0=LEN(ReferenceData!$Q$126),"",ReferenceData!$Q$126),"")</f>
        <v/>
      </c>
      <c r="R126" t="str">
        <f ca="1">IFERROR(IF(0=LEN(ReferenceData!$R$126),"",ReferenceData!$R$126),"")</f>
        <v/>
      </c>
      <c r="S126" t="str">
        <f ca="1">IFERROR(IF(0=LEN(ReferenceData!$S$126),"",ReferenceData!$S$126),"")</f>
        <v/>
      </c>
      <c r="T126" t="str">
        <f ca="1">IFERROR(IF(0=LEN(ReferenceData!$T$126),"",ReferenceData!$T$126),"")</f>
        <v/>
      </c>
      <c r="U126" t="str">
        <f ca="1">IFERROR(IF(0=LEN(ReferenceData!$U$126),"",ReferenceData!$U$126),"")</f>
        <v/>
      </c>
      <c r="V126" t="str">
        <f ca="1">IFERROR(IF(0=LEN(ReferenceData!$V$126),"",ReferenceData!$V$126),"")</f>
        <v/>
      </c>
      <c r="W126" t="str">
        <f ca="1">IFERROR(IF(0=LEN(ReferenceData!$W$126),"",ReferenceData!$W$126),"")</f>
        <v/>
      </c>
      <c r="X126" t="str">
        <f ca="1">IFERROR(IF(0=LEN(ReferenceData!$X$126),"",ReferenceData!$X$126),"")</f>
        <v/>
      </c>
      <c r="Y126" t="str">
        <f ca="1">IFERROR(IF(0=LEN(ReferenceData!$Y$126),"",ReferenceData!$Y$126),"")</f>
        <v/>
      </c>
      <c r="Z126" t="str">
        <f ca="1">IFERROR(IF(0=LEN(ReferenceData!$Z$126),"",ReferenceData!$Z$126),"")</f>
        <v/>
      </c>
      <c r="AA126" t="str">
        <f ca="1">IFERROR(IF(0=LEN(ReferenceData!$AA$126),"",ReferenceData!$AA$126),"")</f>
        <v/>
      </c>
      <c r="AB126" t="str">
        <f ca="1">IFERROR(IF(0=LEN(ReferenceData!$AB$126),"",ReferenceData!$AB$126),"")</f>
        <v/>
      </c>
      <c r="AC126" t="str">
        <f ca="1">IFERROR(IF(0=LEN(ReferenceData!$AC$126),"",ReferenceData!$AC$126),"")</f>
        <v/>
      </c>
      <c r="AD126" t="str">
        <f ca="1">IFERROR(IF(0=LEN(ReferenceData!$AD$126),"",ReferenceData!$AD$126),"")</f>
        <v/>
      </c>
      <c r="AE126" t="str">
        <f ca="1">IFERROR(IF(0=LEN(ReferenceData!$AE$126),"",ReferenceData!$AE$126),"")</f>
        <v/>
      </c>
      <c r="AF126" t="str">
        <f ca="1">IFERROR(IF(0=LEN(ReferenceData!$AF$126),"",ReferenceData!$AF$126),"")</f>
        <v/>
      </c>
      <c r="AG126" t="str">
        <f ca="1">IFERROR(IF(0=LEN(ReferenceData!$AG$126),"",ReferenceData!$AG$126),"")</f>
        <v/>
      </c>
      <c r="AH126" t="str">
        <f ca="1">IFERROR(IF(0=LEN(ReferenceData!$AH$126),"",ReferenceData!$AH$126),"")</f>
        <v/>
      </c>
      <c r="AI126" t="str">
        <f ca="1">IFERROR(IF(0=LEN(ReferenceData!$AI$126),"",ReferenceData!$AI$126),"")</f>
        <v/>
      </c>
      <c r="AJ126" t="str">
        <f ca="1">IFERROR(IF(0=LEN(ReferenceData!$AJ$126),"",ReferenceData!$AJ$126),"")</f>
        <v/>
      </c>
      <c r="AK126" t="str">
        <f ca="1">IFERROR(IF(0=LEN(ReferenceData!$AK$126),"",ReferenceData!$AK$126),"")</f>
        <v/>
      </c>
      <c r="AL126" t="str">
        <f ca="1">IFERROR(IF(0=LEN(ReferenceData!$AL$126),"",ReferenceData!$AL$126),"")</f>
        <v/>
      </c>
      <c r="AM126" t="str">
        <f ca="1">IFERROR(IF(0=LEN(ReferenceData!$AM$126),"",ReferenceData!$AM$126),"")</f>
        <v/>
      </c>
      <c r="AN126" t="str">
        <f ca="1">IFERROR(IF(0=LEN(ReferenceData!$AN$126),"",ReferenceData!$AN$126),"")</f>
        <v/>
      </c>
      <c r="AO126" t="str">
        <f ca="1">IFERROR(IF(0=LEN(ReferenceData!$AO$126),"",ReferenceData!$AO$126),"")</f>
        <v/>
      </c>
      <c r="AP126" t="str">
        <f ca="1">IFERROR(IF(0=LEN(ReferenceData!$AP$126),"",ReferenceData!$AP$126),"")</f>
        <v/>
      </c>
      <c r="AQ126" t="str">
        <f ca="1">IFERROR(IF(0=LEN(ReferenceData!$AQ$126),"",ReferenceData!$AQ$126),"")</f>
        <v/>
      </c>
      <c r="AR126" t="str">
        <f ca="1">IFERROR(IF(0=LEN(ReferenceData!$AR$126),"",ReferenceData!$AR$126),"")</f>
        <v/>
      </c>
      <c r="AS126" t="str">
        <f ca="1">IFERROR(IF(0=LEN(ReferenceData!$AS$126),"",ReferenceData!$AS$126),"")</f>
        <v/>
      </c>
      <c r="AT126" t="str">
        <f ca="1">IFERROR(IF(0=LEN(ReferenceData!$AT$126),"",ReferenceData!$AT$126),"")</f>
        <v/>
      </c>
      <c r="AU126" t="str">
        <f ca="1">IFERROR(IF(0=LEN(ReferenceData!$AU$126),"",ReferenceData!$AU$126),"")</f>
        <v/>
      </c>
      <c r="AV126" t="str">
        <f ca="1">IFERROR(IF(0=LEN(ReferenceData!$AV$126),"",ReferenceData!$AV$126),"")</f>
        <v/>
      </c>
      <c r="AW126" t="str">
        <f ca="1">IFERROR(IF(0=LEN(ReferenceData!$AW$126),"",ReferenceData!$AW$126),"")</f>
        <v/>
      </c>
      <c r="AX126" t="str">
        <f ca="1">IFERROR(IF(0=LEN(ReferenceData!$AX$126),"",ReferenceData!$AX$126),"")</f>
        <v/>
      </c>
      <c r="AY126" t="str">
        <f ca="1">IFERROR(IF(0=LEN(ReferenceData!$AY$126),"",ReferenceData!$AY$126),"")</f>
        <v/>
      </c>
      <c r="AZ126" t="str">
        <f ca="1">IFERROR(IF(0=LEN(ReferenceData!$AZ$126),"",ReferenceData!$AZ$126),"")</f>
        <v/>
      </c>
      <c r="BA126" t="str">
        <f ca="1">IFERROR(IF(0=LEN(ReferenceData!$BA$126),"",ReferenceData!$BA$126),"")</f>
        <v/>
      </c>
      <c r="BB126" t="str">
        <f ca="1">IFERROR(IF(0=LEN(ReferenceData!$BB$126),"",ReferenceData!$BB$126),"")</f>
        <v/>
      </c>
      <c r="BC126" t="str">
        <f ca="1">IFERROR(IF(0=LEN(ReferenceData!$BC$126),"",ReferenceData!$BC$126),"")</f>
        <v/>
      </c>
      <c r="BD126" t="str">
        <f ca="1">IFERROR(IF(0=LEN(ReferenceData!$BD$126),"",ReferenceData!$BD$126),"")</f>
        <v/>
      </c>
      <c r="BE126" t="str">
        <f ca="1">IFERROR(IF(0=LEN(ReferenceData!$BE$126),"",ReferenceData!$BE$126),"")</f>
        <v/>
      </c>
      <c r="BF126" t="str">
        <f ca="1">IFERROR(IF(0=LEN(ReferenceData!$BF$126),"",ReferenceData!$BF$126),"")</f>
        <v/>
      </c>
      <c r="BG126" t="str">
        <f ca="1">IFERROR(IF(0=LEN(ReferenceData!$BG$126),"",ReferenceData!$BG$126),"")</f>
        <v/>
      </c>
      <c r="BH126" t="str">
        <f ca="1">IFERROR(IF(0=LEN(ReferenceData!$BH$126),"",ReferenceData!$BH$126),"")</f>
        <v/>
      </c>
      <c r="BI126" t="str">
        <f ca="1">IFERROR(IF(0=LEN(ReferenceData!$BI$126),"",ReferenceData!$BI$126),"")</f>
        <v/>
      </c>
      <c r="BJ126" t="str">
        <f ca="1">IFERROR(IF(0=LEN(ReferenceData!$BJ$126),"",ReferenceData!$BJ$126),"")</f>
        <v/>
      </c>
      <c r="BK126" t="str">
        <f ca="1">IFERROR(IF(0=LEN(ReferenceData!$BK$126),"",ReferenceData!$BK$126),"")</f>
        <v/>
      </c>
      <c r="BL126" t="str">
        <f ca="1">IFERROR(IF(0=LEN(ReferenceData!$BL$126),"",ReferenceData!$BL$126),"")</f>
        <v/>
      </c>
      <c r="BM126" t="str">
        <f ca="1">IFERROR(IF(0=LEN(ReferenceData!$BM$126),"",ReferenceData!$BM$126),"")</f>
        <v/>
      </c>
    </row>
    <row r="127" spans="1:65">
      <c r="A127" t="str">
        <f>IFERROR(IF(0=LEN(ReferenceData!$A$127),"",ReferenceData!$A$127),"")</f>
        <v xml:space="preserve">    Brandywine Realty Trust</v>
      </c>
      <c r="B127" t="str">
        <f>IFERROR(IF(0=LEN(ReferenceData!$B$127),"",ReferenceData!$B$127),"")</f>
        <v>BDN US Equity</v>
      </c>
      <c r="C127" t="str">
        <f>IFERROR(IF(0=LEN(ReferenceData!$C$127),"",ReferenceData!$C$127),"")</f>
        <v>BE592</v>
      </c>
      <c r="D127" t="str">
        <f>IFERROR(IF(0=LEN(ReferenceData!$D$127),"",ReferenceData!$D$127),"")</f>
        <v>BEST_FFOPS_YOY_GTH</v>
      </c>
      <c r="E127" t="str">
        <f>IFERROR(IF(0=LEN(ReferenceData!$E$127),"",ReferenceData!$E$127),"")</f>
        <v>动态</v>
      </c>
      <c r="F127" t="str">
        <f ca="1">IFERROR(IF(0=LEN(ReferenceData!$F$127),"",ReferenceData!$F$127),"")</f>
        <v/>
      </c>
      <c r="G127" t="str">
        <f ca="1">IFERROR(IF(0=LEN(ReferenceData!$G$127),"",ReferenceData!$G$127),"")</f>
        <v/>
      </c>
      <c r="H127" t="str">
        <f ca="1">IFERROR(IF(0=LEN(ReferenceData!$H$127),"",ReferenceData!$H$127),"")</f>
        <v/>
      </c>
      <c r="I127" t="str">
        <f ca="1">IFERROR(IF(0=LEN(ReferenceData!$I$127),"",ReferenceData!$I$127),"")</f>
        <v/>
      </c>
      <c r="J127" t="str">
        <f ca="1">IFERROR(IF(0=LEN(ReferenceData!$J$127),"",ReferenceData!$J$127),"")</f>
        <v/>
      </c>
      <c r="K127" t="str">
        <f ca="1">IFERROR(IF(0=LEN(ReferenceData!$K$127),"",ReferenceData!$K$127),"")</f>
        <v/>
      </c>
      <c r="L127" t="str">
        <f ca="1">IFERROR(IF(0=LEN(ReferenceData!$L$127),"",ReferenceData!$L$127),"")</f>
        <v/>
      </c>
      <c r="M127" t="str">
        <f ca="1">IFERROR(IF(0=LEN(ReferenceData!$M$127),"",ReferenceData!$M$127),"")</f>
        <v/>
      </c>
      <c r="N127" t="str">
        <f ca="1">IFERROR(IF(0=LEN(ReferenceData!$N$127),"",ReferenceData!$N$127),"")</f>
        <v/>
      </c>
      <c r="O127" t="str">
        <f ca="1">IFERROR(IF(0=LEN(ReferenceData!$O$127),"",ReferenceData!$O$127),"")</f>
        <v/>
      </c>
      <c r="P127" t="str">
        <f ca="1">IFERROR(IF(0=LEN(ReferenceData!$P$127),"",ReferenceData!$P$127),"")</f>
        <v/>
      </c>
      <c r="Q127" t="str">
        <f ca="1">IFERROR(IF(0=LEN(ReferenceData!$Q$127),"",ReferenceData!$Q$127),"")</f>
        <v/>
      </c>
      <c r="R127" t="str">
        <f ca="1">IFERROR(IF(0=LEN(ReferenceData!$R$127),"",ReferenceData!$R$127),"")</f>
        <v/>
      </c>
      <c r="S127" t="str">
        <f ca="1">IFERROR(IF(0=LEN(ReferenceData!$S$127),"",ReferenceData!$S$127),"")</f>
        <v/>
      </c>
      <c r="T127" t="str">
        <f ca="1">IFERROR(IF(0=LEN(ReferenceData!$T$127),"",ReferenceData!$T$127),"")</f>
        <v/>
      </c>
      <c r="U127" t="str">
        <f ca="1">IFERROR(IF(0=LEN(ReferenceData!$U$127),"",ReferenceData!$U$127),"")</f>
        <v/>
      </c>
      <c r="V127" t="str">
        <f ca="1">IFERROR(IF(0=LEN(ReferenceData!$V$127),"",ReferenceData!$V$127),"")</f>
        <v/>
      </c>
      <c r="W127" t="str">
        <f ca="1">IFERROR(IF(0=LEN(ReferenceData!$W$127),"",ReferenceData!$W$127),"")</f>
        <v/>
      </c>
      <c r="X127" t="str">
        <f ca="1">IFERROR(IF(0=LEN(ReferenceData!$X$127),"",ReferenceData!$X$127),"")</f>
        <v/>
      </c>
      <c r="Y127" t="str">
        <f ca="1">IFERROR(IF(0=LEN(ReferenceData!$Y$127),"",ReferenceData!$Y$127),"")</f>
        <v/>
      </c>
      <c r="Z127" t="str">
        <f ca="1">IFERROR(IF(0=LEN(ReferenceData!$Z$127),"",ReferenceData!$Z$127),"")</f>
        <v/>
      </c>
      <c r="AA127" t="str">
        <f ca="1">IFERROR(IF(0=LEN(ReferenceData!$AA$127),"",ReferenceData!$AA$127),"")</f>
        <v/>
      </c>
      <c r="AB127" t="str">
        <f ca="1">IFERROR(IF(0=LEN(ReferenceData!$AB$127),"",ReferenceData!$AB$127),"")</f>
        <v/>
      </c>
      <c r="AC127" t="str">
        <f ca="1">IFERROR(IF(0=LEN(ReferenceData!$AC$127),"",ReferenceData!$AC$127),"")</f>
        <v/>
      </c>
      <c r="AD127" t="str">
        <f ca="1">IFERROR(IF(0=LEN(ReferenceData!$AD$127),"",ReferenceData!$AD$127),"")</f>
        <v/>
      </c>
      <c r="AE127" t="str">
        <f ca="1">IFERROR(IF(0=LEN(ReferenceData!$AE$127),"",ReferenceData!$AE$127),"")</f>
        <v/>
      </c>
      <c r="AF127" t="str">
        <f ca="1">IFERROR(IF(0=LEN(ReferenceData!$AF$127),"",ReferenceData!$AF$127),"")</f>
        <v/>
      </c>
      <c r="AG127" t="str">
        <f ca="1">IFERROR(IF(0=LEN(ReferenceData!$AG$127),"",ReferenceData!$AG$127),"")</f>
        <v/>
      </c>
      <c r="AH127" t="str">
        <f ca="1">IFERROR(IF(0=LEN(ReferenceData!$AH$127),"",ReferenceData!$AH$127),"")</f>
        <v/>
      </c>
      <c r="AI127" t="str">
        <f ca="1">IFERROR(IF(0=LEN(ReferenceData!$AI$127),"",ReferenceData!$AI$127),"")</f>
        <v/>
      </c>
      <c r="AJ127" t="str">
        <f ca="1">IFERROR(IF(0=LEN(ReferenceData!$AJ$127),"",ReferenceData!$AJ$127),"")</f>
        <v/>
      </c>
      <c r="AK127" t="str">
        <f ca="1">IFERROR(IF(0=LEN(ReferenceData!$AK$127),"",ReferenceData!$AK$127),"")</f>
        <v/>
      </c>
      <c r="AL127" t="str">
        <f ca="1">IFERROR(IF(0=LEN(ReferenceData!$AL$127),"",ReferenceData!$AL$127),"")</f>
        <v/>
      </c>
      <c r="AM127" t="str">
        <f ca="1">IFERROR(IF(0=LEN(ReferenceData!$AM$127),"",ReferenceData!$AM$127),"")</f>
        <v/>
      </c>
      <c r="AN127" t="str">
        <f ca="1">IFERROR(IF(0=LEN(ReferenceData!$AN$127),"",ReferenceData!$AN$127),"")</f>
        <v/>
      </c>
      <c r="AO127" t="str">
        <f ca="1">IFERROR(IF(0=LEN(ReferenceData!$AO$127),"",ReferenceData!$AO$127),"")</f>
        <v/>
      </c>
      <c r="AP127" t="str">
        <f ca="1">IFERROR(IF(0=LEN(ReferenceData!$AP$127),"",ReferenceData!$AP$127),"")</f>
        <v/>
      </c>
      <c r="AQ127" t="str">
        <f ca="1">IFERROR(IF(0=LEN(ReferenceData!$AQ$127),"",ReferenceData!$AQ$127),"")</f>
        <v/>
      </c>
      <c r="AR127" t="str">
        <f ca="1">IFERROR(IF(0=LEN(ReferenceData!$AR$127),"",ReferenceData!$AR$127),"")</f>
        <v/>
      </c>
      <c r="AS127" t="str">
        <f ca="1">IFERROR(IF(0=LEN(ReferenceData!$AS$127),"",ReferenceData!$AS$127),"")</f>
        <v/>
      </c>
      <c r="AT127" t="str">
        <f ca="1">IFERROR(IF(0=LEN(ReferenceData!$AT$127),"",ReferenceData!$AT$127),"")</f>
        <v/>
      </c>
      <c r="AU127" t="str">
        <f ca="1">IFERROR(IF(0=LEN(ReferenceData!$AU$127),"",ReferenceData!$AU$127),"")</f>
        <v/>
      </c>
      <c r="AV127" t="str">
        <f ca="1">IFERROR(IF(0=LEN(ReferenceData!$AV$127),"",ReferenceData!$AV$127),"")</f>
        <v/>
      </c>
      <c r="AW127" t="str">
        <f ca="1">IFERROR(IF(0=LEN(ReferenceData!$AW$127),"",ReferenceData!$AW$127),"")</f>
        <v/>
      </c>
      <c r="AX127" t="str">
        <f ca="1">IFERROR(IF(0=LEN(ReferenceData!$AX$127),"",ReferenceData!$AX$127),"")</f>
        <v/>
      </c>
      <c r="AY127" t="str">
        <f ca="1">IFERROR(IF(0=LEN(ReferenceData!$AY$127),"",ReferenceData!$AY$127),"")</f>
        <v/>
      </c>
      <c r="AZ127" t="str">
        <f ca="1">IFERROR(IF(0=LEN(ReferenceData!$AZ$127),"",ReferenceData!$AZ$127),"")</f>
        <v/>
      </c>
      <c r="BA127" t="str">
        <f ca="1">IFERROR(IF(0=LEN(ReferenceData!$BA$127),"",ReferenceData!$BA$127),"")</f>
        <v/>
      </c>
      <c r="BB127" t="str">
        <f ca="1">IFERROR(IF(0=LEN(ReferenceData!$BB$127),"",ReferenceData!$BB$127),"")</f>
        <v/>
      </c>
      <c r="BC127" t="str">
        <f ca="1">IFERROR(IF(0=LEN(ReferenceData!$BC$127),"",ReferenceData!$BC$127),"")</f>
        <v/>
      </c>
      <c r="BD127" t="str">
        <f ca="1">IFERROR(IF(0=LEN(ReferenceData!$BD$127),"",ReferenceData!$BD$127),"")</f>
        <v/>
      </c>
      <c r="BE127" t="str">
        <f ca="1">IFERROR(IF(0=LEN(ReferenceData!$BE$127),"",ReferenceData!$BE$127),"")</f>
        <v/>
      </c>
      <c r="BF127" t="str">
        <f ca="1">IFERROR(IF(0=LEN(ReferenceData!$BF$127),"",ReferenceData!$BF$127),"")</f>
        <v/>
      </c>
      <c r="BG127" t="str">
        <f ca="1">IFERROR(IF(0=LEN(ReferenceData!$BG$127),"",ReferenceData!$BG$127),"")</f>
        <v/>
      </c>
      <c r="BH127" t="str">
        <f ca="1">IFERROR(IF(0=LEN(ReferenceData!$BH$127),"",ReferenceData!$BH$127),"")</f>
        <v/>
      </c>
      <c r="BI127" t="str">
        <f ca="1">IFERROR(IF(0=LEN(ReferenceData!$BI$127),"",ReferenceData!$BI$127),"")</f>
        <v/>
      </c>
      <c r="BJ127" t="str">
        <f ca="1">IFERROR(IF(0=LEN(ReferenceData!$BJ$127),"",ReferenceData!$BJ$127),"")</f>
        <v/>
      </c>
      <c r="BK127" t="str">
        <f ca="1">IFERROR(IF(0=LEN(ReferenceData!$BK$127),"",ReferenceData!$BK$127),"")</f>
        <v/>
      </c>
      <c r="BL127" t="str">
        <f ca="1">IFERROR(IF(0=LEN(ReferenceData!$BL$127),"",ReferenceData!$BL$127),"")</f>
        <v/>
      </c>
      <c r="BM127" t="str">
        <f ca="1">IFERROR(IF(0=LEN(ReferenceData!$BM$127),"",ReferenceData!$BM$127),"")</f>
        <v/>
      </c>
    </row>
    <row r="128" spans="1:65">
      <c r="A128" t="str">
        <f>IFERROR(IF(0=LEN(ReferenceData!$A$128),"",ReferenceData!$A$128),"")</f>
        <v xml:space="preserve">    Columbia Property Trust Inc</v>
      </c>
      <c r="B128" t="str">
        <f>IFERROR(IF(0=LEN(ReferenceData!$B$128),"",ReferenceData!$B$128),"")</f>
        <v>CXP US Equity</v>
      </c>
      <c r="C128" t="str">
        <f>IFERROR(IF(0=LEN(ReferenceData!$C$128),"",ReferenceData!$C$128),"")</f>
        <v>BE592</v>
      </c>
      <c r="D128" t="str">
        <f>IFERROR(IF(0=LEN(ReferenceData!$D$128),"",ReferenceData!$D$128),"")</f>
        <v>BEST_FFOPS_YOY_GTH</v>
      </c>
      <c r="E128" t="str">
        <f>IFERROR(IF(0=LEN(ReferenceData!$E$128),"",ReferenceData!$E$128),"")</f>
        <v>动态</v>
      </c>
      <c r="F128" t="str">
        <f ca="1">IFERROR(IF(0=LEN(ReferenceData!$F$128),"",ReferenceData!$F$128),"")</f>
        <v/>
      </c>
      <c r="G128" t="str">
        <f ca="1">IFERROR(IF(0=LEN(ReferenceData!$G$128),"",ReferenceData!$G$128),"")</f>
        <v/>
      </c>
      <c r="H128" t="str">
        <f ca="1">IFERROR(IF(0=LEN(ReferenceData!$H$128),"",ReferenceData!$H$128),"")</f>
        <v/>
      </c>
      <c r="I128" t="str">
        <f ca="1">IFERROR(IF(0=LEN(ReferenceData!$I$128),"",ReferenceData!$I$128),"")</f>
        <v/>
      </c>
      <c r="J128" t="str">
        <f ca="1">IFERROR(IF(0=LEN(ReferenceData!$J$128),"",ReferenceData!$J$128),"")</f>
        <v/>
      </c>
      <c r="K128" t="str">
        <f ca="1">IFERROR(IF(0=LEN(ReferenceData!$K$128),"",ReferenceData!$K$128),"")</f>
        <v/>
      </c>
      <c r="L128" t="str">
        <f ca="1">IFERROR(IF(0=LEN(ReferenceData!$L$128),"",ReferenceData!$L$128),"")</f>
        <v/>
      </c>
      <c r="M128" t="str">
        <f ca="1">IFERROR(IF(0=LEN(ReferenceData!$M$128),"",ReferenceData!$M$128),"")</f>
        <v/>
      </c>
      <c r="N128" t="str">
        <f ca="1">IFERROR(IF(0=LEN(ReferenceData!$N$128),"",ReferenceData!$N$128),"")</f>
        <v/>
      </c>
      <c r="O128" t="str">
        <f ca="1">IFERROR(IF(0=LEN(ReferenceData!$O$128),"",ReferenceData!$O$128),"")</f>
        <v/>
      </c>
      <c r="P128" t="str">
        <f ca="1">IFERROR(IF(0=LEN(ReferenceData!$P$128),"",ReferenceData!$P$128),"")</f>
        <v/>
      </c>
      <c r="Q128" t="str">
        <f ca="1">IFERROR(IF(0=LEN(ReferenceData!$Q$128),"",ReferenceData!$Q$128),"")</f>
        <v/>
      </c>
      <c r="R128" t="str">
        <f ca="1">IFERROR(IF(0=LEN(ReferenceData!$R$128),"",ReferenceData!$R$128),"")</f>
        <v/>
      </c>
      <c r="S128" t="str">
        <f ca="1">IFERROR(IF(0=LEN(ReferenceData!$S$128),"",ReferenceData!$S$128),"")</f>
        <v/>
      </c>
      <c r="T128" t="str">
        <f ca="1">IFERROR(IF(0=LEN(ReferenceData!$T$128),"",ReferenceData!$T$128),"")</f>
        <v/>
      </c>
      <c r="U128" t="str">
        <f ca="1">IFERROR(IF(0=LEN(ReferenceData!$U$128),"",ReferenceData!$U$128),"")</f>
        <v/>
      </c>
      <c r="V128" t="str">
        <f ca="1">IFERROR(IF(0=LEN(ReferenceData!$V$128),"",ReferenceData!$V$128),"")</f>
        <v/>
      </c>
      <c r="W128" t="str">
        <f ca="1">IFERROR(IF(0=LEN(ReferenceData!$W$128),"",ReferenceData!$W$128),"")</f>
        <v/>
      </c>
      <c r="X128" t="str">
        <f ca="1">IFERROR(IF(0=LEN(ReferenceData!$X$128),"",ReferenceData!$X$128),"")</f>
        <v/>
      </c>
      <c r="Y128" t="str">
        <f ca="1">IFERROR(IF(0=LEN(ReferenceData!$Y$128),"",ReferenceData!$Y$128),"")</f>
        <v/>
      </c>
      <c r="Z128" t="str">
        <f ca="1">IFERROR(IF(0=LEN(ReferenceData!$Z$128),"",ReferenceData!$Z$128),"")</f>
        <v/>
      </c>
      <c r="AA128" t="str">
        <f ca="1">IFERROR(IF(0=LEN(ReferenceData!$AA$128),"",ReferenceData!$AA$128),"")</f>
        <v/>
      </c>
      <c r="AB128" t="str">
        <f ca="1">IFERROR(IF(0=LEN(ReferenceData!$AB$128),"",ReferenceData!$AB$128),"")</f>
        <v/>
      </c>
      <c r="AC128" t="str">
        <f ca="1">IFERROR(IF(0=LEN(ReferenceData!$AC$128),"",ReferenceData!$AC$128),"")</f>
        <v/>
      </c>
      <c r="AD128" t="str">
        <f ca="1">IFERROR(IF(0=LEN(ReferenceData!$AD$128),"",ReferenceData!$AD$128),"")</f>
        <v/>
      </c>
      <c r="AE128" t="str">
        <f ca="1">IFERROR(IF(0=LEN(ReferenceData!$AE$128),"",ReferenceData!$AE$128),"")</f>
        <v/>
      </c>
      <c r="AF128" t="str">
        <f ca="1">IFERROR(IF(0=LEN(ReferenceData!$AF$128),"",ReferenceData!$AF$128),"")</f>
        <v/>
      </c>
      <c r="AG128" t="str">
        <f ca="1">IFERROR(IF(0=LEN(ReferenceData!$AG$128),"",ReferenceData!$AG$128),"")</f>
        <v/>
      </c>
      <c r="AH128" t="str">
        <f ca="1">IFERROR(IF(0=LEN(ReferenceData!$AH$128),"",ReferenceData!$AH$128),"")</f>
        <v/>
      </c>
      <c r="AI128" t="str">
        <f ca="1">IFERROR(IF(0=LEN(ReferenceData!$AI$128),"",ReferenceData!$AI$128),"")</f>
        <v/>
      </c>
      <c r="AJ128" t="str">
        <f ca="1">IFERROR(IF(0=LEN(ReferenceData!$AJ$128),"",ReferenceData!$AJ$128),"")</f>
        <v/>
      </c>
      <c r="AK128" t="str">
        <f ca="1">IFERROR(IF(0=LEN(ReferenceData!$AK$128),"",ReferenceData!$AK$128),"")</f>
        <v/>
      </c>
      <c r="AL128" t="str">
        <f ca="1">IFERROR(IF(0=LEN(ReferenceData!$AL$128),"",ReferenceData!$AL$128),"")</f>
        <v/>
      </c>
      <c r="AM128" t="str">
        <f ca="1">IFERROR(IF(0=LEN(ReferenceData!$AM$128),"",ReferenceData!$AM$128),"")</f>
        <v/>
      </c>
      <c r="AN128" t="str">
        <f ca="1">IFERROR(IF(0=LEN(ReferenceData!$AN$128),"",ReferenceData!$AN$128),"")</f>
        <v/>
      </c>
      <c r="AO128" t="str">
        <f ca="1">IFERROR(IF(0=LEN(ReferenceData!$AO$128),"",ReferenceData!$AO$128),"")</f>
        <v/>
      </c>
      <c r="AP128" t="str">
        <f ca="1">IFERROR(IF(0=LEN(ReferenceData!$AP$128),"",ReferenceData!$AP$128),"")</f>
        <v/>
      </c>
      <c r="AQ128" t="str">
        <f ca="1">IFERROR(IF(0=LEN(ReferenceData!$AQ$128),"",ReferenceData!$AQ$128),"")</f>
        <v/>
      </c>
      <c r="AR128" t="str">
        <f ca="1">IFERROR(IF(0=LEN(ReferenceData!$AR$128),"",ReferenceData!$AR$128),"")</f>
        <v/>
      </c>
      <c r="AS128" t="str">
        <f ca="1">IFERROR(IF(0=LEN(ReferenceData!$AS$128),"",ReferenceData!$AS$128),"")</f>
        <v/>
      </c>
      <c r="AT128" t="str">
        <f ca="1">IFERROR(IF(0=LEN(ReferenceData!$AT$128),"",ReferenceData!$AT$128),"")</f>
        <v/>
      </c>
      <c r="AU128" t="str">
        <f ca="1">IFERROR(IF(0=LEN(ReferenceData!$AU$128),"",ReferenceData!$AU$128),"")</f>
        <v/>
      </c>
      <c r="AV128" t="str">
        <f ca="1">IFERROR(IF(0=LEN(ReferenceData!$AV$128),"",ReferenceData!$AV$128),"")</f>
        <v/>
      </c>
      <c r="AW128" t="str">
        <f ca="1">IFERROR(IF(0=LEN(ReferenceData!$AW$128),"",ReferenceData!$AW$128),"")</f>
        <v/>
      </c>
      <c r="AX128" t="str">
        <f ca="1">IFERROR(IF(0=LEN(ReferenceData!$AX$128),"",ReferenceData!$AX$128),"")</f>
        <v/>
      </c>
      <c r="AY128" t="str">
        <f ca="1">IFERROR(IF(0=LEN(ReferenceData!$AY$128),"",ReferenceData!$AY$128),"")</f>
        <v/>
      </c>
      <c r="AZ128" t="str">
        <f ca="1">IFERROR(IF(0=LEN(ReferenceData!$AZ$128),"",ReferenceData!$AZ$128),"")</f>
        <v/>
      </c>
      <c r="BA128" t="str">
        <f ca="1">IFERROR(IF(0=LEN(ReferenceData!$BA$128),"",ReferenceData!$BA$128),"")</f>
        <v/>
      </c>
      <c r="BB128" t="str">
        <f ca="1">IFERROR(IF(0=LEN(ReferenceData!$BB$128),"",ReferenceData!$BB$128),"")</f>
        <v/>
      </c>
      <c r="BC128" t="str">
        <f ca="1">IFERROR(IF(0=LEN(ReferenceData!$BC$128),"",ReferenceData!$BC$128),"")</f>
        <v/>
      </c>
      <c r="BD128" t="str">
        <f ca="1">IFERROR(IF(0=LEN(ReferenceData!$BD$128),"",ReferenceData!$BD$128),"")</f>
        <v/>
      </c>
      <c r="BE128" t="str">
        <f ca="1">IFERROR(IF(0=LEN(ReferenceData!$BE$128),"",ReferenceData!$BE$128),"")</f>
        <v/>
      </c>
      <c r="BF128" t="str">
        <f ca="1">IFERROR(IF(0=LEN(ReferenceData!$BF$128),"",ReferenceData!$BF$128),"")</f>
        <v/>
      </c>
      <c r="BG128" t="str">
        <f ca="1">IFERROR(IF(0=LEN(ReferenceData!$BG$128),"",ReferenceData!$BG$128),"")</f>
        <v/>
      </c>
      <c r="BH128" t="str">
        <f ca="1">IFERROR(IF(0=LEN(ReferenceData!$BH$128),"",ReferenceData!$BH$128),"")</f>
        <v/>
      </c>
      <c r="BI128" t="str">
        <f ca="1">IFERROR(IF(0=LEN(ReferenceData!$BI$128),"",ReferenceData!$BI$128),"")</f>
        <v/>
      </c>
      <c r="BJ128" t="str">
        <f ca="1">IFERROR(IF(0=LEN(ReferenceData!$BJ$128),"",ReferenceData!$BJ$128),"")</f>
        <v/>
      </c>
      <c r="BK128" t="str">
        <f ca="1">IFERROR(IF(0=LEN(ReferenceData!$BK$128),"",ReferenceData!$BK$128),"")</f>
        <v/>
      </c>
      <c r="BL128" t="str">
        <f ca="1">IFERROR(IF(0=LEN(ReferenceData!$BL$128),"",ReferenceData!$BL$128),"")</f>
        <v/>
      </c>
      <c r="BM128" t="str">
        <f ca="1">IFERROR(IF(0=LEN(ReferenceData!$BM$128),"",ReferenceData!$BM$128),"")</f>
        <v/>
      </c>
    </row>
    <row r="129" spans="1:65">
      <c r="A129" t="str">
        <f>IFERROR(IF(0=LEN(ReferenceData!$A$129),"",ReferenceData!$A$129),"")</f>
        <v xml:space="preserve">    Corporate Office Properties Tr</v>
      </c>
      <c r="B129" t="str">
        <f>IFERROR(IF(0=LEN(ReferenceData!$B$129),"",ReferenceData!$B$129),"")</f>
        <v>OFC US Equity</v>
      </c>
      <c r="C129" t="str">
        <f>IFERROR(IF(0=LEN(ReferenceData!$C$129),"",ReferenceData!$C$129),"")</f>
        <v>BE592</v>
      </c>
      <c r="D129" t="str">
        <f>IFERROR(IF(0=LEN(ReferenceData!$D$129),"",ReferenceData!$D$129),"")</f>
        <v>BEST_FFOPS_YOY_GTH</v>
      </c>
      <c r="E129" t="str">
        <f>IFERROR(IF(0=LEN(ReferenceData!$E$129),"",ReferenceData!$E$129),"")</f>
        <v>动态</v>
      </c>
      <c r="F129" t="str">
        <f ca="1">IFERROR(IF(0=LEN(ReferenceData!$F$129),"",ReferenceData!$F$129),"")</f>
        <v/>
      </c>
      <c r="G129" t="str">
        <f ca="1">IFERROR(IF(0=LEN(ReferenceData!$G$129),"",ReferenceData!$G$129),"")</f>
        <v/>
      </c>
      <c r="H129" t="str">
        <f ca="1">IFERROR(IF(0=LEN(ReferenceData!$H$129),"",ReferenceData!$H$129),"")</f>
        <v/>
      </c>
      <c r="I129" t="str">
        <f ca="1">IFERROR(IF(0=LEN(ReferenceData!$I$129),"",ReferenceData!$I$129),"")</f>
        <v/>
      </c>
      <c r="J129" t="str">
        <f ca="1">IFERROR(IF(0=LEN(ReferenceData!$J$129),"",ReferenceData!$J$129),"")</f>
        <v/>
      </c>
      <c r="K129" t="str">
        <f ca="1">IFERROR(IF(0=LEN(ReferenceData!$K$129),"",ReferenceData!$K$129),"")</f>
        <v/>
      </c>
      <c r="L129" t="str">
        <f ca="1">IFERROR(IF(0=LEN(ReferenceData!$L$129),"",ReferenceData!$L$129),"")</f>
        <v/>
      </c>
      <c r="M129" t="str">
        <f ca="1">IFERROR(IF(0=LEN(ReferenceData!$M$129),"",ReferenceData!$M$129),"")</f>
        <v/>
      </c>
      <c r="N129" t="str">
        <f ca="1">IFERROR(IF(0=LEN(ReferenceData!$N$129),"",ReferenceData!$N$129),"")</f>
        <v/>
      </c>
      <c r="O129" t="str">
        <f ca="1">IFERROR(IF(0=LEN(ReferenceData!$O$129),"",ReferenceData!$O$129),"")</f>
        <v/>
      </c>
      <c r="P129" t="str">
        <f ca="1">IFERROR(IF(0=LEN(ReferenceData!$P$129),"",ReferenceData!$P$129),"")</f>
        <v/>
      </c>
      <c r="Q129" t="str">
        <f ca="1">IFERROR(IF(0=LEN(ReferenceData!$Q$129),"",ReferenceData!$Q$129),"")</f>
        <v/>
      </c>
      <c r="R129" t="str">
        <f ca="1">IFERROR(IF(0=LEN(ReferenceData!$R$129),"",ReferenceData!$R$129),"")</f>
        <v/>
      </c>
      <c r="S129" t="str">
        <f ca="1">IFERROR(IF(0=LEN(ReferenceData!$S$129),"",ReferenceData!$S$129),"")</f>
        <v/>
      </c>
      <c r="T129" t="str">
        <f ca="1">IFERROR(IF(0=LEN(ReferenceData!$T$129),"",ReferenceData!$T$129),"")</f>
        <v/>
      </c>
      <c r="U129" t="str">
        <f ca="1">IFERROR(IF(0=LEN(ReferenceData!$U$129),"",ReferenceData!$U$129),"")</f>
        <v/>
      </c>
      <c r="V129" t="str">
        <f ca="1">IFERROR(IF(0=LEN(ReferenceData!$V$129),"",ReferenceData!$V$129),"")</f>
        <v/>
      </c>
      <c r="W129" t="str">
        <f ca="1">IFERROR(IF(0=LEN(ReferenceData!$W$129),"",ReferenceData!$W$129),"")</f>
        <v/>
      </c>
      <c r="X129" t="str">
        <f ca="1">IFERROR(IF(0=LEN(ReferenceData!$X$129),"",ReferenceData!$X$129),"")</f>
        <v/>
      </c>
      <c r="Y129" t="str">
        <f ca="1">IFERROR(IF(0=LEN(ReferenceData!$Y$129),"",ReferenceData!$Y$129),"")</f>
        <v/>
      </c>
      <c r="Z129" t="str">
        <f ca="1">IFERROR(IF(0=LEN(ReferenceData!$Z$129),"",ReferenceData!$Z$129),"")</f>
        <v/>
      </c>
      <c r="AA129" t="str">
        <f ca="1">IFERROR(IF(0=LEN(ReferenceData!$AA$129),"",ReferenceData!$AA$129),"")</f>
        <v/>
      </c>
      <c r="AB129" t="str">
        <f ca="1">IFERROR(IF(0=LEN(ReferenceData!$AB$129),"",ReferenceData!$AB$129),"")</f>
        <v/>
      </c>
      <c r="AC129" t="str">
        <f ca="1">IFERROR(IF(0=LEN(ReferenceData!$AC$129),"",ReferenceData!$AC$129),"")</f>
        <v/>
      </c>
      <c r="AD129" t="str">
        <f ca="1">IFERROR(IF(0=LEN(ReferenceData!$AD$129),"",ReferenceData!$AD$129),"")</f>
        <v/>
      </c>
      <c r="AE129" t="str">
        <f ca="1">IFERROR(IF(0=LEN(ReferenceData!$AE$129),"",ReferenceData!$AE$129),"")</f>
        <v/>
      </c>
      <c r="AF129" t="str">
        <f ca="1">IFERROR(IF(0=LEN(ReferenceData!$AF$129),"",ReferenceData!$AF$129),"")</f>
        <v/>
      </c>
      <c r="AG129" t="str">
        <f ca="1">IFERROR(IF(0=LEN(ReferenceData!$AG$129),"",ReferenceData!$AG$129),"")</f>
        <v/>
      </c>
      <c r="AH129" t="str">
        <f ca="1">IFERROR(IF(0=LEN(ReferenceData!$AH$129),"",ReferenceData!$AH$129),"")</f>
        <v/>
      </c>
      <c r="AI129" t="str">
        <f ca="1">IFERROR(IF(0=LEN(ReferenceData!$AI$129),"",ReferenceData!$AI$129),"")</f>
        <v/>
      </c>
      <c r="AJ129" t="str">
        <f ca="1">IFERROR(IF(0=LEN(ReferenceData!$AJ$129),"",ReferenceData!$AJ$129),"")</f>
        <v/>
      </c>
      <c r="AK129" t="str">
        <f ca="1">IFERROR(IF(0=LEN(ReferenceData!$AK$129),"",ReferenceData!$AK$129),"")</f>
        <v/>
      </c>
      <c r="AL129" t="str">
        <f ca="1">IFERROR(IF(0=LEN(ReferenceData!$AL$129),"",ReferenceData!$AL$129),"")</f>
        <v/>
      </c>
      <c r="AM129" t="str">
        <f ca="1">IFERROR(IF(0=LEN(ReferenceData!$AM$129),"",ReferenceData!$AM$129),"")</f>
        <v/>
      </c>
      <c r="AN129" t="str">
        <f ca="1">IFERROR(IF(0=LEN(ReferenceData!$AN$129),"",ReferenceData!$AN$129),"")</f>
        <v/>
      </c>
      <c r="AO129" t="str">
        <f ca="1">IFERROR(IF(0=LEN(ReferenceData!$AO$129),"",ReferenceData!$AO$129),"")</f>
        <v/>
      </c>
      <c r="AP129" t="str">
        <f ca="1">IFERROR(IF(0=LEN(ReferenceData!$AP$129),"",ReferenceData!$AP$129),"")</f>
        <v/>
      </c>
      <c r="AQ129" t="str">
        <f ca="1">IFERROR(IF(0=LEN(ReferenceData!$AQ$129),"",ReferenceData!$AQ$129),"")</f>
        <v/>
      </c>
      <c r="AR129" t="str">
        <f ca="1">IFERROR(IF(0=LEN(ReferenceData!$AR$129),"",ReferenceData!$AR$129),"")</f>
        <v/>
      </c>
      <c r="AS129" t="str">
        <f ca="1">IFERROR(IF(0=LEN(ReferenceData!$AS$129),"",ReferenceData!$AS$129),"")</f>
        <v/>
      </c>
      <c r="AT129" t="str">
        <f ca="1">IFERROR(IF(0=LEN(ReferenceData!$AT$129),"",ReferenceData!$AT$129),"")</f>
        <v/>
      </c>
      <c r="AU129" t="str">
        <f ca="1">IFERROR(IF(0=LEN(ReferenceData!$AU$129),"",ReferenceData!$AU$129),"")</f>
        <v/>
      </c>
      <c r="AV129" t="str">
        <f ca="1">IFERROR(IF(0=LEN(ReferenceData!$AV$129),"",ReferenceData!$AV$129),"")</f>
        <v/>
      </c>
      <c r="AW129" t="str">
        <f ca="1">IFERROR(IF(0=LEN(ReferenceData!$AW$129),"",ReferenceData!$AW$129),"")</f>
        <v/>
      </c>
      <c r="AX129" t="str">
        <f ca="1">IFERROR(IF(0=LEN(ReferenceData!$AX$129),"",ReferenceData!$AX$129),"")</f>
        <v/>
      </c>
      <c r="AY129" t="str">
        <f ca="1">IFERROR(IF(0=LEN(ReferenceData!$AY$129),"",ReferenceData!$AY$129),"")</f>
        <v/>
      </c>
      <c r="AZ129" t="str">
        <f ca="1">IFERROR(IF(0=LEN(ReferenceData!$AZ$129),"",ReferenceData!$AZ$129),"")</f>
        <v/>
      </c>
      <c r="BA129" t="str">
        <f ca="1">IFERROR(IF(0=LEN(ReferenceData!$BA$129),"",ReferenceData!$BA$129),"")</f>
        <v/>
      </c>
      <c r="BB129" t="str">
        <f ca="1">IFERROR(IF(0=LEN(ReferenceData!$BB$129),"",ReferenceData!$BB$129),"")</f>
        <v/>
      </c>
      <c r="BC129" t="str">
        <f ca="1">IFERROR(IF(0=LEN(ReferenceData!$BC$129),"",ReferenceData!$BC$129),"")</f>
        <v/>
      </c>
      <c r="BD129" t="str">
        <f ca="1">IFERROR(IF(0=LEN(ReferenceData!$BD$129),"",ReferenceData!$BD$129),"")</f>
        <v/>
      </c>
      <c r="BE129" t="str">
        <f ca="1">IFERROR(IF(0=LEN(ReferenceData!$BE$129),"",ReferenceData!$BE$129),"")</f>
        <v/>
      </c>
      <c r="BF129" t="str">
        <f ca="1">IFERROR(IF(0=LEN(ReferenceData!$BF$129),"",ReferenceData!$BF$129),"")</f>
        <v/>
      </c>
      <c r="BG129" t="str">
        <f ca="1">IFERROR(IF(0=LEN(ReferenceData!$BG$129),"",ReferenceData!$BG$129),"")</f>
        <v/>
      </c>
      <c r="BH129" t="str">
        <f ca="1">IFERROR(IF(0=LEN(ReferenceData!$BH$129),"",ReferenceData!$BH$129),"")</f>
        <v/>
      </c>
      <c r="BI129" t="str">
        <f ca="1">IFERROR(IF(0=LEN(ReferenceData!$BI$129),"",ReferenceData!$BI$129),"")</f>
        <v/>
      </c>
      <c r="BJ129" t="str">
        <f ca="1">IFERROR(IF(0=LEN(ReferenceData!$BJ$129),"",ReferenceData!$BJ$129),"")</f>
        <v/>
      </c>
      <c r="BK129" t="str">
        <f ca="1">IFERROR(IF(0=LEN(ReferenceData!$BK$129),"",ReferenceData!$BK$129),"")</f>
        <v/>
      </c>
      <c r="BL129" t="str">
        <f ca="1">IFERROR(IF(0=LEN(ReferenceData!$BL$129),"",ReferenceData!$BL$129),"")</f>
        <v/>
      </c>
      <c r="BM129" t="str">
        <f ca="1">IFERROR(IF(0=LEN(ReferenceData!$BM$129),"",ReferenceData!$BM$129),"")</f>
        <v/>
      </c>
    </row>
    <row r="130" spans="1:65">
      <c r="A130" t="str">
        <f>IFERROR(IF(0=LEN(ReferenceData!$A$130),"",ReferenceData!$A$130),"")</f>
        <v xml:space="preserve">    Highwoods Properties Inc</v>
      </c>
      <c r="B130" t="str">
        <f>IFERROR(IF(0=LEN(ReferenceData!$B$130),"",ReferenceData!$B$130),"")</f>
        <v>HIW US Equity</v>
      </c>
      <c r="C130" t="str">
        <f>IFERROR(IF(0=LEN(ReferenceData!$C$130),"",ReferenceData!$C$130),"")</f>
        <v>BE592</v>
      </c>
      <c r="D130" t="str">
        <f>IFERROR(IF(0=LEN(ReferenceData!$D$130),"",ReferenceData!$D$130),"")</f>
        <v>BEST_FFOPS_YOY_GTH</v>
      </c>
      <c r="E130" t="str">
        <f>IFERROR(IF(0=LEN(ReferenceData!$E$130),"",ReferenceData!$E$130),"")</f>
        <v>动态</v>
      </c>
      <c r="F130" t="str">
        <f ca="1">IFERROR(IF(0=LEN(ReferenceData!$F$130),"",ReferenceData!$F$130),"")</f>
        <v/>
      </c>
      <c r="G130" t="str">
        <f ca="1">IFERROR(IF(0=LEN(ReferenceData!$G$130),"",ReferenceData!$G$130),"")</f>
        <v/>
      </c>
      <c r="H130" t="str">
        <f ca="1">IFERROR(IF(0=LEN(ReferenceData!$H$130),"",ReferenceData!$H$130),"")</f>
        <v/>
      </c>
      <c r="I130" t="str">
        <f ca="1">IFERROR(IF(0=LEN(ReferenceData!$I$130),"",ReferenceData!$I$130),"")</f>
        <v/>
      </c>
      <c r="J130" t="str">
        <f ca="1">IFERROR(IF(0=LEN(ReferenceData!$J$130),"",ReferenceData!$J$130),"")</f>
        <v/>
      </c>
      <c r="K130" t="str">
        <f ca="1">IFERROR(IF(0=LEN(ReferenceData!$K$130),"",ReferenceData!$K$130),"")</f>
        <v/>
      </c>
      <c r="L130" t="str">
        <f ca="1">IFERROR(IF(0=LEN(ReferenceData!$L$130),"",ReferenceData!$L$130),"")</f>
        <v/>
      </c>
      <c r="M130" t="str">
        <f ca="1">IFERROR(IF(0=LEN(ReferenceData!$M$130),"",ReferenceData!$M$130),"")</f>
        <v/>
      </c>
      <c r="N130" t="str">
        <f ca="1">IFERROR(IF(0=LEN(ReferenceData!$N$130),"",ReferenceData!$N$130),"")</f>
        <v/>
      </c>
      <c r="O130" t="str">
        <f ca="1">IFERROR(IF(0=LEN(ReferenceData!$O$130),"",ReferenceData!$O$130),"")</f>
        <v/>
      </c>
      <c r="P130" t="str">
        <f ca="1">IFERROR(IF(0=LEN(ReferenceData!$P$130),"",ReferenceData!$P$130),"")</f>
        <v/>
      </c>
      <c r="Q130" t="str">
        <f ca="1">IFERROR(IF(0=LEN(ReferenceData!$Q$130),"",ReferenceData!$Q$130),"")</f>
        <v/>
      </c>
      <c r="R130" t="str">
        <f ca="1">IFERROR(IF(0=LEN(ReferenceData!$R$130),"",ReferenceData!$R$130),"")</f>
        <v/>
      </c>
      <c r="S130" t="str">
        <f ca="1">IFERROR(IF(0=LEN(ReferenceData!$S$130),"",ReferenceData!$S$130),"")</f>
        <v/>
      </c>
      <c r="T130" t="str">
        <f ca="1">IFERROR(IF(0=LEN(ReferenceData!$T$130),"",ReferenceData!$T$130),"")</f>
        <v/>
      </c>
      <c r="U130" t="str">
        <f ca="1">IFERROR(IF(0=LEN(ReferenceData!$U$130),"",ReferenceData!$U$130),"")</f>
        <v/>
      </c>
      <c r="V130" t="str">
        <f ca="1">IFERROR(IF(0=LEN(ReferenceData!$V$130),"",ReferenceData!$V$130),"")</f>
        <v/>
      </c>
      <c r="W130" t="str">
        <f ca="1">IFERROR(IF(0=LEN(ReferenceData!$W$130),"",ReferenceData!$W$130),"")</f>
        <v/>
      </c>
      <c r="X130" t="str">
        <f ca="1">IFERROR(IF(0=LEN(ReferenceData!$X$130),"",ReferenceData!$X$130),"")</f>
        <v/>
      </c>
      <c r="Y130" t="str">
        <f ca="1">IFERROR(IF(0=LEN(ReferenceData!$Y$130),"",ReferenceData!$Y$130),"")</f>
        <v/>
      </c>
      <c r="Z130" t="str">
        <f ca="1">IFERROR(IF(0=LEN(ReferenceData!$Z$130),"",ReferenceData!$Z$130),"")</f>
        <v/>
      </c>
      <c r="AA130" t="str">
        <f ca="1">IFERROR(IF(0=LEN(ReferenceData!$AA$130),"",ReferenceData!$AA$130),"")</f>
        <v/>
      </c>
      <c r="AB130" t="str">
        <f ca="1">IFERROR(IF(0=LEN(ReferenceData!$AB$130),"",ReferenceData!$AB$130),"")</f>
        <v/>
      </c>
      <c r="AC130" t="str">
        <f ca="1">IFERROR(IF(0=LEN(ReferenceData!$AC$130),"",ReferenceData!$AC$130),"")</f>
        <v/>
      </c>
      <c r="AD130" t="str">
        <f ca="1">IFERROR(IF(0=LEN(ReferenceData!$AD$130),"",ReferenceData!$AD$130),"")</f>
        <v/>
      </c>
      <c r="AE130" t="str">
        <f ca="1">IFERROR(IF(0=LEN(ReferenceData!$AE$130),"",ReferenceData!$AE$130),"")</f>
        <v/>
      </c>
      <c r="AF130" t="str">
        <f ca="1">IFERROR(IF(0=LEN(ReferenceData!$AF$130),"",ReferenceData!$AF$130),"")</f>
        <v/>
      </c>
      <c r="AG130" t="str">
        <f ca="1">IFERROR(IF(0=LEN(ReferenceData!$AG$130),"",ReferenceData!$AG$130),"")</f>
        <v/>
      </c>
      <c r="AH130" t="str">
        <f ca="1">IFERROR(IF(0=LEN(ReferenceData!$AH$130),"",ReferenceData!$AH$130),"")</f>
        <v/>
      </c>
      <c r="AI130" t="str">
        <f ca="1">IFERROR(IF(0=LEN(ReferenceData!$AI$130),"",ReferenceData!$AI$130),"")</f>
        <v/>
      </c>
      <c r="AJ130" t="str">
        <f ca="1">IFERROR(IF(0=LEN(ReferenceData!$AJ$130),"",ReferenceData!$AJ$130),"")</f>
        <v/>
      </c>
      <c r="AK130" t="str">
        <f ca="1">IFERROR(IF(0=LEN(ReferenceData!$AK$130),"",ReferenceData!$AK$130),"")</f>
        <v/>
      </c>
      <c r="AL130" t="str">
        <f ca="1">IFERROR(IF(0=LEN(ReferenceData!$AL$130),"",ReferenceData!$AL$130),"")</f>
        <v/>
      </c>
      <c r="AM130" t="str">
        <f ca="1">IFERROR(IF(0=LEN(ReferenceData!$AM$130),"",ReferenceData!$AM$130),"")</f>
        <v/>
      </c>
      <c r="AN130" t="str">
        <f ca="1">IFERROR(IF(0=LEN(ReferenceData!$AN$130),"",ReferenceData!$AN$130),"")</f>
        <v/>
      </c>
      <c r="AO130" t="str">
        <f ca="1">IFERROR(IF(0=LEN(ReferenceData!$AO$130),"",ReferenceData!$AO$130),"")</f>
        <v/>
      </c>
      <c r="AP130" t="str">
        <f ca="1">IFERROR(IF(0=LEN(ReferenceData!$AP$130),"",ReferenceData!$AP$130),"")</f>
        <v/>
      </c>
      <c r="AQ130" t="str">
        <f ca="1">IFERROR(IF(0=LEN(ReferenceData!$AQ$130),"",ReferenceData!$AQ$130),"")</f>
        <v/>
      </c>
      <c r="AR130" t="str">
        <f ca="1">IFERROR(IF(0=LEN(ReferenceData!$AR$130),"",ReferenceData!$AR$130),"")</f>
        <v/>
      </c>
      <c r="AS130" t="str">
        <f ca="1">IFERROR(IF(0=LEN(ReferenceData!$AS$130),"",ReferenceData!$AS$130),"")</f>
        <v/>
      </c>
      <c r="AT130" t="str">
        <f ca="1">IFERROR(IF(0=LEN(ReferenceData!$AT$130),"",ReferenceData!$AT$130),"")</f>
        <v/>
      </c>
      <c r="AU130" t="str">
        <f ca="1">IFERROR(IF(0=LEN(ReferenceData!$AU$130),"",ReferenceData!$AU$130),"")</f>
        <v/>
      </c>
      <c r="AV130" t="str">
        <f ca="1">IFERROR(IF(0=LEN(ReferenceData!$AV$130),"",ReferenceData!$AV$130),"")</f>
        <v/>
      </c>
      <c r="AW130" t="str">
        <f ca="1">IFERROR(IF(0=LEN(ReferenceData!$AW$130),"",ReferenceData!$AW$130),"")</f>
        <v/>
      </c>
      <c r="AX130" t="str">
        <f ca="1">IFERROR(IF(0=LEN(ReferenceData!$AX$130),"",ReferenceData!$AX$130),"")</f>
        <v/>
      </c>
      <c r="AY130" t="str">
        <f ca="1">IFERROR(IF(0=LEN(ReferenceData!$AY$130),"",ReferenceData!$AY$130),"")</f>
        <v/>
      </c>
      <c r="AZ130" t="str">
        <f ca="1">IFERROR(IF(0=LEN(ReferenceData!$AZ$130),"",ReferenceData!$AZ$130),"")</f>
        <v/>
      </c>
      <c r="BA130" t="str">
        <f ca="1">IFERROR(IF(0=LEN(ReferenceData!$BA$130),"",ReferenceData!$BA$130),"")</f>
        <v/>
      </c>
      <c r="BB130" t="str">
        <f ca="1">IFERROR(IF(0=LEN(ReferenceData!$BB$130),"",ReferenceData!$BB$130),"")</f>
        <v/>
      </c>
      <c r="BC130" t="str">
        <f ca="1">IFERROR(IF(0=LEN(ReferenceData!$BC$130),"",ReferenceData!$BC$130),"")</f>
        <v/>
      </c>
      <c r="BD130" t="str">
        <f ca="1">IFERROR(IF(0=LEN(ReferenceData!$BD$130),"",ReferenceData!$BD$130),"")</f>
        <v/>
      </c>
      <c r="BE130" t="str">
        <f ca="1">IFERROR(IF(0=LEN(ReferenceData!$BE$130),"",ReferenceData!$BE$130),"")</f>
        <v/>
      </c>
      <c r="BF130" t="str">
        <f ca="1">IFERROR(IF(0=LEN(ReferenceData!$BF$130),"",ReferenceData!$BF$130),"")</f>
        <v/>
      </c>
      <c r="BG130" t="str">
        <f ca="1">IFERROR(IF(0=LEN(ReferenceData!$BG$130),"",ReferenceData!$BG$130),"")</f>
        <v/>
      </c>
      <c r="BH130" t="str">
        <f ca="1">IFERROR(IF(0=LEN(ReferenceData!$BH$130),"",ReferenceData!$BH$130),"")</f>
        <v/>
      </c>
      <c r="BI130" t="str">
        <f ca="1">IFERROR(IF(0=LEN(ReferenceData!$BI$130),"",ReferenceData!$BI$130),"")</f>
        <v/>
      </c>
      <c r="BJ130" t="str">
        <f ca="1">IFERROR(IF(0=LEN(ReferenceData!$BJ$130),"",ReferenceData!$BJ$130),"")</f>
        <v/>
      </c>
      <c r="BK130" t="str">
        <f ca="1">IFERROR(IF(0=LEN(ReferenceData!$BK$130),"",ReferenceData!$BK$130),"")</f>
        <v/>
      </c>
      <c r="BL130" t="str">
        <f ca="1">IFERROR(IF(0=LEN(ReferenceData!$BL$130),"",ReferenceData!$BL$130),"")</f>
        <v/>
      </c>
      <c r="BM130" t="str">
        <f ca="1">IFERROR(IF(0=LEN(ReferenceData!$BM$130),"",ReferenceData!$BM$130),"")</f>
        <v/>
      </c>
    </row>
    <row r="131" spans="1:65">
      <c r="A131" t="str">
        <f>IFERROR(IF(0=LEN(ReferenceData!$A$131),"",ReferenceData!$A$131),"")</f>
        <v xml:space="preserve">    Kilroy Realty Corp</v>
      </c>
      <c r="B131" t="str">
        <f>IFERROR(IF(0=LEN(ReferenceData!$B$131),"",ReferenceData!$B$131),"")</f>
        <v>KRC US Equity</v>
      </c>
      <c r="C131" t="str">
        <f>IFERROR(IF(0=LEN(ReferenceData!$C$131),"",ReferenceData!$C$131),"")</f>
        <v>BE592</v>
      </c>
      <c r="D131" t="str">
        <f>IFERROR(IF(0=LEN(ReferenceData!$D$131),"",ReferenceData!$D$131),"")</f>
        <v>BEST_FFOPS_YOY_GTH</v>
      </c>
      <c r="E131" t="str">
        <f>IFERROR(IF(0=LEN(ReferenceData!$E$131),"",ReferenceData!$E$131),"")</f>
        <v>动态</v>
      </c>
      <c r="F131" t="str">
        <f ca="1">IFERROR(IF(0=LEN(ReferenceData!$F$131),"",ReferenceData!$F$131),"")</f>
        <v/>
      </c>
      <c r="G131" t="str">
        <f ca="1">IFERROR(IF(0=LEN(ReferenceData!$G$131),"",ReferenceData!$G$131),"")</f>
        <v/>
      </c>
      <c r="H131" t="str">
        <f ca="1">IFERROR(IF(0=LEN(ReferenceData!$H$131),"",ReferenceData!$H$131),"")</f>
        <v/>
      </c>
      <c r="I131" t="str">
        <f ca="1">IFERROR(IF(0=LEN(ReferenceData!$I$131),"",ReferenceData!$I$131),"")</f>
        <v/>
      </c>
      <c r="J131" t="str">
        <f ca="1">IFERROR(IF(0=LEN(ReferenceData!$J$131),"",ReferenceData!$J$131),"")</f>
        <v/>
      </c>
      <c r="K131" t="str">
        <f ca="1">IFERROR(IF(0=LEN(ReferenceData!$K$131),"",ReferenceData!$K$131),"")</f>
        <v/>
      </c>
      <c r="L131" t="str">
        <f ca="1">IFERROR(IF(0=LEN(ReferenceData!$L$131),"",ReferenceData!$L$131),"")</f>
        <v/>
      </c>
      <c r="M131" t="str">
        <f ca="1">IFERROR(IF(0=LEN(ReferenceData!$M$131),"",ReferenceData!$M$131),"")</f>
        <v/>
      </c>
      <c r="N131" t="str">
        <f ca="1">IFERROR(IF(0=LEN(ReferenceData!$N$131),"",ReferenceData!$N$131),"")</f>
        <v/>
      </c>
      <c r="O131" t="str">
        <f ca="1">IFERROR(IF(0=LEN(ReferenceData!$O$131),"",ReferenceData!$O$131),"")</f>
        <v/>
      </c>
      <c r="P131" t="str">
        <f ca="1">IFERROR(IF(0=LEN(ReferenceData!$P$131),"",ReferenceData!$P$131),"")</f>
        <v/>
      </c>
      <c r="Q131" t="str">
        <f ca="1">IFERROR(IF(0=LEN(ReferenceData!$Q$131),"",ReferenceData!$Q$131),"")</f>
        <v/>
      </c>
      <c r="R131" t="str">
        <f ca="1">IFERROR(IF(0=LEN(ReferenceData!$R$131),"",ReferenceData!$R$131),"")</f>
        <v/>
      </c>
      <c r="S131" t="str">
        <f ca="1">IFERROR(IF(0=LEN(ReferenceData!$S$131),"",ReferenceData!$S$131),"")</f>
        <v/>
      </c>
      <c r="T131" t="str">
        <f ca="1">IFERROR(IF(0=LEN(ReferenceData!$T$131),"",ReferenceData!$T$131),"")</f>
        <v/>
      </c>
      <c r="U131" t="str">
        <f ca="1">IFERROR(IF(0=LEN(ReferenceData!$U$131),"",ReferenceData!$U$131),"")</f>
        <v/>
      </c>
      <c r="V131" t="str">
        <f ca="1">IFERROR(IF(0=LEN(ReferenceData!$V$131),"",ReferenceData!$V$131),"")</f>
        <v/>
      </c>
      <c r="W131" t="str">
        <f ca="1">IFERROR(IF(0=LEN(ReferenceData!$W$131),"",ReferenceData!$W$131),"")</f>
        <v/>
      </c>
      <c r="X131" t="str">
        <f ca="1">IFERROR(IF(0=LEN(ReferenceData!$X$131),"",ReferenceData!$X$131),"")</f>
        <v/>
      </c>
      <c r="Y131" t="str">
        <f ca="1">IFERROR(IF(0=LEN(ReferenceData!$Y$131),"",ReferenceData!$Y$131),"")</f>
        <v/>
      </c>
      <c r="Z131" t="str">
        <f ca="1">IFERROR(IF(0=LEN(ReferenceData!$Z$131),"",ReferenceData!$Z$131),"")</f>
        <v/>
      </c>
      <c r="AA131" t="str">
        <f ca="1">IFERROR(IF(0=LEN(ReferenceData!$AA$131),"",ReferenceData!$AA$131),"")</f>
        <v/>
      </c>
      <c r="AB131" t="str">
        <f ca="1">IFERROR(IF(0=LEN(ReferenceData!$AB$131),"",ReferenceData!$AB$131),"")</f>
        <v/>
      </c>
      <c r="AC131" t="str">
        <f ca="1">IFERROR(IF(0=LEN(ReferenceData!$AC$131),"",ReferenceData!$AC$131),"")</f>
        <v/>
      </c>
      <c r="AD131" t="str">
        <f ca="1">IFERROR(IF(0=LEN(ReferenceData!$AD$131),"",ReferenceData!$AD$131),"")</f>
        <v/>
      </c>
      <c r="AE131" t="str">
        <f ca="1">IFERROR(IF(0=LEN(ReferenceData!$AE$131),"",ReferenceData!$AE$131),"")</f>
        <v/>
      </c>
      <c r="AF131" t="str">
        <f ca="1">IFERROR(IF(0=LEN(ReferenceData!$AF$131),"",ReferenceData!$AF$131),"")</f>
        <v/>
      </c>
      <c r="AG131" t="str">
        <f ca="1">IFERROR(IF(0=LEN(ReferenceData!$AG$131),"",ReferenceData!$AG$131),"")</f>
        <v/>
      </c>
      <c r="AH131" t="str">
        <f ca="1">IFERROR(IF(0=LEN(ReferenceData!$AH$131),"",ReferenceData!$AH$131),"")</f>
        <v/>
      </c>
      <c r="AI131" t="str">
        <f ca="1">IFERROR(IF(0=LEN(ReferenceData!$AI$131),"",ReferenceData!$AI$131),"")</f>
        <v/>
      </c>
      <c r="AJ131" t="str">
        <f ca="1">IFERROR(IF(0=LEN(ReferenceData!$AJ$131),"",ReferenceData!$AJ$131),"")</f>
        <v/>
      </c>
      <c r="AK131" t="str">
        <f ca="1">IFERROR(IF(0=LEN(ReferenceData!$AK$131),"",ReferenceData!$AK$131),"")</f>
        <v/>
      </c>
      <c r="AL131" t="str">
        <f ca="1">IFERROR(IF(0=LEN(ReferenceData!$AL$131),"",ReferenceData!$AL$131),"")</f>
        <v/>
      </c>
      <c r="AM131" t="str">
        <f ca="1">IFERROR(IF(0=LEN(ReferenceData!$AM$131),"",ReferenceData!$AM$131),"")</f>
        <v/>
      </c>
      <c r="AN131" t="str">
        <f ca="1">IFERROR(IF(0=LEN(ReferenceData!$AN$131),"",ReferenceData!$AN$131),"")</f>
        <v/>
      </c>
      <c r="AO131" t="str">
        <f ca="1">IFERROR(IF(0=LEN(ReferenceData!$AO$131),"",ReferenceData!$AO$131),"")</f>
        <v/>
      </c>
      <c r="AP131" t="str">
        <f ca="1">IFERROR(IF(0=LEN(ReferenceData!$AP$131),"",ReferenceData!$AP$131),"")</f>
        <v/>
      </c>
      <c r="AQ131" t="str">
        <f ca="1">IFERROR(IF(0=LEN(ReferenceData!$AQ$131),"",ReferenceData!$AQ$131),"")</f>
        <v/>
      </c>
      <c r="AR131" t="str">
        <f ca="1">IFERROR(IF(0=LEN(ReferenceData!$AR$131),"",ReferenceData!$AR$131),"")</f>
        <v/>
      </c>
      <c r="AS131" t="str">
        <f ca="1">IFERROR(IF(0=LEN(ReferenceData!$AS$131),"",ReferenceData!$AS$131),"")</f>
        <v/>
      </c>
      <c r="AT131" t="str">
        <f ca="1">IFERROR(IF(0=LEN(ReferenceData!$AT$131),"",ReferenceData!$AT$131),"")</f>
        <v/>
      </c>
      <c r="AU131" t="str">
        <f ca="1">IFERROR(IF(0=LEN(ReferenceData!$AU$131),"",ReferenceData!$AU$131),"")</f>
        <v/>
      </c>
      <c r="AV131" t="str">
        <f ca="1">IFERROR(IF(0=LEN(ReferenceData!$AV$131),"",ReferenceData!$AV$131),"")</f>
        <v/>
      </c>
      <c r="AW131" t="str">
        <f ca="1">IFERROR(IF(0=LEN(ReferenceData!$AW$131),"",ReferenceData!$AW$131),"")</f>
        <v/>
      </c>
      <c r="AX131" t="str">
        <f ca="1">IFERROR(IF(0=LEN(ReferenceData!$AX$131),"",ReferenceData!$AX$131),"")</f>
        <v/>
      </c>
      <c r="AY131" t="str">
        <f ca="1">IFERROR(IF(0=LEN(ReferenceData!$AY$131),"",ReferenceData!$AY$131),"")</f>
        <v/>
      </c>
      <c r="AZ131" t="str">
        <f ca="1">IFERROR(IF(0=LEN(ReferenceData!$AZ$131),"",ReferenceData!$AZ$131),"")</f>
        <v/>
      </c>
      <c r="BA131" t="str">
        <f ca="1">IFERROR(IF(0=LEN(ReferenceData!$BA$131),"",ReferenceData!$BA$131),"")</f>
        <v/>
      </c>
      <c r="BB131" t="str">
        <f ca="1">IFERROR(IF(0=LEN(ReferenceData!$BB$131),"",ReferenceData!$BB$131),"")</f>
        <v/>
      </c>
      <c r="BC131" t="str">
        <f ca="1">IFERROR(IF(0=LEN(ReferenceData!$BC$131),"",ReferenceData!$BC$131),"")</f>
        <v/>
      </c>
      <c r="BD131" t="str">
        <f ca="1">IFERROR(IF(0=LEN(ReferenceData!$BD$131),"",ReferenceData!$BD$131),"")</f>
        <v/>
      </c>
      <c r="BE131" t="str">
        <f ca="1">IFERROR(IF(0=LEN(ReferenceData!$BE$131),"",ReferenceData!$BE$131),"")</f>
        <v/>
      </c>
      <c r="BF131" t="str">
        <f ca="1">IFERROR(IF(0=LEN(ReferenceData!$BF$131),"",ReferenceData!$BF$131),"")</f>
        <v/>
      </c>
      <c r="BG131" t="str">
        <f ca="1">IFERROR(IF(0=LEN(ReferenceData!$BG$131),"",ReferenceData!$BG$131),"")</f>
        <v/>
      </c>
      <c r="BH131" t="str">
        <f ca="1">IFERROR(IF(0=LEN(ReferenceData!$BH$131),"",ReferenceData!$BH$131),"")</f>
        <v/>
      </c>
      <c r="BI131" t="str">
        <f ca="1">IFERROR(IF(0=LEN(ReferenceData!$BI$131),"",ReferenceData!$BI$131),"")</f>
        <v/>
      </c>
      <c r="BJ131" t="str">
        <f ca="1">IFERROR(IF(0=LEN(ReferenceData!$BJ$131),"",ReferenceData!$BJ$131),"")</f>
        <v/>
      </c>
      <c r="BK131" t="str">
        <f ca="1">IFERROR(IF(0=LEN(ReferenceData!$BK$131),"",ReferenceData!$BK$131),"")</f>
        <v/>
      </c>
      <c r="BL131" t="str">
        <f ca="1">IFERROR(IF(0=LEN(ReferenceData!$BL$131),"",ReferenceData!$BL$131),"")</f>
        <v/>
      </c>
      <c r="BM131" t="str">
        <f ca="1">IFERROR(IF(0=LEN(ReferenceData!$BM$131),"",ReferenceData!$BM$131),"")</f>
        <v/>
      </c>
    </row>
    <row r="132" spans="1:65">
      <c r="A132" t="str">
        <f>IFERROR(IF(0=LEN(ReferenceData!$A$132),"",ReferenceData!$A$132),"")</f>
        <v xml:space="preserve">    Mack-Cali Realty Corp</v>
      </c>
      <c r="B132" t="str">
        <f>IFERROR(IF(0=LEN(ReferenceData!$B$132),"",ReferenceData!$B$132),"")</f>
        <v>CLI US Equity</v>
      </c>
      <c r="C132" t="str">
        <f>IFERROR(IF(0=LEN(ReferenceData!$C$132),"",ReferenceData!$C$132),"")</f>
        <v>BE592</v>
      </c>
      <c r="D132" t="str">
        <f>IFERROR(IF(0=LEN(ReferenceData!$D$132),"",ReferenceData!$D$132),"")</f>
        <v>BEST_FFOPS_YOY_GTH</v>
      </c>
      <c r="E132" t="str">
        <f>IFERROR(IF(0=LEN(ReferenceData!$E$132),"",ReferenceData!$E$132),"")</f>
        <v>动态</v>
      </c>
      <c r="F132" t="str">
        <f ca="1">IFERROR(IF(0=LEN(ReferenceData!$F$132),"",ReferenceData!$F$132),"")</f>
        <v/>
      </c>
      <c r="G132" t="str">
        <f ca="1">IFERROR(IF(0=LEN(ReferenceData!$G$132),"",ReferenceData!$G$132),"")</f>
        <v/>
      </c>
      <c r="H132" t="str">
        <f ca="1">IFERROR(IF(0=LEN(ReferenceData!$H$132),"",ReferenceData!$H$132),"")</f>
        <v/>
      </c>
      <c r="I132" t="str">
        <f ca="1">IFERROR(IF(0=LEN(ReferenceData!$I$132),"",ReferenceData!$I$132),"")</f>
        <v/>
      </c>
      <c r="J132" t="str">
        <f ca="1">IFERROR(IF(0=LEN(ReferenceData!$J$132),"",ReferenceData!$J$132),"")</f>
        <v/>
      </c>
      <c r="K132" t="str">
        <f ca="1">IFERROR(IF(0=LEN(ReferenceData!$K$132),"",ReferenceData!$K$132),"")</f>
        <v/>
      </c>
      <c r="L132" t="str">
        <f ca="1">IFERROR(IF(0=LEN(ReferenceData!$L$132),"",ReferenceData!$L$132),"")</f>
        <v/>
      </c>
      <c r="M132" t="str">
        <f ca="1">IFERROR(IF(0=LEN(ReferenceData!$M$132),"",ReferenceData!$M$132),"")</f>
        <v/>
      </c>
      <c r="N132" t="str">
        <f ca="1">IFERROR(IF(0=LEN(ReferenceData!$N$132),"",ReferenceData!$N$132),"")</f>
        <v/>
      </c>
      <c r="O132" t="str">
        <f ca="1">IFERROR(IF(0=LEN(ReferenceData!$O$132),"",ReferenceData!$O$132),"")</f>
        <v/>
      </c>
      <c r="P132" t="str">
        <f ca="1">IFERROR(IF(0=LEN(ReferenceData!$P$132),"",ReferenceData!$P$132),"")</f>
        <v/>
      </c>
      <c r="Q132" t="str">
        <f ca="1">IFERROR(IF(0=LEN(ReferenceData!$Q$132),"",ReferenceData!$Q$132),"")</f>
        <v/>
      </c>
      <c r="R132" t="str">
        <f ca="1">IFERROR(IF(0=LEN(ReferenceData!$R$132),"",ReferenceData!$R$132),"")</f>
        <v/>
      </c>
      <c r="S132" t="str">
        <f ca="1">IFERROR(IF(0=LEN(ReferenceData!$S$132),"",ReferenceData!$S$132),"")</f>
        <v/>
      </c>
      <c r="T132" t="str">
        <f ca="1">IFERROR(IF(0=LEN(ReferenceData!$T$132),"",ReferenceData!$T$132),"")</f>
        <v/>
      </c>
      <c r="U132" t="str">
        <f ca="1">IFERROR(IF(0=LEN(ReferenceData!$U$132),"",ReferenceData!$U$132),"")</f>
        <v/>
      </c>
      <c r="V132" t="str">
        <f ca="1">IFERROR(IF(0=LEN(ReferenceData!$V$132),"",ReferenceData!$V$132),"")</f>
        <v/>
      </c>
      <c r="W132" t="str">
        <f ca="1">IFERROR(IF(0=LEN(ReferenceData!$W$132),"",ReferenceData!$W$132),"")</f>
        <v/>
      </c>
      <c r="X132" t="str">
        <f ca="1">IFERROR(IF(0=LEN(ReferenceData!$X$132),"",ReferenceData!$X$132),"")</f>
        <v/>
      </c>
      <c r="Y132" t="str">
        <f ca="1">IFERROR(IF(0=LEN(ReferenceData!$Y$132),"",ReferenceData!$Y$132),"")</f>
        <v/>
      </c>
      <c r="Z132" t="str">
        <f ca="1">IFERROR(IF(0=LEN(ReferenceData!$Z$132),"",ReferenceData!$Z$132),"")</f>
        <v/>
      </c>
      <c r="AA132" t="str">
        <f ca="1">IFERROR(IF(0=LEN(ReferenceData!$AA$132),"",ReferenceData!$AA$132),"")</f>
        <v/>
      </c>
      <c r="AB132" t="str">
        <f ca="1">IFERROR(IF(0=LEN(ReferenceData!$AB$132),"",ReferenceData!$AB$132),"")</f>
        <v/>
      </c>
      <c r="AC132" t="str">
        <f ca="1">IFERROR(IF(0=LEN(ReferenceData!$AC$132),"",ReferenceData!$AC$132),"")</f>
        <v/>
      </c>
      <c r="AD132" t="str">
        <f ca="1">IFERROR(IF(0=LEN(ReferenceData!$AD$132),"",ReferenceData!$AD$132),"")</f>
        <v/>
      </c>
      <c r="AE132" t="str">
        <f ca="1">IFERROR(IF(0=LEN(ReferenceData!$AE$132),"",ReferenceData!$AE$132),"")</f>
        <v/>
      </c>
      <c r="AF132" t="str">
        <f ca="1">IFERROR(IF(0=LEN(ReferenceData!$AF$132),"",ReferenceData!$AF$132),"")</f>
        <v/>
      </c>
      <c r="AG132" t="str">
        <f ca="1">IFERROR(IF(0=LEN(ReferenceData!$AG$132),"",ReferenceData!$AG$132),"")</f>
        <v/>
      </c>
      <c r="AH132" t="str">
        <f ca="1">IFERROR(IF(0=LEN(ReferenceData!$AH$132),"",ReferenceData!$AH$132),"")</f>
        <v/>
      </c>
      <c r="AI132" t="str">
        <f ca="1">IFERROR(IF(0=LEN(ReferenceData!$AI$132),"",ReferenceData!$AI$132),"")</f>
        <v/>
      </c>
      <c r="AJ132" t="str">
        <f ca="1">IFERROR(IF(0=LEN(ReferenceData!$AJ$132),"",ReferenceData!$AJ$132),"")</f>
        <v/>
      </c>
      <c r="AK132" t="str">
        <f ca="1">IFERROR(IF(0=LEN(ReferenceData!$AK$132),"",ReferenceData!$AK$132),"")</f>
        <v/>
      </c>
      <c r="AL132" t="str">
        <f ca="1">IFERROR(IF(0=LEN(ReferenceData!$AL$132),"",ReferenceData!$AL$132),"")</f>
        <v/>
      </c>
      <c r="AM132" t="str">
        <f ca="1">IFERROR(IF(0=LEN(ReferenceData!$AM$132),"",ReferenceData!$AM$132),"")</f>
        <v/>
      </c>
      <c r="AN132" t="str">
        <f ca="1">IFERROR(IF(0=LEN(ReferenceData!$AN$132),"",ReferenceData!$AN$132),"")</f>
        <v/>
      </c>
      <c r="AO132" t="str">
        <f ca="1">IFERROR(IF(0=LEN(ReferenceData!$AO$132),"",ReferenceData!$AO$132),"")</f>
        <v/>
      </c>
      <c r="AP132" t="str">
        <f ca="1">IFERROR(IF(0=LEN(ReferenceData!$AP$132),"",ReferenceData!$AP$132),"")</f>
        <v/>
      </c>
      <c r="AQ132" t="str">
        <f ca="1">IFERROR(IF(0=LEN(ReferenceData!$AQ$132),"",ReferenceData!$AQ$132),"")</f>
        <v/>
      </c>
      <c r="AR132" t="str">
        <f ca="1">IFERROR(IF(0=LEN(ReferenceData!$AR$132),"",ReferenceData!$AR$132),"")</f>
        <v/>
      </c>
      <c r="AS132" t="str">
        <f ca="1">IFERROR(IF(0=LEN(ReferenceData!$AS$132),"",ReferenceData!$AS$132),"")</f>
        <v/>
      </c>
      <c r="AT132" t="str">
        <f ca="1">IFERROR(IF(0=LEN(ReferenceData!$AT$132),"",ReferenceData!$AT$132),"")</f>
        <v/>
      </c>
      <c r="AU132" t="str">
        <f ca="1">IFERROR(IF(0=LEN(ReferenceData!$AU$132),"",ReferenceData!$AU$132),"")</f>
        <v/>
      </c>
      <c r="AV132" t="str">
        <f ca="1">IFERROR(IF(0=LEN(ReferenceData!$AV$132),"",ReferenceData!$AV$132),"")</f>
        <v/>
      </c>
      <c r="AW132" t="str">
        <f ca="1">IFERROR(IF(0=LEN(ReferenceData!$AW$132),"",ReferenceData!$AW$132),"")</f>
        <v/>
      </c>
      <c r="AX132" t="str">
        <f ca="1">IFERROR(IF(0=LEN(ReferenceData!$AX$132),"",ReferenceData!$AX$132),"")</f>
        <v/>
      </c>
      <c r="AY132" t="str">
        <f ca="1">IFERROR(IF(0=LEN(ReferenceData!$AY$132),"",ReferenceData!$AY$132),"")</f>
        <v/>
      </c>
      <c r="AZ132" t="str">
        <f ca="1">IFERROR(IF(0=LEN(ReferenceData!$AZ$132),"",ReferenceData!$AZ$132),"")</f>
        <v/>
      </c>
      <c r="BA132" t="str">
        <f ca="1">IFERROR(IF(0=LEN(ReferenceData!$BA$132),"",ReferenceData!$BA$132),"")</f>
        <v/>
      </c>
      <c r="BB132" t="str">
        <f ca="1">IFERROR(IF(0=LEN(ReferenceData!$BB$132),"",ReferenceData!$BB$132),"")</f>
        <v/>
      </c>
      <c r="BC132" t="str">
        <f ca="1">IFERROR(IF(0=LEN(ReferenceData!$BC$132),"",ReferenceData!$BC$132),"")</f>
        <v/>
      </c>
      <c r="BD132" t="str">
        <f ca="1">IFERROR(IF(0=LEN(ReferenceData!$BD$132),"",ReferenceData!$BD$132),"")</f>
        <v/>
      </c>
      <c r="BE132" t="str">
        <f ca="1">IFERROR(IF(0=LEN(ReferenceData!$BE$132),"",ReferenceData!$BE$132),"")</f>
        <v/>
      </c>
      <c r="BF132" t="str">
        <f ca="1">IFERROR(IF(0=LEN(ReferenceData!$BF$132),"",ReferenceData!$BF$132),"")</f>
        <v/>
      </c>
      <c r="BG132" t="str">
        <f ca="1">IFERROR(IF(0=LEN(ReferenceData!$BG$132),"",ReferenceData!$BG$132),"")</f>
        <v/>
      </c>
      <c r="BH132" t="str">
        <f ca="1">IFERROR(IF(0=LEN(ReferenceData!$BH$132),"",ReferenceData!$BH$132),"")</f>
        <v/>
      </c>
      <c r="BI132" t="str">
        <f ca="1">IFERROR(IF(0=LEN(ReferenceData!$BI$132),"",ReferenceData!$BI$132),"")</f>
        <v/>
      </c>
      <c r="BJ132" t="str">
        <f ca="1">IFERROR(IF(0=LEN(ReferenceData!$BJ$132),"",ReferenceData!$BJ$132),"")</f>
        <v/>
      </c>
      <c r="BK132" t="str">
        <f ca="1">IFERROR(IF(0=LEN(ReferenceData!$BK$132),"",ReferenceData!$BK$132),"")</f>
        <v/>
      </c>
      <c r="BL132" t="str">
        <f ca="1">IFERROR(IF(0=LEN(ReferenceData!$BL$132),"",ReferenceData!$BL$132),"")</f>
        <v/>
      </c>
      <c r="BM132" t="str">
        <f ca="1">IFERROR(IF(0=LEN(ReferenceData!$BM$132),"",ReferenceData!$BM$132),"")</f>
        <v/>
      </c>
    </row>
    <row r="133" spans="1:65">
      <c r="A133" t="str">
        <f>IFERROR(IF(0=LEN(ReferenceData!$A$133),"",ReferenceData!$A$133),"")</f>
        <v xml:space="preserve">    Piedmont Office Realty Trust I</v>
      </c>
      <c r="B133" t="str">
        <f>IFERROR(IF(0=LEN(ReferenceData!$B$133),"",ReferenceData!$B$133),"")</f>
        <v>PDM US Equity</v>
      </c>
      <c r="C133" t="str">
        <f>IFERROR(IF(0=LEN(ReferenceData!$C$133),"",ReferenceData!$C$133),"")</f>
        <v>BE592</v>
      </c>
      <c r="D133" t="str">
        <f>IFERROR(IF(0=LEN(ReferenceData!$D$133),"",ReferenceData!$D$133),"")</f>
        <v>BEST_FFOPS_YOY_GTH</v>
      </c>
      <c r="E133" t="str">
        <f>IFERROR(IF(0=LEN(ReferenceData!$E$133),"",ReferenceData!$E$133),"")</f>
        <v>动态</v>
      </c>
      <c r="F133" t="str">
        <f ca="1">IFERROR(IF(0=LEN(ReferenceData!$F$133),"",ReferenceData!$F$133),"")</f>
        <v/>
      </c>
      <c r="G133" t="str">
        <f ca="1">IFERROR(IF(0=LEN(ReferenceData!$G$133),"",ReferenceData!$G$133),"")</f>
        <v/>
      </c>
      <c r="H133" t="str">
        <f ca="1">IFERROR(IF(0=LEN(ReferenceData!$H$133),"",ReferenceData!$H$133),"")</f>
        <v/>
      </c>
      <c r="I133" t="str">
        <f ca="1">IFERROR(IF(0=LEN(ReferenceData!$I$133),"",ReferenceData!$I$133),"")</f>
        <v/>
      </c>
      <c r="J133" t="str">
        <f ca="1">IFERROR(IF(0=LEN(ReferenceData!$J$133),"",ReferenceData!$J$133),"")</f>
        <v/>
      </c>
      <c r="K133" t="str">
        <f ca="1">IFERROR(IF(0=LEN(ReferenceData!$K$133),"",ReferenceData!$K$133),"")</f>
        <v/>
      </c>
      <c r="L133" t="str">
        <f ca="1">IFERROR(IF(0=LEN(ReferenceData!$L$133),"",ReferenceData!$L$133),"")</f>
        <v/>
      </c>
      <c r="M133" t="str">
        <f ca="1">IFERROR(IF(0=LEN(ReferenceData!$M$133),"",ReferenceData!$M$133),"")</f>
        <v/>
      </c>
      <c r="N133" t="str">
        <f ca="1">IFERROR(IF(0=LEN(ReferenceData!$N$133),"",ReferenceData!$N$133),"")</f>
        <v/>
      </c>
      <c r="O133" t="str">
        <f ca="1">IFERROR(IF(0=LEN(ReferenceData!$O$133),"",ReferenceData!$O$133),"")</f>
        <v/>
      </c>
      <c r="P133" t="str">
        <f ca="1">IFERROR(IF(0=LEN(ReferenceData!$P$133),"",ReferenceData!$P$133),"")</f>
        <v/>
      </c>
      <c r="Q133" t="str">
        <f ca="1">IFERROR(IF(0=LEN(ReferenceData!$Q$133),"",ReferenceData!$Q$133),"")</f>
        <v/>
      </c>
      <c r="R133" t="str">
        <f ca="1">IFERROR(IF(0=LEN(ReferenceData!$R$133),"",ReferenceData!$R$133),"")</f>
        <v/>
      </c>
      <c r="S133" t="str">
        <f ca="1">IFERROR(IF(0=LEN(ReferenceData!$S$133),"",ReferenceData!$S$133),"")</f>
        <v/>
      </c>
      <c r="T133" t="str">
        <f ca="1">IFERROR(IF(0=LEN(ReferenceData!$T$133),"",ReferenceData!$T$133),"")</f>
        <v/>
      </c>
      <c r="U133" t="str">
        <f ca="1">IFERROR(IF(0=LEN(ReferenceData!$U$133),"",ReferenceData!$U$133),"")</f>
        <v/>
      </c>
      <c r="V133" t="str">
        <f ca="1">IFERROR(IF(0=LEN(ReferenceData!$V$133),"",ReferenceData!$V$133),"")</f>
        <v/>
      </c>
      <c r="W133" t="str">
        <f ca="1">IFERROR(IF(0=LEN(ReferenceData!$W$133),"",ReferenceData!$W$133),"")</f>
        <v/>
      </c>
      <c r="X133" t="str">
        <f ca="1">IFERROR(IF(0=LEN(ReferenceData!$X$133),"",ReferenceData!$X$133),"")</f>
        <v/>
      </c>
      <c r="Y133" t="str">
        <f ca="1">IFERROR(IF(0=LEN(ReferenceData!$Y$133),"",ReferenceData!$Y$133),"")</f>
        <v/>
      </c>
      <c r="Z133" t="str">
        <f ca="1">IFERROR(IF(0=LEN(ReferenceData!$Z$133),"",ReferenceData!$Z$133),"")</f>
        <v/>
      </c>
      <c r="AA133" t="str">
        <f ca="1">IFERROR(IF(0=LEN(ReferenceData!$AA$133),"",ReferenceData!$AA$133),"")</f>
        <v/>
      </c>
      <c r="AB133" t="str">
        <f ca="1">IFERROR(IF(0=LEN(ReferenceData!$AB$133),"",ReferenceData!$AB$133),"")</f>
        <v/>
      </c>
      <c r="AC133" t="str">
        <f ca="1">IFERROR(IF(0=LEN(ReferenceData!$AC$133),"",ReferenceData!$AC$133),"")</f>
        <v/>
      </c>
      <c r="AD133" t="str">
        <f ca="1">IFERROR(IF(0=LEN(ReferenceData!$AD$133),"",ReferenceData!$AD$133),"")</f>
        <v/>
      </c>
      <c r="AE133" t="str">
        <f ca="1">IFERROR(IF(0=LEN(ReferenceData!$AE$133),"",ReferenceData!$AE$133),"")</f>
        <v/>
      </c>
      <c r="AF133" t="str">
        <f ca="1">IFERROR(IF(0=LEN(ReferenceData!$AF$133),"",ReferenceData!$AF$133),"")</f>
        <v/>
      </c>
      <c r="AG133" t="str">
        <f ca="1">IFERROR(IF(0=LEN(ReferenceData!$AG$133),"",ReferenceData!$AG$133),"")</f>
        <v/>
      </c>
      <c r="AH133" t="str">
        <f ca="1">IFERROR(IF(0=LEN(ReferenceData!$AH$133),"",ReferenceData!$AH$133),"")</f>
        <v/>
      </c>
      <c r="AI133" t="str">
        <f ca="1">IFERROR(IF(0=LEN(ReferenceData!$AI$133),"",ReferenceData!$AI$133),"")</f>
        <v/>
      </c>
      <c r="AJ133" t="str">
        <f ca="1">IFERROR(IF(0=LEN(ReferenceData!$AJ$133),"",ReferenceData!$AJ$133),"")</f>
        <v/>
      </c>
      <c r="AK133" t="str">
        <f ca="1">IFERROR(IF(0=LEN(ReferenceData!$AK$133),"",ReferenceData!$AK$133),"")</f>
        <v/>
      </c>
      <c r="AL133" t="str">
        <f ca="1">IFERROR(IF(0=LEN(ReferenceData!$AL$133),"",ReferenceData!$AL$133),"")</f>
        <v/>
      </c>
      <c r="AM133" t="str">
        <f ca="1">IFERROR(IF(0=LEN(ReferenceData!$AM$133),"",ReferenceData!$AM$133),"")</f>
        <v/>
      </c>
      <c r="AN133" t="str">
        <f ca="1">IFERROR(IF(0=LEN(ReferenceData!$AN$133),"",ReferenceData!$AN$133),"")</f>
        <v/>
      </c>
      <c r="AO133" t="str">
        <f ca="1">IFERROR(IF(0=LEN(ReferenceData!$AO$133),"",ReferenceData!$AO$133),"")</f>
        <v/>
      </c>
      <c r="AP133" t="str">
        <f ca="1">IFERROR(IF(0=LEN(ReferenceData!$AP$133),"",ReferenceData!$AP$133),"")</f>
        <v/>
      </c>
      <c r="AQ133" t="str">
        <f ca="1">IFERROR(IF(0=LEN(ReferenceData!$AQ$133),"",ReferenceData!$AQ$133),"")</f>
        <v/>
      </c>
      <c r="AR133" t="str">
        <f ca="1">IFERROR(IF(0=LEN(ReferenceData!$AR$133),"",ReferenceData!$AR$133),"")</f>
        <v/>
      </c>
      <c r="AS133" t="str">
        <f ca="1">IFERROR(IF(0=LEN(ReferenceData!$AS$133),"",ReferenceData!$AS$133),"")</f>
        <v/>
      </c>
      <c r="AT133" t="str">
        <f ca="1">IFERROR(IF(0=LEN(ReferenceData!$AT$133),"",ReferenceData!$AT$133),"")</f>
        <v/>
      </c>
      <c r="AU133" t="str">
        <f ca="1">IFERROR(IF(0=LEN(ReferenceData!$AU$133),"",ReferenceData!$AU$133),"")</f>
        <v/>
      </c>
      <c r="AV133" t="str">
        <f ca="1">IFERROR(IF(0=LEN(ReferenceData!$AV$133),"",ReferenceData!$AV$133),"")</f>
        <v/>
      </c>
      <c r="AW133" t="str">
        <f ca="1">IFERROR(IF(0=LEN(ReferenceData!$AW$133),"",ReferenceData!$AW$133),"")</f>
        <v/>
      </c>
      <c r="AX133" t="str">
        <f ca="1">IFERROR(IF(0=LEN(ReferenceData!$AX$133),"",ReferenceData!$AX$133),"")</f>
        <v/>
      </c>
      <c r="AY133" t="str">
        <f ca="1">IFERROR(IF(0=LEN(ReferenceData!$AY$133),"",ReferenceData!$AY$133),"")</f>
        <v/>
      </c>
      <c r="AZ133" t="str">
        <f ca="1">IFERROR(IF(0=LEN(ReferenceData!$AZ$133),"",ReferenceData!$AZ$133),"")</f>
        <v/>
      </c>
      <c r="BA133" t="str">
        <f ca="1">IFERROR(IF(0=LEN(ReferenceData!$BA$133),"",ReferenceData!$BA$133),"")</f>
        <v/>
      </c>
      <c r="BB133" t="str">
        <f ca="1">IFERROR(IF(0=LEN(ReferenceData!$BB$133),"",ReferenceData!$BB$133),"")</f>
        <v/>
      </c>
      <c r="BC133" t="str">
        <f ca="1">IFERROR(IF(0=LEN(ReferenceData!$BC$133),"",ReferenceData!$BC$133),"")</f>
        <v/>
      </c>
      <c r="BD133" t="str">
        <f ca="1">IFERROR(IF(0=LEN(ReferenceData!$BD$133),"",ReferenceData!$BD$133),"")</f>
        <v/>
      </c>
      <c r="BE133" t="str">
        <f ca="1">IFERROR(IF(0=LEN(ReferenceData!$BE$133),"",ReferenceData!$BE$133),"")</f>
        <v/>
      </c>
      <c r="BF133" t="str">
        <f ca="1">IFERROR(IF(0=LEN(ReferenceData!$BF$133),"",ReferenceData!$BF$133),"")</f>
        <v/>
      </c>
      <c r="BG133" t="str">
        <f ca="1">IFERROR(IF(0=LEN(ReferenceData!$BG$133),"",ReferenceData!$BG$133),"")</f>
        <v/>
      </c>
      <c r="BH133" t="str">
        <f ca="1">IFERROR(IF(0=LEN(ReferenceData!$BH$133),"",ReferenceData!$BH$133),"")</f>
        <v/>
      </c>
      <c r="BI133" t="str">
        <f ca="1">IFERROR(IF(0=LEN(ReferenceData!$BI$133),"",ReferenceData!$BI$133),"")</f>
        <v/>
      </c>
      <c r="BJ133" t="str">
        <f ca="1">IFERROR(IF(0=LEN(ReferenceData!$BJ$133),"",ReferenceData!$BJ$133),"")</f>
        <v/>
      </c>
      <c r="BK133" t="str">
        <f ca="1">IFERROR(IF(0=LEN(ReferenceData!$BK$133),"",ReferenceData!$BK$133),"")</f>
        <v/>
      </c>
      <c r="BL133" t="str">
        <f ca="1">IFERROR(IF(0=LEN(ReferenceData!$BL$133),"",ReferenceData!$BL$133),"")</f>
        <v/>
      </c>
      <c r="BM133" t="str">
        <f ca="1">IFERROR(IF(0=LEN(ReferenceData!$BM$133),"",ReferenceData!$BM$133),"")</f>
        <v/>
      </c>
    </row>
    <row r="134" spans="1:65">
      <c r="A134" t="str">
        <f>IFERROR(IF(0=LEN(ReferenceData!$A$134),"",ReferenceData!$A$134),"")</f>
        <v xml:space="preserve">    SL Green Realty Corp</v>
      </c>
      <c r="B134" t="str">
        <f>IFERROR(IF(0=LEN(ReferenceData!$B$134),"",ReferenceData!$B$134),"")</f>
        <v>SLG US Equity</v>
      </c>
      <c r="C134" t="str">
        <f>IFERROR(IF(0=LEN(ReferenceData!$C$134),"",ReferenceData!$C$134),"")</f>
        <v>BE592</v>
      </c>
      <c r="D134" t="str">
        <f>IFERROR(IF(0=LEN(ReferenceData!$D$134),"",ReferenceData!$D$134),"")</f>
        <v>BEST_FFOPS_YOY_GTH</v>
      </c>
      <c r="E134" t="str">
        <f>IFERROR(IF(0=LEN(ReferenceData!$E$134),"",ReferenceData!$E$134),"")</f>
        <v>动态</v>
      </c>
      <c r="F134" t="str">
        <f ca="1">IFERROR(IF(0=LEN(ReferenceData!$F$134),"",ReferenceData!$F$134),"")</f>
        <v/>
      </c>
      <c r="G134" t="str">
        <f ca="1">IFERROR(IF(0=LEN(ReferenceData!$G$134),"",ReferenceData!$G$134),"")</f>
        <v/>
      </c>
      <c r="H134" t="str">
        <f ca="1">IFERROR(IF(0=LEN(ReferenceData!$H$134),"",ReferenceData!$H$134),"")</f>
        <v/>
      </c>
      <c r="I134" t="str">
        <f ca="1">IFERROR(IF(0=LEN(ReferenceData!$I$134),"",ReferenceData!$I$134),"")</f>
        <v/>
      </c>
      <c r="J134" t="str">
        <f ca="1">IFERROR(IF(0=LEN(ReferenceData!$J$134),"",ReferenceData!$J$134),"")</f>
        <v/>
      </c>
      <c r="K134" t="str">
        <f ca="1">IFERROR(IF(0=LEN(ReferenceData!$K$134),"",ReferenceData!$K$134),"")</f>
        <v/>
      </c>
      <c r="L134" t="str">
        <f ca="1">IFERROR(IF(0=LEN(ReferenceData!$L$134),"",ReferenceData!$L$134),"")</f>
        <v/>
      </c>
      <c r="M134" t="str">
        <f ca="1">IFERROR(IF(0=LEN(ReferenceData!$M$134),"",ReferenceData!$M$134),"")</f>
        <v/>
      </c>
      <c r="N134" t="str">
        <f ca="1">IFERROR(IF(0=LEN(ReferenceData!$N$134),"",ReferenceData!$N$134),"")</f>
        <v/>
      </c>
      <c r="O134" t="str">
        <f ca="1">IFERROR(IF(0=LEN(ReferenceData!$O$134),"",ReferenceData!$O$134),"")</f>
        <v/>
      </c>
      <c r="P134" t="str">
        <f ca="1">IFERROR(IF(0=LEN(ReferenceData!$P$134),"",ReferenceData!$P$134),"")</f>
        <v/>
      </c>
      <c r="Q134" t="str">
        <f ca="1">IFERROR(IF(0=LEN(ReferenceData!$Q$134),"",ReferenceData!$Q$134),"")</f>
        <v/>
      </c>
      <c r="R134" t="str">
        <f ca="1">IFERROR(IF(0=LEN(ReferenceData!$R$134),"",ReferenceData!$R$134),"")</f>
        <v/>
      </c>
      <c r="S134" t="str">
        <f ca="1">IFERROR(IF(0=LEN(ReferenceData!$S$134),"",ReferenceData!$S$134),"")</f>
        <v/>
      </c>
      <c r="T134" t="str">
        <f ca="1">IFERROR(IF(0=LEN(ReferenceData!$T$134),"",ReferenceData!$T$134),"")</f>
        <v/>
      </c>
      <c r="U134" t="str">
        <f ca="1">IFERROR(IF(0=LEN(ReferenceData!$U$134),"",ReferenceData!$U$134),"")</f>
        <v/>
      </c>
      <c r="V134" t="str">
        <f ca="1">IFERROR(IF(0=LEN(ReferenceData!$V$134),"",ReferenceData!$V$134),"")</f>
        <v/>
      </c>
      <c r="W134" t="str">
        <f ca="1">IFERROR(IF(0=LEN(ReferenceData!$W$134),"",ReferenceData!$W$134),"")</f>
        <v/>
      </c>
      <c r="X134" t="str">
        <f ca="1">IFERROR(IF(0=LEN(ReferenceData!$X$134),"",ReferenceData!$X$134),"")</f>
        <v/>
      </c>
      <c r="Y134" t="str">
        <f ca="1">IFERROR(IF(0=LEN(ReferenceData!$Y$134),"",ReferenceData!$Y$134),"")</f>
        <v/>
      </c>
      <c r="Z134" t="str">
        <f ca="1">IFERROR(IF(0=LEN(ReferenceData!$Z$134),"",ReferenceData!$Z$134),"")</f>
        <v/>
      </c>
      <c r="AA134" t="str">
        <f ca="1">IFERROR(IF(0=LEN(ReferenceData!$AA$134),"",ReferenceData!$AA$134),"")</f>
        <v/>
      </c>
      <c r="AB134" t="str">
        <f ca="1">IFERROR(IF(0=LEN(ReferenceData!$AB$134),"",ReferenceData!$AB$134),"")</f>
        <v/>
      </c>
      <c r="AC134" t="str">
        <f ca="1">IFERROR(IF(0=LEN(ReferenceData!$AC$134),"",ReferenceData!$AC$134),"")</f>
        <v/>
      </c>
      <c r="AD134" t="str">
        <f ca="1">IFERROR(IF(0=LEN(ReferenceData!$AD$134),"",ReferenceData!$AD$134),"")</f>
        <v/>
      </c>
      <c r="AE134" t="str">
        <f ca="1">IFERROR(IF(0=LEN(ReferenceData!$AE$134),"",ReferenceData!$AE$134),"")</f>
        <v/>
      </c>
      <c r="AF134" t="str">
        <f ca="1">IFERROR(IF(0=LEN(ReferenceData!$AF$134),"",ReferenceData!$AF$134),"")</f>
        <v/>
      </c>
      <c r="AG134" t="str">
        <f ca="1">IFERROR(IF(0=LEN(ReferenceData!$AG$134),"",ReferenceData!$AG$134),"")</f>
        <v/>
      </c>
      <c r="AH134" t="str">
        <f ca="1">IFERROR(IF(0=LEN(ReferenceData!$AH$134),"",ReferenceData!$AH$134),"")</f>
        <v/>
      </c>
      <c r="AI134" t="str">
        <f ca="1">IFERROR(IF(0=LEN(ReferenceData!$AI$134),"",ReferenceData!$AI$134),"")</f>
        <v/>
      </c>
      <c r="AJ134" t="str">
        <f ca="1">IFERROR(IF(0=LEN(ReferenceData!$AJ$134),"",ReferenceData!$AJ$134),"")</f>
        <v/>
      </c>
      <c r="AK134" t="str">
        <f ca="1">IFERROR(IF(0=LEN(ReferenceData!$AK$134),"",ReferenceData!$AK$134),"")</f>
        <v/>
      </c>
      <c r="AL134" t="str">
        <f ca="1">IFERROR(IF(0=LEN(ReferenceData!$AL$134),"",ReferenceData!$AL$134),"")</f>
        <v/>
      </c>
      <c r="AM134" t="str">
        <f ca="1">IFERROR(IF(0=LEN(ReferenceData!$AM$134),"",ReferenceData!$AM$134),"")</f>
        <v/>
      </c>
      <c r="AN134" t="str">
        <f ca="1">IFERROR(IF(0=LEN(ReferenceData!$AN$134),"",ReferenceData!$AN$134),"")</f>
        <v/>
      </c>
      <c r="AO134" t="str">
        <f ca="1">IFERROR(IF(0=LEN(ReferenceData!$AO$134),"",ReferenceData!$AO$134),"")</f>
        <v/>
      </c>
      <c r="AP134" t="str">
        <f ca="1">IFERROR(IF(0=LEN(ReferenceData!$AP$134),"",ReferenceData!$AP$134),"")</f>
        <v/>
      </c>
      <c r="AQ134" t="str">
        <f ca="1">IFERROR(IF(0=LEN(ReferenceData!$AQ$134),"",ReferenceData!$AQ$134),"")</f>
        <v/>
      </c>
      <c r="AR134" t="str">
        <f ca="1">IFERROR(IF(0=LEN(ReferenceData!$AR$134),"",ReferenceData!$AR$134),"")</f>
        <v/>
      </c>
      <c r="AS134" t="str">
        <f ca="1">IFERROR(IF(0=LEN(ReferenceData!$AS$134),"",ReferenceData!$AS$134),"")</f>
        <v/>
      </c>
      <c r="AT134" t="str">
        <f ca="1">IFERROR(IF(0=LEN(ReferenceData!$AT$134),"",ReferenceData!$AT$134),"")</f>
        <v/>
      </c>
      <c r="AU134" t="str">
        <f ca="1">IFERROR(IF(0=LEN(ReferenceData!$AU$134),"",ReferenceData!$AU$134),"")</f>
        <v/>
      </c>
      <c r="AV134" t="str">
        <f ca="1">IFERROR(IF(0=LEN(ReferenceData!$AV$134),"",ReferenceData!$AV$134),"")</f>
        <v/>
      </c>
      <c r="AW134" t="str">
        <f ca="1">IFERROR(IF(0=LEN(ReferenceData!$AW$134),"",ReferenceData!$AW$134),"")</f>
        <v/>
      </c>
      <c r="AX134" t="str">
        <f ca="1">IFERROR(IF(0=LEN(ReferenceData!$AX$134),"",ReferenceData!$AX$134),"")</f>
        <v/>
      </c>
      <c r="AY134" t="str">
        <f ca="1">IFERROR(IF(0=LEN(ReferenceData!$AY$134),"",ReferenceData!$AY$134),"")</f>
        <v/>
      </c>
      <c r="AZ134" t="str">
        <f ca="1">IFERROR(IF(0=LEN(ReferenceData!$AZ$134),"",ReferenceData!$AZ$134),"")</f>
        <v/>
      </c>
      <c r="BA134" t="str">
        <f ca="1">IFERROR(IF(0=LEN(ReferenceData!$BA$134),"",ReferenceData!$BA$134),"")</f>
        <v/>
      </c>
      <c r="BB134" t="str">
        <f ca="1">IFERROR(IF(0=LEN(ReferenceData!$BB$134),"",ReferenceData!$BB$134),"")</f>
        <v/>
      </c>
      <c r="BC134" t="str">
        <f ca="1">IFERROR(IF(0=LEN(ReferenceData!$BC$134),"",ReferenceData!$BC$134),"")</f>
        <v/>
      </c>
      <c r="BD134" t="str">
        <f ca="1">IFERROR(IF(0=LEN(ReferenceData!$BD$134),"",ReferenceData!$BD$134),"")</f>
        <v/>
      </c>
      <c r="BE134" t="str">
        <f ca="1">IFERROR(IF(0=LEN(ReferenceData!$BE$134),"",ReferenceData!$BE$134),"")</f>
        <v/>
      </c>
      <c r="BF134" t="str">
        <f ca="1">IFERROR(IF(0=LEN(ReferenceData!$BF$134),"",ReferenceData!$BF$134),"")</f>
        <v/>
      </c>
      <c r="BG134" t="str">
        <f ca="1">IFERROR(IF(0=LEN(ReferenceData!$BG$134),"",ReferenceData!$BG$134),"")</f>
        <v/>
      </c>
      <c r="BH134" t="str">
        <f ca="1">IFERROR(IF(0=LEN(ReferenceData!$BH$134),"",ReferenceData!$BH$134),"")</f>
        <v/>
      </c>
      <c r="BI134" t="str">
        <f ca="1">IFERROR(IF(0=LEN(ReferenceData!$BI$134),"",ReferenceData!$BI$134),"")</f>
        <v/>
      </c>
      <c r="BJ134" t="str">
        <f ca="1">IFERROR(IF(0=LEN(ReferenceData!$BJ$134),"",ReferenceData!$BJ$134),"")</f>
        <v/>
      </c>
      <c r="BK134" t="str">
        <f ca="1">IFERROR(IF(0=LEN(ReferenceData!$BK$134),"",ReferenceData!$BK$134),"")</f>
        <v/>
      </c>
      <c r="BL134" t="str">
        <f ca="1">IFERROR(IF(0=LEN(ReferenceData!$BL$134),"",ReferenceData!$BL$134),"")</f>
        <v/>
      </c>
      <c r="BM134" t="str">
        <f ca="1">IFERROR(IF(0=LEN(ReferenceData!$BM$134),"",ReferenceData!$BM$134),"")</f>
        <v/>
      </c>
    </row>
    <row r="135" spans="1:65">
      <c r="A135" t="str">
        <f>IFERROR(IF(0=LEN(ReferenceData!$A$135),"",ReferenceData!$A$135),"")</f>
        <v xml:space="preserve">    Vornado Realty Trust</v>
      </c>
      <c r="B135" t="str">
        <f>IFERROR(IF(0=LEN(ReferenceData!$B$135),"",ReferenceData!$B$135),"")</f>
        <v>VNO US Equity</v>
      </c>
      <c r="C135" t="str">
        <f>IFERROR(IF(0=LEN(ReferenceData!$C$135),"",ReferenceData!$C$135),"")</f>
        <v>BE592</v>
      </c>
      <c r="D135" t="str">
        <f>IFERROR(IF(0=LEN(ReferenceData!$D$135),"",ReferenceData!$D$135),"")</f>
        <v>BEST_FFOPS_YOY_GTH</v>
      </c>
      <c r="E135" t="str">
        <f>IFERROR(IF(0=LEN(ReferenceData!$E$135),"",ReferenceData!$E$135),"")</f>
        <v>动态</v>
      </c>
      <c r="F135" t="str">
        <f ca="1">IFERROR(IF(0=LEN(ReferenceData!$F$135),"",ReferenceData!$F$135),"")</f>
        <v/>
      </c>
      <c r="G135" t="str">
        <f ca="1">IFERROR(IF(0=LEN(ReferenceData!$G$135),"",ReferenceData!$G$135),"")</f>
        <v/>
      </c>
      <c r="H135" t="str">
        <f ca="1">IFERROR(IF(0=LEN(ReferenceData!$H$135),"",ReferenceData!$H$135),"")</f>
        <v/>
      </c>
      <c r="I135" t="str">
        <f ca="1">IFERROR(IF(0=LEN(ReferenceData!$I$135),"",ReferenceData!$I$135),"")</f>
        <v/>
      </c>
      <c r="J135" t="str">
        <f ca="1">IFERROR(IF(0=LEN(ReferenceData!$J$135),"",ReferenceData!$J$135),"")</f>
        <v/>
      </c>
      <c r="K135" t="str">
        <f ca="1">IFERROR(IF(0=LEN(ReferenceData!$K$135),"",ReferenceData!$K$135),"")</f>
        <v/>
      </c>
      <c r="L135" t="str">
        <f ca="1">IFERROR(IF(0=LEN(ReferenceData!$L$135),"",ReferenceData!$L$135),"")</f>
        <v/>
      </c>
      <c r="M135" t="str">
        <f ca="1">IFERROR(IF(0=LEN(ReferenceData!$M$135),"",ReferenceData!$M$135),"")</f>
        <v/>
      </c>
      <c r="N135" t="str">
        <f ca="1">IFERROR(IF(0=LEN(ReferenceData!$N$135),"",ReferenceData!$N$135),"")</f>
        <v/>
      </c>
      <c r="O135" t="str">
        <f ca="1">IFERROR(IF(0=LEN(ReferenceData!$O$135),"",ReferenceData!$O$135),"")</f>
        <v/>
      </c>
      <c r="P135" t="str">
        <f ca="1">IFERROR(IF(0=LEN(ReferenceData!$P$135),"",ReferenceData!$P$135),"")</f>
        <v/>
      </c>
      <c r="Q135" t="str">
        <f ca="1">IFERROR(IF(0=LEN(ReferenceData!$Q$135),"",ReferenceData!$Q$135),"")</f>
        <v/>
      </c>
      <c r="R135" t="str">
        <f ca="1">IFERROR(IF(0=LEN(ReferenceData!$R$135),"",ReferenceData!$R$135),"")</f>
        <v/>
      </c>
      <c r="S135" t="str">
        <f ca="1">IFERROR(IF(0=LEN(ReferenceData!$S$135),"",ReferenceData!$S$135),"")</f>
        <v/>
      </c>
      <c r="T135" t="str">
        <f ca="1">IFERROR(IF(0=LEN(ReferenceData!$T$135),"",ReferenceData!$T$135),"")</f>
        <v/>
      </c>
      <c r="U135" t="str">
        <f ca="1">IFERROR(IF(0=LEN(ReferenceData!$U$135),"",ReferenceData!$U$135),"")</f>
        <v/>
      </c>
      <c r="V135" t="str">
        <f ca="1">IFERROR(IF(0=LEN(ReferenceData!$V$135),"",ReferenceData!$V$135),"")</f>
        <v/>
      </c>
      <c r="W135" t="str">
        <f ca="1">IFERROR(IF(0=LEN(ReferenceData!$W$135),"",ReferenceData!$W$135),"")</f>
        <v/>
      </c>
      <c r="X135" t="str">
        <f ca="1">IFERROR(IF(0=LEN(ReferenceData!$X$135),"",ReferenceData!$X$135),"")</f>
        <v/>
      </c>
      <c r="Y135" t="str">
        <f ca="1">IFERROR(IF(0=LEN(ReferenceData!$Y$135),"",ReferenceData!$Y$135),"")</f>
        <v/>
      </c>
      <c r="Z135" t="str">
        <f ca="1">IFERROR(IF(0=LEN(ReferenceData!$Z$135),"",ReferenceData!$Z$135),"")</f>
        <v/>
      </c>
      <c r="AA135" t="str">
        <f ca="1">IFERROR(IF(0=LEN(ReferenceData!$AA$135),"",ReferenceData!$AA$135),"")</f>
        <v/>
      </c>
      <c r="AB135" t="str">
        <f ca="1">IFERROR(IF(0=LEN(ReferenceData!$AB$135),"",ReferenceData!$AB$135),"")</f>
        <v/>
      </c>
      <c r="AC135" t="str">
        <f ca="1">IFERROR(IF(0=LEN(ReferenceData!$AC$135),"",ReferenceData!$AC$135),"")</f>
        <v/>
      </c>
      <c r="AD135" t="str">
        <f ca="1">IFERROR(IF(0=LEN(ReferenceData!$AD$135),"",ReferenceData!$AD$135),"")</f>
        <v/>
      </c>
      <c r="AE135" t="str">
        <f ca="1">IFERROR(IF(0=LEN(ReferenceData!$AE$135),"",ReferenceData!$AE$135),"")</f>
        <v/>
      </c>
      <c r="AF135" t="str">
        <f ca="1">IFERROR(IF(0=LEN(ReferenceData!$AF$135),"",ReferenceData!$AF$135),"")</f>
        <v/>
      </c>
      <c r="AG135" t="str">
        <f ca="1">IFERROR(IF(0=LEN(ReferenceData!$AG$135),"",ReferenceData!$AG$135),"")</f>
        <v/>
      </c>
      <c r="AH135" t="str">
        <f ca="1">IFERROR(IF(0=LEN(ReferenceData!$AH$135),"",ReferenceData!$AH$135),"")</f>
        <v/>
      </c>
      <c r="AI135" t="str">
        <f ca="1">IFERROR(IF(0=LEN(ReferenceData!$AI$135),"",ReferenceData!$AI$135),"")</f>
        <v/>
      </c>
      <c r="AJ135" t="str">
        <f ca="1">IFERROR(IF(0=LEN(ReferenceData!$AJ$135),"",ReferenceData!$AJ$135),"")</f>
        <v/>
      </c>
      <c r="AK135" t="str">
        <f ca="1">IFERROR(IF(0=LEN(ReferenceData!$AK$135),"",ReferenceData!$AK$135),"")</f>
        <v/>
      </c>
      <c r="AL135" t="str">
        <f ca="1">IFERROR(IF(0=LEN(ReferenceData!$AL$135),"",ReferenceData!$AL$135),"")</f>
        <v/>
      </c>
      <c r="AM135" t="str">
        <f ca="1">IFERROR(IF(0=LEN(ReferenceData!$AM$135),"",ReferenceData!$AM$135),"")</f>
        <v/>
      </c>
      <c r="AN135" t="str">
        <f ca="1">IFERROR(IF(0=LEN(ReferenceData!$AN$135),"",ReferenceData!$AN$135),"")</f>
        <v/>
      </c>
      <c r="AO135" t="str">
        <f ca="1">IFERROR(IF(0=LEN(ReferenceData!$AO$135),"",ReferenceData!$AO$135),"")</f>
        <v/>
      </c>
      <c r="AP135" t="str">
        <f ca="1">IFERROR(IF(0=LEN(ReferenceData!$AP$135),"",ReferenceData!$AP$135),"")</f>
        <v/>
      </c>
      <c r="AQ135" t="str">
        <f ca="1">IFERROR(IF(0=LEN(ReferenceData!$AQ$135),"",ReferenceData!$AQ$135),"")</f>
        <v/>
      </c>
      <c r="AR135" t="str">
        <f ca="1">IFERROR(IF(0=LEN(ReferenceData!$AR$135),"",ReferenceData!$AR$135),"")</f>
        <v/>
      </c>
      <c r="AS135" t="str">
        <f ca="1">IFERROR(IF(0=LEN(ReferenceData!$AS$135),"",ReferenceData!$AS$135),"")</f>
        <v/>
      </c>
      <c r="AT135" t="str">
        <f ca="1">IFERROR(IF(0=LEN(ReferenceData!$AT$135),"",ReferenceData!$AT$135),"")</f>
        <v/>
      </c>
      <c r="AU135" t="str">
        <f ca="1">IFERROR(IF(0=LEN(ReferenceData!$AU$135),"",ReferenceData!$AU$135),"")</f>
        <v/>
      </c>
      <c r="AV135" t="str">
        <f ca="1">IFERROR(IF(0=LEN(ReferenceData!$AV$135),"",ReferenceData!$AV$135),"")</f>
        <v/>
      </c>
      <c r="AW135" t="str">
        <f ca="1">IFERROR(IF(0=LEN(ReferenceData!$AW$135),"",ReferenceData!$AW$135),"")</f>
        <v/>
      </c>
      <c r="AX135" t="str">
        <f ca="1">IFERROR(IF(0=LEN(ReferenceData!$AX$135),"",ReferenceData!$AX$135),"")</f>
        <v/>
      </c>
      <c r="AY135" t="str">
        <f ca="1">IFERROR(IF(0=LEN(ReferenceData!$AY$135),"",ReferenceData!$AY$135),"")</f>
        <v/>
      </c>
      <c r="AZ135" t="str">
        <f ca="1">IFERROR(IF(0=LEN(ReferenceData!$AZ$135),"",ReferenceData!$AZ$135),"")</f>
        <v/>
      </c>
      <c r="BA135" t="str">
        <f ca="1">IFERROR(IF(0=LEN(ReferenceData!$BA$135),"",ReferenceData!$BA$135),"")</f>
        <v/>
      </c>
      <c r="BB135" t="str">
        <f ca="1">IFERROR(IF(0=LEN(ReferenceData!$BB$135),"",ReferenceData!$BB$135),"")</f>
        <v/>
      </c>
      <c r="BC135" t="str">
        <f ca="1">IFERROR(IF(0=LEN(ReferenceData!$BC$135),"",ReferenceData!$BC$135),"")</f>
        <v/>
      </c>
      <c r="BD135" t="str">
        <f ca="1">IFERROR(IF(0=LEN(ReferenceData!$BD$135),"",ReferenceData!$BD$135),"")</f>
        <v/>
      </c>
      <c r="BE135" t="str">
        <f ca="1">IFERROR(IF(0=LEN(ReferenceData!$BE$135),"",ReferenceData!$BE$135),"")</f>
        <v/>
      </c>
      <c r="BF135" t="str">
        <f ca="1">IFERROR(IF(0=LEN(ReferenceData!$BF$135),"",ReferenceData!$BF$135),"")</f>
        <v/>
      </c>
      <c r="BG135" t="str">
        <f ca="1">IFERROR(IF(0=LEN(ReferenceData!$BG$135),"",ReferenceData!$BG$135),"")</f>
        <v/>
      </c>
      <c r="BH135" t="str">
        <f ca="1">IFERROR(IF(0=LEN(ReferenceData!$BH$135),"",ReferenceData!$BH$135),"")</f>
        <v/>
      </c>
      <c r="BI135" t="str">
        <f ca="1">IFERROR(IF(0=LEN(ReferenceData!$BI$135),"",ReferenceData!$BI$135),"")</f>
        <v/>
      </c>
      <c r="BJ135" t="str">
        <f ca="1">IFERROR(IF(0=LEN(ReferenceData!$BJ$135),"",ReferenceData!$BJ$135),"")</f>
        <v/>
      </c>
      <c r="BK135" t="str">
        <f ca="1">IFERROR(IF(0=LEN(ReferenceData!$BK$135),"",ReferenceData!$BK$135),"")</f>
        <v/>
      </c>
      <c r="BL135" t="str">
        <f ca="1">IFERROR(IF(0=LEN(ReferenceData!$BL$135),"",ReferenceData!$BL$135),"")</f>
        <v/>
      </c>
      <c r="BM135" t="str">
        <f ca="1">IFERROR(IF(0=LEN(ReferenceData!$BM$135),"",ReferenceData!$BM$135),"")</f>
        <v/>
      </c>
    </row>
    <row r="136" spans="1:65">
      <c r="A136" t="str">
        <f>IFERROR(IF(0=LEN(ReferenceData!$A$136),"",ReferenceData!$A$136),"")</f>
        <v>EBITDA利润率(%)</v>
      </c>
      <c r="B136" t="str">
        <f>IFERROR(IF(0=LEN(ReferenceData!$B$136),"",ReferenceData!$B$136),"")</f>
        <v/>
      </c>
      <c r="C136" t="str">
        <f>IFERROR(IF(0=LEN(ReferenceData!$C$136),"",ReferenceData!$C$136),"")</f>
        <v/>
      </c>
      <c r="D136" t="str">
        <f>IFERROR(IF(0=LEN(ReferenceData!$D$136),"",ReferenceData!$D$136),"")</f>
        <v/>
      </c>
      <c r="E136" t="str">
        <f>IFERROR(IF(0=LEN(ReferenceData!$E$136),"",ReferenceData!$E$136),"")</f>
        <v>Median</v>
      </c>
      <c r="F136" t="str">
        <f ca="1">IFERROR(IF(0=LEN(ReferenceData!$F$136),"",ReferenceData!$F$136),"")</f>
        <v/>
      </c>
      <c r="G136">
        <f ca="1">IFERROR(IF(0=LEN(ReferenceData!$G$136),"",ReferenceData!$G$136),"")</f>
        <v>53.130762884999996</v>
      </c>
      <c r="H136">
        <f ca="1">IFERROR(IF(0=LEN(ReferenceData!$H$136),"",ReferenceData!$H$136),"")</f>
        <v>55.734508934999994</v>
      </c>
      <c r="I136">
        <f ca="1">IFERROR(IF(0=LEN(ReferenceData!$I$136),"",ReferenceData!$I$136),"")</f>
        <v>57.313583594999997</v>
      </c>
      <c r="J136">
        <f ca="1">IFERROR(IF(0=LEN(ReferenceData!$J$136),"",ReferenceData!$J$136),"")</f>
        <v>56.559718965000002</v>
      </c>
      <c r="K136">
        <f ca="1">IFERROR(IF(0=LEN(ReferenceData!$K$136),"",ReferenceData!$K$136),"")</f>
        <v>54.656316920000002</v>
      </c>
      <c r="L136">
        <f ca="1">IFERROR(IF(0=LEN(ReferenceData!$L$136),"",ReferenceData!$L$136),"")</f>
        <v>54.298022055000004</v>
      </c>
      <c r="M136">
        <f ca="1">IFERROR(IF(0=LEN(ReferenceData!$M$136),"",ReferenceData!$M$136),"")</f>
        <v>54.509196759999995</v>
      </c>
      <c r="N136">
        <f ca="1">IFERROR(IF(0=LEN(ReferenceData!$N$136),"",ReferenceData!$N$136),"")</f>
        <v>54.640362945</v>
      </c>
      <c r="O136">
        <f ca="1">IFERROR(IF(0=LEN(ReferenceData!$O$136),"",ReferenceData!$O$136),"")</f>
        <v>55.697838105000002</v>
      </c>
      <c r="P136">
        <f ca="1">IFERROR(IF(0=LEN(ReferenceData!$P$136),"",ReferenceData!$P$136),"")</f>
        <v>54.478441720000006</v>
      </c>
      <c r="Q136">
        <f ca="1">IFERROR(IF(0=LEN(ReferenceData!$Q$136),"",ReferenceData!$Q$136),"")</f>
        <v>56.589680295000001</v>
      </c>
      <c r="R136">
        <f ca="1">IFERROR(IF(0=LEN(ReferenceData!$R$136),"",ReferenceData!$R$136),"")</f>
        <v>53.577363769999998</v>
      </c>
      <c r="S136">
        <f ca="1">IFERROR(IF(0=LEN(ReferenceData!$S$136),"",ReferenceData!$S$136),"")</f>
        <v>53.451199325000005</v>
      </c>
      <c r="T136">
        <f ca="1">IFERROR(IF(0=LEN(ReferenceData!$T$136),"",ReferenceData!$T$136),"")</f>
        <v>54.722519669999997</v>
      </c>
      <c r="U136">
        <f ca="1">IFERROR(IF(0=LEN(ReferenceData!$U$136),"",ReferenceData!$U$136),"")</f>
        <v>55.928355010000004</v>
      </c>
      <c r="V136">
        <f ca="1">IFERROR(IF(0=LEN(ReferenceData!$V$136),"",ReferenceData!$V$136),"")</f>
        <v>53.496790645000004</v>
      </c>
      <c r="W136">
        <f ca="1">IFERROR(IF(0=LEN(ReferenceData!$W$136),"",ReferenceData!$W$136),"")</f>
        <v>56.148373665000001</v>
      </c>
      <c r="X136">
        <f ca="1">IFERROR(IF(0=LEN(ReferenceData!$X$136),"",ReferenceData!$X$136),"")</f>
        <v>56.196440890000005</v>
      </c>
      <c r="Y136">
        <f ca="1">IFERROR(IF(0=LEN(ReferenceData!$Y$136),"",ReferenceData!$Y$136),"")</f>
        <v>57.506423374999997</v>
      </c>
      <c r="Z136">
        <f ca="1">IFERROR(IF(0=LEN(ReferenceData!$Z$136),"",ReferenceData!$Z$136),"")</f>
        <v>55.357361824999998</v>
      </c>
      <c r="AA136">
        <f ca="1">IFERROR(IF(0=LEN(ReferenceData!$AA$136),"",ReferenceData!$AA$136),"")</f>
        <v>53.914915110000003</v>
      </c>
      <c r="AB136">
        <f ca="1">IFERROR(IF(0=LEN(ReferenceData!$AB$136),"",ReferenceData!$AB$136),"")</f>
        <v>56.033210609999998</v>
      </c>
      <c r="AC136">
        <f ca="1">IFERROR(IF(0=LEN(ReferenceData!$AC$136),"",ReferenceData!$AC$136),"")</f>
        <v>57.543451285000003</v>
      </c>
      <c r="AD136">
        <f ca="1">IFERROR(IF(0=LEN(ReferenceData!$AD$136),"",ReferenceData!$AD$136),"")</f>
        <v>57.076162030000006</v>
      </c>
      <c r="AE136">
        <f ca="1">IFERROR(IF(0=LEN(ReferenceData!$AE$136),"",ReferenceData!$AE$136),"")</f>
        <v>54.908809849999997</v>
      </c>
      <c r="AF136">
        <f ca="1">IFERROR(IF(0=LEN(ReferenceData!$AF$136),"",ReferenceData!$AF$136),"")</f>
        <v>57.544156229999999</v>
      </c>
      <c r="AG136">
        <f ca="1">IFERROR(IF(0=LEN(ReferenceData!$AG$136),"",ReferenceData!$AG$136),"")</f>
        <v>57.509843274999994</v>
      </c>
      <c r="AH136">
        <f ca="1">IFERROR(IF(0=LEN(ReferenceData!$AH$136),"",ReferenceData!$AH$136),"")</f>
        <v>55.754442999999995</v>
      </c>
      <c r="AI136">
        <f ca="1">IFERROR(IF(0=LEN(ReferenceData!$AI$136),"",ReferenceData!$AI$136),"")</f>
        <v>53.174859139999995</v>
      </c>
      <c r="AJ136">
        <f ca="1">IFERROR(IF(0=LEN(ReferenceData!$AJ$136),"",ReferenceData!$AJ$136),"")</f>
        <v>55.098086795</v>
      </c>
      <c r="AK136">
        <f ca="1">IFERROR(IF(0=LEN(ReferenceData!$AK$136),"",ReferenceData!$AK$136),"")</f>
        <v>54.251825425</v>
      </c>
      <c r="AL136">
        <f ca="1">IFERROR(IF(0=LEN(ReferenceData!$AL$136),"",ReferenceData!$AL$136),"")</f>
        <v>54.143209925000001</v>
      </c>
      <c r="AM136">
        <f ca="1">IFERROR(IF(0=LEN(ReferenceData!$AM$136),"",ReferenceData!$AM$136),"")</f>
        <v>51.185354605000001</v>
      </c>
      <c r="AN136">
        <f ca="1">IFERROR(IF(0=LEN(ReferenceData!$AN$136),"",ReferenceData!$AN$136),"")</f>
        <v>53.290338835</v>
      </c>
      <c r="AO136">
        <f ca="1">IFERROR(IF(0=LEN(ReferenceData!$AO$136),"",ReferenceData!$AO$136),"")</f>
        <v>55.701537115000001</v>
      </c>
      <c r="AP136">
        <f ca="1">IFERROR(IF(0=LEN(ReferenceData!$AP$136),"",ReferenceData!$AP$136),"")</f>
        <v>52.625377270000001</v>
      </c>
      <c r="AQ136">
        <f ca="1">IFERROR(IF(0=LEN(ReferenceData!$AQ$136),"",ReferenceData!$AQ$136),"")</f>
        <v>50.704952720000001</v>
      </c>
      <c r="AR136">
        <f ca="1">IFERROR(IF(0=LEN(ReferenceData!$AR$136),"",ReferenceData!$AR$136),"")</f>
        <v>54.571214789999999</v>
      </c>
      <c r="AS136">
        <f ca="1">IFERROR(IF(0=LEN(ReferenceData!$AS$136),"",ReferenceData!$AS$136),"")</f>
        <v>57.265002199999998</v>
      </c>
      <c r="AT136">
        <f ca="1">IFERROR(IF(0=LEN(ReferenceData!$AT$136),"",ReferenceData!$AT$136),"")</f>
        <v>54.44246571</v>
      </c>
      <c r="AU136">
        <f ca="1">IFERROR(IF(0=LEN(ReferenceData!$AU$136),"",ReferenceData!$AU$136),"")</f>
        <v>54.932789479999997</v>
      </c>
      <c r="AV136">
        <f ca="1">IFERROR(IF(0=LEN(ReferenceData!$AV$136),"",ReferenceData!$AV$136),"")</f>
        <v>55.250046480000002</v>
      </c>
      <c r="AW136">
        <f ca="1">IFERROR(IF(0=LEN(ReferenceData!$AW$136),"",ReferenceData!$AW$136),"")</f>
        <v>55.886819439999996</v>
      </c>
      <c r="AX136">
        <f ca="1">IFERROR(IF(0=LEN(ReferenceData!$AX$136),"",ReferenceData!$AX$136),"")</f>
        <v>55.617692529999999</v>
      </c>
      <c r="AY136">
        <f ca="1">IFERROR(IF(0=LEN(ReferenceData!$AY$136),"",ReferenceData!$AY$136),"")</f>
        <v>52.979594650000003</v>
      </c>
      <c r="AZ136">
        <f ca="1">IFERROR(IF(0=LEN(ReferenceData!$AZ$136),"",ReferenceData!$AZ$136),"")</f>
        <v>57.22919795</v>
      </c>
      <c r="BA136">
        <f ca="1">IFERROR(IF(0=LEN(ReferenceData!$BA$136),"",ReferenceData!$BA$136),"")</f>
        <v>56.758513039999997</v>
      </c>
      <c r="BB136">
        <f ca="1">IFERROR(IF(0=LEN(ReferenceData!$BB$136),"",ReferenceData!$BB$136),"")</f>
        <v>59.314989969999999</v>
      </c>
      <c r="BC136">
        <f ca="1">IFERROR(IF(0=LEN(ReferenceData!$BC$136),"",ReferenceData!$BC$136),"")</f>
        <v>48.603215470000002</v>
      </c>
      <c r="BD136">
        <f ca="1">IFERROR(IF(0=LEN(ReferenceData!$BD$136),"",ReferenceData!$BD$136),"")</f>
        <v>56.042630410000001</v>
      </c>
      <c r="BE136">
        <f ca="1">IFERROR(IF(0=LEN(ReferenceData!$BE$136),"",ReferenceData!$BE$136),"")</f>
        <v>54.950862129999997</v>
      </c>
      <c r="BF136">
        <f ca="1">IFERROR(IF(0=LEN(ReferenceData!$BF$136),"",ReferenceData!$BF$136),"")</f>
        <v>53.811281389999998</v>
      </c>
      <c r="BG136">
        <f ca="1">IFERROR(IF(0=LEN(ReferenceData!$BG$136),"",ReferenceData!$BG$136),"")</f>
        <v>58.864588179999998</v>
      </c>
      <c r="BH136">
        <f ca="1">IFERROR(IF(0=LEN(ReferenceData!$BH$136),"",ReferenceData!$BH$136),"")</f>
        <v>57.6813632</v>
      </c>
      <c r="BI136">
        <f ca="1">IFERROR(IF(0=LEN(ReferenceData!$BI$136),"",ReferenceData!$BI$136),"")</f>
        <v>62.27482466</v>
      </c>
      <c r="BJ136">
        <f ca="1">IFERROR(IF(0=LEN(ReferenceData!$BJ$136),"",ReferenceData!$BJ$136),"")</f>
        <v>56.640095729999999</v>
      </c>
      <c r="BK136">
        <f ca="1">IFERROR(IF(0=LEN(ReferenceData!$BK$136),"",ReferenceData!$BK$136),"")</f>
        <v>62.418052029999998</v>
      </c>
      <c r="BL136">
        <f ca="1">IFERROR(IF(0=LEN(ReferenceData!$BL$136),"",ReferenceData!$BL$136),"")</f>
        <v>60.512361370000001</v>
      </c>
      <c r="BM136">
        <f ca="1">IFERROR(IF(0=LEN(ReferenceData!$BM$136),"",ReferenceData!$BM$136),"")</f>
        <v>60.813258179999998</v>
      </c>
    </row>
    <row r="137" spans="1:65">
      <c r="A137" t="str">
        <f>IFERROR(IF(0=LEN(ReferenceData!$A$137),"",ReferenceData!$A$137),"")</f>
        <v xml:space="preserve">    Boston Properties Inc</v>
      </c>
      <c r="B137" t="str">
        <f>IFERROR(IF(0=LEN(ReferenceData!$B$137),"",ReferenceData!$B$137),"")</f>
        <v>BXP US Equity</v>
      </c>
      <c r="C137" t="str">
        <f>IFERROR(IF(0=LEN(ReferenceData!$C$137),"",ReferenceData!$C$137),"")</f>
        <v>RX225</v>
      </c>
      <c r="D137" t="str">
        <f>IFERROR(IF(0=LEN(ReferenceData!$D$137),"",ReferenceData!$D$137),"")</f>
        <v>EBITDA_TO_REVENUE</v>
      </c>
      <c r="E137" t="str">
        <f>IFERROR(IF(0=LEN(ReferenceData!$E$137),"",ReferenceData!$E$137),"")</f>
        <v>动态</v>
      </c>
      <c r="F137" t="str">
        <f ca="1">IFERROR(IF(0=LEN(ReferenceData!$F$137),"",ReferenceData!$F$137),"")</f>
        <v/>
      </c>
      <c r="G137">
        <f ca="1">IFERROR(IF(0=LEN(ReferenceData!$G$137),"",ReferenceData!$G$137),"")</f>
        <v>58.563494599999999</v>
      </c>
      <c r="H137">
        <f ca="1">IFERROR(IF(0=LEN(ReferenceData!$H$137),"",ReferenceData!$H$137),"")</f>
        <v>58.672032739999999</v>
      </c>
      <c r="I137">
        <f ca="1">IFERROR(IF(0=LEN(ReferenceData!$I$137),"",ReferenceData!$I$137),"")</f>
        <v>59.461841630000002</v>
      </c>
      <c r="J137">
        <f ca="1">IFERROR(IF(0=LEN(ReferenceData!$J$137),"",ReferenceData!$J$137),"")</f>
        <v>57.800350510000001</v>
      </c>
      <c r="K137">
        <f ca="1">IFERROR(IF(0=LEN(ReferenceData!$K$137),"",ReferenceData!$K$137),"")</f>
        <v>59.091502230000003</v>
      </c>
      <c r="L137">
        <f ca="1">IFERROR(IF(0=LEN(ReferenceData!$L$137),"",ReferenceData!$L$137),"")</f>
        <v>57.795396240000002</v>
      </c>
      <c r="M137">
        <f ca="1">IFERROR(IF(0=LEN(ReferenceData!$M$137),"",ReferenceData!$M$137),"")</f>
        <v>59.54636867</v>
      </c>
      <c r="N137">
        <f ca="1">IFERROR(IF(0=LEN(ReferenceData!$N$137),"",ReferenceData!$N$137),"")</f>
        <v>61.533067559999999</v>
      </c>
      <c r="O137">
        <f ca="1">IFERROR(IF(0=LEN(ReferenceData!$O$137),"",ReferenceData!$O$137),"")</f>
        <v>60.063437139999998</v>
      </c>
      <c r="P137">
        <f ca="1">IFERROR(IF(0=LEN(ReferenceData!$P$137),"",ReferenceData!$P$137),"")</f>
        <v>60.45001937</v>
      </c>
      <c r="Q137">
        <f ca="1">IFERROR(IF(0=LEN(ReferenceData!$Q$137),"",ReferenceData!$Q$137),"")</f>
        <v>60.297207630000003</v>
      </c>
      <c r="R137">
        <f ca="1">IFERROR(IF(0=LEN(ReferenceData!$R$137),"",ReferenceData!$R$137),"")</f>
        <v>58.277443259999998</v>
      </c>
      <c r="S137">
        <f ca="1">IFERROR(IF(0=LEN(ReferenceData!$S$137),"",ReferenceData!$S$137),"")</f>
        <v>60.497761959999998</v>
      </c>
      <c r="T137">
        <f ca="1">IFERROR(IF(0=LEN(ReferenceData!$T$137),"",ReferenceData!$T$137),"")</f>
        <v>60.123819699999999</v>
      </c>
      <c r="U137">
        <f ca="1">IFERROR(IF(0=LEN(ReferenceData!$U$137),"",ReferenceData!$U$137),"")</f>
        <v>60.343272399999996</v>
      </c>
      <c r="V137">
        <f ca="1">IFERROR(IF(0=LEN(ReferenceData!$V$137),"",ReferenceData!$V$137),"")</f>
        <v>57.62492735</v>
      </c>
      <c r="W137">
        <f ca="1">IFERROR(IF(0=LEN(ReferenceData!$W$137),"",ReferenceData!$W$137),"")</f>
        <v>60.812497069999999</v>
      </c>
      <c r="X137">
        <f ca="1">IFERROR(IF(0=LEN(ReferenceData!$X$137),"",ReferenceData!$X$137),"")</f>
        <v>59.660076189999998</v>
      </c>
      <c r="Y137">
        <f ca="1">IFERROR(IF(0=LEN(ReferenceData!$Y$137),"",ReferenceData!$Y$137),"")</f>
        <v>59.403411149999997</v>
      </c>
      <c r="Z137">
        <f ca="1">IFERROR(IF(0=LEN(ReferenceData!$Z$137),"",ReferenceData!$Z$137),"")</f>
        <v>52.094970330000002</v>
      </c>
      <c r="AA137">
        <f ca="1">IFERROR(IF(0=LEN(ReferenceData!$AA$137),"",ReferenceData!$AA$137),"")</f>
        <v>60.329842040000003</v>
      </c>
      <c r="AB137">
        <f ca="1">IFERROR(IF(0=LEN(ReferenceData!$AB$137),"",ReferenceData!$AB$137),"")</f>
        <v>58.336547529999997</v>
      </c>
      <c r="AC137">
        <f ca="1">IFERROR(IF(0=LEN(ReferenceData!$AC$137),"",ReferenceData!$AC$137),"")</f>
        <v>60.548341039999997</v>
      </c>
      <c r="AD137">
        <f ca="1">IFERROR(IF(0=LEN(ReferenceData!$AD$137),"",ReferenceData!$AD$137),"")</f>
        <v>57.118773570000002</v>
      </c>
      <c r="AE137">
        <f ca="1">IFERROR(IF(0=LEN(ReferenceData!$AE$137),"",ReferenceData!$AE$137),"")</f>
        <v>60.089273030000001</v>
      </c>
      <c r="AF137">
        <f ca="1">IFERROR(IF(0=LEN(ReferenceData!$AF$137),"",ReferenceData!$AF$137),"")</f>
        <v>60.779003029999998</v>
      </c>
      <c r="AG137">
        <f ca="1">IFERROR(IF(0=LEN(ReferenceData!$AG$137),"",ReferenceData!$AG$137),"")</f>
        <v>61.007635980000003</v>
      </c>
      <c r="AH137">
        <f ca="1">IFERROR(IF(0=LEN(ReferenceData!$AH$137),"",ReferenceData!$AH$137),"")</f>
        <v>59.279170880000002</v>
      </c>
      <c r="AI137">
        <f ca="1">IFERROR(IF(0=LEN(ReferenceData!$AI$137),"",ReferenceData!$AI$137),"")</f>
        <v>61.570721710000001</v>
      </c>
      <c r="AJ137">
        <f ca="1">IFERROR(IF(0=LEN(ReferenceData!$AJ$137),"",ReferenceData!$AJ$137),"")</f>
        <v>60.095494420000001</v>
      </c>
      <c r="AK137">
        <f ca="1">IFERROR(IF(0=LEN(ReferenceData!$AK$137),"",ReferenceData!$AK$137),"")</f>
        <v>62.669960719999999</v>
      </c>
      <c r="AL137">
        <f ca="1">IFERROR(IF(0=LEN(ReferenceData!$AL$137),"",ReferenceData!$AL$137),"")</f>
        <v>58.453570890000002</v>
      </c>
      <c r="AM137">
        <f ca="1">IFERROR(IF(0=LEN(ReferenceData!$AM$137),"",ReferenceData!$AM$137),"")</f>
        <v>59.744820910000001</v>
      </c>
      <c r="AN137">
        <f ca="1">IFERROR(IF(0=LEN(ReferenceData!$AN$137),"",ReferenceData!$AN$137),"")</f>
        <v>59.070826369999999</v>
      </c>
      <c r="AO137">
        <f ca="1">IFERROR(IF(0=LEN(ReferenceData!$AO$137),"",ReferenceData!$AO$137),"")</f>
        <v>61.842152560000002</v>
      </c>
      <c r="AP137">
        <f ca="1">IFERROR(IF(0=LEN(ReferenceData!$AP$137),"",ReferenceData!$AP$137),"")</f>
        <v>53.77518912</v>
      </c>
      <c r="AQ137">
        <f ca="1">IFERROR(IF(0=LEN(ReferenceData!$AQ$137),"",ReferenceData!$AQ$137),"")</f>
        <v>61.855751990000002</v>
      </c>
      <c r="AR137">
        <f ca="1">IFERROR(IF(0=LEN(ReferenceData!$AR$137),"",ReferenceData!$AR$137),"")</f>
        <v>57.31951909</v>
      </c>
      <c r="AS137">
        <f ca="1">IFERROR(IF(0=LEN(ReferenceData!$AS$137),"",ReferenceData!$AS$137),"")</f>
        <v>61.207822499999999</v>
      </c>
      <c r="AT137">
        <f ca="1">IFERROR(IF(0=LEN(ReferenceData!$AT$137),"",ReferenceData!$AT$137),"")</f>
        <v>61.44166362</v>
      </c>
      <c r="AU137">
        <f ca="1">IFERROR(IF(0=LEN(ReferenceData!$AU$137),"",ReferenceData!$AU$137),"")</f>
        <v>62.739567739999998</v>
      </c>
      <c r="AV137">
        <f ca="1">IFERROR(IF(0=LEN(ReferenceData!$AV$137),"",ReferenceData!$AV$137),"")</f>
        <v>62.214854690000003</v>
      </c>
      <c r="AW137">
        <f ca="1">IFERROR(IF(0=LEN(ReferenceData!$AW$137),"",ReferenceData!$AW$137),"")</f>
        <v>63.728832679999996</v>
      </c>
      <c r="AX137">
        <f ca="1">IFERROR(IF(0=LEN(ReferenceData!$AX$137),"",ReferenceData!$AX$137),"")</f>
        <v>62.745250249999998</v>
      </c>
      <c r="AY137">
        <f ca="1">IFERROR(IF(0=LEN(ReferenceData!$AY$137),"",ReferenceData!$AY$137),"")</f>
        <v>64.42471553</v>
      </c>
      <c r="AZ137">
        <f ca="1">IFERROR(IF(0=LEN(ReferenceData!$AZ$137),"",ReferenceData!$AZ$137),"")</f>
        <v>64.043093540000001</v>
      </c>
      <c r="BA137">
        <f ca="1">IFERROR(IF(0=LEN(ReferenceData!$BA$137),"",ReferenceData!$BA$137),"")</f>
        <v>63.620285490000001</v>
      </c>
      <c r="BB137">
        <f ca="1">IFERROR(IF(0=LEN(ReferenceData!$BB$137),"",ReferenceData!$BB$137),"")</f>
        <v>62.332038560000001</v>
      </c>
      <c r="BC137">
        <f ca="1">IFERROR(IF(0=LEN(ReferenceData!$BC$137),"",ReferenceData!$BC$137),"")</f>
        <v>61.378854760000003</v>
      </c>
      <c r="BD137">
        <f ca="1">IFERROR(IF(0=LEN(ReferenceData!$BD$137),"",ReferenceData!$BD$137),"")</f>
        <v>62.001035940000001</v>
      </c>
      <c r="BE137">
        <f ca="1">IFERROR(IF(0=LEN(ReferenceData!$BE$137),"",ReferenceData!$BE$137),"")</f>
        <v>62.839901099999999</v>
      </c>
      <c r="BF137">
        <f ca="1">IFERROR(IF(0=LEN(ReferenceData!$BF$137),"",ReferenceData!$BF$137),"")</f>
        <v>62.249451690000001</v>
      </c>
      <c r="BG137">
        <f ca="1">IFERROR(IF(0=LEN(ReferenceData!$BG$137),"",ReferenceData!$BG$137),"")</f>
        <v>61.938516509999999</v>
      </c>
      <c r="BH137">
        <f ca="1">IFERROR(IF(0=LEN(ReferenceData!$BH$137),"",ReferenceData!$BH$137),"")</f>
        <v>62.581131990000003</v>
      </c>
      <c r="BI137">
        <f ca="1">IFERROR(IF(0=LEN(ReferenceData!$BI$137),"",ReferenceData!$BI$137),"")</f>
        <v>63.023820090000001</v>
      </c>
      <c r="BJ137">
        <f ca="1">IFERROR(IF(0=LEN(ReferenceData!$BJ$137),"",ReferenceData!$BJ$137),"")</f>
        <v>62.537838299999997</v>
      </c>
      <c r="BK137">
        <f ca="1">IFERROR(IF(0=LEN(ReferenceData!$BK$137),"",ReferenceData!$BK$137),"")</f>
        <v>62.418052029999998</v>
      </c>
      <c r="BL137">
        <f ca="1">IFERROR(IF(0=LEN(ReferenceData!$BL$137),"",ReferenceData!$BL$137),"")</f>
        <v>60.512361370000001</v>
      </c>
      <c r="BM137">
        <f ca="1">IFERROR(IF(0=LEN(ReferenceData!$BM$137),"",ReferenceData!$BM$137),"")</f>
        <v>39.798501999999999</v>
      </c>
    </row>
    <row r="138" spans="1:65">
      <c r="A138" t="str">
        <f>IFERROR(IF(0=LEN(ReferenceData!$A$138),"",ReferenceData!$A$138),"")</f>
        <v xml:space="preserve">    Brandywine Realty Trust</v>
      </c>
      <c r="B138" t="str">
        <f>IFERROR(IF(0=LEN(ReferenceData!$B$138),"",ReferenceData!$B$138),"")</f>
        <v>BDN US Equity</v>
      </c>
      <c r="C138" t="str">
        <f>IFERROR(IF(0=LEN(ReferenceData!$C$138),"",ReferenceData!$C$138),"")</f>
        <v>RX225</v>
      </c>
      <c r="D138" t="str">
        <f>IFERROR(IF(0=LEN(ReferenceData!$D$138),"",ReferenceData!$D$138),"")</f>
        <v>EBITDA_TO_REVENUE</v>
      </c>
      <c r="E138" t="str">
        <f>IFERROR(IF(0=LEN(ReferenceData!$E$138),"",ReferenceData!$E$138),"")</f>
        <v>动态</v>
      </c>
      <c r="F138" t="str">
        <f ca="1">IFERROR(IF(0=LEN(ReferenceData!$F$138),"",ReferenceData!$F$138),"")</f>
        <v/>
      </c>
      <c r="G138">
        <f ca="1">IFERROR(IF(0=LEN(ReferenceData!$G$138),"",ReferenceData!$G$138),"")</f>
        <v>54.155417569999997</v>
      </c>
      <c r="H138">
        <f ca="1">IFERROR(IF(0=LEN(ReferenceData!$H$138),"",ReferenceData!$H$138),"")</f>
        <v>55.600367489999996</v>
      </c>
      <c r="I138">
        <f ca="1">IFERROR(IF(0=LEN(ReferenceData!$I$138),"",ReferenceData!$I$138),"")</f>
        <v>54.852063129999998</v>
      </c>
      <c r="J138">
        <f ca="1">IFERROR(IF(0=LEN(ReferenceData!$J$138),"",ReferenceData!$J$138),"")</f>
        <v>50.67674916</v>
      </c>
      <c r="K138">
        <f ca="1">IFERROR(IF(0=LEN(ReferenceData!$K$138),"",ReferenceData!$K$138),"")</f>
        <v>33.447148069999997</v>
      </c>
      <c r="L138">
        <f ca="1">IFERROR(IF(0=LEN(ReferenceData!$L$138),"",ReferenceData!$L$138),"")</f>
        <v>55.01950746</v>
      </c>
      <c r="M138">
        <f ca="1">IFERROR(IF(0=LEN(ReferenceData!$M$138),"",ReferenceData!$M$138),"")</f>
        <v>50.205612469999998</v>
      </c>
      <c r="N138">
        <f ca="1">IFERROR(IF(0=LEN(ReferenceData!$N$138),"",ReferenceData!$N$138),"")</f>
        <v>46.142181069999999</v>
      </c>
      <c r="O138">
        <f ca="1">IFERROR(IF(0=LEN(ReferenceData!$O$138),"",ReferenceData!$O$138),"")</f>
        <v>1.8319133460000001</v>
      </c>
      <c r="P138">
        <f ca="1">IFERROR(IF(0=LEN(ReferenceData!$P$138),"",ReferenceData!$P$138),"")</f>
        <v>54.861224890000003</v>
      </c>
      <c r="Q138">
        <f ca="1">IFERROR(IF(0=LEN(ReferenceData!$Q$138),"",ReferenceData!$Q$138),"")</f>
        <v>55.726820830000001</v>
      </c>
      <c r="R138">
        <f ca="1">IFERROR(IF(0=LEN(ReferenceData!$R$138),"",ReferenceData!$R$138),"")</f>
        <v>51.896865820000002</v>
      </c>
      <c r="S138">
        <f ca="1">IFERROR(IF(0=LEN(ReferenceData!$S$138),"",ReferenceData!$S$138),"")</f>
        <v>52.277247819999999</v>
      </c>
      <c r="T138">
        <f ca="1">IFERROR(IF(0=LEN(ReferenceData!$T$138),"",ReferenceData!$T$138),"")</f>
        <v>55.895276959999997</v>
      </c>
      <c r="U138">
        <f ca="1">IFERROR(IF(0=LEN(ReferenceData!$U$138),"",ReferenceData!$U$138),"")</f>
        <v>56.509634550000001</v>
      </c>
      <c r="V138">
        <f ca="1">IFERROR(IF(0=LEN(ReferenceData!$V$138),"",ReferenceData!$V$138),"")</f>
        <v>52.593449649999997</v>
      </c>
      <c r="W138">
        <f ca="1">IFERROR(IF(0=LEN(ReferenceData!$W$138),"",ReferenceData!$W$138),"")</f>
        <v>49.319188220000001</v>
      </c>
      <c r="X138">
        <f ca="1">IFERROR(IF(0=LEN(ReferenceData!$X$138),"",ReferenceData!$X$138),"")</f>
        <v>55.110425939999999</v>
      </c>
      <c r="Y138">
        <f ca="1">IFERROR(IF(0=LEN(ReferenceData!$Y$138),"",ReferenceData!$Y$138),"")</f>
        <v>55.078069450000001</v>
      </c>
      <c r="Z138">
        <f ca="1">IFERROR(IF(0=LEN(ReferenceData!$Z$138),"",ReferenceData!$Z$138),"")</f>
        <v>55.169325139999998</v>
      </c>
      <c r="AA138">
        <f ca="1">IFERROR(IF(0=LEN(ReferenceData!$AA$138),"",ReferenceData!$AA$138),"")</f>
        <v>-53.603137940000003</v>
      </c>
      <c r="AB138">
        <f ca="1">IFERROR(IF(0=LEN(ReferenceData!$AB$138),"",ReferenceData!$AB$138),"")</f>
        <v>55.835563479999998</v>
      </c>
      <c r="AC138">
        <f ca="1">IFERROR(IF(0=LEN(ReferenceData!$AC$138),"",ReferenceData!$AC$138),"")</f>
        <v>57.495656400000001</v>
      </c>
      <c r="AD138">
        <f ca="1">IFERROR(IF(0=LEN(ReferenceData!$AD$138),"",ReferenceData!$AD$138),"")</f>
        <v>57.628642999999997</v>
      </c>
      <c r="AE138">
        <f ca="1">IFERROR(IF(0=LEN(ReferenceData!$AE$138),"",ReferenceData!$AE$138),"")</f>
        <v>55.143265059999997</v>
      </c>
      <c r="AF138">
        <f ca="1">IFERROR(IF(0=LEN(ReferenceData!$AF$138),"",ReferenceData!$AF$138),"")</f>
        <v>56.508920310000001</v>
      </c>
      <c r="AG138">
        <f ca="1">IFERROR(IF(0=LEN(ReferenceData!$AG$138),"",ReferenceData!$AG$138),"")</f>
        <v>57.377790859999998</v>
      </c>
      <c r="AH138">
        <f ca="1">IFERROR(IF(0=LEN(ReferenceData!$AH$138),"",ReferenceData!$AH$138),"")</f>
        <v>53.896796909999999</v>
      </c>
      <c r="AI138">
        <f ca="1">IFERROR(IF(0=LEN(ReferenceData!$AI$138),"",ReferenceData!$AI$138),"")</f>
        <v>54.519317649999998</v>
      </c>
      <c r="AJ138">
        <f ca="1">IFERROR(IF(0=LEN(ReferenceData!$AJ$138),"",ReferenceData!$AJ$138),"")</f>
        <v>55.313374609999997</v>
      </c>
      <c r="AK138">
        <f ca="1">IFERROR(IF(0=LEN(ReferenceData!$AK$138),"",ReferenceData!$AK$138),"")</f>
        <v>54.41375086</v>
      </c>
      <c r="AL138">
        <f ca="1">IFERROR(IF(0=LEN(ReferenceData!$AL$138),"",ReferenceData!$AL$138),"")</f>
        <v>53.431989479999999</v>
      </c>
      <c r="AM138">
        <f ca="1">IFERROR(IF(0=LEN(ReferenceData!$AM$138),"",ReferenceData!$AM$138),"")</f>
        <v>46.336822720000001</v>
      </c>
      <c r="AN138">
        <f ca="1">IFERROR(IF(0=LEN(ReferenceData!$AN$138),"",ReferenceData!$AN$138),"")</f>
        <v>52.288020609999997</v>
      </c>
      <c r="AO138">
        <f ca="1">IFERROR(IF(0=LEN(ReferenceData!$AO$138),"",ReferenceData!$AO$138),"")</f>
        <v>55.773751709999999</v>
      </c>
      <c r="AP138">
        <f ca="1">IFERROR(IF(0=LEN(ReferenceData!$AP$138),"",ReferenceData!$AP$138),"")</f>
        <v>52.190743609999998</v>
      </c>
      <c r="AQ138">
        <f ca="1">IFERROR(IF(0=LEN(ReferenceData!$AQ$138),"",ReferenceData!$AQ$138),"")</f>
        <v>43.529609010000001</v>
      </c>
      <c r="AR138">
        <f ca="1">IFERROR(IF(0=LEN(ReferenceData!$AR$138),"",ReferenceData!$AR$138),"")</f>
        <v>54.571214789999999</v>
      </c>
      <c r="AS138">
        <f ca="1">IFERROR(IF(0=LEN(ReferenceData!$AS$138),"",ReferenceData!$AS$138),"")</f>
        <v>57.57332555</v>
      </c>
      <c r="AT138">
        <f ca="1">IFERROR(IF(0=LEN(ReferenceData!$AT$138),"",ReferenceData!$AT$138),"")</f>
        <v>57.059719919999999</v>
      </c>
      <c r="AU138">
        <f ca="1">IFERROR(IF(0=LEN(ReferenceData!$AU$138),"",ReferenceData!$AU$138),"")</f>
        <v>55.828697929999997</v>
      </c>
      <c r="AV138">
        <f ca="1">IFERROR(IF(0=LEN(ReferenceData!$AV$138),"",ReferenceData!$AV$138),"")</f>
        <v>56.648890520000002</v>
      </c>
      <c r="AW138">
        <f ca="1">IFERROR(IF(0=LEN(ReferenceData!$AW$138),"",ReferenceData!$AW$138),"")</f>
        <v>55.406648269999998</v>
      </c>
      <c r="AX138">
        <f ca="1">IFERROR(IF(0=LEN(ReferenceData!$AX$138),"",ReferenceData!$AX$138),"")</f>
        <v>55.617692529999999</v>
      </c>
      <c r="AY138">
        <f ca="1">IFERROR(IF(0=LEN(ReferenceData!$AY$138),"",ReferenceData!$AY$138),"")</f>
        <v>55.35529185</v>
      </c>
      <c r="AZ138">
        <f ca="1">IFERROR(IF(0=LEN(ReferenceData!$AZ$138),"",ReferenceData!$AZ$138),"")</f>
        <v>60.314938669999997</v>
      </c>
      <c r="BA138">
        <f ca="1">IFERROR(IF(0=LEN(ReferenceData!$BA$138),"",ReferenceData!$BA$138),"")</f>
        <v>61.527953879999998</v>
      </c>
      <c r="BB138">
        <f ca="1">IFERROR(IF(0=LEN(ReferenceData!$BB$138),"",ReferenceData!$BB$138),"")</f>
        <v>59.788630529999999</v>
      </c>
      <c r="BC138">
        <f ca="1">IFERROR(IF(0=LEN(ReferenceData!$BC$138),"",ReferenceData!$BC$138),"")</f>
        <v>27.260905180000002</v>
      </c>
      <c r="BD138">
        <f ca="1">IFERROR(IF(0=LEN(ReferenceData!$BD$138),"",ReferenceData!$BD$138),"")</f>
        <v>56.042630410000001</v>
      </c>
      <c r="BE138">
        <f ca="1">IFERROR(IF(0=LEN(ReferenceData!$BE$138),"",ReferenceData!$BE$138),"")</f>
        <v>54.950862129999997</v>
      </c>
      <c r="BF138">
        <f ca="1">IFERROR(IF(0=LEN(ReferenceData!$BF$138),"",ReferenceData!$BF$138),"")</f>
        <v>53.811281389999998</v>
      </c>
      <c r="BG138">
        <f ca="1">IFERROR(IF(0=LEN(ReferenceData!$BG$138),"",ReferenceData!$BG$138),"")</f>
        <v>59.106700779999997</v>
      </c>
      <c r="BH138">
        <f ca="1">IFERROR(IF(0=LEN(ReferenceData!$BH$138),"",ReferenceData!$BH$138),"")</f>
        <v>19.52603891</v>
      </c>
      <c r="BI138">
        <f ca="1">IFERROR(IF(0=LEN(ReferenceData!$BI$138),"",ReferenceData!$BI$138),"")</f>
        <v>58.88867175</v>
      </c>
      <c r="BJ138">
        <f ca="1">IFERROR(IF(0=LEN(ReferenceData!$BJ$138),"",ReferenceData!$BJ$138),"")</f>
        <v>53.034118599999999</v>
      </c>
      <c r="BK138" t="str">
        <f ca="1">IFERROR(IF(0=LEN(ReferenceData!$BK$138),"",ReferenceData!$BK$138),"")</f>
        <v/>
      </c>
      <c r="BL138">
        <f ca="1">IFERROR(IF(0=LEN(ReferenceData!$BL$138),"",ReferenceData!$BL$138),"")</f>
        <v>58.806799740000002</v>
      </c>
      <c r="BM138">
        <f ca="1">IFERROR(IF(0=LEN(ReferenceData!$BM$138),"",ReferenceData!$BM$138),"")</f>
        <v>58.17979158</v>
      </c>
    </row>
    <row r="139" spans="1:65">
      <c r="A139" t="str">
        <f>IFERROR(IF(0=LEN(ReferenceData!$A$139),"",ReferenceData!$A$139),"")</f>
        <v xml:space="preserve">    Columbia Property Trust Inc</v>
      </c>
      <c r="B139" t="str">
        <f>IFERROR(IF(0=LEN(ReferenceData!$B$139),"",ReferenceData!$B$139),"")</f>
        <v>CXP US Equity</v>
      </c>
      <c r="C139" t="str">
        <f>IFERROR(IF(0=LEN(ReferenceData!$C$139),"",ReferenceData!$C$139),"")</f>
        <v>RX225</v>
      </c>
      <c r="D139" t="str">
        <f>IFERROR(IF(0=LEN(ReferenceData!$D$139),"",ReferenceData!$D$139),"")</f>
        <v>EBITDA_TO_REVENUE</v>
      </c>
      <c r="E139" t="str">
        <f>IFERROR(IF(0=LEN(ReferenceData!$E$139),"",ReferenceData!$E$139),"")</f>
        <v>动态</v>
      </c>
      <c r="F139" t="str">
        <f ca="1">IFERROR(IF(0=LEN(ReferenceData!$F$139),"",ReferenceData!$F$139),"")</f>
        <v/>
      </c>
      <c r="G139">
        <f ca="1">IFERROR(IF(0=LEN(ReferenceData!$G$139),"",ReferenceData!$G$139),"")</f>
        <v>52.106108200000001</v>
      </c>
      <c r="H139">
        <f ca="1">IFERROR(IF(0=LEN(ReferenceData!$H$139),"",ReferenceData!$H$139),"")</f>
        <v>56.850336300000002</v>
      </c>
      <c r="I139">
        <f ca="1">IFERROR(IF(0=LEN(ReferenceData!$I$139),"",ReferenceData!$I$139),"")</f>
        <v>57.823583630000002</v>
      </c>
      <c r="J139">
        <f ca="1">IFERROR(IF(0=LEN(ReferenceData!$J$139),"",ReferenceData!$J$139),"")</f>
        <v>56.417060229999997</v>
      </c>
      <c r="K139">
        <f ca="1">IFERROR(IF(0=LEN(ReferenceData!$K$139),"",ReferenceData!$K$139),"")</f>
        <v>54.817146960000002</v>
      </c>
      <c r="L139">
        <f ca="1">IFERROR(IF(0=LEN(ReferenceData!$L$139),"",ReferenceData!$L$139),"")</f>
        <v>53.576536650000001</v>
      </c>
      <c r="M139">
        <f ca="1">IFERROR(IF(0=LEN(ReferenceData!$M$139),"",ReferenceData!$M$139),"")</f>
        <v>56.999921829999998</v>
      </c>
      <c r="N139">
        <f ca="1">IFERROR(IF(0=LEN(ReferenceData!$N$139),"",ReferenceData!$N$139),"")</f>
        <v>54.329707139999996</v>
      </c>
      <c r="O139">
        <f ca="1">IFERROR(IF(0=LEN(ReferenceData!$O$139),"",ReferenceData!$O$139),"")</f>
        <v>56.112120230000002</v>
      </c>
      <c r="P139">
        <f ca="1">IFERROR(IF(0=LEN(ReferenceData!$P$139),"",ReferenceData!$P$139),"")</f>
        <v>54.095658550000003</v>
      </c>
      <c r="Q139">
        <f ca="1">IFERROR(IF(0=LEN(ReferenceData!$Q$139),"",ReferenceData!$Q$139),"")</f>
        <v>57.452539760000001</v>
      </c>
      <c r="R139">
        <f ca="1">IFERROR(IF(0=LEN(ReferenceData!$R$139),"",ReferenceData!$R$139),"")</f>
        <v>54.235036569999998</v>
      </c>
      <c r="S139">
        <f ca="1">IFERROR(IF(0=LEN(ReferenceData!$S$139),"",ReferenceData!$S$139),"")</f>
        <v>48.456389469999998</v>
      </c>
      <c r="T139">
        <f ca="1">IFERROR(IF(0=LEN(ReferenceData!$T$139),"",ReferenceData!$T$139),"")</f>
        <v>53.549762379999997</v>
      </c>
      <c r="U139">
        <f ca="1">IFERROR(IF(0=LEN(ReferenceData!$U$139),"",ReferenceData!$U$139),"")</f>
        <v>55.34707547</v>
      </c>
      <c r="V139">
        <f ca="1">IFERROR(IF(0=LEN(ReferenceData!$V$139),"",ReferenceData!$V$139),"")</f>
        <v>50.31122259</v>
      </c>
      <c r="W139">
        <f ca="1">IFERROR(IF(0=LEN(ReferenceData!$W$139),"",ReferenceData!$W$139),"")</f>
        <v>58.54543546</v>
      </c>
      <c r="X139">
        <f ca="1">IFERROR(IF(0=LEN(ReferenceData!$X$139),"",ReferenceData!$X$139),"")</f>
        <v>64.012618680000003</v>
      </c>
      <c r="Y139">
        <f ca="1">IFERROR(IF(0=LEN(ReferenceData!$Y$139),"",ReferenceData!$Y$139),"")</f>
        <v>65.174340580000006</v>
      </c>
      <c r="Z139">
        <f ca="1">IFERROR(IF(0=LEN(ReferenceData!$Z$139),"",ReferenceData!$Z$139),"")</f>
        <v>38.951177090000002</v>
      </c>
      <c r="AA139">
        <f ca="1">IFERROR(IF(0=LEN(ReferenceData!$AA$139),"",ReferenceData!$AA$139),"")</f>
        <v>58.095025620000001</v>
      </c>
      <c r="AB139">
        <f ca="1">IFERROR(IF(0=LEN(ReferenceData!$AB$139),"",ReferenceData!$AB$139),"")</f>
        <v>57.436354590000001</v>
      </c>
      <c r="AC139">
        <f ca="1">IFERROR(IF(0=LEN(ReferenceData!$AC$139),"",ReferenceData!$AC$139),"")</f>
        <v>58.205588380000002</v>
      </c>
      <c r="AD139">
        <f ca="1">IFERROR(IF(0=LEN(ReferenceData!$AD$139),"",ReferenceData!$AD$139),"")</f>
        <v>60.087024200000002</v>
      </c>
      <c r="AE139">
        <f ca="1">IFERROR(IF(0=LEN(ReferenceData!$AE$139),"",ReferenceData!$AE$139),"")</f>
        <v>49.018726710000003</v>
      </c>
      <c r="AF139">
        <f ca="1">IFERROR(IF(0=LEN(ReferenceData!$AF$139),"",ReferenceData!$AF$139),"")</f>
        <v>58.579392149999997</v>
      </c>
      <c r="AG139">
        <f ca="1">IFERROR(IF(0=LEN(ReferenceData!$AG$139),"",ReferenceData!$AG$139),"")</f>
        <v>57.641895689999998</v>
      </c>
      <c r="AH139">
        <f ca="1">IFERROR(IF(0=LEN(ReferenceData!$AH$139),"",ReferenceData!$AH$139),"")</f>
        <v>51.853652779999997</v>
      </c>
      <c r="AI139">
        <f ca="1">IFERROR(IF(0=LEN(ReferenceData!$AI$139),"",ReferenceData!$AI$139),"")</f>
        <v>62.289536519999999</v>
      </c>
      <c r="AJ139">
        <f ca="1">IFERROR(IF(0=LEN(ReferenceData!$AJ$139),"",ReferenceData!$AJ$139),"")</f>
        <v>56.922810900000002</v>
      </c>
      <c r="AK139">
        <f ca="1">IFERROR(IF(0=LEN(ReferenceData!$AK$139),"",ReferenceData!$AK$139),"")</f>
        <v>54.089899989999999</v>
      </c>
      <c r="AL139">
        <f ca="1">IFERROR(IF(0=LEN(ReferenceData!$AL$139),"",ReferenceData!$AL$139),"")</f>
        <v>54.34080281</v>
      </c>
      <c r="AM139">
        <f ca="1">IFERROR(IF(0=LEN(ReferenceData!$AM$139),"",ReferenceData!$AM$139),"")</f>
        <v>57.885840080000001</v>
      </c>
      <c r="AN139">
        <f ca="1">IFERROR(IF(0=LEN(ReferenceData!$AN$139),"",ReferenceData!$AN$139),"")</f>
        <v>54.361583230000001</v>
      </c>
      <c r="AO139">
        <f ca="1">IFERROR(IF(0=LEN(ReferenceData!$AO$139),"",ReferenceData!$AO$139),"")</f>
        <v>51.81055903</v>
      </c>
      <c r="AP139">
        <f ca="1">IFERROR(IF(0=LEN(ReferenceData!$AP$139),"",ReferenceData!$AP$139),"")</f>
        <v>49.151357609999998</v>
      </c>
      <c r="AQ139" t="str">
        <f ca="1">IFERROR(IF(0=LEN(ReferenceData!$AQ$139),"",ReferenceData!$AQ$139),"")</f>
        <v/>
      </c>
      <c r="AR139" t="str">
        <f ca="1">IFERROR(IF(0=LEN(ReferenceData!$AR$139),"",ReferenceData!$AR$139),"")</f>
        <v/>
      </c>
      <c r="AS139" t="str">
        <f ca="1">IFERROR(IF(0=LEN(ReferenceData!$AS$139),"",ReferenceData!$AS$139),"")</f>
        <v/>
      </c>
      <c r="AT139" t="str">
        <f ca="1">IFERROR(IF(0=LEN(ReferenceData!$AT$139),"",ReferenceData!$AT$139),"")</f>
        <v/>
      </c>
      <c r="AU139" t="str">
        <f ca="1">IFERROR(IF(0=LEN(ReferenceData!$AU$139),"",ReferenceData!$AU$139),"")</f>
        <v/>
      </c>
      <c r="AV139" t="str">
        <f ca="1">IFERROR(IF(0=LEN(ReferenceData!$AV$139),"",ReferenceData!$AV$139),"")</f>
        <v/>
      </c>
      <c r="AW139" t="str">
        <f ca="1">IFERROR(IF(0=LEN(ReferenceData!$AW$139),"",ReferenceData!$AW$139),"")</f>
        <v/>
      </c>
      <c r="AX139" t="str">
        <f ca="1">IFERROR(IF(0=LEN(ReferenceData!$AX$139),"",ReferenceData!$AX$139),"")</f>
        <v/>
      </c>
      <c r="AY139" t="str">
        <f ca="1">IFERROR(IF(0=LEN(ReferenceData!$AY$139),"",ReferenceData!$AY$139),"")</f>
        <v/>
      </c>
      <c r="AZ139" t="str">
        <f ca="1">IFERROR(IF(0=LEN(ReferenceData!$AZ$139),"",ReferenceData!$AZ$139),"")</f>
        <v/>
      </c>
      <c r="BA139" t="str">
        <f ca="1">IFERROR(IF(0=LEN(ReferenceData!$BA$139),"",ReferenceData!$BA$139),"")</f>
        <v/>
      </c>
      <c r="BB139" t="str">
        <f ca="1">IFERROR(IF(0=LEN(ReferenceData!$BB$139),"",ReferenceData!$BB$139),"")</f>
        <v/>
      </c>
      <c r="BC139" t="str">
        <f ca="1">IFERROR(IF(0=LEN(ReferenceData!$BC$139),"",ReferenceData!$BC$139),"")</f>
        <v/>
      </c>
      <c r="BD139" t="str">
        <f ca="1">IFERROR(IF(0=LEN(ReferenceData!$BD$139),"",ReferenceData!$BD$139),"")</f>
        <v/>
      </c>
      <c r="BE139" t="str">
        <f ca="1">IFERROR(IF(0=LEN(ReferenceData!$BE$139),"",ReferenceData!$BE$139),"")</f>
        <v/>
      </c>
      <c r="BF139" t="str">
        <f ca="1">IFERROR(IF(0=LEN(ReferenceData!$BF$139),"",ReferenceData!$BF$139),"")</f>
        <v/>
      </c>
      <c r="BG139" t="str">
        <f ca="1">IFERROR(IF(0=LEN(ReferenceData!$BG$139),"",ReferenceData!$BG$139),"")</f>
        <v/>
      </c>
      <c r="BH139" t="str">
        <f ca="1">IFERROR(IF(0=LEN(ReferenceData!$BH$139),"",ReferenceData!$BH$139),"")</f>
        <v/>
      </c>
      <c r="BI139" t="str">
        <f ca="1">IFERROR(IF(0=LEN(ReferenceData!$BI$139),"",ReferenceData!$BI$139),"")</f>
        <v/>
      </c>
      <c r="BJ139" t="str">
        <f ca="1">IFERROR(IF(0=LEN(ReferenceData!$BJ$139),"",ReferenceData!$BJ$139),"")</f>
        <v/>
      </c>
      <c r="BK139" t="str">
        <f ca="1">IFERROR(IF(0=LEN(ReferenceData!$BK$139),"",ReferenceData!$BK$139),"")</f>
        <v/>
      </c>
      <c r="BL139" t="str">
        <f ca="1">IFERROR(IF(0=LEN(ReferenceData!$BL$139),"",ReferenceData!$BL$139),"")</f>
        <v/>
      </c>
      <c r="BM139" t="str">
        <f ca="1">IFERROR(IF(0=LEN(ReferenceData!$BM$139),"",ReferenceData!$BM$139),"")</f>
        <v/>
      </c>
    </row>
    <row r="140" spans="1:65">
      <c r="A140" t="str">
        <f>IFERROR(IF(0=LEN(ReferenceData!$A$140),"",ReferenceData!$A$140),"")</f>
        <v xml:space="preserve">    Corporate Office Properties Tr</v>
      </c>
      <c r="B140" t="str">
        <f>IFERROR(IF(0=LEN(ReferenceData!$B$140),"",ReferenceData!$B$140),"")</f>
        <v>OFC US Equity</v>
      </c>
      <c r="C140" t="str">
        <f>IFERROR(IF(0=LEN(ReferenceData!$C$140),"",ReferenceData!$C$140),"")</f>
        <v>RX225</v>
      </c>
      <c r="D140" t="str">
        <f>IFERROR(IF(0=LEN(ReferenceData!$D$140),"",ReferenceData!$D$140),"")</f>
        <v>EBITDA_TO_REVENUE</v>
      </c>
      <c r="E140" t="str">
        <f>IFERROR(IF(0=LEN(ReferenceData!$E$140),"",ReferenceData!$E$140),"")</f>
        <v>动态</v>
      </c>
      <c r="F140" t="str">
        <f ca="1">IFERROR(IF(0=LEN(ReferenceData!$F$140),"",ReferenceData!$F$140),"")</f>
        <v/>
      </c>
      <c r="G140">
        <f ca="1">IFERROR(IF(0=LEN(ReferenceData!$G$140),"",ReferenceData!$G$140),"")</f>
        <v>36.085606470000002</v>
      </c>
      <c r="H140">
        <f ca="1">IFERROR(IF(0=LEN(ReferenceData!$H$140),"",ReferenceData!$H$140),"")</f>
        <v>47.099358670000001</v>
      </c>
      <c r="I140">
        <f ca="1">IFERROR(IF(0=LEN(ReferenceData!$I$140),"",ReferenceData!$I$140),"")</f>
        <v>46.221811340000002</v>
      </c>
      <c r="J140">
        <f ca="1">IFERROR(IF(0=LEN(ReferenceData!$J$140),"",ReferenceData!$J$140),"")</f>
        <v>49.358016040000003</v>
      </c>
      <c r="K140">
        <f ca="1">IFERROR(IF(0=LEN(ReferenceData!$K$140),"",ReferenceData!$K$140),"")</f>
        <v>49.920769630000002</v>
      </c>
      <c r="L140">
        <f ca="1">IFERROR(IF(0=LEN(ReferenceData!$L$140),"",ReferenceData!$L$140),"")</f>
        <v>31.000752970000001</v>
      </c>
      <c r="M140">
        <f ca="1">IFERROR(IF(0=LEN(ReferenceData!$M$140),"",ReferenceData!$M$140),"")</f>
        <v>4.6262857459999998</v>
      </c>
      <c r="N140">
        <f ca="1">IFERROR(IF(0=LEN(ReferenceData!$N$140),"",ReferenceData!$N$140),"")</f>
        <v>45.453789489999998</v>
      </c>
      <c r="O140">
        <f ca="1">IFERROR(IF(0=LEN(ReferenceData!$O$140),"",ReferenceData!$O$140),"")</f>
        <v>39.69230769</v>
      </c>
      <c r="P140">
        <f ca="1">IFERROR(IF(0=LEN(ReferenceData!$P$140),"",ReferenceData!$P$140),"")</f>
        <v>47.090431459999998</v>
      </c>
      <c r="Q140">
        <f ca="1">IFERROR(IF(0=LEN(ReferenceData!$Q$140),"",ReferenceData!$Q$140),"")</f>
        <v>42.135909789999999</v>
      </c>
      <c r="R140">
        <f ca="1">IFERROR(IF(0=LEN(ReferenceData!$R$140),"",ReferenceData!$R$140),"")</f>
        <v>38.91476334</v>
      </c>
      <c r="S140">
        <f ca="1">IFERROR(IF(0=LEN(ReferenceData!$S$140),"",ReferenceData!$S$140),"")</f>
        <v>46.960965090000002</v>
      </c>
      <c r="T140">
        <f ca="1">IFERROR(IF(0=LEN(ReferenceData!$T$140),"",ReferenceData!$T$140),"")</f>
        <v>44.572100769999999</v>
      </c>
      <c r="U140">
        <f ca="1">IFERROR(IF(0=LEN(ReferenceData!$U$140),"",ReferenceData!$U$140),"")</f>
        <v>45.468459449999997</v>
      </c>
      <c r="V140">
        <f ca="1">IFERROR(IF(0=LEN(ReferenceData!$V$140),"",ReferenceData!$V$140),"")</f>
        <v>47.254665330000002</v>
      </c>
      <c r="W140">
        <f ca="1">IFERROR(IF(0=LEN(ReferenceData!$W$140),"",ReferenceData!$W$140),"")</f>
        <v>51.753854750000002</v>
      </c>
      <c r="X140">
        <f ca="1">IFERROR(IF(0=LEN(ReferenceData!$X$140),"",ReferenceData!$X$140),"")</f>
        <v>45.811458739999999</v>
      </c>
      <c r="Y140">
        <f ca="1">IFERROR(IF(0=LEN(ReferenceData!$Y$140),"",ReferenceData!$Y$140),"")</f>
        <v>51.045580729999998</v>
      </c>
      <c r="Z140">
        <f ca="1">IFERROR(IF(0=LEN(ReferenceData!$Z$140),"",ReferenceData!$Z$140),"")</f>
        <v>51.455803009999997</v>
      </c>
      <c r="AA140">
        <f ca="1">IFERROR(IF(0=LEN(ReferenceData!$AA$140),"",ReferenceData!$AA$140),"")</f>
        <v>47.0162476</v>
      </c>
      <c r="AB140">
        <f ca="1">IFERROR(IF(0=LEN(ReferenceData!$AB$140),"",ReferenceData!$AB$140),"")</f>
        <v>17.439144330000001</v>
      </c>
      <c r="AC140">
        <f ca="1">IFERROR(IF(0=LEN(ReferenceData!$AC$140),"",ReferenceData!$AC$140),"")</f>
        <v>51.532930190000002</v>
      </c>
      <c r="AD140">
        <f ca="1">IFERROR(IF(0=LEN(ReferenceData!$AD$140),"",ReferenceData!$AD$140),"")</f>
        <v>51.361246639999997</v>
      </c>
      <c r="AE140">
        <f ca="1">IFERROR(IF(0=LEN(ReferenceData!$AE$140),"",ReferenceData!$AE$140),"")</f>
        <v>19.241408409999998</v>
      </c>
      <c r="AF140">
        <f ca="1">IFERROR(IF(0=LEN(ReferenceData!$AF$140),"",ReferenceData!$AF$140),"")</f>
        <v>50.777778650000002</v>
      </c>
      <c r="AG140">
        <f ca="1">IFERROR(IF(0=LEN(ReferenceData!$AG$140),"",ReferenceData!$AG$140),"")</f>
        <v>33.844336179999999</v>
      </c>
      <c r="AH140">
        <f ca="1">IFERROR(IF(0=LEN(ReferenceData!$AH$140),"",ReferenceData!$AH$140),"")</f>
        <v>27.385463560000002</v>
      </c>
      <c r="AI140">
        <f ca="1">IFERROR(IF(0=LEN(ReferenceData!$AI$140),"",ReferenceData!$AI$140),"")</f>
        <v>47.729116820000002</v>
      </c>
      <c r="AJ140">
        <f ca="1">IFERROR(IF(0=LEN(ReferenceData!$AJ$140),"",ReferenceData!$AJ$140),"")</f>
        <v>49.125775969999999</v>
      </c>
      <c r="AK140">
        <f ca="1">IFERROR(IF(0=LEN(ReferenceData!$AK$140),"",ReferenceData!$AK$140),"")</f>
        <v>47.593264759999997</v>
      </c>
      <c r="AL140">
        <f ca="1">IFERROR(IF(0=LEN(ReferenceData!$AL$140),"",ReferenceData!$AL$140),"")</f>
        <v>39.882213739999997</v>
      </c>
      <c r="AM140">
        <f ca="1">IFERROR(IF(0=LEN(ReferenceData!$AM$140),"",ReferenceData!$AM$140),"")</f>
        <v>18.64322172</v>
      </c>
      <c r="AN140">
        <f ca="1">IFERROR(IF(0=LEN(ReferenceData!$AN$140),"",ReferenceData!$AN$140),"")</f>
        <v>44.446561350000003</v>
      </c>
      <c r="AO140">
        <f ca="1">IFERROR(IF(0=LEN(ReferenceData!$AO$140),"",ReferenceData!$AO$140),"")</f>
        <v>30.99778718</v>
      </c>
      <c r="AP140">
        <f ca="1">IFERROR(IF(0=LEN(ReferenceData!$AP$140),"",ReferenceData!$AP$140),"")</f>
        <v>34.958590469999997</v>
      </c>
      <c r="AQ140">
        <f ca="1">IFERROR(IF(0=LEN(ReferenceData!$AQ$140),"",ReferenceData!$AQ$140),"")</f>
        <v>36.508502370000002</v>
      </c>
      <c r="AR140">
        <f ca="1">IFERROR(IF(0=LEN(ReferenceData!$AR$140),"",ReferenceData!$AR$140),"")</f>
        <v>32.379845930000002</v>
      </c>
      <c r="AS140">
        <f ca="1">IFERROR(IF(0=LEN(ReferenceData!$AS$140),"",ReferenceData!$AS$140),"")</f>
        <v>48.885935029999999</v>
      </c>
      <c r="AT140">
        <f ca="1">IFERROR(IF(0=LEN(ReferenceData!$AT$140),"",ReferenceData!$AT$140),"")</f>
        <v>53.031147779999998</v>
      </c>
      <c r="AU140">
        <f ca="1">IFERROR(IF(0=LEN(ReferenceData!$AU$140),"",ReferenceData!$AU$140),"")</f>
        <v>56.476384809999999</v>
      </c>
      <c r="AV140">
        <f ca="1">IFERROR(IF(0=LEN(ReferenceData!$AV$140),"",ReferenceData!$AV$140),"")</f>
        <v>55.117938610000003</v>
      </c>
      <c r="AW140">
        <f ca="1">IFERROR(IF(0=LEN(ReferenceData!$AW$140),"",ReferenceData!$AW$140),"")</f>
        <v>55.886819439999996</v>
      </c>
      <c r="AX140">
        <f ca="1">IFERROR(IF(0=LEN(ReferenceData!$AX$140),"",ReferenceData!$AX$140),"")</f>
        <v>53.859273760000001</v>
      </c>
      <c r="AY140">
        <f ca="1">IFERROR(IF(0=LEN(ReferenceData!$AY$140),"",ReferenceData!$AY$140),"")</f>
        <v>51.74744982</v>
      </c>
      <c r="AZ140">
        <f ca="1">IFERROR(IF(0=LEN(ReferenceData!$AZ$140),"",ReferenceData!$AZ$140),"")</f>
        <v>53.33515165</v>
      </c>
      <c r="BA140">
        <f ca="1">IFERROR(IF(0=LEN(ReferenceData!$BA$140),"",ReferenceData!$BA$140),"")</f>
        <v>55.068367309999999</v>
      </c>
      <c r="BB140">
        <f ca="1">IFERROR(IF(0=LEN(ReferenceData!$BB$140),"",ReferenceData!$BB$140),"")</f>
        <v>53.159673099999999</v>
      </c>
      <c r="BC140">
        <f ca="1">IFERROR(IF(0=LEN(ReferenceData!$BC$140),"",ReferenceData!$BC$140),"")</f>
        <v>54.44594489</v>
      </c>
      <c r="BD140">
        <f ca="1">IFERROR(IF(0=LEN(ReferenceData!$BD$140),"",ReferenceData!$BD$140),"")</f>
        <v>44.476385579999999</v>
      </c>
      <c r="BE140">
        <f ca="1">IFERROR(IF(0=LEN(ReferenceData!$BE$140),"",ReferenceData!$BE$140),"")</f>
        <v>51.032577830000001</v>
      </c>
      <c r="BF140">
        <f ca="1">IFERROR(IF(0=LEN(ReferenceData!$BF$140),"",ReferenceData!$BF$140),"")</f>
        <v>51.152910230000003</v>
      </c>
      <c r="BG140">
        <f ca="1">IFERROR(IF(0=LEN(ReferenceData!$BG$140),"",ReferenceData!$BG$140),"")</f>
        <v>58.864588179999998</v>
      </c>
      <c r="BH140">
        <f ca="1">IFERROR(IF(0=LEN(ReferenceData!$BH$140),"",ReferenceData!$BH$140),"")</f>
        <v>57.6813632</v>
      </c>
      <c r="BI140">
        <f ca="1">IFERROR(IF(0=LEN(ReferenceData!$BI$140),"",ReferenceData!$BI$140),"")</f>
        <v>61.353338530000002</v>
      </c>
      <c r="BJ140">
        <f ca="1">IFERROR(IF(0=LEN(ReferenceData!$BJ$140),"",ReferenceData!$BJ$140),"")</f>
        <v>56.640095729999999</v>
      </c>
      <c r="BK140">
        <f ca="1">IFERROR(IF(0=LEN(ReferenceData!$BK$140),"",ReferenceData!$BK$140),"")</f>
        <v>64.327272519999994</v>
      </c>
      <c r="BL140">
        <f ca="1">IFERROR(IF(0=LEN(ReferenceData!$BL$140),"",ReferenceData!$BL$140),"")</f>
        <v>47.783175739999997</v>
      </c>
      <c r="BM140">
        <f ca="1">IFERROR(IF(0=LEN(ReferenceData!$BM$140),"",ReferenceData!$BM$140),"")</f>
        <v>64.847105810000002</v>
      </c>
    </row>
    <row r="141" spans="1:65">
      <c r="A141" t="str">
        <f>IFERROR(IF(0=LEN(ReferenceData!$A$141),"",ReferenceData!$A$141),"")</f>
        <v xml:space="preserve">    Highwoods Properties Inc</v>
      </c>
      <c r="B141" t="str">
        <f>IFERROR(IF(0=LEN(ReferenceData!$B$141),"",ReferenceData!$B$141),"")</f>
        <v>HIW US Equity</v>
      </c>
      <c r="C141" t="str">
        <f>IFERROR(IF(0=LEN(ReferenceData!$C$141),"",ReferenceData!$C$141),"")</f>
        <v>RX225</v>
      </c>
      <c r="D141" t="str">
        <f>IFERROR(IF(0=LEN(ReferenceData!$D$141),"",ReferenceData!$D$141),"")</f>
        <v>EBITDA_TO_REVENUE</v>
      </c>
      <c r="E141" t="str">
        <f>IFERROR(IF(0=LEN(ReferenceData!$E$141),"",ReferenceData!$E$141),"")</f>
        <v>动态</v>
      </c>
      <c r="F141" t="str">
        <f ca="1">IFERROR(IF(0=LEN(ReferenceData!$F$141),"",ReferenceData!$F$141),"")</f>
        <v/>
      </c>
      <c r="G141">
        <f ca="1">IFERROR(IF(0=LEN(ReferenceData!$G$141),"",ReferenceData!$G$141),"")</f>
        <v>60.613780200000001</v>
      </c>
      <c r="H141">
        <f ca="1">IFERROR(IF(0=LEN(ReferenceData!$H$141),"",ReferenceData!$H$141),"")</f>
        <v>60.082137799999998</v>
      </c>
      <c r="I141">
        <f ca="1">IFERROR(IF(0=LEN(ReferenceData!$I$141),"",ReferenceData!$I$141),"")</f>
        <v>61.697399070000003</v>
      </c>
      <c r="J141">
        <f ca="1">IFERROR(IF(0=LEN(ReferenceData!$J$141),"",ReferenceData!$J$141),"")</f>
        <v>59.337221380000003</v>
      </c>
      <c r="K141">
        <f ca="1">IFERROR(IF(0=LEN(ReferenceData!$K$141),"",ReferenceData!$K$141),"")</f>
        <v>60.514417280000004</v>
      </c>
      <c r="L141">
        <f ca="1">IFERROR(IF(0=LEN(ReferenceData!$L$141),"",ReferenceData!$L$141),"")</f>
        <v>58.811925250000002</v>
      </c>
      <c r="M141">
        <f ca="1">IFERROR(IF(0=LEN(ReferenceData!$M$141),"",ReferenceData!$M$141),"")</f>
        <v>60.540572939999997</v>
      </c>
      <c r="N141">
        <f ca="1">IFERROR(IF(0=LEN(ReferenceData!$N$141),"",ReferenceData!$N$141),"")</f>
        <v>58.317713929999996</v>
      </c>
      <c r="O141">
        <f ca="1">IFERROR(IF(0=LEN(ReferenceData!$O$141),"",ReferenceData!$O$141),"")</f>
        <v>61.421630469999997</v>
      </c>
      <c r="P141">
        <f ca="1">IFERROR(IF(0=LEN(ReferenceData!$P$141),"",ReferenceData!$P$141),"")</f>
        <v>57.895636879999998</v>
      </c>
      <c r="Q141">
        <f ca="1">IFERROR(IF(0=LEN(ReferenceData!$Q$141),"",ReferenceData!$Q$141),"")</f>
        <v>61.140545160000002</v>
      </c>
      <c r="R141">
        <f ca="1">IFERROR(IF(0=LEN(ReferenceData!$R$141),"",ReferenceData!$R$141),"")</f>
        <v>56.16934715</v>
      </c>
      <c r="S141">
        <f ca="1">IFERROR(IF(0=LEN(ReferenceData!$S$141),"",ReferenceData!$S$141),"")</f>
        <v>59.620249569999999</v>
      </c>
      <c r="T141">
        <f ca="1">IFERROR(IF(0=LEN(ReferenceData!$T$141),"",ReferenceData!$T$141),"")</f>
        <v>57.472695229999999</v>
      </c>
      <c r="U141">
        <f ca="1">IFERROR(IF(0=LEN(ReferenceData!$U$141),"",ReferenceData!$U$141),"")</f>
        <v>57.703539769999999</v>
      </c>
      <c r="V141">
        <f ca="1">IFERROR(IF(0=LEN(ReferenceData!$V$141),"",ReferenceData!$V$141),"")</f>
        <v>54.797814799999998</v>
      </c>
      <c r="W141">
        <f ca="1">IFERROR(IF(0=LEN(ReferenceData!$W$141),"",ReferenceData!$W$141),"")</f>
        <v>56.822697130000002</v>
      </c>
      <c r="X141">
        <f ca="1">IFERROR(IF(0=LEN(ReferenceData!$X$141),"",ReferenceData!$X$141),"")</f>
        <v>57.452684929999997</v>
      </c>
      <c r="Y141">
        <f ca="1">IFERROR(IF(0=LEN(ReferenceData!$Y$141),"",ReferenceData!$Y$141),"")</f>
        <v>59.384849719999998</v>
      </c>
      <c r="Z141">
        <f ca="1">IFERROR(IF(0=LEN(ReferenceData!$Z$141),"",ReferenceData!$Z$141),"")</f>
        <v>57.836121400000003</v>
      </c>
      <c r="AA141">
        <f ca="1">IFERROR(IF(0=LEN(ReferenceData!$AA$141),"",ReferenceData!$AA$141),"")</f>
        <v>57.963361730000003</v>
      </c>
      <c r="AB141">
        <f ca="1">IFERROR(IF(0=LEN(ReferenceData!$AB$141),"",ReferenceData!$AB$141),"")</f>
        <v>56.230857739999998</v>
      </c>
      <c r="AC141">
        <f ca="1">IFERROR(IF(0=LEN(ReferenceData!$AC$141),"",ReferenceData!$AC$141),"")</f>
        <v>58.038476109999998</v>
      </c>
      <c r="AD141">
        <f ca="1">IFERROR(IF(0=LEN(ReferenceData!$AD$141),"",ReferenceData!$AD$141),"")</f>
        <v>57.949140870000001</v>
      </c>
      <c r="AE141">
        <f ca="1">IFERROR(IF(0=LEN(ReferenceData!$AE$141),"",ReferenceData!$AE$141),"")</f>
        <v>58.112741739999997</v>
      </c>
      <c r="AF141">
        <f ca="1">IFERROR(IF(0=LEN(ReferenceData!$AF$141),"",ReferenceData!$AF$141),"")</f>
        <v>51.04847994</v>
      </c>
      <c r="AG141">
        <f ca="1">IFERROR(IF(0=LEN(ReferenceData!$AG$141),"",ReferenceData!$AG$141),"")</f>
        <v>58.891767190000003</v>
      </c>
      <c r="AH141">
        <f ca="1">IFERROR(IF(0=LEN(ReferenceData!$AH$141),"",ReferenceData!$AH$141),"")</f>
        <v>57.612089089999998</v>
      </c>
      <c r="AI141">
        <f ca="1">IFERROR(IF(0=LEN(ReferenceData!$AI$141),"",ReferenceData!$AI$141),"")</f>
        <v>37.643754440000002</v>
      </c>
      <c r="AJ141">
        <f ca="1">IFERROR(IF(0=LEN(ReferenceData!$AJ$141),"",ReferenceData!$AJ$141),"")</f>
        <v>54.882798979999997</v>
      </c>
      <c r="AK141">
        <f ca="1">IFERROR(IF(0=LEN(ReferenceData!$AK$141),"",ReferenceData!$AK$141),"")</f>
        <v>60.578385269999998</v>
      </c>
      <c r="AL141">
        <f ca="1">IFERROR(IF(0=LEN(ReferenceData!$AL$141),"",ReferenceData!$AL$141),"")</f>
        <v>56.508248299999998</v>
      </c>
      <c r="AM141">
        <f ca="1">IFERROR(IF(0=LEN(ReferenceData!$AM$141),"",ReferenceData!$AM$141),"")</f>
        <v>43.895341100000003</v>
      </c>
      <c r="AN141">
        <f ca="1">IFERROR(IF(0=LEN(ReferenceData!$AN$141),"",ReferenceData!$AN$141),"")</f>
        <v>54.292657060000003</v>
      </c>
      <c r="AO141">
        <f ca="1">IFERROR(IF(0=LEN(ReferenceData!$AO$141),"",ReferenceData!$AO$141),"")</f>
        <v>55.629322520000002</v>
      </c>
      <c r="AP141">
        <f ca="1">IFERROR(IF(0=LEN(ReferenceData!$AP$141),"",ReferenceData!$AP$141),"")</f>
        <v>57.1948419</v>
      </c>
      <c r="AQ141">
        <f ca="1">IFERROR(IF(0=LEN(ReferenceData!$AQ$141),"",ReferenceData!$AQ$141),"")</f>
        <v>49.958662830000002</v>
      </c>
      <c r="AR141">
        <f ca="1">IFERROR(IF(0=LEN(ReferenceData!$AR$141),"",ReferenceData!$AR$141),"")</f>
        <v>56.525209529999998</v>
      </c>
      <c r="AS141">
        <f ca="1">IFERROR(IF(0=LEN(ReferenceData!$AS$141),"",ReferenceData!$AS$141),"")</f>
        <v>50.899599389999999</v>
      </c>
      <c r="AT141">
        <f ca="1">IFERROR(IF(0=LEN(ReferenceData!$AT$141),"",ReferenceData!$AT$141),"")</f>
        <v>54.44246571</v>
      </c>
      <c r="AU141">
        <f ca="1">IFERROR(IF(0=LEN(ReferenceData!$AU$141),"",ReferenceData!$AU$141),"")</f>
        <v>53.493040450000002</v>
      </c>
      <c r="AV141">
        <f ca="1">IFERROR(IF(0=LEN(ReferenceData!$AV$141),"",ReferenceData!$AV$141),"")</f>
        <v>55.250046480000002</v>
      </c>
      <c r="AW141">
        <f ca="1">IFERROR(IF(0=LEN(ReferenceData!$AW$141),"",ReferenceData!$AW$141),"")</f>
        <v>52.15129451</v>
      </c>
      <c r="AX141">
        <f ca="1">IFERROR(IF(0=LEN(ReferenceData!$AX$141),"",ReferenceData!$AX$141),"")</f>
        <v>53.038412219999998</v>
      </c>
      <c r="AY141">
        <f ca="1">IFERROR(IF(0=LEN(ReferenceData!$AY$141),"",ReferenceData!$AY$141),"")</f>
        <v>37.426918550000003</v>
      </c>
      <c r="AZ141">
        <f ca="1">IFERROR(IF(0=LEN(ReferenceData!$AZ$141),"",ReferenceData!$AZ$141),"")</f>
        <v>57.22919795</v>
      </c>
      <c r="BA141">
        <f ca="1">IFERROR(IF(0=LEN(ReferenceData!$BA$141),"",ReferenceData!$BA$141),"")</f>
        <v>57.239164090000003</v>
      </c>
      <c r="BB141">
        <f ca="1">IFERROR(IF(0=LEN(ReferenceData!$BB$141),"",ReferenceData!$BB$141),"")</f>
        <v>58.412901720000001</v>
      </c>
      <c r="BC141">
        <f ca="1">IFERROR(IF(0=LEN(ReferenceData!$BC$141),"",ReferenceData!$BC$141),"")</f>
        <v>42.682512729999999</v>
      </c>
      <c r="BD141">
        <f ca="1">IFERROR(IF(0=LEN(ReferenceData!$BD$141),"",ReferenceData!$BD$141),"")</f>
        <v>59.208182440000002</v>
      </c>
      <c r="BE141">
        <f ca="1">IFERROR(IF(0=LEN(ReferenceData!$BE$141),"",ReferenceData!$BE$141),"")</f>
        <v>63.755845669999999</v>
      </c>
      <c r="BF141">
        <f ca="1">IFERROR(IF(0=LEN(ReferenceData!$BF$141),"",ReferenceData!$BF$141),"")</f>
        <v>64.326676460000002</v>
      </c>
      <c r="BG141">
        <f ca="1">IFERROR(IF(0=LEN(ReferenceData!$BG$141),"",ReferenceData!$BG$141),"")</f>
        <v>49.416159489999998</v>
      </c>
      <c r="BH141">
        <f ca="1">IFERROR(IF(0=LEN(ReferenceData!$BH$141),"",ReferenceData!$BH$141),"")</f>
        <v>58.39001391</v>
      </c>
      <c r="BI141">
        <f ca="1">IFERROR(IF(0=LEN(ReferenceData!$BI$141),"",ReferenceData!$BI$141),"")</f>
        <v>62.27482466</v>
      </c>
      <c r="BJ141">
        <f ca="1">IFERROR(IF(0=LEN(ReferenceData!$BJ$141),"",ReferenceData!$BJ$141),"")</f>
        <v>55.716505439999999</v>
      </c>
      <c r="BK141" t="str">
        <f ca="1">IFERROR(IF(0=LEN(ReferenceData!$BK$141),"",ReferenceData!$BK$141),"")</f>
        <v/>
      </c>
      <c r="BL141">
        <f ca="1">IFERROR(IF(0=LEN(ReferenceData!$BL$141),"",ReferenceData!$BL$141),"")</f>
        <v>113.5989848</v>
      </c>
      <c r="BM141">
        <f ca="1">IFERROR(IF(0=LEN(ReferenceData!$BM$141),"",ReferenceData!$BM$141),"")</f>
        <v>60.813258179999998</v>
      </c>
    </row>
    <row r="142" spans="1:65">
      <c r="A142" t="str">
        <f>IFERROR(IF(0=LEN(ReferenceData!$A$142),"",ReferenceData!$A$142),"")</f>
        <v xml:space="preserve">    Kilroy Realty Corp</v>
      </c>
      <c r="B142" t="str">
        <f>IFERROR(IF(0=LEN(ReferenceData!$B$142),"",ReferenceData!$B$142),"")</f>
        <v>KRC US Equity</v>
      </c>
      <c r="C142" t="str">
        <f>IFERROR(IF(0=LEN(ReferenceData!$C$142),"",ReferenceData!$C$142),"")</f>
        <v>RX225</v>
      </c>
      <c r="D142" t="str">
        <f>IFERROR(IF(0=LEN(ReferenceData!$D$142),"",ReferenceData!$D$142),"")</f>
        <v>EBITDA_TO_REVENUE</v>
      </c>
      <c r="E142" t="str">
        <f>IFERROR(IF(0=LEN(ReferenceData!$E$142),"",ReferenceData!$E$142),"")</f>
        <v>动态</v>
      </c>
      <c r="F142" t="str">
        <f ca="1">IFERROR(IF(0=LEN(ReferenceData!$F$142),"",ReferenceData!$F$142),"")</f>
        <v/>
      </c>
      <c r="G142">
        <f ca="1">IFERROR(IF(0=LEN(ReferenceData!$G$142),"",ReferenceData!$G$142),"")</f>
        <v>62.339702979999998</v>
      </c>
      <c r="H142">
        <f ca="1">IFERROR(IF(0=LEN(ReferenceData!$H$142),"",ReferenceData!$H$142),"")</f>
        <v>63.338548150000001</v>
      </c>
      <c r="I142">
        <f ca="1">IFERROR(IF(0=LEN(ReferenceData!$I$142),"",ReferenceData!$I$142),"")</f>
        <v>63.396050899999999</v>
      </c>
      <c r="J142">
        <f ca="1">IFERROR(IF(0=LEN(ReferenceData!$J$142),"",ReferenceData!$J$142),"")</f>
        <v>62.590626190000002</v>
      </c>
      <c r="K142">
        <f ca="1">IFERROR(IF(0=LEN(ReferenceData!$K$142),"",ReferenceData!$K$142),"")</f>
        <v>62.954727390000002</v>
      </c>
      <c r="L142">
        <f ca="1">IFERROR(IF(0=LEN(ReferenceData!$L$142),"",ReferenceData!$L$142),"")</f>
        <v>64.846033219999995</v>
      </c>
      <c r="M142">
        <f ca="1">IFERROR(IF(0=LEN(ReferenceData!$M$142),"",ReferenceData!$M$142),"")</f>
        <v>63.45100635</v>
      </c>
      <c r="N142">
        <f ca="1">IFERROR(IF(0=LEN(ReferenceData!$N$142),"",ReferenceData!$N$142),"")</f>
        <v>64.711989329999994</v>
      </c>
      <c r="O142">
        <f ca="1">IFERROR(IF(0=LEN(ReferenceData!$O$142),"",ReferenceData!$O$142),"")</f>
        <v>63.930589570000002</v>
      </c>
      <c r="P142">
        <f ca="1">IFERROR(IF(0=LEN(ReferenceData!$P$142),"",ReferenceData!$P$142),"")</f>
        <v>64.36952943</v>
      </c>
      <c r="Q142">
        <f ca="1">IFERROR(IF(0=LEN(ReferenceData!$Q$142),"",ReferenceData!$Q$142),"")</f>
        <v>63.899279890000003</v>
      </c>
      <c r="R142">
        <f ca="1">IFERROR(IF(0=LEN(ReferenceData!$R$142),"",ReferenceData!$R$142),"")</f>
        <v>64.940923589999997</v>
      </c>
      <c r="S142">
        <f ca="1">IFERROR(IF(0=LEN(ReferenceData!$S$142),"",ReferenceData!$S$142),"")</f>
        <v>64.192854370000006</v>
      </c>
      <c r="T142">
        <f ca="1">IFERROR(IF(0=LEN(ReferenceData!$T$142),"",ReferenceData!$T$142),"")</f>
        <v>62.667410709999999</v>
      </c>
      <c r="U142">
        <f ca="1">IFERROR(IF(0=LEN(ReferenceData!$U$142),"",ReferenceData!$U$142),"")</f>
        <v>62.38579</v>
      </c>
      <c r="V142">
        <f ca="1">IFERROR(IF(0=LEN(ReferenceData!$V$142),"",ReferenceData!$V$142),"")</f>
        <v>62.524442860000001</v>
      </c>
      <c r="W142">
        <f ca="1">IFERROR(IF(0=LEN(ReferenceData!$W$142),"",ReferenceData!$W$142),"")</f>
        <v>61.952379350000001</v>
      </c>
      <c r="X142">
        <f ca="1">IFERROR(IF(0=LEN(ReferenceData!$X$142),"",ReferenceData!$X$142),"")</f>
        <v>63.919150999999999</v>
      </c>
      <c r="Y142">
        <f ca="1">IFERROR(IF(0=LEN(ReferenceData!$Y$142),"",ReferenceData!$Y$142),"")</f>
        <v>64.768532269999994</v>
      </c>
      <c r="Z142">
        <f ca="1">IFERROR(IF(0=LEN(ReferenceData!$Z$142),"",ReferenceData!$Z$142),"")</f>
        <v>63.600807469999999</v>
      </c>
      <c r="AA142">
        <f ca="1">IFERROR(IF(0=LEN(ReferenceData!$AA$142),"",ReferenceData!$AA$142),"")</f>
        <v>96.075096079999994</v>
      </c>
      <c r="AB142">
        <f ca="1">IFERROR(IF(0=LEN(ReferenceData!$AB$142),"",ReferenceData!$AB$142),"")</f>
        <v>66.991968479999997</v>
      </c>
      <c r="AC142">
        <f ca="1">IFERROR(IF(0=LEN(ReferenceData!$AC$142),"",ReferenceData!$AC$142),"")</f>
        <v>65.770098140000002</v>
      </c>
      <c r="AD142">
        <f ca="1">IFERROR(IF(0=LEN(ReferenceData!$AD$142),"",ReferenceData!$AD$142),"")</f>
        <v>66.153662999999995</v>
      </c>
      <c r="AE142">
        <f ca="1">IFERROR(IF(0=LEN(ReferenceData!$AE$142),"",ReferenceData!$AE$142),"")</f>
        <v>67.845392989999993</v>
      </c>
      <c r="AF142">
        <f ca="1">IFERROR(IF(0=LEN(ReferenceData!$AF$142),"",ReferenceData!$AF$142),"")</f>
        <v>67.147767909999999</v>
      </c>
      <c r="AG142">
        <f ca="1">IFERROR(IF(0=LEN(ReferenceData!$AG$142),"",ReferenceData!$AG$142),"")</f>
        <v>64.403213030000003</v>
      </c>
      <c r="AH142">
        <f ca="1">IFERROR(IF(0=LEN(ReferenceData!$AH$142),"",ReferenceData!$AH$142),"")</f>
        <v>62.45329641</v>
      </c>
      <c r="AI142">
        <f ca="1">IFERROR(IF(0=LEN(ReferenceData!$AI$142),"",ReferenceData!$AI$142),"")</f>
        <v>89.933046689999998</v>
      </c>
      <c r="AJ142">
        <f ca="1">IFERROR(IF(0=LEN(ReferenceData!$AJ$142),"",ReferenceData!$AJ$142),"")</f>
        <v>35.70437459</v>
      </c>
      <c r="AK142">
        <f ca="1">IFERROR(IF(0=LEN(ReferenceData!$AK$142),"",ReferenceData!$AK$142),"")</f>
        <v>61.181230669999998</v>
      </c>
      <c r="AL142">
        <f ca="1">IFERROR(IF(0=LEN(ReferenceData!$AL$142),"",ReferenceData!$AL$142),"")</f>
        <v>62.407399089999998</v>
      </c>
      <c r="AM142">
        <f ca="1">IFERROR(IF(0=LEN(ReferenceData!$AM$142),"",ReferenceData!$AM$142),"")</f>
        <v>77.599845650000006</v>
      </c>
      <c r="AN142">
        <f ca="1">IFERROR(IF(0=LEN(ReferenceData!$AN$142),"",ReferenceData!$AN$142),"")</f>
        <v>63.547172019999998</v>
      </c>
      <c r="AO142">
        <f ca="1">IFERROR(IF(0=LEN(ReferenceData!$AO$142),"",ReferenceData!$AO$142),"")</f>
        <v>64.555946520000006</v>
      </c>
      <c r="AP142">
        <f ca="1">IFERROR(IF(0=LEN(ReferenceData!$AP$142),"",ReferenceData!$AP$142),"")</f>
        <v>62.327614740000001</v>
      </c>
      <c r="AQ142">
        <f ca="1">IFERROR(IF(0=LEN(ReferenceData!$AQ$142),"",ReferenceData!$AQ$142),"")</f>
        <v>64.996403079999993</v>
      </c>
      <c r="AR142">
        <f ca="1">IFERROR(IF(0=LEN(ReferenceData!$AR$142),"",ReferenceData!$AR$142),"")</f>
        <v>67.469394120000004</v>
      </c>
      <c r="AS142">
        <f ca="1">IFERROR(IF(0=LEN(ReferenceData!$AS$142),"",ReferenceData!$AS$142),"")</f>
        <v>62.951234960000001</v>
      </c>
      <c r="AT142">
        <f ca="1">IFERROR(IF(0=LEN(ReferenceData!$AT$142),"",ReferenceData!$AT$142),"")</f>
        <v>66.719866670000002</v>
      </c>
      <c r="AU142">
        <f ca="1">IFERROR(IF(0=LEN(ReferenceData!$AU$142),"",ReferenceData!$AU$142),"")</f>
        <v>47.57832887</v>
      </c>
      <c r="AV142">
        <f ca="1">IFERROR(IF(0=LEN(ReferenceData!$AV$142),"",ReferenceData!$AV$142),"")</f>
        <v>65.566595509999999</v>
      </c>
      <c r="AW142">
        <f ca="1">IFERROR(IF(0=LEN(ReferenceData!$AW$142),"",ReferenceData!$AW$142),"")</f>
        <v>66.524605980000004</v>
      </c>
      <c r="AX142">
        <f ca="1">IFERROR(IF(0=LEN(ReferenceData!$AX$142),"",ReferenceData!$AX$142),"")</f>
        <v>67.554897209999993</v>
      </c>
      <c r="AY142">
        <f ca="1">IFERROR(IF(0=LEN(ReferenceData!$AY$142),"",ReferenceData!$AY$142),"")</f>
        <v>63.831261230000003</v>
      </c>
      <c r="AZ142">
        <f ca="1">IFERROR(IF(0=LEN(ReferenceData!$AZ$142),"",ReferenceData!$AZ$142),"")</f>
        <v>63.83846398</v>
      </c>
      <c r="BA142">
        <f ca="1">IFERROR(IF(0=LEN(ReferenceData!$BA$142),"",ReferenceData!$BA$142),"")</f>
        <v>68.240555079999993</v>
      </c>
      <c r="BB142">
        <f ca="1">IFERROR(IF(0=LEN(ReferenceData!$BB$142),"",ReferenceData!$BB$142),"")</f>
        <v>68.594138900000004</v>
      </c>
      <c r="BC142">
        <f ca="1">IFERROR(IF(0=LEN(ReferenceData!$BC$142),"",ReferenceData!$BC$142),"")</f>
        <v>34.060431749999999</v>
      </c>
      <c r="BD142">
        <f ca="1">IFERROR(IF(0=LEN(ReferenceData!$BD$142),"",ReferenceData!$BD$142),"")</f>
        <v>42.923149299999999</v>
      </c>
      <c r="BE142">
        <f ca="1">IFERROR(IF(0=LEN(ReferenceData!$BE$142),"",ReferenceData!$BE$142),"")</f>
        <v>48.338644360000004</v>
      </c>
      <c r="BF142">
        <f ca="1">IFERROR(IF(0=LEN(ReferenceData!$BF$142),"",ReferenceData!$BF$142),"")</f>
        <v>65.978376019999999</v>
      </c>
      <c r="BG142">
        <f ca="1">IFERROR(IF(0=LEN(ReferenceData!$BG$142),"",ReferenceData!$BG$142),"")</f>
        <v>56.04965052</v>
      </c>
      <c r="BH142">
        <f ca="1">IFERROR(IF(0=LEN(ReferenceData!$BH$142),"",ReferenceData!$BH$142),"")</f>
        <v>63.036866019999998</v>
      </c>
      <c r="BI142">
        <f ca="1">IFERROR(IF(0=LEN(ReferenceData!$BI$142),"",ReferenceData!$BI$142),"")</f>
        <v>65.829560240000006</v>
      </c>
      <c r="BJ142">
        <f ca="1">IFERROR(IF(0=LEN(ReferenceData!$BJ$142),"",ReferenceData!$BJ$142),"")</f>
        <v>61.616953039999999</v>
      </c>
      <c r="BK142">
        <f ca="1">IFERROR(IF(0=LEN(ReferenceData!$BK$142),"",ReferenceData!$BK$142),"")</f>
        <v>62.462772659999999</v>
      </c>
      <c r="BL142">
        <f ca="1">IFERROR(IF(0=LEN(ReferenceData!$BL$142),"",ReferenceData!$BL$142),"")</f>
        <v>71.657536440000001</v>
      </c>
      <c r="BM142">
        <f ca="1">IFERROR(IF(0=LEN(ReferenceData!$BM$142),"",ReferenceData!$BM$142),"")</f>
        <v>72.447850500000001</v>
      </c>
    </row>
    <row r="143" spans="1:65">
      <c r="A143" t="str">
        <f>IFERROR(IF(0=LEN(ReferenceData!$A$143),"",ReferenceData!$A$143),"")</f>
        <v xml:space="preserve">    Mack-Cali Realty Corp</v>
      </c>
      <c r="B143" t="str">
        <f>IFERROR(IF(0=LEN(ReferenceData!$B$143),"",ReferenceData!$B$143),"")</f>
        <v>CLI US Equity</v>
      </c>
      <c r="C143" t="str">
        <f>IFERROR(IF(0=LEN(ReferenceData!$C$143),"",ReferenceData!$C$143),"")</f>
        <v>RX225</v>
      </c>
      <c r="D143" t="str">
        <f>IFERROR(IF(0=LEN(ReferenceData!$D$143),"",ReferenceData!$D$143),"")</f>
        <v>EBITDA_TO_REVENUE</v>
      </c>
      <c r="E143" t="str">
        <f>IFERROR(IF(0=LEN(ReferenceData!$E$143),"",ReferenceData!$E$143),"")</f>
        <v>动态</v>
      </c>
      <c r="F143" t="str">
        <f ca="1">IFERROR(IF(0=LEN(ReferenceData!$F$143),"",ReferenceData!$F$143),"")</f>
        <v/>
      </c>
      <c r="G143">
        <f ca="1">IFERROR(IF(0=LEN(ReferenceData!$G$143),"",ReferenceData!$G$143),"")</f>
        <v>48.885591069999997</v>
      </c>
      <c r="H143">
        <f ca="1">IFERROR(IF(0=LEN(ReferenceData!$H$143),"",ReferenceData!$H$143),"")</f>
        <v>50.654301390000001</v>
      </c>
      <c r="I143">
        <f ca="1">IFERROR(IF(0=LEN(ReferenceData!$I$143),"",ReferenceData!$I$143),"")</f>
        <v>52.329110499999999</v>
      </c>
      <c r="J143">
        <f ca="1">IFERROR(IF(0=LEN(ReferenceData!$J$143),"",ReferenceData!$J$143),"")</f>
        <v>48.19497355</v>
      </c>
      <c r="K143">
        <f ca="1">IFERROR(IF(0=LEN(ReferenceData!$K$143),"",ReferenceData!$K$143),"")</f>
        <v>48.722768989999999</v>
      </c>
      <c r="L143">
        <f ca="1">IFERROR(IF(0=LEN(ReferenceData!$L$143),"",ReferenceData!$L$143),"")</f>
        <v>48.726804090000002</v>
      </c>
      <c r="M143">
        <f ca="1">IFERROR(IF(0=LEN(ReferenceData!$M$143),"",ReferenceData!$M$143),"")</f>
        <v>48.451687700000001</v>
      </c>
      <c r="N143">
        <f ca="1">IFERROR(IF(0=LEN(ReferenceData!$N$143),"",ReferenceData!$N$143),"")</f>
        <v>46.958927039999999</v>
      </c>
      <c r="O143">
        <f ca="1">IFERROR(IF(0=LEN(ReferenceData!$O$143),"",ReferenceData!$O$143),"")</f>
        <v>22.058411809999999</v>
      </c>
      <c r="P143">
        <f ca="1">IFERROR(IF(0=LEN(ReferenceData!$P$143),"",ReferenceData!$P$143),"")</f>
        <v>-65.424403729999995</v>
      </c>
      <c r="Q143">
        <f ca="1">IFERROR(IF(0=LEN(ReferenceData!$Q$143),"",ReferenceData!$Q$143),"")</f>
        <v>47.658632130000001</v>
      </c>
      <c r="R143">
        <f ca="1">IFERROR(IF(0=LEN(ReferenceData!$R$143),"",ReferenceData!$R$143),"")</f>
        <v>44.427024039999999</v>
      </c>
      <c r="S143">
        <f ca="1">IFERROR(IF(0=LEN(ReferenceData!$S$143),"",ReferenceData!$S$143),"")</f>
        <v>38.3782213</v>
      </c>
      <c r="T143">
        <f ca="1">IFERROR(IF(0=LEN(ReferenceData!$T$143),"",ReferenceData!$T$143),"")</f>
        <v>42.581147219999998</v>
      </c>
      <c r="U143">
        <f ca="1">IFERROR(IF(0=LEN(ReferenceData!$U$143),"",ReferenceData!$U$143),"")</f>
        <v>49.980661259999998</v>
      </c>
      <c r="V143">
        <f ca="1">IFERROR(IF(0=LEN(ReferenceData!$V$143),"",ReferenceData!$V$143),"")</f>
        <v>34.569211539999998</v>
      </c>
      <c r="W143">
        <f ca="1">IFERROR(IF(0=LEN(ReferenceData!$W$143),"",ReferenceData!$W$143),"")</f>
        <v>6.390870531</v>
      </c>
      <c r="X143">
        <f ca="1">IFERROR(IF(0=LEN(ReferenceData!$X$143),"",ReferenceData!$X$143),"")</f>
        <v>19.197563150000001</v>
      </c>
      <c r="Y143">
        <f ca="1">IFERROR(IF(0=LEN(ReferenceData!$Y$143),"",ReferenceData!$Y$143),"")</f>
        <v>52.921958349999997</v>
      </c>
      <c r="Z143">
        <f ca="1">IFERROR(IF(0=LEN(ReferenceData!$Z$143),"",ReferenceData!$Z$143),"")</f>
        <v>50.558471269999998</v>
      </c>
      <c r="AA143">
        <f ca="1">IFERROR(IF(0=LEN(ReferenceData!$AA$143),"",ReferenceData!$AA$143),"")</f>
        <v>41.316161100000002</v>
      </c>
      <c r="AB143">
        <f ca="1">IFERROR(IF(0=LEN(ReferenceData!$AB$143),"",ReferenceData!$AB$143),"")</f>
        <v>54.937913350000002</v>
      </c>
      <c r="AC143">
        <f ca="1">IFERROR(IF(0=LEN(ReferenceData!$AC$143),"",ReferenceData!$AC$143),"")</f>
        <v>53.77837194</v>
      </c>
      <c r="AD143">
        <f ca="1">IFERROR(IF(0=LEN(ReferenceData!$AD$143),"",ReferenceData!$AD$143),"")</f>
        <v>56.721571449999999</v>
      </c>
      <c r="AE143">
        <f ca="1">IFERROR(IF(0=LEN(ReferenceData!$AE$143),"",ReferenceData!$AE$143),"")</f>
        <v>56.063972829999997</v>
      </c>
      <c r="AF143">
        <f ca="1">IFERROR(IF(0=LEN(ReferenceData!$AF$143),"",ReferenceData!$AF$143),"")</f>
        <v>60.079686729999999</v>
      </c>
      <c r="AG143">
        <f ca="1">IFERROR(IF(0=LEN(ReferenceData!$AG$143),"",ReferenceData!$AG$143),"")</f>
        <v>55.147124490000003</v>
      </c>
      <c r="AH143">
        <f ca="1">IFERROR(IF(0=LEN(ReferenceData!$AH$143),"",ReferenceData!$AH$143),"")</f>
        <v>52.675978350000001</v>
      </c>
      <c r="AI143">
        <f ca="1">IFERROR(IF(0=LEN(ReferenceData!$AI$143),"",ReferenceData!$AI$143),"")</f>
        <v>48.411707149999998</v>
      </c>
      <c r="AJ143">
        <f ca="1">IFERROR(IF(0=LEN(ReferenceData!$AJ$143),"",ReferenceData!$AJ$143),"")</f>
        <v>50.442522580000002</v>
      </c>
      <c r="AK143">
        <f ca="1">IFERROR(IF(0=LEN(ReferenceData!$AK$143),"",ReferenceData!$AK$143),"")</f>
        <v>50.240402400000001</v>
      </c>
      <c r="AL143">
        <f ca="1">IFERROR(IF(0=LEN(ReferenceData!$AL$143),"",ReferenceData!$AL$143),"")</f>
        <v>53.945617040000002</v>
      </c>
      <c r="AM143">
        <f ca="1">IFERROR(IF(0=LEN(ReferenceData!$AM$143),"",ReferenceData!$AM$143),"")</f>
        <v>56.03388649</v>
      </c>
      <c r="AN143">
        <f ca="1">IFERROR(IF(0=LEN(ReferenceData!$AN$143),"",ReferenceData!$AN$143),"")</f>
        <v>55.811436039999997</v>
      </c>
      <c r="AO143">
        <f ca="1">IFERROR(IF(0=LEN(ReferenceData!$AO$143),"",ReferenceData!$AO$143),"")</f>
        <v>56.562827769999998</v>
      </c>
      <c r="AP143">
        <f ca="1">IFERROR(IF(0=LEN(ReferenceData!$AP$143),"",ReferenceData!$AP$143),"")</f>
        <v>53.060010929999997</v>
      </c>
      <c r="AQ143">
        <f ca="1">IFERROR(IF(0=LEN(ReferenceData!$AQ$143),"",ReferenceData!$AQ$143),"")</f>
        <v>57.7544331</v>
      </c>
      <c r="AR143">
        <f ca="1">IFERROR(IF(0=LEN(ReferenceData!$AR$143),"",ReferenceData!$AR$143),"")</f>
        <v>52.878017790000001</v>
      </c>
      <c r="AS143">
        <f ca="1">IFERROR(IF(0=LEN(ReferenceData!$AS$143),"",ReferenceData!$AS$143),"")</f>
        <v>51.655402780000003</v>
      </c>
      <c r="AT143">
        <f ca="1">IFERROR(IF(0=LEN(ReferenceData!$AT$143),"",ReferenceData!$AT$143),"")</f>
        <v>50.816053750000002</v>
      </c>
      <c r="AU143">
        <f ca="1">IFERROR(IF(0=LEN(ReferenceData!$AU$143),"",ReferenceData!$AU$143),"")</f>
        <v>48.445684270000001</v>
      </c>
      <c r="AV143">
        <f ca="1">IFERROR(IF(0=LEN(ReferenceData!$AV$143),"",ReferenceData!$AV$143),"")</f>
        <v>49.982384519999997</v>
      </c>
      <c r="AW143">
        <f ca="1">IFERROR(IF(0=LEN(ReferenceData!$AW$143),"",ReferenceData!$AW$143),"")</f>
        <v>49.955220410000003</v>
      </c>
      <c r="AX143">
        <f ca="1">IFERROR(IF(0=LEN(ReferenceData!$AX$143),"",ReferenceData!$AX$143),"")</f>
        <v>50.557283169999998</v>
      </c>
      <c r="AY143">
        <f ca="1">IFERROR(IF(0=LEN(ReferenceData!$AY$143),"",ReferenceData!$AY$143),"")</f>
        <v>50.255445819999998</v>
      </c>
      <c r="AZ143">
        <f ca="1">IFERROR(IF(0=LEN(ReferenceData!$AZ$143),"",ReferenceData!$AZ$143),"")</f>
        <v>48.982236380000003</v>
      </c>
      <c r="BA143">
        <f ca="1">IFERROR(IF(0=LEN(ReferenceData!$BA$143),"",ReferenceData!$BA$143),"")</f>
        <v>55.97964932</v>
      </c>
      <c r="BB143">
        <f ca="1">IFERROR(IF(0=LEN(ReferenceData!$BB$143),"",ReferenceData!$BB$143),"")</f>
        <v>60.542121680000001</v>
      </c>
      <c r="BC143">
        <f ca="1">IFERROR(IF(0=LEN(ReferenceData!$BC$143),"",ReferenceData!$BC$143),"")</f>
        <v>65.515931789999996</v>
      </c>
      <c r="BD143">
        <f ca="1">IFERROR(IF(0=LEN(ReferenceData!$BD$143),"",ReferenceData!$BD$143),"")</f>
        <v>61.40942639</v>
      </c>
      <c r="BE143">
        <f ca="1">IFERROR(IF(0=LEN(ReferenceData!$BE$143),"",ReferenceData!$BE$143),"")</f>
        <v>61.922054260000003</v>
      </c>
      <c r="BF143">
        <f ca="1">IFERROR(IF(0=LEN(ReferenceData!$BF$143),"",ReferenceData!$BF$143),"")</f>
        <v>61.368766399999998</v>
      </c>
      <c r="BG143">
        <f ca="1">IFERROR(IF(0=LEN(ReferenceData!$BG$143),"",ReferenceData!$BG$143),"")</f>
        <v>60.195987870000003</v>
      </c>
      <c r="BH143">
        <f ca="1">IFERROR(IF(0=LEN(ReferenceData!$BH$143),"",ReferenceData!$BH$143),"")</f>
        <v>66.063953330000004</v>
      </c>
      <c r="BI143">
        <f ca="1">IFERROR(IF(0=LEN(ReferenceData!$BI$143),"",ReferenceData!$BI$143),"")</f>
        <v>62.404980520000002</v>
      </c>
      <c r="BJ143">
        <f ca="1">IFERROR(IF(0=LEN(ReferenceData!$BJ$143),"",ReferenceData!$BJ$143),"")</f>
        <v>64.605080889999996</v>
      </c>
      <c r="BK143">
        <f ca="1">IFERROR(IF(0=LEN(ReferenceData!$BK$143),"",ReferenceData!$BK$143),"")</f>
        <v>62.700641679999997</v>
      </c>
      <c r="BL143">
        <f ca="1">IFERROR(IF(0=LEN(ReferenceData!$BL$143),"",ReferenceData!$BL$143),"")</f>
        <v>63.97731246</v>
      </c>
      <c r="BM143">
        <f ca="1">IFERROR(IF(0=LEN(ReferenceData!$BM$143),"",ReferenceData!$BM$143),"")</f>
        <v>66.277305310000003</v>
      </c>
    </row>
    <row r="144" spans="1:65">
      <c r="A144" t="str">
        <f>IFERROR(IF(0=LEN(ReferenceData!$A$144),"",ReferenceData!$A$144),"")</f>
        <v xml:space="preserve">    Piedmont Office Realty Trust I</v>
      </c>
      <c r="B144" t="str">
        <f>IFERROR(IF(0=LEN(ReferenceData!$B$144),"",ReferenceData!$B$144),"")</f>
        <v>PDM US Equity</v>
      </c>
      <c r="C144" t="str">
        <f>IFERROR(IF(0=LEN(ReferenceData!$C$144),"",ReferenceData!$C$144),"")</f>
        <v>RX225</v>
      </c>
      <c r="D144" t="str">
        <f>IFERROR(IF(0=LEN(ReferenceData!$D$144),"",ReferenceData!$D$144),"")</f>
        <v>EBITDA_TO_REVENUE</v>
      </c>
      <c r="E144" t="str">
        <f>IFERROR(IF(0=LEN(ReferenceData!$E$144),"",ReferenceData!$E$144),"")</f>
        <v>动态</v>
      </c>
      <c r="F144" t="str">
        <f ca="1">IFERROR(IF(0=LEN(ReferenceData!$F$144),"",ReferenceData!$F$144),"")</f>
        <v/>
      </c>
      <c r="G144">
        <f ca="1">IFERROR(IF(0=LEN(ReferenceData!$G$144),"",ReferenceData!$G$144),"")</f>
        <v>21.317518140000001</v>
      </c>
      <c r="H144">
        <f ca="1">IFERROR(IF(0=LEN(ReferenceData!$H$144),"",ReferenceData!$H$144),"")</f>
        <v>55.868650379999998</v>
      </c>
      <c r="I144">
        <f ca="1">IFERROR(IF(0=LEN(ReferenceData!$I$144),"",ReferenceData!$I$144),"")</f>
        <v>56.80358356</v>
      </c>
      <c r="J144">
        <f ca="1">IFERROR(IF(0=LEN(ReferenceData!$J$144),"",ReferenceData!$J$144),"")</f>
        <v>56.712446870000001</v>
      </c>
      <c r="K144">
        <f ca="1">IFERROR(IF(0=LEN(ReferenceData!$K$144),"",ReferenceData!$K$144),"")</f>
        <v>55.913724449999997</v>
      </c>
      <c r="L144">
        <f ca="1">IFERROR(IF(0=LEN(ReferenceData!$L$144),"",ReferenceData!$L$144),"")</f>
        <v>38.539914070000002</v>
      </c>
      <c r="M144">
        <f ca="1">IFERROR(IF(0=LEN(ReferenceData!$M$144),"",ReferenceData!$M$144),"")</f>
        <v>46.98500447</v>
      </c>
      <c r="N144">
        <f ca="1">IFERROR(IF(0=LEN(ReferenceData!$N$144),"",ReferenceData!$N$144),"")</f>
        <v>54.951018750000003</v>
      </c>
      <c r="O144">
        <f ca="1">IFERROR(IF(0=LEN(ReferenceData!$O$144),"",ReferenceData!$O$144),"")</f>
        <v>55.283555980000003</v>
      </c>
      <c r="P144">
        <f ca="1">IFERROR(IF(0=LEN(ReferenceData!$P$144),"",ReferenceData!$P$144),"")</f>
        <v>29.746329339999999</v>
      </c>
      <c r="Q144">
        <f ca="1">IFERROR(IF(0=LEN(ReferenceData!$Q$144),"",ReferenceData!$Q$144),"")</f>
        <v>49.032262459999998</v>
      </c>
      <c r="R144">
        <f ca="1">IFERROR(IF(0=LEN(ReferenceData!$R$144),"",ReferenceData!$R$144),"")</f>
        <v>52.919690969999998</v>
      </c>
      <c r="S144">
        <f ca="1">IFERROR(IF(0=LEN(ReferenceData!$S$144),"",ReferenceData!$S$144),"")</f>
        <v>53.541315920000002</v>
      </c>
      <c r="T144">
        <f ca="1">IFERROR(IF(0=LEN(ReferenceData!$T$144),"",ReferenceData!$T$144),"")</f>
        <v>53.182016160000003</v>
      </c>
      <c r="U144">
        <f ca="1">IFERROR(IF(0=LEN(ReferenceData!$U$144),"",ReferenceData!$U$144),"")</f>
        <v>53.400923650000003</v>
      </c>
      <c r="V144">
        <f ca="1">IFERROR(IF(0=LEN(ReferenceData!$V$144),"",ReferenceData!$V$144),"")</f>
        <v>53.807218310000003</v>
      </c>
      <c r="W144">
        <f ca="1">IFERROR(IF(0=LEN(ReferenceData!$W$144),"",ReferenceData!$W$144),"")</f>
        <v>55.474050200000001</v>
      </c>
      <c r="X144">
        <f ca="1">IFERROR(IF(0=LEN(ReferenceData!$X$144),"",ReferenceData!$X$144),"")</f>
        <v>55.331998970000001</v>
      </c>
      <c r="Y144">
        <f ca="1">IFERROR(IF(0=LEN(ReferenceData!$Y$144),"",ReferenceData!$Y$144),"")</f>
        <v>56.037415609999996</v>
      </c>
      <c r="Z144">
        <f ca="1">IFERROR(IF(0=LEN(ReferenceData!$Z$144),"",ReferenceData!$Z$144),"")</f>
        <v>57.708227710000003</v>
      </c>
      <c r="AA144">
        <f ca="1">IFERROR(IF(0=LEN(ReferenceData!$AA$144),"",ReferenceData!$AA$144),"")</f>
        <v>50.468729930000002</v>
      </c>
      <c r="AB144">
        <f ca="1">IFERROR(IF(0=LEN(ReferenceData!$AB$144),"",ReferenceData!$AB$144),"")</f>
        <v>58.441176470000002</v>
      </c>
      <c r="AC144">
        <f ca="1">IFERROR(IF(0=LEN(ReferenceData!$AC$144),"",ReferenceData!$AC$144),"")</f>
        <v>56.685808039999998</v>
      </c>
      <c r="AD144">
        <f ca="1">IFERROR(IF(0=LEN(ReferenceData!$AD$144),"",ReferenceData!$AD$144),"")</f>
        <v>57.033550490000003</v>
      </c>
      <c r="AE144">
        <f ca="1">IFERROR(IF(0=LEN(ReferenceData!$AE$144),"",ReferenceData!$AE$144),"")</f>
        <v>54.674354639999997</v>
      </c>
      <c r="AF144">
        <f ca="1">IFERROR(IF(0=LEN(ReferenceData!$AF$144),"",ReferenceData!$AF$144),"")</f>
        <v>60.537598699999997</v>
      </c>
      <c r="AG144">
        <f ca="1">IFERROR(IF(0=LEN(ReferenceData!$AG$144),"",ReferenceData!$AG$144),"")</f>
        <v>58.042123119999999</v>
      </c>
      <c r="AH144">
        <f ca="1">IFERROR(IF(0=LEN(ReferenceData!$AH$144),"",ReferenceData!$AH$144),"")</f>
        <v>60.559908710000002</v>
      </c>
      <c r="AI144">
        <f ca="1">IFERROR(IF(0=LEN(ReferenceData!$AI$144),"",ReferenceData!$AI$144),"")</f>
        <v>57.263389850000003</v>
      </c>
      <c r="AJ144">
        <f ca="1">IFERROR(IF(0=LEN(ReferenceData!$AJ$144),"",ReferenceData!$AJ$144),"")</f>
        <v>63.832801459999999</v>
      </c>
      <c r="AK144">
        <f ca="1">IFERROR(IF(0=LEN(ReferenceData!$AK$144),"",ReferenceData!$AK$144),"")</f>
        <v>56.285914310000003</v>
      </c>
      <c r="AL144">
        <f ca="1">IFERROR(IF(0=LEN(ReferenceData!$AL$144),"",ReferenceData!$AL$144),"")</f>
        <v>57.86753289</v>
      </c>
      <c r="AM144">
        <f ca="1">IFERROR(IF(0=LEN(ReferenceData!$AM$144),"",ReferenceData!$AM$144),"")</f>
        <v>57.412848089999997</v>
      </c>
      <c r="AN144">
        <f ca="1">IFERROR(IF(0=LEN(ReferenceData!$AN$144),"",ReferenceData!$AN$144),"")</f>
        <v>34.089993550000003</v>
      </c>
      <c r="AO144">
        <f ca="1">IFERROR(IF(0=LEN(ReferenceData!$AO$144),"",ReferenceData!$AO$144),"")</f>
        <v>57.115248170000001</v>
      </c>
      <c r="AP144">
        <f ca="1">IFERROR(IF(0=LEN(ReferenceData!$AP$144),"",ReferenceData!$AP$144),"")</f>
        <v>55.921377839999998</v>
      </c>
      <c r="AQ144">
        <f ca="1">IFERROR(IF(0=LEN(ReferenceData!$AQ$144),"",ReferenceData!$AQ$144),"")</f>
        <v>58.035208730000001</v>
      </c>
      <c r="AR144">
        <f ca="1">IFERROR(IF(0=LEN(ReferenceData!$AR$144),"",ReferenceData!$AR$144),"")</f>
        <v>60.174201099999998</v>
      </c>
      <c r="AS144">
        <f ca="1">IFERROR(IF(0=LEN(ReferenceData!$AS$144),"",ReferenceData!$AS$144),"")</f>
        <v>57.265002199999998</v>
      </c>
      <c r="AT144">
        <f ca="1">IFERROR(IF(0=LEN(ReferenceData!$AT$144),"",ReferenceData!$AT$144),"")</f>
        <v>59.218193130000003</v>
      </c>
      <c r="AU144">
        <f ca="1">IFERROR(IF(0=LEN(ReferenceData!$AU$144),"",ReferenceData!$AU$144),"")</f>
        <v>60.96389499</v>
      </c>
      <c r="AV144">
        <f ca="1">IFERROR(IF(0=LEN(ReferenceData!$AV$144),"",ReferenceData!$AV$144),"")</f>
        <v>57.360632389999999</v>
      </c>
      <c r="AW144">
        <f ca="1">IFERROR(IF(0=LEN(ReferenceData!$AW$144),"",ReferenceData!$AW$144),"")</f>
        <v>56.453477630000002</v>
      </c>
      <c r="AX144">
        <f ca="1">IFERROR(IF(0=LEN(ReferenceData!$AX$144),"",ReferenceData!$AX$144),"")</f>
        <v>55.911562699999998</v>
      </c>
      <c r="AY144">
        <f ca="1">IFERROR(IF(0=LEN(ReferenceData!$AY$144),"",ReferenceData!$AY$144),"")</f>
        <v>55.883647590000002</v>
      </c>
      <c r="AZ144">
        <f ca="1">IFERROR(IF(0=LEN(ReferenceData!$AZ$144),"",ReferenceData!$AZ$144),"")</f>
        <v>58.57286989</v>
      </c>
      <c r="BA144">
        <f ca="1">IFERROR(IF(0=LEN(ReferenceData!$BA$144),"",ReferenceData!$BA$144),"")</f>
        <v>56.758513039999997</v>
      </c>
      <c r="BB144">
        <f ca="1">IFERROR(IF(0=LEN(ReferenceData!$BB$144),"",ReferenceData!$BB$144),"")</f>
        <v>59.314989969999999</v>
      </c>
      <c r="BC144">
        <f ca="1">IFERROR(IF(0=LEN(ReferenceData!$BC$144),"",ReferenceData!$BC$144),"")</f>
        <v>56.721734410000003</v>
      </c>
      <c r="BD144">
        <f ca="1">IFERROR(IF(0=LEN(ReferenceData!$BD$144),"",ReferenceData!$BD$144),"")</f>
        <v>59.238872479999998</v>
      </c>
      <c r="BE144">
        <f ca="1">IFERROR(IF(0=LEN(ReferenceData!$BE$144),"",ReferenceData!$BE$144),"")</f>
        <v>72.972390720000007</v>
      </c>
      <c r="BF144">
        <f ca="1">IFERROR(IF(0=LEN(ReferenceData!$BF$144),"",ReferenceData!$BF$144),"")</f>
        <v>51.252836279999997</v>
      </c>
      <c r="BG144">
        <f ca="1">IFERROR(IF(0=LEN(ReferenceData!$BG$144),"",ReferenceData!$BG$144),"")</f>
        <v>71.316675450000005</v>
      </c>
      <c r="BH144">
        <f ca="1">IFERROR(IF(0=LEN(ReferenceData!$BH$144),"",ReferenceData!$BH$144),"")</f>
        <v>51.870484189999999</v>
      </c>
      <c r="BI144">
        <f ca="1">IFERROR(IF(0=LEN(ReferenceData!$BI$144),"",ReferenceData!$BI$144),"")</f>
        <v>77.024493460000002</v>
      </c>
      <c r="BJ144">
        <f ca="1">IFERROR(IF(0=LEN(ReferenceData!$BJ$144),"",ReferenceData!$BJ$144),"")</f>
        <v>62.69934962</v>
      </c>
      <c r="BK144">
        <f ca="1">IFERROR(IF(0=LEN(ReferenceData!$BK$144),"",ReferenceData!$BK$144),"")</f>
        <v>58.160766760000001</v>
      </c>
      <c r="BL144">
        <f ca="1">IFERROR(IF(0=LEN(ReferenceData!$BL$144),"",ReferenceData!$BL$144),"")</f>
        <v>60.838579809999999</v>
      </c>
      <c r="BM144">
        <f ca="1">IFERROR(IF(0=LEN(ReferenceData!$BM$144),"",ReferenceData!$BM$144),"")</f>
        <v>65.719574480000006</v>
      </c>
    </row>
    <row r="145" spans="1:65">
      <c r="A145" t="str">
        <f>IFERROR(IF(0=LEN(ReferenceData!$A$145),"",ReferenceData!$A$145),"")</f>
        <v xml:space="preserve">    SL Green Realty Corp</v>
      </c>
      <c r="B145" t="str">
        <f>IFERROR(IF(0=LEN(ReferenceData!$B$145),"",ReferenceData!$B$145),"")</f>
        <v>SLG US Equity</v>
      </c>
      <c r="C145" t="str">
        <f>IFERROR(IF(0=LEN(ReferenceData!$C$145),"",ReferenceData!$C$145),"")</f>
        <v>RX225</v>
      </c>
      <c r="D145" t="str">
        <f>IFERROR(IF(0=LEN(ReferenceData!$D$145),"",ReferenceData!$D$145),"")</f>
        <v>EBITDA_TO_REVENUE</v>
      </c>
      <c r="E145" t="str">
        <f>IFERROR(IF(0=LEN(ReferenceData!$E$145),"",ReferenceData!$E$145),"")</f>
        <v>动态</v>
      </c>
      <c r="F145" t="str">
        <f ca="1">IFERROR(IF(0=LEN(ReferenceData!$F$145),"",ReferenceData!$F$145),"")</f>
        <v/>
      </c>
      <c r="G145">
        <f ca="1">IFERROR(IF(0=LEN(ReferenceData!$G$145),"",ReferenceData!$G$145),"")</f>
        <v>55.671635180000003</v>
      </c>
      <c r="H145">
        <f ca="1">IFERROR(IF(0=LEN(ReferenceData!$H$145),"",ReferenceData!$H$145),"")</f>
        <v>55.009343299999998</v>
      </c>
      <c r="I145">
        <f ca="1">IFERROR(IF(0=LEN(ReferenceData!$I$145),"",ReferenceData!$I$145),"")</f>
        <v>59.569257819999997</v>
      </c>
      <c r="J145">
        <f ca="1">IFERROR(IF(0=LEN(ReferenceData!$J$145),"",ReferenceData!$J$145),"")</f>
        <v>56.7023777</v>
      </c>
      <c r="K145">
        <f ca="1">IFERROR(IF(0=LEN(ReferenceData!$K$145),"",ReferenceData!$K$145),"")</f>
        <v>54.495486880000001</v>
      </c>
      <c r="L145">
        <f ca="1">IFERROR(IF(0=LEN(ReferenceData!$L$145),"",ReferenceData!$L$145),"")</f>
        <v>57.969765840000001</v>
      </c>
      <c r="M145">
        <f ca="1">IFERROR(IF(0=LEN(ReferenceData!$M$145),"",ReferenceData!$M$145),"")</f>
        <v>73.297075520000007</v>
      </c>
      <c r="N145">
        <f ca="1">IFERROR(IF(0=LEN(ReferenceData!$N$145),"",ReferenceData!$N$145),"")</f>
        <v>63.358612690000001</v>
      </c>
      <c r="O145">
        <f ca="1">IFERROR(IF(0=LEN(ReferenceData!$O$145),"",ReferenceData!$O$145),"")</f>
        <v>62.250875669999999</v>
      </c>
      <c r="P145">
        <f ca="1">IFERROR(IF(0=LEN(ReferenceData!$P$145),"",ReferenceData!$P$145),"")</f>
        <v>60.641892669999997</v>
      </c>
      <c r="Q145">
        <f ca="1">IFERROR(IF(0=LEN(ReferenceData!$Q$145),"",ReferenceData!$Q$145),"")</f>
        <v>62.158191430000002</v>
      </c>
      <c r="R145">
        <f ca="1">IFERROR(IF(0=LEN(ReferenceData!$R$145),"",ReferenceData!$R$145),"")</f>
        <v>59.455613059999997</v>
      </c>
      <c r="S145">
        <f ca="1">IFERROR(IF(0=LEN(ReferenceData!$S$145),"",ReferenceData!$S$145),"")</f>
        <v>59.789668079999998</v>
      </c>
      <c r="T145">
        <f ca="1">IFERROR(IF(0=LEN(ReferenceData!$T$145),"",ReferenceData!$T$145),"")</f>
        <v>60.700943440000003</v>
      </c>
      <c r="U145">
        <f ca="1">IFERROR(IF(0=LEN(ReferenceData!$U$145),"",ReferenceData!$U$145),"")</f>
        <v>61.237888560000002</v>
      </c>
      <c r="V145">
        <f ca="1">IFERROR(IF(0=LEN(ReferenceData!$V$145),"",ReferenceData!$V$145),"")</f>
        <v>58.929492750000001</v>
      </c>
      <c r="W145">
        <f ca="1">IFERROR(IF(0=LEN(ReferenceData!$W$145),"",ReferenceData!$W$145),"")</f>
        <v>56.944622789999997</v>
      </c>
      <c r="X145">
        <f ca="1">IFERROR(IF(0=LEN(ReferenceData!$X$145),"",ReferenceData!$X$145),"")</f>
        <v>57.060882810000003</v>
      </c>
      <c r="Y145">
        <f ca="1">IFERROR(IF(0=LEN(ReferenceData!$Y$145),"",ReferenceData!$Y$145),"")</f>
        <v>58.975431139999998</v>
      </c>
      <c r="Z145">
        <f ca="1">IFERROR(IF(0=LEN(ReferenceData!$Z$145),"",ReferenceData!$Z$145),"")</f>
        <v>58.982422710000002</v>
      </c>
      <c r="AA145">
        <f ca="1">IFERROR(IF(0=LEN(ReferenceData!$AA$145),"",ReferenceData!$AA$145),"")</f>
        <v>57.361100290000003</v>
      </c>
      <c r="AB145">
        <f ca="1">IFERROR(IF(0=LEN(ReferenceData!$AB$145),"",ReferenceData!$AB$145),"")</f>
        <v>55.08653795</v>
      </c>
      <c r="AC145">
        <f ca="1">IFERROR(IF(0=LEN(ReferenceData!$AC$145),"",ReferenceData!$AC$145),"")</f>
        <v>57.591246169999998</v>
      </c>
      <c r="AD145">
        <f ca="1">IFERROR(IF(0=LEN(ReferenceData!$AD$145),"",ReferenceData!$AD$145),"")</f>
        <v>55.250005160000001</v>
      </c>
      <c r="AE145">
        <f ca="1">IFERROR(IF(0=LEN(ReferenceData!$AE$145),"",ReferenceData!$AE$145),"")</f>
        <v>54.243962070000002</v>
      </c>
      <c r="AF145">
        <f ca="1">IFERROR(IF(0=LEN(ReferenceData!$AF$145),"",ReferenceData!$AF$145),"")</f>
        <v>54.76692877</v>
      </c>
      <c r="AG145">
        <f ca="1">IFERROR(IF(0=LEN(ReferenceData!$AG$145),"",ReferenceData!$AG$145),"")</f>
        <v>54.370700190000001</v>
      </c>
      <c r="AH145">
        <f ca="1">IFERROR(IF(0=LEN(ReferenceData!$AH$145),"",ReferenceData!$AH$145),"")</f>
        <v>61.675591779999998</v>
      </c>
      <c r="AI145">
        <f ca="1">IFERROR(IF(0=LEN(ReferenceData!$AI$145),"",ReferenceData!$AI$145),"")</f>
        <v>51.83040063</v>
      </c>
      <c r="AJ145">
        <f ca="1">IFERROR(IF(0=LEN(ReferenceData!$AJ$145),"",ReferenceData!$AJ$145),"")</f>
        <v>62.189684509999999</v>
      </c>
      <c r="AK145">
        <f ca="1">IFERROR(IF(0=LEN(ReferenceData!$AK$145),"",ReferenceData!$AK$145),"")</f>
        <v>51.598349579999997</v>
      </c>
      <c r="AL145">
        <f ca="1">IFERROR(IF(0=LEN(ReferenceData!$AL$145),"",ReferenceData!$AL$145),"")</f>
        <v>50.975960710000003</v>
      </c>
      <c r="AM145">
        <f ca="1">IFERROR(IF(0=LEN(ReferenceData!$AM$145),"",ReferenceData!$AM$145),"")</f>
        <v>42.89170507</v>
      </c>
      <c r="AN145">
        <f ca="1">IFERROR(IF(0=LEN(ReferenceData!$AN$145),"",ReferenceData!$AN$145),"")</f>
        <v>48.048777510000001</v>
      </c>
      <c r="AO145">
        <f ca="1">IFERROR(IF(0=LEN(ReferenceData!$AO$145),"",ReferenceData!$AO$145),"")</f>
        <v>36.863554290000003</v>
      </c>
      <c r="AP145">
        <f ca="1">IFERROR(IF(0=LEN(ReferenceData!$AP$145),"",ReferenceData!$AP$145),"")</f>
        <v>32.418828140000002</v>
      </c>
      <c r="AQ145">
        <f ca="1">IFERROR(IF(0=LEN(ReferenceData!$AQ$145),"",ReferenceData!$AQ$145),"")</f>
        <v>14.061146730000001</v>
      </c>
      <c r="AR145">
        <f ca="1">IFERROR(IF(0=LEN(ReferenceData!$AR$145),"",ReferenceData!$AR$145),"")</f>
        <v>52.881522699999998</v>
      </c>
      <c r="AS145">
        <f ca="1">IFERROR(IF(0=LEN(ReferenceData!$AS$145),"",ReferenceData!$AS$145),"")</f>
        <v>57.779597000000003</v>
      </c>
      <c r="AT145">
        <f ca="1">IFERROR(IF(0=LEN(ReferenceData!$AT$145),"",ReferenceData!$AT$145),"")</f>
        <v>54.41928214</v>
      </c>
      <c r="AU145">
        <f ca="1">IFERROR(IF(0=LEN(ReferenceData!$AU$145),"",ReferenceData!$AU$145),"")</f>
        <v>54.932789479999997</v>
      </c>
      <c r="AV145">
        <f ca="1">IFERROR(IF(0=LEN(ReferenceData!$AV$145),"",ReferenceData!$AV$145),"")</f>
        <v>53.512931649999999</v>
      </c>
      <c r="AW145">
        <f ca="1">IFERROR(IF(0=LEN(ReferenceData!$AW$145),"",ReferenceData!$AW$145),"")</f>
        <v>57.138488789999997</v>
      </c>
      <c r="AX145">
        <f ca="1">IFERROR(IF(0=LEN(ReferenceData!$AX$145),"",ReferenceData!$AX$145),"")</f>
        <v>60.954539410000002</v>
      </c>
      <c r="AY145">
        <f ca="1">IFERROR(IF(0=LEN(ReferenceData!$AY$145),"",ReferenceData!$AY$145),"")</f>
        <v>52.979594650000003</v>
      </c>
      <c r="AZ145">
        <f ca="1">IFERROR(IF(0=LEN(ReferenceData!$AZ$145),"",ReferenceData!$AZ$145),"")</f>
        <v>49.765410379999999</v>
      </c>
      <c r="BA145">
        <f ca="1">IFERROR(IF(0=LEN(ReferenceData!$BA$145),"",ReferenceData!$BA$145),"")</f>
        <v>48.380782920000001</v>
      </c>
      <c r="BB145">
        <f ca="1">IFERROR(IF(0=LEN(ReferenceData!$BB$145),"",ReferenceData!$BB$145),"")</f>
        <v>46.494680580000001</v>
      </c>
      <c r="BC145">
        <f ca="1">IFERROR(IF(0=LEN(ReferenceData!$BC$145),"",ReferenceData!$BC$145),"")</f>
        <v>48.603215470000002</v>
      </c>
      <c r="BD145">
        <f ca="1">IFERROR(IF(0=LEN(ReferenceData!$BD$145),"",ReferenceData!$BD$145),"")</f>
        <v>50.487897709999999</v>
      </c>
      <c r="BE145">
        <f ca="1">IFERROR(IF(0=LEN(ReferenceData!$BE$145),"",ReferenceData!$BE$145),"")</f>
        <v>47.29364271</v>
      </c>
      <c r="BF145">
        <f ca="1">IFERROR(IF(0=LEN(ReferenceData!$BF$145),"",ReferenceData!$BF$145),"")</f>
        <v>49.782243889999997</v>
      </c>
      <c r="BG145">
        <f ca="1">IFERROR(IF(0=LEN(ReferenceData!$BG$145),"",ReferenceData!$BG$145),"")</f>
        <v>42.209896610000001</v>
      </c>
      <c r="BH145">
        <f ca="1">IFERROR(IF(0=LEN(ReferenceData!$BH$145),"",ReferenceData!$BH$145),"")</f>
        <v>47.171239579999998</v>
      </c>
      <c r="BI145">
        <f ca="1">IFERROR(IF(0=LEN(ReferenceData!$BI$145),"",ReferenceData!$BI$145),"")</f>
        <v>52.67482811</v>
      </c>
      <c r="BJ145">
        <f ca="1">IFERROR(IF(0=LEN(ReferenceData!$BJ$145),"",ReferenceData!$BJ$145),"")</f>
        <v>48.038544870000003</v>
      </c>
      <c r="BK145">
        <f ca="1">IFERROR(IF(0=LEN(ReferenceData!$BK$145),"",ReferenceData!$BK$145),"")</f>
        <v>49.174531539999997</v>
      </c>
      <c r="BL145">
        <f ca="1">IFERROR(IF(0=LEN(ReferenceData!$BL$145),"",ReferenceData!$BL$145),"")</f>
        <v>51.34615385</v>
      </c>
      <c r="BM145">
        <f ca="1">IFERROR(IF(0=LEN(ReferenceData!$BM$145),"",ReferenceData!$BM$145),"")</f>
        <v>51.560839799999997</v>
      </c>
    </row>
    <row r="146" spans="1:65">
      <c r="A146" t="str">
        <f>IFERROR(IF(0=LEN(ReferenceData!$A$146),"",ReferenceData!$A$146),"")</f>
        <v xml:space="preserve">    Vornado Realty Trust</v>
      </c>
      <c r="B146" t="str">
        <f>IFERROR(IF(0=LEN(ReferenceData!$B$146),"",ReferenceData!$B$146),"")</f>
        <v>VNO US Equity</v>
      </c>
      <c r="C146" t="str">
        <f>IFERROR(IF(0=LEN(ReferenceData!$C$146),"",ReferenceData!$C$146),"")</f>
        <v>RX225</v>
      </c>
      <c r="D146" t="str">
        <f>IFERROR(IF(0=LEN(ReferenceData!$D$146),"",ReferenceData!$D$146),"")</f>
        <v>EBITDA_TO_REVENUE</v>
      </c>
      <c r="E146" t="str">
        <f>IFERROR(IF(0=LEN(ReferenceData!$E$146),"",ReferenceData!$E$146),"")</f>
        <v>动态</v>
      </c>
      <c r="F146" t="str">
        <f ca="1">IFERROR(IF(0=LEN(ReferenceData!$F$146),"",ReferenceData!$F$146),"")</f>
        <v/>
      </c>
      <c r="G146">
        <f ca="1">IFERROR(IF(0=LEN(ReferenceData!$G$146),"",ReferenceData!$G$146),"")</f>
        <v>50.436010189999998</v>
      </c>
      <c r="H146">
        <f ca="1">IFERROR(IF(0=LEN(ReferenceData!$H$146),"",ReferenceData!$H$146),"")</f>
        <v>50.840370299999996</v>
      </c>
      <c r="I146">
        <f ca="1">IFERROR(IF(0=LEN(ReferenceData!$I$146),"",ReferenceData!$I$146),"")</f>
        <v>50.232653239999998</v>
      </c>
      <c r="J146">
        <f ca="1">IFERROR(IF(0=LEN(ReferenceData!$J$146),"",ReferenceData!$J$146),"")</f>
        <v>46.854302500000003</v>
      </c>
      <c r="K146">
        <f ca="1">IFERROR(IF(0=LEN(ReferenceData!$K$146),"",ReferenceData!$K$146),"")</f>
        <v>49.00949456</v>
      </c>
      <c r="L146">
        <f ca="1">IFERROR(IF(0=LEN(ReferenceData!$L$146),"",ReferenceData!$L$146),"")</f>
        <v>51.1352707</v>
      </c>
      <c r="M146">
        <f ca="1">IFERROR(IF(0=LEN(ReferenceData!$M$146),"",ReferenceData!$M$146),"")</f>
        <v>52.018471689999998</v>
      </c>
      <c r="N146">
        <f ca="1">IFERROR(IF(0=LEN(ReferenceData!$N$146),"",ReferenceData!$N$146),"")</f>
        <v>21.672590719999999</v>
      </c>
      <c r="O146">
        <f ca="1">IFERROR(IF(0=LEN(ReferenceData!$O$146),"",ReferenceData!$O$146),"")</f>
        <v>49.15444127</v>
      </c>
      <c r="P146">
        <f ca="1">IFERROR(IF(0=LEN(ReferenceData!$P$146),"",ReferenceData!$P$146),"")</f>
        <v>50.861700839999997</v>
      </c>
      <c r="Q146">
        <f ca="1">IFERROR(IF(0=LEN(ReferenceData!$Q$146),"",ReferenceData!$Q$146),"")</f>
        <v>52.22282439</v>
      </c>
      <c r="R146">
        <f ca="1">IFERROR(IF(0=LEN(ReferenceData!$R$146),"",ReferenceData!$R$146),"")</f>
        <v>47.144208489999997</v>
      </c>
      <c r="S146">
        <f ca="1">IFERROR(IF(0=LEN(ReferenceData!$S$146),"",ReferenceData!$S$146),"")</f>
        <v>53.36108273</v>
      </c>
      <c r="T146">
        <f ca="1">IFERROR(IF(0=LEN(ReferenceData!$T$146),"",ReferenceData!$T$146),"")</f>
        <v>53.199702790000003</v>
      </c>
      <c r="U146">
        <f ca="1">IFERROR(IF(0=LEN(ReferenceData!$U$146),"",ReferenceData!$U$146),"")</f>
        <v>52.39488798</v>
      </c>
      <c r="V146">
        <f ca="1">IFERROR(IF(0=LEN(ReferenceData!$V$146),"",ReferenceData!$V$146),"")</f>
        <v>53.186362979999998</v>
      </c>
      <c r="W146">
        <f ca="1">IFERROR(IF(0=LEN(ReferenceData!$W$146),"",ReferenceData!$W$146),"")</f>
        <v>46.838557880000003</v>
      </c>
      <c r="X146">
        <f ca="1">IFERROR(IF(0=LEN(ReferenceData!$X$146),"",ReferenceData!$X$146),"")</f>
        <v>52.710433209999998</v>
      </c>
      <c r="Y146">
        <f ca="1">IFERROR(IF(0=LEN(ReferenceData!$Y$146),"",ReferenceData!$Y$146),"")</f>
        <v>48.013754140000003</v>
      </c>
      <c r="Z146">
        <f ca="1">IFERROR(IF(0=LEN(ReferenceData!$Z$146),"",ReferenceData!$Z$146),"")</f>
        <v>55.545398509999998</v>
      </c>
      <c r="AA146">
        <f ca="1">IFERROR(IF(0=LEN(ReferenceData!$AA$146),"",ReferenceData!$AA$146),"")</f>
        <v>29.89982423</v>
      </c>
      <c r="AB146">
        <f ca="1">IFERROR(IF(0=LEN(ReferenceData!$AB$146),"",ReferenceData!$AB$146),"")</f>
        <v>45.44414922</v>
      </c>
      <c r="AC146">
        <f ca="1">IFERROR(IF(0=LEN(ReferenceData!$AC$146),"",ReferenceData!$AC$146),"")</f>
        <v>48.742962579999997</v>
      </c>
      <c r="AD146">
        <f ca="1">IFERROR(IF(0=LEN(ReferenceData!$AD$146),"",ReferenceData!$AD$146),"")</f>
        <v>46.875340870000002</v>
      </c>
      <c r="AE146">
        <f ca="1">IFERROR(IF(0=LEN(ReferenceData!$AE$146),"",ReferenceData!$AE$146),"")</f>
        <v>51.32797746</v>
      </c>
      <c r="AF146">
        <f ca="1">IFERROR(IF(0=LEN(ReferenceData!$AF$146),"",ReferenceData!$AF$146),"")</f>
        <v>49.572296690000002</v>
      </c>
      <c r="AG146">
        <f ca="1">IFERROR(IF(0=LEN(ReferenceData!$AG$146),"",ReferenceData!$AG$146),"")</f>
        <v>50.52655171</v>
      </c>
      <c r="AH146">
        <f ca="1">IFERROR(IF(0=LEN(ReferenceData!$AH$146),"",ReferenceData!$AH$146),"")</f>
        <v>43.358009469999999</v>
      </c>
      <c r="AI146">
        <f ca="1">IFERROR(IF(0=LEN(ReferenceData!$AI$146),"",ReferenceData!$AI$146),"")</f>
        <v>30.853938530000001</v>
      </c>
      <c r="AJ146">
        <f ca="1">IFERROR(IF(0=LEN(ReferenceData!$AJ$146),"",ReferenceData!$AJ$146),"")</f>
        <v>50.641877389999998</v>
      </c>
      <c r="AK146">
        <f ca="1">IFERROR(IF(0=LEN(ReferenceData!$AK$146),"",ReferenceData!$AK$146),"")</f>
        <v>52.764445039999998</v>
      </c>
      <c r="AL146">
        <f ca="1">IFERROR(IF(0=LEN(ReferenceData!$AL$146),"",ReferenceData!$AL$146),"")</f>
        <v>51.442258590000002</v>
      </c>
      <c r="AM146">
        <f ca="1">IFERROR(IF(0=LEN(ReferenceData!$AM$146),"",ReferenceData!$AM$146),"")</f>
        <v>42.790905690000002</v>
      </c>
      <c r="AN146">
        <f ca="1">IFERROR(IF(0=LEN(ReferenceData!$AN$146),"",ReferenceData!$AN$146),"")</f>
        <v>50.690311209999997</v>
      </c>
      <c r="AO146">
        <f ca="1">IFERROR(IF(0=LEN(ReferenceData!$AO$146),"",ReferenceData!$AO$146),"")</f>
        <v>50.435447250000003</v>
      </c>
      <c r="AP146">
        <f ca="1">IFERROR(IF(0=LEN(ReferenceData!$AP$146),"",ReferenceData!$AP$146),"")</f>
        <v>45.263541060000001</v>
      </c>
      <c r="AQ146">
        <f ca="1">IFERROR(IF(0=LEN(ReferenceData!$AQ$146),"",ReferenceData!$AQ$146),"")</f>
        <v>50.704952720000001</v>
      </c>
      <c r="AR146">
        <f ca="1">IFERROR(IF(0=LEN(ReferenceData!$AR$146),"",ReferenceData!$AR$146),"")</f>
        <v>48.850263579999996</v>
      </c>
      <c r="AS146">
        <f ca="1">IFERROR(IF(0=LEN(ReferenceData!$AS$146),"",ReferenceData!$AS$146),"")</f>
        <v>51.146930820000001</v>
      </c>
      <c r="AT146">
        <f ca="1">IFERROR(IF(0=LEN(ReferenceData!$AT$146),"",ReferenceData!$AT$146),"")</f>
        <v>52.27990303</v>
      </c>
      <c r="AU146">
        <f ca="1">IFERROR(IF(0=LEN(ReferenceData!$AU$146),"",ReferenceData!$AU$146),"")</f>
        <v>54.501906669999997</v>
      </c>
      <c r="AV146">
        <f ca="1">IFERROR(IF(0=LEN(ReferenceData!$AV$146),"",ReferenceData!$AV$146),"")</f>
        <v>51.803232889999997</v>
      </c>
      <c r="AW146">
        <f ca="1">IFERROR(IF(0=LEN(ReferenceData!$AW$146),"",ReferenceData!$AW$146),"")</f>
        <v>53.399574770000001</v>
      </c>
      <c r="AX146">
        <f ca="1">IFERROR(IF(0=LEN(ReferenceData!$AX$146),"",ReferenceData!$AX$146),"")</f>
        <v>52.99098918</v>
      </c>
      <c r="AY146">
        <f ca="1">IFERROR(IF(0=LEN(ReferenceData!$AY$146),"",ReferenceData!$AY$146),"")</f>
        <v>39.028910150000002</v>
      </c>
      <c r="AZ146">
        <f ca="1">IFERROR(IF(0=LEN(ReferenceData!$AZ$146),"",ReferenceData!$AZ$146),"")</f>
        <v>40.078055300000003</v>
      </c>
      <c r="BA146">
        <f ca="1">IFERROR(IF(0=LEN(ReferenceData!$BA$146),"",ReferenceData!$BA$146),"")</f>
        <v>44.379004330000001</v>
      </c>
      <c r="BB146">
        <f ca="1">IFERROR(IF(0=LEN(ReferenceData!$BB$146),"",ReferenceData!$BB$146),"")</f>
        <v>43.460105220000003</v>
      </c>
      <c r="BC146">
        <f ca="1">IFERROR(IF(0=LEN(ReferenceData!$BC$146),"",ReferenceData!$BC$146),"")</f>
        <v>42.592518550000001</v>
      </c>
      <c r="BD146">
        <f ca="1">IFERROR(IF(0=LEN(ReferenceData!$BD$146),"",ReferenceData!$BD$146),"")</f>
        <v>35.188353530000001</v>
      </c>
      <c r="BE146">
        <f ca="1">IFERROR(IF(0=LEN(ReferenceData!$BE$146),"",ReferenceData!$BE$146),"")</f>
        <v>44.399002490000001</v>
      </c>
      <c r="BF146">
        <f ca="1">IFERROR(IF(0=LEN(ReferenceData!$BF$146),"",ReferenceData!$BF$146),"")</f>
        <v>43.762160680000001</v>
      </c>
      <c r="BG146">
        <f ca="1">IFERROR(IF(0=LEN(ReferenceData!$BG$146),"",ReferenceData!$BG$146),"")</f>
        <v>56.82848619</v>
      </c>
      <c r="BH146">
        <f ca="1">IFERROR(IF(0=LEN(ReferenceData!$BH$146),"",ReferenceData!$BH$146),"")</f>
        <v>54.00154234</v>
      </c>
      <c r="BI146">
        <f ca="1">IFERROR(IF(0=LEN(ReferenceData!$BI$146),"",ReferenceData!$BI$146),"")</f>
        <v>58.133935319999999</v>
      </c>
      <c r="BJ146">
        <f ca="1">IFERROR(IF(0=LEN(ReferenceData!$BJ$146),"",ReferenceData!$BJ$146),"")</f>
        <v>54.420014649999999</v>
      </c>
      <c r="BK146">
        <f ca="1">IFERROR(IF(0=LEN(ReferenceData!$BK$146),"",ReferenceData!$BK$146),"")</f>
        <v>54.273368040000001</v>
      </c>
      <c r="BL146">
        <f ca="1">IFERROR(IF(0=LEN(ReferenceData!$BL$146),"",ReferenceData!$BL$146),"")</f>
        <v>53.011482389999998</v>
      </c>
      <c r="BM146">
        <f ca="1">IFERROR(IF(0=LEN(ReferenceData!$BM$146),"",ReferenceData!$BM$146),"")</f>
        <v>55.425161240000001</v>
      </c>
    </row>
    <row r="147" spans="1:65">
      <c r="A147" t="str">
        <f>IFERROR(IF(0=LEN(ReferenceData!$A$147),"",ReferenceData!$A$147),"")</f>
        <v>资产回报率(NOI/总资产)(%)</v>
      </c>
      <c r="B147" t="str">
        <f>IFERROR(IF(0=LEN(ReferenceData!$B$147),"",ReferenceData!$B$147),"")</f>
        <v/>
      </c>
      <c r="C147" t="str">
        <f>IFERROR(IF(0=LEN(ReferenceData!$C$147),"",ReferenceData!$C$147),"")</f>
        <v/>
      </c>
      <c r="D147" t="str">
        <f>IFERROR(IF(0=LEN(ReferenceData!$D$147),"",ReferenceData!$D$147),"")</f>
        <v/>
      </c>
      <c r="E147" t="str">
        <f>IFERROR(IF(0=LEN(ReferenceData!$E$147),"",ReferenceData!$E$147),"")</f>
        <v>Median</v>
      </c>
      <c r="F147" t="str">
        <f ca="1">IFERROR(IF(0=LEN(ReferenceData!$F$147),"",ReferenceData!$F$147),"")</f>
        <v/>
      </c>
      <c r="G147">
        <f ca="1">IFERROR(IF(0=LEN(ReferenceData!$G$147),"",ReferenceData!$G$147),"")</f>
        <v>6.3740366724999999</v>
      </c>
      <c r="H147">
        <f ca="1">IFERROR(IF(0=LEN(ReferenceData!$H$147),"",ReferenceData!$H$147),"")</f>
        <v>6.3434932385000007</v>
      </c>
      <c r="I147">
        <f ca="1">IFERROR(IF(0=LEN(ReferenceData!$I$147),"",ReferenceData!$I$147),"")</f>
        <v>6.3760480815000005</v>
      </c>
      <c r="J147">
        <f ca="1">IFERROR(IF(0=LEN(ReferenceData!$J$147),"",ReferenceData!$J$147),"")</f>
        <v>6.324540968</v>
      </c>
      <c r="K147">
        <f ca="1">IFERROR(IF(0=LEN(ReferenceData!$K$147),"",ReferenceData!$K$147),"")</f>
        <v>6.3288046690000002</v>
      </c>
      <c r="L147">
        <f ca="1">IFERROR(IF(0=LEN(ReferenceData!$L$147),"",ReferenceData!$L$147),"")</f>
        <v>6.0791159109999997</v>
      </c>
      <c r="M147">
        <f ca="1">IFERROR(IF(0=LEN(ReferenceData!$M$147),"",ReferenceData!$M$147),"")</f>
        <v>6.502001871</v>
      </c>
      <c r="N147">
        <f ca="1">IFERROR(IF(0=LEN(ReferenceData!$N$147),"",ReferenceData!$N$147),"")</f>
        <v>6.075565117</v>
      </c>
      <c r="O147">
        <f ca="1">IFERROR(IF(0=LEN(ReferenceData!$O$147),"",ReferenceData!$O$147),"")</f>
        <v>6.2869875175000001</v>
      </c>
      <c r="P147">
        <f ca="1">IFERROR(IF(0=LEN(ReferenceData!$P$147),"",ReferenceData!$P$147),"")</f>
        <v>5.821117986</v>
      </c>
      <c r="Q147">
        <f ca="1">IFERROR(IF(0=LEN(ReferenceData!$Q$147),"",ReferenceData!$Q$147),"")</f>
        <v>6.2167402534999994</v>
      </c>
      <c r="R147">
        <f ca="1">IFERROR(IF(0=LEN(ReferenceData!$R$147),"",ReferenceData!$R$147),"")</f>
        <v>6.1731242115000002</v>
      </c>
      <c r="S147">
        <f ca="1">IFERROR(IF(0=LEN(ReferenceData!$S$147),"",ReferenceData!$S$147),"")</f>
        <v>6.1688306510000004</v>
      </c>
      <c r="T147">
        <f ca="1">IFERROR(IF(0=LEN(ReferenceData!$T$147),"",ReferenceData!$T$147),"")</f>
        <v>5.8587001579999995</v>
      </c>
      <c r="U147">
        <f ca="1">IFERROR(IF(0=LEN(ReferenceData!$U$147),"",ReferenceData!$U$147),"")</f>
        <v>6.2087963305000002</v>
      </c>
      <c r="V147">
        <f ca="1">IFERROR(IF(0=LEN(ReferenceData!$V$147),"",ReferenceData!$V$147),"")</f>
        <v>6.0517428495000001</v>
      </c>
      <c r="W147">
        <f ca="1">IFERROR(IF(0=LEN(ReferenceData!$W$147),"",ReferenceData!$W$147),"")</f>
        <v>5.9296298049999994</v>
      </c>
      <c r="X147">
        <f ca="1">IFERROR(IF(0=LEN(ReferenceData!$X$147),"",ReferenceData!$X$147),"")</f>
        <v>6.15979002</v>
      </c>
      <c r="Y147">
        <f ca="1">IFERROR(IF(0=LEN(ReferenceData!$Y$147),"",ReferenceData!$Y$147),"")</f>
        <v>5.8221720550000002</v>
      </c>
      <c r="Z147">
        <f ca="1">IFERROR(IF(0=LEN(ReferenceData!$Z$147),"",ReferenceData!$Z$147),"")</f>
        <v>5.9771084005000006</v>
      </c>
      <c r="AA147">
        <f ca="1">IFERROR(IF(0=LEN(ReferenceData!$AA$147),"",ReferenceData!$AA$147),"")</f>
        <v>6.1395268749999996</v>
      </c>
      <c r="AB147">
        <f ca="1">IFERROR(IF(0=LEN(ReferenceData!$AB$147),"",ReferenceData!$AB$147),"")</f>
        <v>6.0908771369999997</v>
      </c>
      <c r="AC147">
        <f ca="1">IFERROR(IF(0=LEN(ReferenceData!$AC$147),"",ReferenceData!$AC$147),"")</f>
        <v>5.7966380170000003</v>
      </c>
      <c r="AD147">
        <f ca="1">IFERROR(IF(0=LEN(ReferenceData!$AD$147),"",ReferenceData!$AD$147),"")</f>
        <v>5.7328189739999997</v>
      </c>
      <c r="AE147">
        <f ca="1">IFERROR(IF(0=LEN(ReferenceData!$AE$147),"",ReferenceData!$AE$147),"")</f>
        <v>6.6515470729999997</v>
      </c>
      <c r="AF147">
        <f ca="1">IFERROR(IF(0=LEN(ReferenceData!$AF$147),"",ReferenceData!$AF$147),"")</f>
        <v>6.4118961864999999</v>
      </c>
      <c r="AG147">
        <f ca="1">IFERROR(IF(0=LEN(ReferenceData!$AG$147),"",ReferenceData!$AG$147),"")</f>
        <v>6.0210180300000005</v>
      </c>
      <c r="AH147">
        <f ca="1">IFERROR(IF(0=LEN(ReferenceData!$AH$147),"",ReferenceData!$AH$147),"")</f>
        <v>6.3064193999999993</v>
      </c>
      <c r="AI147">
        <f ca="1">IFERROR(IF(0=LEN(ReferenceData!$AI$147),"",ReferenceData!$AI$147),"")</f>
        <v>5.8647803715000002</v>
      </c>
      <c r="AJ147">
        <f ca="1">IFERROR(IF(0=LEN(ReferenceData!$AJ$147),"",ReferenceData!$AJ$147),"")</f>
        <v>5.9710749045</v>
      </c>
      <c r="AK147">
        <f ca="1">IFERROR(IF(0=LEN(ReferenceData!$AK$147),"",ReferenceData!$AK$147),"")</f>
        <v>6.2663998415000002</v>
      </c>
      <c r="AL147">
        <f ca="1">IFERROR(IF(0=LEN(ReferenceData!$AL$147),"",ReferenceData!$AL$147),"")</f>
        <v>6.4118727189999998</v>
      </c>
      <c r="AM147">
        <f ca="1">IFERROR(IF(0=LEN(ReferenceData!$AM$147),"",ReferenceData!$AM$147),"")</f>
        <v>6.4220801240000007</v>
      </c>
      <c r="AN147">
        <f ca="1">IFERROR(IF(0=LEN(ReferenceData!$AN$147),"",ReferenceData!$AN$147),"")</f>
        <v>6.7199359750000003</v>
      </c>
      <c r="AO147">
        <f ca="1">IFERROR(IF(0=LEN(ReferenceData!$AO$147),"",ReferenceData!$AO$147),"")</f>
        <v>6.9513087754999994</v>
      </c>
      <c r="AP147">
        <f ca="1">IFERROR(IF(0=LEN(ReferenceData!$AP$147),"",ReferenceData!$AP$147),"")</f>
        <v>6.9983869009999999</v>
      </c>
      <c r="AQ147">
        <f ca="1">IFERROR(IF(0=LEN(ReferenceData!$AQ$147),"",ReferenceData!$AQ$147),"")</f>
        <v>7.1217506940000002</v>
      </c>
      <c r="AR147">
        <f ca="1">IFERROR(IF(0=LEN(ReferenceData!$AR$147),"",ReferenceData!$AR$147),"")</f>
        <v>6.473797298</v>
      </c>
      <c r="AS147">
        <f ca="1">IFERROR(IF(0=LEN(ReferenceData!$AS$147),"",ReferenceData!$AS$147),"")</f>
        <v>7.0368304935000001</v>
      </c>
      <c r="AT147">
        <f ca="1">IFERROR(IF(0=LEN(ReferenceData!$AT$147),"",ReferenceData!$AT$147),"")</f>
        <v>7.0775871549999998</v>
      </c>
      <c r="AU147">
        <f ca="1">IFERROR(IF(0=LEN(ReferenceData!$AU$147),"",ReferenceData!$AU$147),"")</f>
        <v>6.9649659795000005</v>
      </c>
      <c r="AV147">
        <f ca="1">IFERROR(IF(0=LEN(ReferenceData!$AV$147),"",ReferenceData!$AV$147),"")</f>
        <v>6.9072315040000003</v>
      </c>
      <c r="AW147">
        <f ca="1">IFERROR(IF(0=LEN(ReferenceData!$AW$147),"",ReferenceData!$AW$147),"")</f>
        <v>6.7218573859999999</v>
      </c>
      <c r="AX147">
        <f ca="1">IFERROR(IF(0=LEN(ReferenceData!$AX$147),"",ReferenceData!$AX$147),"")</f>
        <v>6.9234261139999997</v>
      </c>
      <c r="AY147">
        <f ca="1">IFERROR(IF(0=LEN(ReferenceData!$AY$147),"",ReferenceData!$AY$147),"")</f>
        <v>7.690407671</v>
      </c>
      <c r="AZ147">
        <f ca="1">IFERROR(IF(0=LEN(ReferenceData!$AZ$147),"",ReferenceData!$AZ$147),"")</f>
        <v>7.0182806729999996</v>
      </c>
      <c r="BA147">
        <f ca="1">IFERROR(IF(0=LEN(ReferenceData!$BA$147),"",ReferenceData!$BA$147),"")</f>
        <v>6.9773131164999995</v>
      </c>
      <c r="BB147">
        <f ca="1">IFERROR(IF(0=LEN(ReferenceData!$BB$147),"",ReferenceData!$BB$147),"")</f>
        <v>6.7594286614999994</v>
      </c>
      <c r="BC147">
        <f ca="1">IFERROR(IF(0=LEN(ReferenceData!$BC$147),"",ReferenceData!$BC$147),"")</f>
        <v>8.8743376749999996</v>
      </c>
      <c r="BD147">
        <f ca="1">IFERROR(IF(0=LEN(ReferenceData!$BD$147),"",ReferenceData!$BD$147),"")</f>
        <v>7.403627738</v>
      </c>
      <c r="BE147">
        <f ca="1">IFERROR(IF(0=LEN(ReferenceData!$BE$147),"",ReferenceData!$BE$147),"")</f>
        <v>7.5986709440000002</v>
      </c>
      <c r="BF147">
        <f ca="1">IFERROR(IF(0=LEN(ReferenceData!$BF$147),"",ReferenceData!$BF$147),"")</f>
        <v>7.9698959470000004</v>
      </c>
      <c r="BG147">
        <f ca="1">IFERROR(IF(0=LEN(ReferenceData!$BG$147),"",ReferenceData!$BG$147),"")</f>
        <v>8.9006766934999995</v>
      </c>
      <c r="BH147">
        <f ca="1">IFERROR(IF(0=LEN(ReferenceData!$BH$147),"",ReferenceData!$BH$147),"")</f>
        <v>8.2840787979999995</v>
      </c>
      <c r="BI147">
        <f ca="1">IFERROR(IF(0=LEN(ReferenceData!$BI$147),"",ReferenceData!$BI$147),"")</f>
        <v>8.834535644999999</v>
      </c>
      <c r="BJ147">
        <f ca="1">IFERROR(IF(0=LEN(ReferenceData!$BJ$147),"",ReferenceData!$BJ$147),"")</f>
        <v>7.8519223910000004</v>
      </c>
      <c r="BK147" t="str">
        <f ca="1">IFERROR(IF(0=LEN(ReferenceData!$BK$147),"",ReferenceData!$BK$147),"")</f>
        <v/>
      </c>
      <c r="BL147">
        <f ca="1">IFERROR(IF(0=LEN(ReferenceData!$BL$147),"",ReferenceData!$BL$147),"")</f>
        <v>9.3406588330000009</v>
      </c>
      <c r="BM147">
        <f ca="1">IFERROR(IF(0=LEN(ReferenceData!$BM$147),"",ReferenceData!$BM$147),"")</f>
        <v>8.5905581590000004</v>
      </c>
    </row>
    <row r="148" spans="1:65">
      <c r="A148" t="str">
        <f>IFERROR(IF(0=LEN(ReferenceData!$A$148),"",ReferenceData!$A$148),"")</f>
        <v xml:space="preserve">    Boston Properties Inc</v>
      </c>
      <c r="B148" t="str">
        <f>IFERROR(IF(0=LEN(ReferenceData!$B$148),"",ReferenceData!$B$148),"")</f>
        <v>BXP US Equity</v>
      </c>
      <c r="C148" t="str">
        <f>IFERROR(IF(0=LEN(ReferenceData!$C$148),"",ReferenceData!$C$148),"")</f>
        <v>RX902</v>
      </c>
      <c r="D148" t="str">
        <f>IFERROR(IF(0=LEN(ReferenceData!$D$148),"",ReferenceData!$D$148),"")</f>
        <v>ANN_NOI_GR_AST_NET_RTL_DEV_CTD_%</v>
      </c>
      <c r="E148" t="str">
        <f>IFERROR(IF(0=LEN(ReferenceData!$E$148),"",ReferenceData!$E$148),"")</f>
        <v>动态</v>
      </c>
      <c r="F148" t="str">
        <f ca="1">IFERROR(IF(0=LEN(ReferenceData!$F$148),"",ReferenceData!$F$148),"")</f>
        <v/>
      </c>
      <c r="G148">
        <f ca="1">IFERROR(IF(0=LEN(ReferenceData!$G$148),"",ReferenceData!$G$148),"")</f>
        <v>6.7316958229999999</v>
      </c>
      <c r="H148">
        <f ca="1">IFERROR(IF(0=LEN(ReferenceData!$H$148),"",ReferenceData!$H$148),"")</f>
        <v>6.7432887450000001</v>
      </c>
      <c r="I148">
        <f ca="1">IFERROR(IF(0=LEN(ReferenceData!$I$148),"",ReferenceData!$I$148),"")</f>
        <v>6.9427393559999997</v>
      </c>
      <c r="J148">
        <f ca="1">IFERROR(IF(0=LEN(ReferenceData!$J$148),"",ReferenceData!$J$148),"")</f>
        <v>6.7107225909999997</v>
      </c>
      <c r="K148">
        <f ca="1">IFERROR(IF(0=LEN(ReferenceData!$K$148),"",ReferenceData!$K$148),"")</f>
        <v>6.8394051490000001</v>
      </c>
      <c r="L148">
        <f ca="1">IFERROR(IF(0=LEN(ReferenceData!$L$148),"",ReferenceData!$L$148),"")</f>
        <v>6.6747318260000004</v>
      </c>
      <c r="M148">
        <f ca="1">IFERROR(IF(0=LEN(ReferenceData!$M$148),"",ReferenceData!$M$148),"")</f>
        <v>6.8129522319999998</v>
      </c>
      <c r="N148">
        <f ca="1">IFERROR(IF(0=LEN(ReferenceData!$N$148),"",ReferenceData!$N$148),"")</f>
        <v>7.4742893620000004</v>
      </c>
      <c r="O148">
        <f ca="1">IFERROR(IF(0=LEN(ReferenceData!$O$148),"",ReferenceData!$O$148),"")</f>
        <v>7.0611176000000002</v>
      </c>
      <c r="P148">
        <f ca="1">IFERROR(IF(0=LEN(ReferenceData!$P$148),"",ReferenceData!$P$148),"")</f>
        <v>7.1339739470000003</v>
      </c>
      <c r="Q148">
        <f ca="1">IFERROR(IF(0=LEN(ReferenceData!$Q$148),"",ReferenceData!$Q$148),"")</f>
        <v>6.8287906820000002</v>
      </c>
      <c r="R148">
        <f ca="1">IFERROR(IF(0=LEN(ReferenceData!$R$148),"",ReferenceData!$R$148),"")</f>
        <v>6.733081211</v>
      </c>
      <c r="S148">
        <f ca="1">IFERROR(IF(0=LEN(ReferenceData!$S$148),"",ReferenceData!$S$148),"")</f>
        <v>6.8141801299999996</v>
      </c>
      <c r="T148">
        <f ca="1">IFERROR(IF(0=LEN(ReferenceData!$T$148),"",ReferenceData!$T$148),"")</f>
        <v>7.2069240060000004</v>
      </c>
      <c r="U148">
        <f ca="1">IFERROR(IF(0=LEN(ReferenceData!$U$148),"",ReferenceData!$U$148),"")</f>
        <v>6.7062199639999998</v>
      </c>
      <c r="V148">
        <f ca="1">IFERROR(IF(0=LEN(ReferenceData!$V$148),"",ReferenceData!$V$148),"")</f>
        <v>6.4073477160000003</v>
      </c>
      <c r="W148">
        <f ca="1">IFERROR(IF(0=LEN(ReferenceData!$W$148),"",ReferenceData!$W$148),"")</f>
        <v>6.4009022260000004</v>
      </c>
      <c r="X148">
        <f ca="1">IFERROR(IF(0=LEN(ReferenceData!$X$148),"",ReferenceData!$X$148),"")</f>
        <v>6.5733616069999998</v>
      </c>
      <c r="Y148">
        <f ca="1">IFERROR(IF(0=LEN(ReferenceData!$Y$148),"",ReferenceData!$Y$148),"")</f>
        <v>5.6782703510000001</v>
      </c>
      <c r="Z148">
        <f ca="1">IFERROR(IF(0=LEN(ReferenceData!$Z$148),"",ReferenceData!$Z$148),"")</f>
        <v>6.3200756670000002</v>
      </c>
      <c r="AA148">
        <f ca="1">IFERROR(IF(0=LEN(ReferenceData!$AA$148),"",ReferenceData!$AA$148),"")</f>
        <v>6.510158111</v>
      </c>
      <c r="AB148">
        <f ca="1">IFERROR(IF(0=LEN(ReferenceData!$AB$148),"",ReferenceData!$AB$148),"")</f>
        <v>6.384281219</v>
      </c>
      <c r="AC148">
        <f ca="1">IFERROR(IF(0=LEN(ReferenceData!$AC$148),"",ReferenceData!$AC$148),"")</f>
        <v>6.5108956239999998</v>
      </c>
      <c r="AD148">
        <f ca="1">IFERROR(IF(0=LEN(ReferenceData!$AD$148),"",ReferenceData!$AD$148),"")</f>
        <v>6.4623451080000001</v>
      </c>
      <c r="AE148">
        <f ca="1">IFERROR(IF(0=LEN(ReferenceData!$AE$148),"",ReferenceData!$AE$148),"")</f>
        <v>6.4439980090000004</v>
      </c>
      <c r="AF148">
        <f ca="1">IFERROR(IF(0=LEN(ReferenceData!$AF$148),"",ReferenceData!$AF$148),"")</f>
        <v>6.8132264390000001</v>
      </c>
      <c r="AG148">
        <f ca="1">IFERROR(IF(0=LEN(ReferenceData!$AG$148),"",ReferenceData!$AG$148),"")</f>
        <v>6.7561309280000001</v>
      </c>
      <c r="AH148">
        <f ca="1">IFERROR(IF(0=LEN(ReferenceData!$AH$148),"",ReferenceData!$AH$148),"")</f>
        <v>6.5099876889999999</v>
      </c>
      <c r="AI148">
        <f ca="1">IFERROR(IF(0=LEN(ReferenceData!$AI$148),"",ReferenceData!$AI$148),"")</f>
        <v>6.4453980299999998</v>
      </c>
      <c r="AJ148">
        <f ca="1">IFERROR(IF(0=LEN(ReferenceData!$AJ$148),"",ReferenceData!$AJ$148),"")</f>
        <v>6.4277890920000003</v>
      </c>
      <c r="AK148">
        <f ca="1">IFERROR(IF(0=LEN(ReferenceData!$AK$148),"",ReferenceData!$AK$148),"")</f>
        <v>6.565977771</v>
      </c>
      <c r="AL148">
        <f ca="1">IFERROR(IF(0=LEN(ReferenceData!$AL$148),"",ReferenceData!$AL$148),"")</f>
        <v>6.6563675409999998</v>
      </c>
      <c r="AM148">
        <f ca="1">IFERROR(IF(0=LEN(ReferenceData!$AM$148),"",ReferenceData!$AM$148),"")</f>
        <v>6.5620849960000003</v>
      </c>
      <c r="AN148">
        <f ca="1">IFERROR(IF(0=LEN(ReferenceData!$AN$148),"",ReferenceData!$AN$148),"")</f>
        <v>6.812428701</v>
      </c>
      <c r="AO148">
        <f ca="1">IFERROR(IF(0=LEN(ReferenceData!$AO$148),"",ReferenceData!$AO$148),"")</f>
        <v>7.4292798319999998</v>
      </c>
      <c r="AP148">
        <f ca="1">IFERROR(IF(0=LEN(ReferenceData!$AP$148),"",ReferenceData!$AP$148),"")</f>
        <v>7.542012143</v>
      </c>
      <c r="AQ148">
        <f ca="1">IFERROR(IF(0=LEN(ReferenceData!$AQ$148),"",ReferenceData!$AQ$148),"")</f>
        <v>7.8217529969999999</v>
      </c>
      <c r="AR148">
        <f ca="1">IFERROR(IF(0=LEN(ReferenceData!$AR$148),"",ReferenceData!$AR$148),"")</f>
        <v>6.778209103</v>
      </c>
      <c r="AS148">
        <f ca="1">IFERROR(IF(0=LEN(ReferenceData!$AS$148),"",ReferenceData!$AS$148),"")</f>
        <v>7.7238603509999999</v>
      </c>
      <c r="AT148">
        <f ca="1">IFERROR(IF(0=LEN(ReferenceData!$AT$148),"",ReferenceData!$AT$148),"")</f>
        <v>7.6947708190000004</v>
      </c>
      <c r="AU148">
        <f ca="1">IFERROR(IF(0=LEN(ReferenceData!$AU$148),"",ReferenceData!$AU$148),"")</f>
        <v>7.1816983260000002</v>
      </c>
      <c r="AV148">
        <f ca="1">IFERROR(IF(0=LEN(ReferenceData!$AV$148),"",ReferenceData!$AV$148),"")</f>
        <v>7.003664831</v>
      </c>
      <c r="AW148">
        <f ca="1">IFERROR(IF(0=LEN(ReferenceData!$AW$148),"",ReferenceData!$AW$148),"")</f>
        <v>7.1042224819999999</v>
      </c>
      <c r="AX148">
        <f ca="1">IFERROR(IF(0=LEN(ReferenceData!$AX$148),"",ReferenceData!$AX$148),"")</f>
        <v>7.0429596280000002</v>
      </c>
      <c r="AY148">
        <f ca="1">IFERROR(IF(0=LEN(ReferenceData!$AY$148),"",ReferenceData!$AY$148),"")</f>
        <v>8.0331362360000007</v>
      </c>
      <c r="AZ148">
        <f ca="1">IFERROR(IF(0=LEN(ReferenceData!$AZ$148),"",ReferenceData!$AZ$148),"")</f>
        <v>7.9930513300000001</v>
      </c>
      <c r="BA148">
        <f ca="1">IFERROR(IF(0=LEN(ReferenceData!$BA$148),"",ReferenceData!$BA$148),"")</f>
        <v>8.3041904439999996</v>
      </c>
      <c r="BB148">
        <f ca="1">IFERROR(IF(0=LEN(ReferenceData!$BB$148),"",ReferenceData!$BB$148),"")</f>
        <v>8.9541292759999997</v>
      </c>
      <c r="BC148">
        <f ca="1">IFERROR(IF(0=LEN(ReferenceData!$BC$148),"",ReferenceData!$BC$148),"")</f>
        <v>9.0083630679999995</v>
      </c>
      <c r="BD148">
        <f ca="1">IFERROR(IF(0=LEN(ReferenceData!$BD$148),"",ReferenceData!$BD$148),"")</f>
        <v>8.6766819329999993</v>
      </c>
      <c r="BE148">
        <f ca="1">IFERROR(IF(0=LEN(ReferenceData!$BE$148),"",ReferenceData!$BE$148),"")</f>
        <v>8.9938923450000008</v>
      </c>
      <c r="BF148">
        <f ca="1">IFERROR(IF(0=LEN(ReferenceData!$BF$148),"",ReferenceData!$BF$148),"")</f>
        <v>8.8914328549999997</v>
      </c>
      <c r="BG148">
        <f ca="1">IFERROR(IF(0=LEN(ReferenceData!$BG$148),"",ReferenceData!$BG$148),"")</f>
        <v>8.9404921149999996</v>
      </c>
      <c r="BH148">
        <f ca="1">IFERROR(IF(0=LEN(ReferenceData!$BH$148),"",ReferenceData!$BH$148),"")</f>
        <v>9.0486809600000004</v>
      </c>
      <c r="BI148">
        <f ca="1">IFERROR(IF(0=LEN(ReferenceData!$BI$148),"",ReferenceData!$BI$148),"")</f>
        <v>8.7936612099999998</v>
      </c>
      <c r="BJ148">
        <f ca="1">IFERROR(IF(0=LEN(ReferenceData!$BJ$148),"",ReferenceData!$BJ$148),"")</f>
        <v>8.5014120040000005</v>
      </c>
      <c r="BK148" t="str">
        <f ca="1">IFERROR(IF(0=LEN(ReferenceData!$BK$148),"",ReferenceData!$BK$148),"")</f>
        <v/>
      </c>
      <c r="BL148" t="str">
        <f ca="1">IFERROR(IF(0=LEN(ReferenceData!$BL$148),"",ReferenceData!$BL$148),"")</f>
        <v/>
      </c>
      <c r="BM148">
        <f ca="1">IFERROR(IF(0=LEN(ReferenceData!$BM$148),"",ReferenceData!$BM$148),"")</f>
        <v>9.0629159969999993</v>
      </c>
    </row>
    <row r="149" spans="1:65">
      <c r="A149" t="str">
        <f>IFERROR(IF(0=LEN(ReferenceData!$A$149),"",ReferenceData!$A$149),"")</f>
        <v xml:space="preserve">    Brandywine Realty Trust</v>
      </c>
      <c r="B149" t="str">
        <f>IFERROR(IF(0=LEN(ReferenceData!$B$149),"",ReferenceData!$B$149),"")</f>
        <v>BDN US Equity</v>
      </c>
      <c r="C149" t="str">
        <f>IFERROR(IF(0=LEN(ReferenceData!$C$149),"",ReferenceData!$C$149),"")</f>
        <v>RX902</v>
      </c>
      <c r="D149" t="str">
        <f>IFERROR(IF(0=LEN(ReferenceData!$D$149),"",ReferenceData!$D$149),"")</f>
        <v>ANN_NOI_GR_AST_NET_RTL_DEV_CTD_%</v>
      </c>
      <c r="E149" t="str">
        <f>IFERROR(IF(0=LEN(ReferenceData!$E$149),"",ReferenceData!$E$149),"")</f>
        <v>动态</v>
      </c>
      <c r="F149" t="str">
        <f ca="1">IFERROR(IF(0=LEN(ReferenceData!$F$149),"",ReferenceData!$F$149),"")</f>
        <v/>
      </c>
      <c r="G149">
        <f ca="1">IFERROR(IF(0=LEN(ReferenceData!$G$149),"",ReferenceData!$G$149),"")</f>
        <v>6.5223894539999998</v>
      </c>
      <c r="H149">
        <f ca="1">IFERROR(IF(0=LEN(ReferenceData!$H$149),"",ReferenceData!$H$149),"")</f>
        <v>6.5588985280000003</v>
      </c>
      <c r="I149">
        <f ca="1">IFERROR(IF(0=LEN(ReferenceData!$I$149),"",ReferenceData!$I$149),"")</f>
        <v>6.4923863390000003</v>
      </c>
      <c r="J149">
        <f ca="1">IFERROR(IF(0=LEN(ReferenceData!$J$149),"",ReferenceData!$J$149),"")</f>
        <v>6.430774671</v>
      </c>
      <c r="K149">
        <f ca="1">IFERROR(IF(0=LEN(ReferenceData!$K$149),"",ReferenceData!$K$149),"")</f>
        <v>6.3777026379999997</v>
      </c>
      <c r="L149">
        <f ca="1">IFERROR(IF(0=LEN(ReferenceData!$L$149),"",ReferenceData!$L$149),"")</f>
        <v>6.2542067689999996</v>
      </c>
      <c r="M149">
        <f ca="1">IFERROR(IF(0=LEN(ReferenceData!$M$149),"",ReferenceData!$M$149),"")</f>
        <v>6.08568993</v>
      </c>
      <c r="N149">
        <f ca="1">IFERROR(IF(0=LEN(ReferenceData!$N$149),"",ReferenceData!$N$149),"")</f>
        <v>6.2039801289999996</v>
      </c>
      <c r="O149">
        <f ca="1">IFERROR(IF(0=LEN(ReferenceData!$O$149),"",ReferenceData!$O$149),"")</f>
        <v>6.7560064970000004</v>
      </c>
      <c r="P149">
        <f ca="1">IFERROR(IF(0=LEN(ReferenceData!$P$149),"",ReferenceData!$P$149),"")</f>
        <v>6.4733118919999999</v>
      </c>
      <c r="Q149">
        <f ca="1">IFERROR(IF(0=LEN(ReferenceData!$Q$149),"",ReferenceData!$Q$149),"")</f>
        <v>6.0511018910000001</v>
      </c>
      <c r="R149">
        <f ca="1">IFERROR(IF(0=LEN(ReferenceData!$R$149),"",ReferenceData!$R$149),"")</f>
        <v>6.0790174690000001</v>
      </c>
      <c r="S149">
        <f ca="1">IFERROR(IF(0=LEN(ReferenceData!$S$149),"",ReferenceData!$S$149),"")</f>
        <v>6.0143258409999998</v>
      </c>
      <c r="T149">
        <f ca="1">IFERROR(IF(0=LEN(ReferenceData!$T$149),"",ReferenceData!$T$149),"")</f>
        <v>5.7612462720000002</v>
      </c>
      <c r="U149">
        <f ca="1">IFERROR(IF(0=LEN(ReferenceData!$U$149),"",ReferenceData!$U$149),"")</f>
        <v>6.4560758050000002</v>
      </c>
      <c r="V149">
        <f ca="1">IFERROR(IF(0=LEN(ReferenceData!$V$149),"",ReferenceData!$V$149),"")</f>
        <v>6.2387595569999998</v>
      </c>
      <c r="W149">
        <f ca="1">IFERROR(IF(0=LEN(ReferenceData!$W$149),"",ReferenceData!$W$149),"")</f>
        <v>5.778772054</v>
      </c>
      <c r="X149">
        <f ca="1">IFERROR(IF(0=LEN(ReferenceData!$X$149),"",ReferenceData!$X$149),"")</f>
        <v>6.2795068379999996</v>
      </c>
      <c r="Y149">
        <f ca="1">IFERROR(IF(0=LEN(ReferenceData!$Y$149),"",ReferenceData!$Y$149),"")</f>
        <v>6.1922095940000004</v>
      </c>
      <c r="Z149">
        <f ca="1">IFERROR(IF(0=LEN(ReferenceData!$Z$149),"",ReferenceData!$Z$149),"")</f>
        <v>6.2846390660000004</v>
      </c>
      <c r="AA149">
        <f ca="1">IFERROR(IF(0=LEN(ReferenceData!$AA$149),"",ReferenceData!$AA$149),"")</f>
        <v>6.0460975570000004</v>
      </c>
      <c r="AB149">
        <f ca="1">IFERROR(IF(0=LEN(ReferenceData!$AB$149),"",ReferenceData!$AB$149),"")</f>
        <v>6.0311140710000002</v>
      </c>
      <c r="AC149">
        <f ca="1">IFERROR(IF(0=LEN(ReferenceData!$AC$149),"",ReferenceData!$AC$149),"")</f>
        <v>5.7966380170000003</v>
      </c>
      <c r="AD149">
        <f ca="1">IFERROR(IF(0=LEN(ReferenceData!$AD$149),"",ReferenceData!$AD$149),"")</f>
        <v>5.7200716930000004</v>
      </c>
      <c r="AE149">
        <f ca="1">IFERROR(IF(0=LEN(ReferenceData!$AE$149),"",ReferenceData!$AE$149),"")</f>
        <v>6.1780113979999998</v>
      </c>
      <c r="AF149">
        <f ca="1">IFERROR(IF(0=LEN(ReferenceData!$AF$149),"",ReferenceData!$AF$149),"")</f>
        <v>6.0406107609999999</v>
      </c>
      <c r="AG149">
        <f ca="1">IFERROR(IF(0=LEN(ReferenceData!$AG$149),"",ReferenceData!$AG$149),"")</f>
        <v>5.783284353</v>
      </c>
      <c r="AH149">
        <f ca="1">IFERROR(IF(0=LEN(ReferenceData!$AH$149),"",ReferenceData!$AH$149),"")</f>
        <v>6.1028511109999997</v>
      </c>
      <c r="AI149">
        <f ca="1">IFERROR(IF(0=LEN(ReferenceData!$AI$149),"",ReferenceData!$AI$149),"")</f>
        <v>6.3445127890000004</v>
      </c>
      <c r="AJ149">
        <f ca="1">IFERROR(IF(0=LEN(ReferenceData!$AJ$149),"",ReferenceData!$AJ$149),"")</f>
        <v>5.5143607169999997</v>
      </c>
      <c r="AK149">
        <f ca="1">IFERROR(IF(0=LEN(ReferenceData!$AK$149),"",ReferenceData!$AK$149),"")</f>
        <v>6.155179403</v>
      </c>
      <c r="AL149">
        <f ca="1">IFERROR(IF(0=LEN(ReferenceData!$AL$149),"",ReferenceData!$AL$149),"")</f>
        <v>6.1673778969999997</v>
      </c>
      <c r="AM149">
        <f ca="1">IFERROR(IF(0=LEN(ReferenceData!$AM$149),"",ReferenceData!$AM$149),"")</f>
        <v>6.2820752520000003</v>
      </c>
      <c r="AN149">
        <f ca="1">IFERROR(IF(0=LEN(ReferenceData!$AN$149),"",ReferenceData!$AN$149),"")</f>
        <v>6.6274432489999997</v>
      </c>
      <c r="AO149">
        <f ca="1">IFERROR(IF(0=LEN(ReferenceData!$AO$149),"",ReferenceData!$AO$149),"")</f>
        <v>6.4733377189999999</v>
      </c>
      <c r="AP149">
        <f ca="1">IFERROR(IF(0=LEN(ReferenceData!$AP$149),"",ReferenceData!$AP$149),"")</f>
        <v>6.4547616589999999</v>
      </c>
      <c r="AQ149">
        <f ca="1">IFERROR(IF(0=LEN(ReferenceData!$AQ$149),"",ReferenceData!$AQ$149),"")</f>
        <v>6.6552130900000002</v>
      </c>
      <c r="AR149">
        <f ca="1">IFERROR(IF(0=LEN(ReferenceData!$AR$149),"",ReferenceData!$AR$149),"")</f>
        <v>6.1693854930000001</v>
      </c>
      <c r="AS149">
        <f ca="1">IFERROR(IF(0=LEN(ReferenceData!$AS$149),"",ReferenceData!$AS$149),"")</f>
        <v>6.4665469450000002</v>
      </c>
      <c r="AT149">
        <f ca="1">IFERROR(IF(0=LEN(ReferenceData!$AT$149),"",ReferenceData!$AT$149),"")</f>
        <v>6.4604034910000001</v>
      </c>
      <c r="AU149">
        <f ca="1">IFERROR(IF(0=LEN(ReferenceData!$AU$149),"",ReferenceData!$AU$149),"")</f>
        <v>6.7482336329999999</v>
      </c>
      <c r="AV149">
        <f ca="1">IFERROR(IF(0=LEN(ReferenceData!$AV$149),"",ReferenceData!$AV$149),"")</f>
        <v>6.8107981769999997</v>
      </c>
      <c r="AW149">
        <f ca="1">IFERROR(IF(0=LEN(ReferenceData!$AW$149),"",ReferenceData!$AW$149),"")</f>
        <v>6.3394922899999999</v>
      </c>
      <c r="AX149">
        <f ca="1">IFERROR(IF(0=LEN(ReferenceData!$AX$149),"",ReferenceData!$AX$149),"")</f>
        <v>6.8038926000000002</v>
      </c>
      <c r="AY149">
        <f ca="1">IFERROR(IF(0=LEN(ReferenceData!$AY$149),"",ReferenceData!$AY$149),"")</f>
        <v>6.8080221539999997</v>
      </c>
      <c r="AZ149">
        <f ca="1">IFERROR(IF(0=LEN(ReferenceData!$AZ$149),"",ReferenceData!$AZ$149),"")</f>
        <v>6.5241987049999999</v>
      </c>
      <c r="BA149">
        <f ca="1">IFERROR(IF(0=LEN(ReferenceData!$BA$149),"",ReferenceData!$BA$149),"")</f>
        <v>6.2401875149999997</v>
      </c>
      <c r="BB149">
        <f ca="1">IFERROR(IF(0=LEN(ReferenceData!$BB$149),"",ReferenceData!$BB$149),"")</f>
        <v>5.8794551679999998</v>
      </c>
      <c r="BC149">
        <f ca="1">IFERROR(IF(0=LEN(ReferenceData!$BC$149),"",ReferenceData!$BC$149),"")</f>
        <v>6.842010739</v>
      </c>
      <c r="BD149">
        <f ca="1">IFERROR(IF(0=LEN(ReferenceData!$BD$149),"",ReferenceData!$BD$149),"")</f>
        <v>7.403627738</v>
      </c>
      <c r="BE149">
        <f ca="1">IFERROR(IF(0=LEN(ReferenceData!$BE$149),"",ReferenceData!$BE$149),"")</f>
        <v>7.5986709440000002</v>
      </c>
      <c r="BF149">
        <f ca="1">IFERROR(IF(0=LEN(ReferenceData!$BF$149),"",ReferenceData!$BF$149),"")</f>
        <v>7.9698959470000004</v>
      </c>
      <c r="BG149">
        <f ca="1">IFERROR(IF(0=LEN(ReferenceData!$BG$149),"",ReferenceData!$BG$149),"")</f>
        <v>10.03437411</v>
      </c>
      <c r="BH149">
        <f ca="1">IFERROR(IF(0=LEN(ReferenceData!$BH$149),"",ReferenceData!$BH$149),"")</f>
        <v>6.7826240530000002</v>
      </c>
      <c r="BI149">
        <f ca="1">IFERROR(IF(0=LEN(ReferenceData!$BI$149),"",ReferenceData!$BI$149),"")</f>
        <v>9.1211330020000005</v>
      </c>
      <c r="BJ149">
        <f ca="1">IFERROR(IF(0=LEN(ReferenceData!$BJ$149),"",ReferenceData!$BJ$149),"")</f>
        <v>5.4076862339999998</v>
      </c>
      <c r="BK149" t="str">
        <f ca="1">IFERROR(IF(0=LEN(ReferenceData!$BK$149),"",ReferenceData!$BK$149),"")</f>
        <v/>
      </c>
      <c r="BL149">
        <f ca="1">IFERROR(IF(0=LEN(ReferenceData!$BL$149),"",ReferenceData!$BL$149),"")</f>
        <v>9.3406588330000009</v>
      </c>
      <c r="BM149">
        <f ca="1">IFERROR(IF(0=LEN(ReferenceData!$BM$149),"",ReferenceData!$BM$149),"")</f>
        <v>8.1541419509999997</v>
      </c>
    </row>
    <row r="150" spans="1:65">
      <c r="A150" t="str">
        <f>IFERROR(IF(0=LEN(ReferenceData!$A$150),"",ReferenceData!$A$150),"")</f>
        <v xml:space="preserve">    Columbia Property Trust Inc</v>
      </c>
      <c r="B150" t="str">
        <f>IFERROR(IF(0=LEN(ReferenceData!$B$150),"",ReferenceData!$B$150),"")</f>
        <v>CXP US Equity</v>
      </c>
      <c r="C150" t="str">
        <f>IFERROR(IF(0=LEN(ReferenceData!$C$150),"",ReferenceData!$C$150),"")</f>
        <v>RX902</v>
      </c>
      <c r="D150" t="str">
        <f>IFERROR(IF(0=LEN(ReferenceData!$D$150),"",ReferenceData!$D$150),"")</f>
        <v>ANN_NOI_GR_AST_NET_RTL_DEV_CTD_%</v>
      </c>
      <c r="E150" t="str">
        <f>IFERROR(IF(0=LEN(ReferenceData!$E$150),"",ReferenceData!$E$150),"")</f>
        <v>动态</v>
      </c>
      <c r="F150" t="str">
        <f ca="1">IFERROR(IF(0=LEN(ReferenceData!$F$150),"",ReferenceData!$F$150),"")</f>
        <v/>
      </c>
      <c r="G150">
        <f ca="1">IFERROR(IF(0=LEN(ReferenceData!$G$150),"",ReferenceData!$G$150),"")</f>
        <v>5.1563821660000002</v>
      </c>
      <c r="H150">
        <f ca="1">IFERROR(IF(0=LEN(ReferenceData!$H$150),"",ReferenceData!$H$150),"")</f>
        <v>4.8354766290000004</v>
      </c>
      <c r="I150">
        <f ca="1">IFERROR(IF(0=LEN(ReferenceData!$I$150),"",ReferenceData!$I$150),"")</f>
        <v>4.7735232180000002</v>
      </c>
      <c r="J150">
        <f ca="1">IFERROR(IF(0=LEN(ReferenceData!$J$150),"",ReferenceData!$J$150),"")</f>
        <v>4.9980143549999996</v>
      </c>
      <c r="K150">
        <f ca="1">IFERROR(IF(0=LEN(ReferenceData!$K$150),"",ReferenceData!$K$150),"")</f>
        <v>19.2040547</v>
      </c>
      <c r="L150">
        <f ca="1">IFERROR(IF(0=LEN(ReferenceData!$L$150),"",ReferenceData!$L$150),"")</f>
        <v>5.9040250529999998</v>
      </c>
      <c r="M150">
        <f ca="1">IFERROR(IF(0=LEN(ReferenceData!$M$150),"",ReferenceData!$M$150),"")</f>
        <v>6.6776133150000003</v>
      </c>
      <c r="N150">
        <f ca="1">IFERROR(IF(0=LEN(ReferenceData!$N$150),"",ReferenceData!$N$150),"")</f>
        <v>6.2917127429999997</v>
      </c>
      <c r="O150">
        <f ca="1">IFERROR(IF(0=LEN(ReferenceData!$O$150),"",ReferenceData!$O$150),"")</f>
        <v>6.42387774</v>
      </c>
      <c r="P150">
        <f ca="1">IFERROR(IF(0=LEN(ReferenceData!$P$150),"",ReferenceData!$P$150),"")</f>
        <v>5.761797992</v>
      </c>
      <c r="Q150">
        <f ca="1">IFERROR(IF(0=LEN(ReferenceData!$Q$150),"",ReferenceData!$Q$150),"")</f>
        <v>6.4849725039999999</v>
      </c>
      <c r="R150">
        <f ca="1">IFERROR(IF(0=LEN(ReferenceData!$R$150),"",ReferenceData!$R$150),"")</f>
        <v>6.2672309540000004</v>
      </c>
      <c r="S150">
        <f ca="1">IFERROR(IF(0=LEN(ReferenceData!$S$150),"",ReferenceData!$S$150),"")</f>
        <v>6.3572582960000004</v>
      </c>
      <c r="T150">
        <f ca="1">IFERROR(IF(0=LEN(ReferenceData!$T$150),"",ReferenceData!$T$150),"")</f>
        <v>6.4767385830000004</v>
      </c>
      <c r="U150">
        <f ca="1">IFERROR(IF(0=LEN(ReferenceData!$U$150),"",ReferenceData!$U$150),"")</f>
        <v>6.7377811779999996</v>
      </c>
      <c r="V150">
        <f ca="1">IFERROR(IF(0=LEN(ReferenceData!$V$150),"",ReferenceData!$V$150),"")</f>
        <v>6.6209734039999999</v>
      </c>
      <c r="W150">
        <f ca="1">IFERROR(IF(0=LEN(ReferenceData!$W$150),"",ReferenceData!$W$150),"")</f>
        <v>6.952192803</v>
      </c>
      <c r="X150">
        <f ca="1">IFERROR(IF(0=LEN(ReferenceData!$X$150),"",ReferenceData!$X$150),"")</f>
        <v>6.3460188960000004</v>
      </c>
      <c r="Y150">
        <f ca="1">IFERROR(IF(0=LEN(ReferenceData!$Y$150),"",ReferenceData!$Y$150),"")</f>
        <v>6.430486771</v>
      </c>
      <c r="Z150">
        <f ca="1">IFERROR(IF(0=LEN(ReferenceData!$Z$150),"",ReferenceData!$Z$150),"")</f>
        <v>6.2782798270000004</v>
      </c>
      <c r="AA150">
        <f ca="1">IFERROR(IF(0=LEN(ReferenceData!$AA$150),"",ReferenceData!$AA$150),"")</f>
        <v>6.1200234560000002</v>
      </c>
      <c r="AB150" t="str">
        <f ca="1">IFERROR(IF(0=LEN(ReferenceData!$AB$150),"",ReferenceData!$AB$150),"")</f>
        <v/>
      </c>
      <c r="AC150" t="str">
        <f ca="1">IFERROR(IF(0=LEN(ReferenceData!$AC$150),"",ReferenceData!$AC$150),"")</f>
        <v/>
      </c>
      <c r="AD150" t="str">
        <f ca="1">IFERROR(IF(0=LEN(ReferenceData!$AD$150),"",ReferenceData!$AD$150),"")</f>
        <v/>
      </c>
      <c r="AE150" t="str">
        <f ca="1">IFERROR(IF(0=LEN(ReferenceData!$AE$150),"",ReferenceData!$AE$150),"")</f>
        <v/>
      </c>
      <c r="AF150" t="str">
        <f ca="1">IFERROR(IF(0=LEN(ReferenceData!$AF$150),"",ReferenceData!$AF$150),"")</f>
        <v/>
      </c>
      <c r="AG150" t="str">
        <f ca="1">IFERROR(IF(0=LEN(ReferenceData!$AG$150),"",ReferenceData!$AG$150),"")</f>
        <v/>
      </c>
      <c r="AH150" t="str">
        <f ca="1">IFERROR(IF(0=LEN(ReferenceData!$AH$150),"",ReferenceData!$AH$150),"")</f>
        <v/>
      </c>
      <c r="AI150" t="str">
        <f ca="1">IFERROR(IF(0=LEN(ReferenceData!$AI$150),"",ReferenceData!$AI$150),"")</f>
        <v/>
      </c>
      <c r="AJ150" t="str">
        <f ca="1">IFERROR(IF(0=LEN(ReferenceData!$AJ$150),"",ReferenceData!$AJ$150),"")</f>
        <v/>
      </c>
      <c r="AK150" t="str">
        <f ca="1">IFERROR(IF(0=LEN(ReferenceData!$AK$150),"",ReferenceData!$AK$150),"")</f>
        <v/>
      </c>
      <c r="AL150" t="str">
        <f ca="1">IFERROR(IF(0=LEN(ReferenceData!$AL$150),"",ReferenceData!$AL$150),"")</f>
        <v/>
      </c>
      <c r="AM150" t="str">
        <f ca="1">IFERROR(IF(0=LEN(ReferenceData!$AM$150),"",ReferenceData!$AM$150),"")</f>
        <v/>
      </c>
      <c r="AN150" t="str">
        <f ca="1">IFERROR(IF(0=LEN(ReferenceData!$AN$150),"",ReferenceData!$AN$150),"")</f>
        <v/>
      </c>
      <c r="AO150" t="str">
        <f ca="1">IFERROR(IF(0=LEN(ReferenceData!$AO$150),"",ReferenceData!$AO$150),"")</f>
        <v/>
      </c>
      <c r="AP150" t="str">
        <f ca="1">IFERROR(IF(0=LEN(ReferenceData!$AP$150),"",ReferenceData!$AP$150),"")</f>
        <v/>
      </c>
      <c r="AQ150" t="str">
        <f ca="1">IFERROR(IF(0=LEN(ReferenceData!$AQ$150),"",ReferenceData!$AQ$150),"")</f>
        <v/>
      </c>
      <c r="AR150" t="str">
        <f ca="1">IFERROR(IF(0=LEN(ReferenceData!$AR$150),"",ReferenceData!$AR$150),"")</f>
        <v/>
      </c>
      <c r="AS150" t="str">
        <f ca="1">IFERROR(IF(0=LEN(ReferenceData!$AS$150),"",ReferenceData!$AS$150),"")</f>
        <v/>
      </c>
      <c r="AT150" t="str">
        <f ca="1">IFERROR(IF(0=LEN(ReferenceData!$AT$150),"",ReferenceData!$AT$150),"")</f>
        <v/>
      </c>
      <c r="AU150" t="str">
        <f ca="1">IFERROR(IF(0=LEN(ReferenceData!$AU$150),"",ReferenceData!$AU$150),"")</f>
        <v/>
      </c>
      <c r="AV150" t="str">
        <f ca="1">IFERROR(IF(0=LEN(ReferenceData!$AV$150),"",ReferenceData!$AV$150),"")</f>
        <v/>
      </c>
      <c r="AW150" t="str">
        <f ca="1">IFERROR(IF(0=LEN(ReferenceData!$AW$150),"",ReferenceData!$AW$150),"")</f>
        <v/>
      </c>
      <c r="AX150" t="str">
        <f ca="1">IFERROR(IF(0=LEN(ReferenceData!$AX$150),"",ReferenceData!$AX$150),"")</f>
        <v/>
      </c>
      <c r="AY150" t="str">
        <f ca="1">IFERROR(IF(0=LEN(ReferenceData!$AY$150),"",ReferenceData!$AY$150),"")</f>
        <v/>
      </c>
      <c r="AZ150" t="str">
        <f ca="1">IFERROR(IF(0=LEN(ReferenceData!$AZ$150),"",ReferenceData!$AZ$150),"")</f>
        <v/>
      </c>
      <c r="BA150" t="str">
        <f ca="1">IFERROR(IF(0=LEN(ReferenceData!$BA$150),"",ReferenceData!$BA$150),"")</f>
        <v/>
      </c>
      <c r="BB150" t="str">
        <f ca="1">IFERROR(IF(0=LEN(ReferenceData!$BB$150),"",ReferenceData!$BB$150),"")</f>
        <v/>
      </c>
      <c r="BC150" t="str">
        <f ca="1">IFERROR(IF(0=LEN(ReferenceData!$BC$150),"",ReferenceData!$BC$150),"")</f>
        <v/>
      </c>
      <c r="BD150" t="str">
        <f ca="1">IFERROR(IF(0=LEN(ReferenceData!$BD$150),"",ReferenceData!$BD$150),"")</f>
        <v/>
      </c>
      <c r="BE150" t="str">
        <f ca="1">IFERROR(IF(0=LEN(ReferenceData!$BE$150),"",ReferenceData!$BE$150),"")</f>
        <v/>
      </c>
      <c r="BF150" t="str">
        <f ca="1">IFERROR(IF(0=LEN(ReferenceData!$BF$150),"",ReferenceData!$BF$150),"")</f>
        <v/>
      </c>
      <c r="BG150" t="str">
        <f ca="1">IFERROR(IF(0=LEN(ReferenceData!$BG$150),"",ReferenceData!$BG$150),"")</f>
        <v/>
      </c>
      <c r="BH150" t="str">
        <f ca="1">IFERROR(IF(0=LEN(ReferenceData!$BH$150),"",ReferenceData!$BH$150),"")</f>
        <v/>
      </c>
      <c r="BI150" t="str">
        <f ca="1">IFERROR(IF(0=LEN(ReferenceData!$BI$150),"",ReferenceData!$BI$150),"")</f>
        <v/>
      </c>
      <c r="BJ150" t="str">
        <f ca="1">IFERROR(IF(0=LEN(ReferenceData!$BJ$150),"",ReferenceData!$BJ$150),"")</f>
        <v/>
      </c>
      <c r="BK150" t="str">
        <f ca="1">IFERROR(IF(0=LEN(ReferenceData!$BK$150),"",ReferenceData!$BK$150),"")</f>
        <v/>
      </c>
      <c r="BL150" t="str">
        <f ca="1">IFERROR(IF(0=LEN(ReferenceData!$BL$150),"",ReferenceData!$BL$150),"")</f>
        <v/>
      </c>
      <c r="BM150" t="str">
        <f ca="1">IFERROR(IF(0=LEN(ReferenceData!$BM$150),"",ReferenceData!$BM$150),"")</f>
        <v/>
      </c>
    </row>
    <row r="151" spans="1:65">
      <c r="A151" t="str">
        <f>IFERROR(IF(0=LEN(ReferenceData!$A$151),"",ReferenceData!$A$151),"")</f>
        <v xml:space="preserve">    Corporate Office Properties Tr</v>
      </c>
      <c r="B151" t="str">
        <f>IFERROR(IF(0=LEN(ReferenceData!$B$151),"",ReferenceData!$B$151),"")</f>
        <v>OFC US Equity</v>
      </c>
      <c r="C151" t="str">
        <f>IFERROR(IF(0=LEN(ReferenceData!$C$151),"",ReferenceData!$C$151),"")</f>
        <v>RX902</v>
      </c>
      <c r="D151" t="str">
        <f>IFERROR(IF(0=LEN(ReferenceData!$D$151),"",ReferenceData!$D$151),"")</f>
        <v>ANN_NOI_GR_AST_NET_RTL_DEV_CTD_%</v>
      </c>
      <c r="E151" t="str">
        <f>IFERROR(IF(0=LEN(ReferenceData!$E$151),"",ReferenceData!$E$151),"")</f>
        <v>动态</v>
      </c>
      <c r="F151" t="str">
        <f ca="1">IFERROR(IF(0=LEN(ReferenceData!$F$151),"",ReferenceData!$F$151),"")</f>
        <v/>
      </c>
      <c r="G151">
        <f ca="1">IFERROR(IF(0=LEN(ReferenceData!$G$151),"",ReferenceData!$G$151),"")</f>
        <v>7.4722596880000003</v>
      </c>
      <c r="H151">
        <f ca="1">IFERROR(IF(0=LEN(ReferenceData!$H$151),"",ReferenceData!$H$151),"")</f>
        <v>7.6091088889999998</v>
      </c>
      <c r="I151">
        <f ca="1">IFERROR(IF(0=LEN(ReferenceData!$I$151),"",ReferenceData!$I$151),"")</f>
        <v>7.4790968790000001</v>
      </c>
      <c r="J151">
        <f ca="1">IFERROR(IF(0=LEN(ReferenceData!$J$151),"",ReferenceData!$J$151),"")</f>
        <v>7.1154452959999999</v>
      </c>
      <c r="K151">
        <f ca="1">IFERROR(IF(0=LEN(ReferenceData!$K$151),"",ReferenceData!$K$151),"")</f>
        <v>7.2858553199999996</v>
      </c>
      <c r="L151">
        <f ca="1">IFERROR(IF(0=LEN(ReferenceData!$L$151),"",ReferenceData!$L$151),"")</f>
        <v>7.6011372509999999</v>
      </c>
      <c r="M151">
        <f ca="1">IFERROR(IF(0=LEN(ReferenceData!$M$151),"",ReferenceData!$M$151),"")</f>
        <v>7.59054436</v>
      </c>
      <c r="N151">
        <f ca="1">IFERROR(IF(0=LEN(ReferenceData!$N$151),"",ReferenceData!$N$151),"")</f>
        <v>6.9841896410000004</v>
      </c>
      <c r="O151">
        <f ca="1">IFERROR(IF(0=LEN(ReferenceData!$O$151),"",ReferenceData!$O$151),"")</f>
        <v>7.460742894</v>
      </c>
      <c r="P151">
        <f ca="1">IFERROR(IF(0=LEN(ReferenceData!$P$151),"",ReferenceData!$P$151),"")</f>
        <v>7.3822324569999997</v>
      </c>
      <c r="Q151">
        <f ca="1">IFERROR(IF(0=LEN(ReferenceData!$Q$151),"",ReferenceData!$Q$151),"")</f>
        <v>7.0592230999999996</v>
      </c>
      <c r="R151">
        <f ca="1">IFERROR(IF(0=LEN(ReferenceData!$R$151),"",ReferenceData!$R$151),"")</f>
        <v>6.3997241929999999</v>
      </c>
      <c r="S151">
        <f ca="1">IFERROR(IF(0=LEN(ReferenceData!$S$151),"",ReferenceData!$S$151),"")</f>
        <v>7.079949965</v>
      </c>
      <c r="T151">
        <f ca="1">IFERROR(IF(0=LEN(ReferenceData!$T$151),"",ReferenceData!$T$151),"")</f>
        <v>6.9140090819999998</v>
      </c>
      <c r="U151">
        <f ca="1">IFERROR(IF(0=LEN(ReferenceData!$U$151),"",ReferenceData!$U$151),"")</f>
        <v>6.6082680329999999</v>
      </c>
      <c r="V151">
        <f ca="1">IFERROR(IF(0=LEN(ReferenceData!$V$151),"",ReferenceData!$V$151),"")</f>
        <v>7.0872597160000002</v>
      </c>
      <c r="W151">
        <f ca="1">IFERROR(IF(0=LEN(ReferenceData!$W$151),"",ReferenceData!$W$151),"")</f>
        <v>7.5334450909999999</v>
      </c>
      <c r="X151">
        <f ca="1">IFERROR(IF(0=LEN(ReferenceData!$X$151),"",ReferenceData!$X$151),"")</f>
        <v>7.2964088250000003</v>
      </c>
      <c r="Y151">
        <f ca="1">IFERROR(IF(0=LEN(ReferenceData!$Y$151),"",ReferenceData!$Y$151),"")</f>
        <v>7.5041338780000002</v>
      </c>
      <c r="Z151">
        <f ca="1">IFERROR(IF(0=LEN(ReferenceData!$Z$151),"",ReferenceData!$Z$151),"")</f>
        <v>7.3225734840000003</v>
      </c>
      <c r="AA151">
        <f ca="1">IFERROR(IF(0=LEN(ReferenceData!$AA$151),"",ReferenceData!$AA$151),"")</f>
        <v>7.2329510609999996</v>
      </c>
      <c r="AB151">
        <f ca="1">IFERROR(IF(0=LEN(ReferenceData!$AB$151),"",ReferenceData!$AB$151),"")</f>
        <v>7.3255864229999998</v>
      </c>
      <c r="AC151">
        <f ca="1">IFERROR(IF(0=LEN(ReferenceData!$AC$151),"",ReferenceData!$AC$151),"")</f>
        <v>7.4736640310000002</v>
      </c>
      <c r="AD151">
        <f ca="1">IFERROR(IF(0=LEN(ReferenceData!$AD$151),"",ReferenceData!$AD$151),"")</f>
        <v>7.2129150729999996</v>
      </c>
      <c r="AE151">
        <f ca="1">IFERROR(IF(0=LEN(ReferenceData!$AE$151),"",ReferenceData!$AE$151),"")</f>
        <v>6.9190099370000002</v>
      </c>
      <c r="AF151">
        <f ca="1">IFERROR(IF(0=LEN(ReferenceData!$AF$151),"",ReferenceData!$AF$151),"")</f>
        <v>6.8280730419999998</v>
      </c>
      <c r="AG151">
        <f ca="1">IFERROR(IF(0=LEN(ReferenceData!$AG$151),"",ReferenceData!$AG$151),"")</f>
        <v>6.9277222180000004</v>
      </c>
      <c r="AH151">
        <f ca="1">IFERROR(IF(0=LEN(ReferenceData!$AH$151),"",ReferenceData!$AH$151),"")</f>
        <v>6.5827473899999998</v>
      </c>
      <c r="AI151">
        <f ca="1">IFERROR(IF(0=LEN(ReferenceData!$AI$151),"",ReferenceData!$AI$151),"")</f>
        <v>7.0562976979999998</v>
      </c>
      <c r="AJ151">
        <f ca="1">IFERROR(IF(0=LEN(ReferenceData!$AJ$151),"",ReferenceData!$AJ$151),"")</f>
        <v>6.709118031</v>
      </c>
      <c r="AK151">
        <f ca="1">IFERROR(IF(0=LEN(ReferenceData!$AK$151),"",ReferenceData!$AK$151),"")</f>
        <v>7.1197582539999997</v>
      </c>
      <c r="AL151">
        <f ca="1">IFERROR(IF(0=LEN(ReferenceData!$AL$151),"",ReferenceData!$AL$151),"")</f>
        <v>6.7500793549999996</v>
      </c>
      <c r="AM151">
        <f ca="1">IFERROR(IF(0=LEN(ReferenceData!$AM$151),"",ReferenceData!$AM$151),"")</f>
        <v>7.0430414240000001</v>
      </c>
      <c r="AN151">
        <f ca="1">IFERROR(IF(0=LEN(ReferenceData!$AN$151),"",ReferenceData!$AN$151),"")</f>
        <v>7.2958060680000001</v>
      </c>
      <c r="AO151">
        <f ca="1">IFERROR(IF(0=LEN(ReferenceData!$AO$151),"",ReferenceData!$AO$151),"")</f>
        <v>7.657620928</v>
      </c>
      <c r="AP151">
        <f ca="1">IFERROR(IF(0=LEN(ReferenceData!$AP$151),"",ReferenceData!$AP$151),"")</f>
        <v>7.750696649</v>
      </c>
      <c r="AQ151">
        <f ca="1">IFERROR(IF(0=LEN(ReferenceData!$AQ$151),"",ReferenceData!$AQ$151),"")</f>
        <v>7.7299688289999997</v>
      </c>
      <c r="AR151">
        <f ca="1">IFERROR(IF(0=LEN(ReferenceData!$AR$151),"",ReferenceData!$AR$151),"")</f>
        <v>7.5859287609999999</v>
      </c>
      <c r="AS151">
        <f ca="1">IFERROR(IF(0=LEN(ReferenceData!$AS$151),"",ReferenceData!$AS$151),"")</f>
        <v>7.6921391300000002</v>
      </c>
      <c r="AT151">
        <f ca="1">IFERROR(IF(0=LEN(ReferenceData!$AT$151),"",ReferenceData!$AT$151),"")</f>
        <v>7.7219824570000002</v>
      </c>
      <c r="AU151">
        <f ca="1">IFERROR(IF(0=LEN(ReferenceData!$AU$151),"",ReferenceData!$AU$151),"")</f>
        <v>7.8971980479999999</v>
      </c>
      <c r="AV151">
        <f ca="1">IFERROR(IF(0=LEN(ReferenceData!$AV$151),"",ReferenceData!$AV$151),"")</f>
        <v>7.8642918709999998</v>
      </c>
      <c r="AW151">
        <f ca="1">IFERROR(IF(0=LEN(ReferenceData!$AW$151),"",ReferenceData!$AW$151),"")</f>
        <v>7.9529325430000002</v>
      </c>
      <c r="AX151">
        <f ca="1">IFERROR(IF(0=LEN(ReferenceData!$AX$151),"",ReferenceData!$AX$151),"")</f>
        <v>7.6508991850000001</v>
      </c>
      <c r="AY151">
        <f ca="1">IFERROR(IF(0=LEN(ReferenceData!$AY$151),"",ReferenceData!$AY$151),"")</f>
        <v>8.4323320729999995</v>
      </c>
      <c r="AZ151">
        <f ca="1">IFERROR(IF(0=LEN(ReferenceData!$AZ$151),"",ReferenceData!$AZ$151),"")</f>
        <v>8.3282483250000006</v>
      </c>
      <c r="BA151">
        <f ca="1">IFERROR(IF(0=LEN(ReferenceData!$BA$151),"",ReferenceData!$BA$151),"")</f>
        <v>8.0975314750000003</v>
      </c>
      <c r="BB151">
        <f ca="1">IFERROR(IF(0=LEN(ReferenceData!$BB$151),"",ReferenceData!$BB$151),"")</f>
        <v>8.6147683829999995</v>
      </c>
      <c r="BC151">
        <f ca="1">IFERROR(IF(0=LEN(ReferenceData!$BC$151),"",ReferenceData!$BC$151),"")</f>
        <v>8.8156453379999995</v>
      </c>
      <c r="BD151">
        <f ca="1">IFERROR(IF(0=LEN(ReferenceData!$BD$151),"",ReferenceData!$BD$151),"")</f>
        <v>8.5881692110000003</v>
      </c>
      <c r="BE151">
        <f ca="1">IFERROR(IF(0=LEN(ReferenceData!$BE$151),"",ReferenceData!$BE$151),"")</f>
        <v>8.4078201129999997</v>
      </c>
      <c r="BF151">
        <f ca="1">IFERROR(IF(0=LEN(ReferenceData!$BF$151),"",ReferenceData!$BF$151),"")</f>
        <v>8.5467204429999999</v>
      </c>
      <c r="BG151" t="str">
        <f ca="1">IFERROR(IF(0=LEN(ReferenceData!$BG$151),"",ReferenceData!$BG$151),"")</f>
        <v/>
      </c>
      <c r="BH151">
        <f ca="1">IFERROR(IF(0=LEN(ReferenceData!$BH$151),"",ReferenceData!$BH$151),"")</f>
        <v>8.2840787979999995</v>
      </c>
      <c r="BI151" t="str">
        <f ca="1">IFERROR(IF(0=LEN(ReferenceData!$BI$151),"",ReferenceData!$BI$151),"")</f>
        <v/>
      </c>
      <c r="BJ151" t="str">
        <f ca="1">IFERROR(IF(0=LEN(ReferenceData!$BJ$151),"",ReferenceData!$BJ$151),"")</f>
        <v/>
      </c>
      <c r="BK151" t="str">
        <f ca="1">IFERROR(IF(0=LEN(ReferenceData!$BK$151),"",ReferenceData!$BK$151),"")</f>
        <v/>
      </c>
      <c r="BL151" t="str">
        <f ca="1">IFERROR(IF(0=LEN(ReferenceData!$BL$151),"",ReferenceData!$BL$151),"")</f>
        <v/>
      </c>
      <c r="BM151" t="str">
        <f ca="1">IFERROR(IF(0=LEN(ReferenceData!$BM$151),"",ReferenceData!$BM$151),"")</f>
        <v/>
      </c>
    </row>
    <row r="152" spans="1:65">
      <c r="A152" t="str">
        <f>IFERROR(IF(0=LEN(ReferenceData!$A$152),"",ReferenceData!$A$152),"")</f>
        <v xml:space="preserve">    Highwoods Properties Inc</v>
      </c>
      <c r="B152" t="str">
        <f>IFERROR(IF(0=LEN(ReferenceData!$B$152),"",ReferenceData!$B$152),"")</f>
        <v>HIW US Equity</v>
      </c>
      <c r="C152" t="str">
        <f>IFERROR(IF(0=LEN(ReferenceData!$C$152),"",ReferenceData!$C$152),"")</f>
        <v>RX902</v>
      </c>
      <c r="D152" t="str">
        <f>IFERROR(IF(0=LEN(ReferenceData!$D$152),"",ReferenceData!$D$152),"")</f>
        <v>ANN_NOI_GR_AST_NET_RTL_DEV_CTD_%</v>
      </c>
      <c r="E152" t="str">
        <f>IFERROR(IF(0=LEN(ReferenceData!$E$152),"",ReferenceData!$E$152),"")</f>
        <v>动态</v>
      </c>
      <c r="F152" t="str">
        <f ca="1">IFERROR(IF(0=LEN(ReferenceData!$F$152),"",ReferenceData!$F$152),"")</f>
        <v/>
      </c>
      <c r="G152">
        <f ca="1">IFERROR(IF(0=LEN(ReferenceData!$G$152),"",ReferenceData!$G$152),"")</f>
        <v>7.9953795049999998</v>
      </c>
      <c r="H152">
        <f ca="1">IFERROR(IF(0=LEN(ReferenceData!$H$152),"",ReferenceData!$H$152),"")</f>
        <v>8.2646356470000004</v>
      </c>
      <c r="I152">
        <f ca="1">IFERROR(IF(0=LEN(ReferenceData!$I$152),"",ReferenceData!$I$152),"")</f>
        <v>8.2755603900000008</v>
      </c>
      <c r="J152">
        <f ca="1">IFERROR(IF(0=LEN(ReferenceData!$J$152),"",ReferenceData!$J$152),"")</f>
        <v>7.8389259300000003</v>
      </c>
      <c r="K152">
        <f ca="1">IFERROR(IF(0=LEN(ReferenceData!$K$152),"",ReferenceData!$K$152),"")</f>
        <v>7.7452528489999999</v>
      </c>
      <c r="L152">
        <f ca="1">IFERROR(IF(0=LEN(ReferenceData!$L$152),"",ReferenceData!$L$152),"")</f>
        <v>7.7246622089999999</v>
      </c>
      <c r="M152">
        <f ca="1">IFERROR(IF(0=LEN(ReferenceData!$M$152),"",ReferenceData!$M$152),"")</f>
        <v>7.772366924</v>
      </c>
      <c r="N152">
        <f ca="1">IFERROR(IF(0=LEN(ReferenceData!$N$152),"",ReferenceData!$N$152),"")</f>
        <v>7.7357908589999997</v>
      </c>
      <c r="O152">
        <f ca="1">IFERROR(IF(0=LEN(ReferenceData!$O$152),"",ReferenceData!$O$152),"")</f>
        <v>7.5264665119999998</v>
      </c>
      <c r="P152">
        <f ca="1">IFERROR(IF(0=LEN(ReferenceData!$P$152),"",ReferenceData!$P$152),"")</f>
        <v>7.4820141810000003</v>
      </c>
      <c r="Q152">
        <f ca="1">IFERROR(IF(0=LEN(ReferenceData!$Q$152),"",ReferenceData!$Q$152),"")</f>
        <v>7.5332506820000003</v>
      </c>
      <c r="R152">
        <f ca="1">IFERROR(IF(0=LEN(ReferenceData!$R$152),"",ReferenceData!$R$152),"")</f>
        <v>7.8799899880000002</v>
      </c>
      <c r="S152">
        <f ca="1">IFERROR(IF(0=LEN(ReferenceData!$S$152),"",ReferenceData!$S$152),"")</f>
        <v>7.2984728079999996</v>
      </c>
      <c r="T152">
        <f ca="1">IFERROR(IF(0=LEN(ReferenceData!$T$152),"",ReferenceData!$T$152),"")</f>
        <v>7.7622603019999996</v>
      </c>
      <c r="U152">
        <f ca="1">IFERROR(IF(0=LEN(ReferenceData!$U$152),"",ReferenceData!$U$152),"")</f>
        <v>7.9739343739999997</v>
      </c>
      <c r="V152">
        <f ca="1">IFERROR(IF(0=LEN(ReferenceData!$V$152),"",ReferenceData!$V$152),"")</f>
        <v>7.608631871</v>
      </c>
      <c r="W152">
        <f ca="1">IFERROR(IF(0=LEN(ReferenceData!$W$152),"",ReferenceData!$W$152),"")</f>
        <v>7.8172168319999997</v>
      </c>
      <c r="X152">
        <f ca="1">IFERROR(IF(0=LEN(ReferenceData!$X$152),"",ReferenceData!$X$152),"")</f>
        <v>7.4388122330000002</v>
      </c>
      <c r="Y152">
        <f ca="1">IFERROR(IF(0=LEN(ReferenceData!$Y$152),"",ReferenceData!$Y$152),"")</f>
        <v>7.5515009869999998</v>
      </c>
      <c r="Z152">
        <f ca="1">IFERROR(IF(0=LEN(ReferenceData!$Z$152),"",ReferenceData!$Z$152),"")</f>
        <v>7.6391353530000004</v>
      </c>
      <c r="AA152">
        <f ca="1">IFERROR(IF(0=LEN(ReferenceData!$AA$152),"",ReferenceData!$AA$152),"")</f>
        <v>6.6750984300000002</v>
      </c>
      <c r="AB152">
        <f ca="1">IFERROR(IF(0=LEN(ReferenceData!$AB$152),"",ReferenceData!$AB$152),"")</f>
        <v>7.4955161940000004</v>
      </c>
      <c r="AC152">
        <f ca="1">IFERROR(IF(0=LEN(ReferenceData!$AC$152),"",ReferenceData!$AC$152),"")</f>
        <v>7.9688339770000001</v>
      </c>
      <c r="AD152">
        <f ca="1">IFERROR(IF(0=LEN(ReferenceData!$AD$152),"",ReferenceData!$AD$152),"")</f>
        <v>7.88995069</v>
      </c>
      <c r="AE152">
        <f ca="1">IFERROR(IF(0=LEN(ReferenceData!$AE$152),"",ReferenceData!$AE$152),"")</f>
        <v>6.8590961369999999</v>
      </c>
      <c r="AF152">
        <f ca="1">IFERROR(IF(0=LEN(ReferenceData!$AF$152),"",ReferenceData!$AF$152),"")</f>
        <v>7.2319001910000003</v>
      </c>
      <c r="AG152">
        <f ca="1">IFERROR(IF(0=LEN(ReferenceData!$AG$152),"",ReferenceData!$AG$152),"")</f>
        <v>7.9633167340000002</v>
      </c>
      <c r="AH152">
        <f ca="1">IFERROR(IF(0=LEN(ReferenceData!$AH$152),"",ReferenceData!$AH$152),"")</f>
        <v>7.8696512969999999</v>
      </c>
      <c r="AI152">
        <f ca="1">IFERROR(IF(0=LEN(ReferenceData!$AI$152),"",ReferenceData!$AI$152),"")</f>
        <v>8.2872229730000004</v>
      </c>
      <c r="AJ152">
        <f ca="1">IFERROR(IF(0=LEN(ReferenceData!$AJ$152),"",ReferenceData!$AJ$152),"")</f>
        <v>7.8115400629999998</v>
      </c>
      <c r="AK152">
        <f ca="1">IFERROR(IF(0=LEN(ReferenceData!$AK$152),"",ReferenceData!$AK$152),"")</f>
        <v>8.2784380419999994</v>
      </c>
      <c r="AL152">
        <f ca="1">IFERROR(IF(0=LEN(ReferenceData!$AL$152),"",ReferenceData!$AL$152),"")</f>
        <v>8.0259034259999993</v>
      </c>
      <c r="AM152">
        <f ca="1">IFERROR(IF(0=LEN(ReferenceData!$AM$152),"",ReferenceData!$AM$152),"")</f>
        <v>15.652692589999999</v>
      </c>
      <c r="AN152">
        <f ca="1">IFERROR(IF(0=LEN(ReferenceData!$AN$152),"",ReferenceData!$AN$152),"")</f>
        <v>7.6499668319999996</v>
      </c>
      <c r="AO152">
        <f ca="1">IFERROR(IF(0=LEN(ReferenceData!$AO$152),"",ReferenceData!$AO$152),"")</f>
        <v>8.0002936570000003</v>
      </c>
      <c r="AP152">
        <f ca="1">IFERROR(IF(0=LEN(ReferenceData!$AP$152),"",ReferenceData!$AP$152),"")</f>
        <v>7.9147881629999999</v>
      </c>
      <c r="AQ152">
        <f ca="1">IFERROR(IF(0=LEN(ReferenceData!$AQ$152),"",ReferenceData!$AQ$152),"")</f>
        <v>7.5882882980000002</v>
      </c>
      <c r="AR152">
        <f ca="1">IFERROR(IF(0=LEN(ReferenceData!$AR$152),"",ReferenceData!$AR$152),"")</f>
        <v>7.7985578789999996</v>
      </c>
      <c r="AS152">
        <f ca="1">IFERROR(IF(0=LEN(ReferenceData!$AS$152),"",ReferenceData!$AS$152),"")</f>
        <v>7.8847361400000002</v>
      </c>
      <c r="AT152">
        <f ca="1">IFERROR(IF(0=LEN(ReferenceData!$AT$152),"",ReferenceData!$AT$152),"")</f>
        <v>8.2648542739999993</v>
      </c>
      <c r="AU152">
        <f ca="1">IFERROR(IF(0=LEN(ReferenceData!$AU$152),"",ReferenceData!$AU$152),"")</f>
        <v>7.9280458070000002</v>
      </c>
      <c r="AV152">
        <f ca="1">IFERROR(IF(0=LEN(ReferenceData!$AV$152),"",ReferenceData!$AV$152),"")</f>
        <v>7.7736921140000002</v>
      </c>
      <c r="AW152">
        <f ca="1">IFERROR(IF(0=LEN(ReferenceData!$AW$152),"",ReferenceData!$AW$152),"")</f>
        <v>7.6841271969999996</v>
      </c>
      <c r="AX152">
        <f ca="1">IFERROR(IF(0=LEN(ReferenceData!$AX$152),"",ReferenceData!$AX$152),"")</f>
        <v>7.8814931970000002</v>
      </c>
      <c r="AY152">
        <f ca="1">IFERROR(IF(0=LEN(ReferenceData!$AY$152),"",ReferenceData!$AY$152),"")</f>
        <v>7.690407671</v>
      </c>
      <c r="AZ152">
        <f ca="1">IFERROR(IF(0=LEN(ReferenceData!$AZ$152),"",ReferenceData!$AZ$152),"")</f>
        <v>7.5123626410000002</v>
      </c>
      <c r="BA152">
        <f ca="1">IFERROR(IF(0=LEN(ReferenceData!$BA$152),"",ReferenceData!$BA$152),"")</f>
        <v>7.7144387180000003</v>
      </c>
      <c r="BB152">
        <f ca="1">IFERROR(IF(0=LEN(ReferenceData!$BB$152),"",ReferenceData!$BB$152),"")</f>
        <v>7.639402155</v>
      </c>
      <c r="BC152" t="str">
        <f ca="1">IFERROR(IF(0=LEN(ReferenceData!$BC$152),"",ReferenceData!$BC$152),"")</f>
        <v/>
      </c>
      <c r="BD152">
        <f ca="1">IFERROR(IF(0=LEN(ReferenceData!$BD$152),"",ReferenceData!$BD$152),"")</f>
        <v>7.2217330110000004</v>
      </c>
      <c r="BE152">
        <f ca="1">IFERROR(IF(0=LEN(ReferenceData!$BE$152),"",ReferenceData!$BE$152),"")</f>
        <v>7.1395033640000003</v>
      </c>
      <c r="BF152">
        <f ca="1">IFERROR(IF(0=LEN(ReferenceData!$BF$152),"",ReferenceData!$BF$152),"")</f>
        <v>7.0000437729999998</v>
      </c>
      <c r="BG152">
        <f ca="1">IFERROR(IF(0=LEN(ReferenceData!$BG$152),"",ReferenceData!$BG$152),"")</f>
        <v>5.5542962320000004</v>
      </c>
      <c r="BH152">
        <f ca="1">IFERROR(IF(0=LEN(ReferenceData!$BH$152),"",ReferenceData!$BH$152),"")</f>
        <v>6.700793977</v>
      </c>
      <c r="BI152">
        <f ca="1">IFERROR(IF(0=LEN(ReferenceData!$BI$152),"",ReferenceData!$BI$152),"")</f>
        <v>7.0787529620000003</v>
      </c>
      <c r="BJ152">
        <f ca="1">IFERROR(IF(0=LEN(ReferenceData!$BJ$152),"",ReferenceData!$BJ$152),"")</f>
        <v>7.2024327780000004</v>
      </c>
      <c r="BK152" t="str">
        <f ca="1">IFERROR(IF(0=LEN(ReferenceData!$BK$152),"",ReferenceData!$BK$152),"")</f>
        <v/>
      </c>
      <c r="BL152">
        <f ca="1">IFERROR(IF(0=LEN(ReferenceData!$BL$152),"",ReferenceData!$BL$152),"")</f>
        <v>8.0362104310000007</v>
      </c>
      <c r="BM152">
        <f ca="1">IFERROR(IF(0=LEN(ReferenceData!$BM$152),"",ReferenceData!$BM$152),"")</f>
        <v>8.5105986629999997</v>
      </c>
    </row>
    <row r="153" spans="1:65">
      <c r="A153" t="str">
        <f>IFERROR(IF(0=LEN(ReferenceData!$A$153),"",ReferenceData!$A$153),"")</f>
        <v xml:space="preserve">    Kilroy Realty Corp</v>
      </c>
      <c r="B153" t="str">
        <f>IFERROR(IF(0=LEN(ReferenceData!$B$153),"",ReferenceData!$B$153),"")</f>
        <v>KRC US Equity</v>
      </c>
      <c r="C153" t="str">
        <f>IFERROR(IF(0=LEN(ReferenceData!$C$153),"",ReferenceData!$C$153),"")</f>
        <v>RX902</v>
      </c>
      <c r="D153" t="str">
        <f>IFERROR(IF(0=LEN(ReferenceData!$D$153),"",ReferenceData!$D$153),"")</f>
        <v>ANN_NOI_GR_AST_NET_RTL_DEV_CTD_%</v>
      </c>
      <c r="E153" t="str">
        <f>IFERROR(IF(0=LEN(ReferenceData!$E$153),"",ReferenceData!$E$153),"")</f>
        <v>动态</v>
      </c>
      <c r="F153" t="str">
        <f ca="1">IFERROR(IF(0=LEN(ReferenceData!$F$153),"",ReferenceData!$F$153),"")</f>
        <v/>
      </c>
      <c r="G153">
        <f ca="1">IFERROR(IF(0=LEN(ReferenceData!$G$153),"",ReferenceData!$G$153),"")</f>
        <v>6.3231436719999996</v>
      </c>
      <c r="H153">
        <f ca="1">IFERROR(IF(0=LEN(ReferenceData!$H$153),"",ReferenceData!$H$153),"")</f>
        <v>6.4308138760000002</v>
      </c>
      <c r="I153">
        <f ca="1">IFERROR(IF(0=LEN(ReferenceData!$I$153),"",ReferenceData!$I$153),"")</f>
        <v>6.260202692</v>
      </c>
      <c r="J153">
        <f ca="1">IFERROR(IF(0=LEN(ReferenceData!$J$153),"",ReferenceData!$J$153),"")</f>
        <v>6.218307265</v>
      </c>
      <c r="K153">
        <f ca="1">IFERROR(IF(0=LEN(ReferenceData!$K$153),"",ReferenceData!$K$153),"")</f>
        <v>6.2799066999999997</v>
      </c>
      <c r="L153">
        <f ca="1">IFERROR(IF(0=LEN(ReferenceData!$L$153),"",ReferenceData!$L$153),"")</f>
        <v>6.6178215839999996</v>
      </c>
      <c r="M153">
        <f ca="1">IFERROR(IF(0=LEN(ReferenceData!$M$153),"",ReferenceData!$M$153),"")</f>
        <v>6.3263904269999998</v>
      </c>
      <c r="N153">
        <f ca="1">IFERROR(IF(0=LEN(ReferenceData!$N$153),"",ReferenceData!$N$153),"")</f>
        <v>5.9471501050000004</v>
      </c>
      <c r="O153">
        <f ca="1">IFERROR(IF(0=LEN(ReferenceData!$O$153),"",ReferenceData!$O$153),"")</f>
        <v>6.1500972950000001</v>
      </c>
      <c r="P153">
        <f ca="1">IFERROR(IF(0=LEN(ReferenceData!$P$153),"",ReferenceData!$P$153),"")</f>
        <v>5.5444421009999996</v>
      </c>
      <c r="Q153">
        <f ca="1">IFERROR(IF(0=LEN(ReferenceData!$Q$153),"",ReferenceData!$Q$153),"")</f>
        <v>6.3823786159999996</v>
      </c>
      <c r="R153">
        <f ca="1">IFERROR(IF(0=LEN(ReferenceData!$R$153),"",ReferenceData!$R$153),"")</f>
        <v>6.4774426150000002</v>
      </c>
      <c r="S153">
        <f ca="1">IFERROR(IF(0=LEN(ReferenceData!$S$153),"",ReferenceData!$S$153),"")</f>
        <v>6.3233354610000001</v>
      </c>
      <c r="T153">
        <f ca="1">IFERROR(IF(0=LEN(ReferenceData!$T$153),"",ReferenceData!$T$153),"")</f>
        <v>5.783858876</v>
      </c>
      <c r="U153">
        <f ca="1">IFERROR(IF(0=LEN(ReferenceData!$U$153),"",ReferenceData!$U$153),"")</f>
        <v>5.9615168560000003</v>
      </c>
      <c r="V153">
        <f ca="1">IFERROR(IF(0=LEN(ReferenceData!$V$153),"",ReferenceData!$V$153),"")</f>
        <v>5.8647261420000003</v>
      </c>
      <c r="W153">
        <f ca="1">IFERROR(IF(0=LEN(ReferenceData!$W$153),"",ReferenceData!$W$153),"")</f>
        <v>6.0804875559999996</v>
      </c>
      <c r="X153">
        <f ca="1">IFERROR(IF(0=LEN(ReferenceData!$X$153),"",ReferenceData!$X$153),"")</f>
        <v>6.0400732020000003</v>
      </c>
      <c r="Y153">
        <f ca="1">IFERROR(IF(0=LEN(ReferenceData!$Y$153),"",ReferenceData!$Y$153),"")</f>
        <v>5.9660737590000004</v>
      </c>
      <c r="Z153">
        <f ca="1">IFERROR(IF(0=LEN(ReferenceData!$Z$153),"",ReferenceData!$Z$153),"")</f>
        <v>5.5932703049999999</v>
      </c>
      <c r="AA153">
        <f ca="1">IFERROR(IF(0=LEN(ReferenceData!$AA$153),"",ReferenceData!$AA$153),"")</f>
        <v>6.1590302939999999</v>
      </c>
      <c r="AB153">
        <f ca="1">IFERROR(IF(0=LEN(ReferenceData!$AB$153),"",ReferenceData!$AB$153),"")</f>
        <v>6.2816486019999997</v>
      </c>
      <c r="AC153">
        <f ca="1">IFERROR(IF(0=LEN(ReferenceData!$AC$153),"",ReferenceData!$AC$153),"")</f>
        <v>6.3012452120000004</v>
      </c>
      <c r="AD153">
        <f ca="1">IFERROR(IF(0=LEN(ReferenceData!$AD$153),"",ReferenceData!$AD$153),"")</f>
        <v>5.7328189739999997</v>
      </c>
      <c r="AE153">
        <f ca="1">IFERROR(IF(0=LEN(ReferenceData!$AE$153),"",ReferenceData!$AE$153),"")</f>
        <v>7.3127287670000003</v>
      </c>
      <c r="AF153">
        <f ca="1">IFERROR(IF(0=LEN(ReferenceData!$AF$153),"",ReferenceData!$AF$153),"")</f>
        <v>6.7831816119999999</v>
      </c>
      <c r="AG153">
        <f ca="1">IFERROR(IF(0=LEN(ReferenceData!$AG$153),"",ReferenceData!$AG$153),"")</f>
        <v>6.2587517070000001</v>
      </c>
      <c r="AH153">
        <f ca="1">IFERROR(IF(0=LEN(ReferenceData!$AH$153),"",ReferenceData!$AH$153),"")</f>
        <v>6.999557029</v>
      </c>
      <c r="AI153">
        <f ca="1">IFERROR(IF(0=LEN(ReferenceData!$AI$153),"",ReferenceData!$AI$153),"")</f>
        <v>5.385047954</v>
      </c>
      <c r="AJ153">
        <f ca="1">IFERROR(IF(0=LEN(ReferenceData!$AJ$153),"",ReferenceData!$AJ$153),"")</f>
        <v>7.1342028920000002</v>
      </c>
      <c r="AK153">
        <f ca="1">IFERROR(IF(0=LEN(ReferenceData!$AK$153),"",ReferenceData!$AK$153),"")</f>
        <v>6.3776202800000004</v>
      </c>
      <c r="AL153">
        <f ca="1">IFERROR(IF(0=LEN(ReferenceData!$AL$153),"",ReferenceData!$AL$153),"")</f>
        <v>7.1331905329999996</v>
      </c>
      <c r="AM153">
        <f ca="1">IFERROR(IF(0=LEN(ReferenceData!$AM$153),"",ReferenceData!$AM$153),"")</f>
        <v>7.2360373009999996</v>
      </c>
      <c r="AN153">
        <f ca="1">IFERROR(IF(0=LEN(ReferenceData!$AN$153),"",ReferenceData!$AN$153),"")</f>
        <v>7.374061201</v>
      </c>
      <c r="AO153">
        <f ca="1">IFERROR(IF(0=LEN(ReferenceData!$AO$153),"",ReferenceData!$AO$153),"")</f>
        <v>8.0053936459999999</v>
      </c>
      <c r="AP153">
        <f ca="1">IFERROR(IF(0=LEN(ReferenceData!$AP$153),"",ReferenceData!$AP$153),"")</f>
        <v>7.8712581459999997</v>
      </c>
      <c r="AQ153">
        <f ca="1">IFERROR(IF(0=LEN(ReferenceData!$AQ$153),"",ReferenceData!$AQ$153),"")</f>
        <v>8.0252321309999992</v>
      </c>
      <c r="AR153">
        <f ca="1">IFERROR(IF(0=LEN(ReferenceData!$AR$153),"",ReferenceData!$AR$153),"")</f>
        <v>8.8543766569999995</v>
      </c>
      <c r="AS153">
        <f ca="1">IFERROR(IF(0=LEN(ReferenceData!$AS$153),"",ReferenceData!$AS$153),"")</f>
        <v>7.6071140420000001</v>
      </c>
      <c r="AT153">
        <f ca="1">IFERROR(IF(0=LEN(ReferenceData!$AT$153),"",ReferenceData!$AT$153),"")</f>
        <v>8.2577747329999998</v>
      </c>
      <c r="AU153">
        <f ca="1">IFERROR(IF(0=LEN(ReferenceData!$AU$153),"",ReferenceData!$AU$153),"")</f>
        <v>8.2402161839999994</v>
      </c>
      <c r="AV153">
        <f ca="1">IFERROR(IF(0=LEN(ReferenceData!$AV$153),"",ReferenceData!$AV$153),"")</f>
        <v>7.8582266089999999</v>
      </c>
      <c r="AW153">
        <f ca="1">IFERROR(IF(0=LEN(ReferenceData!$AW$153),"",ReferenceData!$AW$153),"")</f>
        <v>7.7575420199999998</v>
      </c>
      <c r="AX153">
        <f ca="1">IFERROR(IF(0=LEN(ReferenceData!$AX$153),"",ReferenceData!$AX$153),"")</f>
        <v>8.3085678759999997</v>
      </c>
      <c r="AY153">
        <f ca="1">IFERROR(IF(0=LEN(ReferenceData!$AY$153),"",ReferenceData!$AY$153),"")</f>
        <v>8.2587101490000006</v>
      </c>
      <c r="AZ153">
        <f ca="1">IFERROR(IF(0=LEN(ReferenceData!$AZ$153),"",ReferenceData!$AZ$153),"")</f>
        <v>8.3795116309999997</v>
      </c>
      <c r="BA153">
        <f ca="1">IFERROR(IF(0=LEN(ReferenceData!$BA$153),"",ReferenceData!$BA$153),"")</f>
        <v>8.7156164839999999</v>
      </c>
      <c r="BB153">
        <f ca="1">IFERROR(IF(0=LEN(ReferenceData!$BB$153),"",ReferenceData!$BB$153),"")</f>
        <v>8.7569269829999996</v>
      </c>
      <c r="BC153">
        <f ca="1">IFERROR(IF(0=LEN(ReferenceData!$BC$153),"",ReferenceData!$BC$153),"")</f>
        <v>8.9330300119999997</v>
      </c>
      <c r="BD153">
        <f ca="1">IFERROR(IF(0=LEN(ReferenceData!$BD$153),"",ReferenceData!$BD$153),"")</f>
        <v>8.7402948939999998</v>
      </c>
      <c r="BE153">
        <f ca="1">IFERROR(IF(0=LEN(ReferenceData!$BE$153),"",ReferenceData!$BE$153),"")</f>
        <v>9.0639875050000001</v>
      </c>
      <c r="BF153">
        <f ca="1">IFERROR(IF(0=LEN(ReferenceData!$BF$153),"",ReferenceData!$BF$153),"")</f>
        <v>9.0471414239999994</v>
      </c>
      <c r="BG153">
        <f ca="1">IFERROR(IF(0=LEN(ReferenceData!$BG$153),"",ReferenceData!$BG$153),"")</f>
        <v>8.8608612719999993</v>
      </c>
      <c r="BH153">
        <f ca="1">IFERROR(IF(0=LEN(ReferenceData!$BH$153),"",ReferenceData!$BH$153),"")</f>
        <v>9.1798533510000002</v>
      </c>
      <c r="BI153">
        <f ca="1">IFERROR(IF(0=LEN(ReferenceData!$BI$153),"",ReferenceData!$BI$153),"")</f>
        <v>8.87541008</v>
      </c>
      <c r="BJ153">
        <f ca="1">IFERROR(IF(0=LEN(ReferenceData!$BJ$153),"",ReferenceData!$BJ$153),"")</f>
        <v>8.8787420309999998</v>
      </c>
      <c r="BK153" t="str">
        <f ca="1">IFERROR(IF(0=LEN(ReferenceData!$BK$153),"",ReferenceData!$BK$153),"")</f>
        <v/>
      </c>
      <c r="BL153">
        <f ca="1">IFERROR(IF(0=LEN(ReferenceData!$BL$153),"",ReferenceData!$BL$153),"")</f>
        <v>11.92562822</v>
      </c>
      <c r="BM153">
        <f ca="1">IFERROR(IF(0=LEN(ReferenceData!$BM$153),"",ReferenceData!$BM$153),"")</f>
        <v>8.6705176549999994</v>
      </c>
    </row>
    <row r="154" spans="1:65">
      <c r="A154" t="str">
        <f>IFERROR(IF(0=LEN(ReferenceData!$A$154),"",ReferenceData!$A$154),"")</f>
        <v xml:space="preserve">    Mack-Cali Realty Corp</v>
      </c>
      <c r="B154" t="str">
        <f>IFERROR(IF(0=LEN(ReferenceData!$B$154),"",ReferenceData!$B$154),"")</f>
        <v>CLI US Equity</v>
      </c>
      <c r="C154" t="str">
        <f>IFERROR(IF(0=LEN(ReferenceData!$C$154),"",ReferenceData!$C$154),"")</f>
        <v>RX902</v>
      </c>
      <c r="D154" t="str">
        <f>IFERROR(IF(0=LEN(ReferenceData!$D$154),"",ReferenceData!$D$154),"")</f>
        <v>ANN_NOI_GR_AST_NET_RTL_DEV_CTD_%</v>
      </c>
      <c r="E154" t="str">
        <f>IFERROR(IF(0=LEN(ReferenceData!$E$154),"",ReferenceData!$E$154),"")</f>
        <v>动态</v>
      </c>
      <c r="F154" t="str">
        <f ca="1">IFERROR(IF(0=LEN(ReferenceData!$F$154),"",ReferenceData!$F$154),"")</f>
        <v/>
      </c>
      <c r="G154">
        <f ca="1">IFERROR(IF(0=LEN(ReferenceData!$G$154),"",ReferenceData!$G$154),"")</f>
        <v>3.2104719159999999</v>
      </c>
      <c r="H154">
        <f ca="1">IFERROR(IF(0=LEN(ReferenceData!$H$154),"",ReferenceData!$H$154),"")</f>
        <v>3.5934551360000002</v>
      </c>
      <c r="I154">
        <f ca="1">IFERROR(IF(0=LEN(ReferenceData!$I$154),"",ReferenceData!$I$154),"")</f>
        <v>3.7105851799999998</v>
      </c>
      <c r="J154">
        <f ca="1">IFERROR(IF(0=LEN(ReferenceData!$J$154),"",ReferenceData!$J$154),"")</f>
        <v>3.366124154</v>
      </c>
      <c r="K154">
        <f ca="1">IFERROR(IF(0=LEN(ReferenceData!$K$154),"",ReferenceData!$K$154),"")</f>
        <v>3.6572373100000002</v>
      </c>
      <c r="L154">
        <f ca="1">IFERROR(IF(0=LEN(ReferenceData!$L$154),"",ReferenceData!$L$154),"")</f>
        <v>5.1744431569999998</v>
      </c>
      <c r="M154">
        <f ca="1">IFERROR(IF(0=LEN(ReferenceData!$M$154),"",ReferenceData!$M$154),"")</f>
        <v>3.3836471320000001</v>
      </c>
      <c r="N154">
        <f ca="1">IFERROR(IF(0=LEN(ReferenceData!$N$154),"",ReferenceData!$N$154),"")</f>
        <v>3.0705996990000002</v>
      </c>
      <c r="O154">
        <f ca="1">IFERROR(IF(0=LEN(ReferenceData!$O$154),"",ReferenceData!$O$154),"")</f>
        <v>5.269745372</v>
      </c>
      <c r="P154">
        <f ca="1">IFERROR(IF(0=LEN(ReferenceData!$P$154),"",ReferenceData!$P$154),"")</f>
        <v>3.4976714950000001</v>
      </c>
      <c r="Q154">
        <f ca="1">IFERROR(IF(0=LEN(ReferenceData!$Q$154),"",ReferenceData!$Q$154),"")</f>
        <v>2.9267619100000002</v>
      </c>
      <c r="R154">
        <f ca="1">IFERROR(IF(0=LEN(ReferenceData!$R$154),"",ReferenceData!$R$154),"")</f>
        <v>2.6635526600000001</v>
      </c>
      <c r="S154">
        <f ca="1">IFERROR(IF(0=LEN(ReferenceData!$S$154),"",ReferenceData!$S$154),"")</f>
        <v>5.4799410249999996</v>
      </c>
      <c r="T154">
        <f ca="1">IFERROR(IF(0=LEN(ReferenceData!$T$154),"",ReferenceData!$T$154),"")</f>
        <v>5.9335414399999999</v>
      </c>
      <c r="U154">
        <f ca="1">IFERROR(IF(0=LEN(ReferenceData!$U$154),"",ReferenceData!$U$154),"")</f>
        <v>3.4939665710000001</v>
      </c>
      <c r="V154">
        <f ca="1">IFERROR(IF(0=LEN(ReferenceData!$V$154),"",ReferenceData!$V$154),"")</f>
        <v>5.1252329919999999</v>
      </c>
      <c r="W154">
        <f ca="1">IFERROR(IF(0=LEN(ReferenceData!$W$154),"",ReferenceData!$W$154),"")</f>
        <v>5.7330890309999996</v>
      </c>
      <c r="X154">
        <f ca="1">IFERROR(IF(0=LEN(ReferenceData!$X$154),"",ReferenceData!$X$154),"")</f>
        <v>5.4671908399999998</v>
      </c>
      <c r="Y154">
        <f ca="1">IFERROR(IF(0=LEN(ReferenceData!$Y$154),"",ReferenceData!$Y$154),"")</f>
        <v>5.6231779949999998</v>
      </c>
      <c r="Z154">
        <f ca="1">IFERROR(IF(0=LEN(ReferenceData!$Z$154),"",ReferenceData!$Z$154),"")</f>
        <v>5.6613142969999997</v>
      </c>
      <c r="AA154">
        <f ca="1">IFERROR(IF(0=LEN(ReferenceData!$AA$154),"",ReferenceData!$AA$154),"")</f>
        <v>6.3155836550000002</v>
      </c>
      <c r="AB154">
        <f ca="1">IFERROR(IF(0=LEN(ReferenceData!$AB$154),"",ReferenceData!$AB$154),"")</f>
        <v>3.7253495330000002</v>
      </c>
      <c r="AC154">
        <f ca="1">IFERROR(IF(0=LEN(ReferenceData!$AC$154),"",ReferenceData!$AC$154),"")</f>
        <v>4.287776601</v>
      </c>
      <c r="AD154">
        <f ca="1">IFERROR(IF(0=LEN(ReferenceData!$AD$154),"",ReferenceData!$AD$154),"")</f>
        <v>5.1629623860000002</v>
      </c>
      <c r="AE154">
        <f ca="1">IFERROR(IF(0=LEN(ReferenceData!$AE$154),"",ReferenceData!$AE$154),"")</f>
        <v>6.9946618029999996</v>
      </c>
      <c r="AF154">
        <f ca="1">IFERROR(IF(0=LEN(ReferenceData!$AF$154),"",ReferenceData!$AF$154),"")</f>
        <v>5.0901817019999998</v>
      </c>
      <c r="AG154">
        <f ca="1">IFERROR(IF(0=LEN(ReferenceData!$AG$154),"",ReferenceData!$AG$154),"")</f>
        <v>4.8054563870000004</v>
      </c>
      <c r="AH154">
        <f ca="1">IFERROR(IF(0=LEN(ReferenceData!$AH$154),"",ReferenceData!$AH$154),"")</f>
        <v>4.702654442</v>
      </c>
      <c r="AI154">
        <f ca="1">IFERROR(IF(0=LEN(ReferenceData!$AI$154),"",ReferenceData!$AI$154),"")</f>
        <v>4.8493197940000003</v>
      </c>
      <c r="AJ154">
        <f ca="1">IFERROR(IF(0=LEN(ReferenceData!$AJ$154),"",ReferenceData!$AJ$154),"")</f>
        <v>4.4550058190000001</v>
      </c>
      <c r="AK154">
        <f ca="1">IFERROR(IF(0=LEN(ReferenceData!$AK$154),"",ReferenceData!$AK$154),"")</f>
        <v>4.5595324990000003</v>
      </c>
      <c r="AL154">
        <f ca="1">IFERROR(IF(0=LEN(ReferenceData!$AL$154),"",ReferenceData!$AL$154),"")</f>
        <v>4.4840109889999997</v>
      </c>
      <c r="AM154">
        <f ca="1">IFERROR(IF(0=LEN(ReferenceData!$AM$154),"",ReferenceData!$AM$154),"")</f>
        <v>4.789765203</v>
      </c>
      <c r="AN154">
        <f ca="1">IFERROR(IF(0=LEN(ReferenceData!$AN$154),"",ReferenceData!$AN$154),"")</f>
        <v>5.046582184</v>
      </c>
      <c r="AO154">
        <f ca="1">IFERROR(IF(0=LEN(ReferenceData!$AO$154),"",ReferenceData!$AO$154),"")</f>
        <v>5.1398805569999997</v>
      </c>
      <c r="AP154">
        <f ca="1">IFERROR(IF(0=LEN(ReferenceData!$AP$154),"",ReferenceData!$AP$154),"")</f>
        <v>4.6189617380000003</v>
      </c>
      <c r="AQ154">
        <f ca="1">IFERROR(IF(0=LEN(ReferenceData!$AQ$154),"",ReferenceData!$AQ$154),"")</f>
        <v>2.6308093420000001</v>
      </c>
      <c r="AR154">
        <f ca="1">IFERROR(IF(0=LEN(ReferenceData!$AR$154),"",ReferenceData!$AR$154),"")</f>
        <v>5.6266558059999996</v>
      </c>
      <c r="AS154">
        <f ca="1">IFERROR(IF(0=LEN(ReferenceData!$AS$154),"",ReferenceData!$AS$154),"")</f>
        <v>5.0941040109999998</v>
      </c>
      <c r="AT154">
        <f ca="1">IFERROR(IF(0=LEN(ReferenceData!$AT$154),"",ReferenceData!$AT$154),"")</f>
        <v>4.8424351019999996</v>
      </c>
      <c r="AU154">
        <f ca="1">IFERROR(IF(0=LEN(ReferenceData!$AU$154),"",ReferenceData!$AU$154),"")</f>
        <v>4.9438794670000004</v>
      </c>
      <c r="AV154">
        <f ca="1">IFERROR(IF(0=LEN(ReferenceData!$AV$154),"",ReferenceData!$AV$154),"")</f>
        <v>5.307741568</v>
      </c>
      <c r="AW154">
        <f ca="1">IFERROR(IF(0=LEN(ReferenceData!$AW$154),"",ReferenceData!$AW$154),"")</f>
        <v>4.9169428389999998</v>
      </c>
      <c r="AX154">
        <f ca="1">IFERROR(IF(0=LEN(ReferenceData!$AX$154),"",ReferenceData!$AX$154),"")</f>
        <v>4.8589743079999996</v>
      </c>
      <c r="AY154">
        <f ca="1">IFERROR(IF(0=LEN(ReferenceData!$AY$154),"",ReferenceData!$AY$154),"")</f>
        <v>3.7813797849999999</v>
      </c>
      <c r="AZ154">
        <f ca="1">IFERROR(IF(0=LEN(ReferenceData!$AZ$154),"",ReferenceData!$AZ$154),"")</f>
        <v>4.1812919219999998</v>
      </c>
      <c r="BA154">
        <f ca="1">IFERROR(IF(0=LEN(ReferenceData!$BA$154),"",ReferenceData!$BA$154),"")</f>
        <v>4.7854048369999997</v>
      </c>
      <c r="BB154">
        <f ca="1">IFERROR(IF(0=LEN(ReferenceData!$BB$154),"",ReferenceData!$BB$154),"")</f>
        <v>4.6379260069999999</v>
      </c>
      <c r="BC154" t="str">
        <f ca="1">IFERROR(IF(0=LEN(ReferenceData!$BC$154),"",ReferenceData!$BC$154),"")</f>
        <v/>
      </c>
      <c r="BD154">
        <f ca="1">IFERROR(IF(0=LEN(ReferenceData!$BD$154),"",ReferenceData!$BD$154),"")</f>
        <v>5.0618953299999996</v>
      </c>
      <c r="BE154">
        <f ca="1">IFERROR(IF(0=LEN(ReferenceData!$BE$154),"",ReferenceData!$BE$154),"")</f>
        <v>5.7870628890000004</v>
      </c>
      <c r="BF154">
        <f ca="1">IFERROR(IF(0=LEN(ReferenceData!$BF$154),"",ReferenceData!$BF$154),"")</f>
        <v>5.316405821</v>
      </c>
      <c r="BG154" t="str">
        <f ca="1">IFERROR(IF(0=LEN(ReferenceData!$BG$154),"",ReferenceData!$BG$154),"")</f>
        <v/>
      </c>
      <c r="BH154" t="str">
        <f ca="1">IFERROR(IF(0=LEN(ReferenceData!$BH$154),"",ReferenceData!$BH$154),"")</f>
        <v/>
      </c>
      <c r="BI154" t="str">
        <f ca="1">IFERROR(IF(0=LEN(ReferenceData!$BI$154),"",ReferenceData!$BI$154),"")</f>
        <v/>
      </c>
      <c r="BJ154" t="str">
        <f ca="1">IFERROR(IF(0=LEN(ReferenceData!$BJ$154),"",ReferenceData!$BJ$154),"")</f>
        <v/>
      </c>
      <c r="BK154" t="str">
        <f ca="1">IFERROR(IF(0=LEN(ReferenceData!$BK$154),"",ReferenceData!$BK$154),"")</f>
        <v/>
      </c>
      <c r="BL154" t="str">
        <f ca="1">IFERROR(IF(0=LEN(ReferenceData!$BL$154),"",ReferenceData!$BL$154),"")</f>
        <v/>
      </c>
      <c r="BM154" t="str">
        <f ca="1">IFERROR(IF(0=LEN(ReferenceData!$BM$154),"",ReferenceData!$BM$154),"")</f>
        <v/>
      </c>
    </row>
    <row r="155" spans="1:65">
      <c r="A155" t="str">
        <f>IFERROR(IF(0=LEN(ReferenceData!$A$155),"",ReferenceData!$A$155),"")</f>
        <v xml:space="preserve">    Piedmont Office Realty Trust I</v>
      </c>
      <c r="B155" t="str">
        <f>IFERROR(IF(0=LEN(ReferenceData!$B$155),"",ReferenceData!$B$155),"")</f>
        <v>PDM US Equity</v>
      </c>
      <c r="C155" t="str">
        <f>IFERROR(IF(0=LEN(ReferenceData!$C$155),"",ReferenceData!$C$155),"")</f>
        <v>RX902</v>
      </c>
      <c r="D155" t="str">
        <f>IFERROR(IF(0=LEN(ReferenceData!$D$155),"",ReferenceData!$D$155),"")</f>
        <v>ANN_NOI_GR_AST_NET_RTL_DEV_CTD_%</v>
      </c>
      <c r="E155" t="str">
        <f>IFERROR(IF(0=LEN(ReferenceData!$E$155),"",ReferenceData!$E$155),"")</f>
        <v>动态</v>
      </c>
      <c r="F155" t="str">
        <f ca="1">IFERROR(IF(0=LEN(ReferenceData!$F$155),"",ReferenceData!$F$155),"")</f>
        <v/>
      </c>
      <c r="G155">
        <f ca="1">IFERROR(IF(0=LEN(ReferenceData!$G$155),"",ReferenceData!$G$155),"")</f>
        <v>6.4249296730000003</v>
      </c>
      <c r="H155">
        <f ca="1">IFERROR(IF(0=LEN(ReferenceData!$H$155),"",ReferenceData!$H$155),"")</f>
        <v>6.2561726010000003</v>
      </c>
      <c r="I155">
        <f ca="1">IFERROR(IF(0=LEN(ReferenceData!$I$155),"",ReferenceData!$I$155),"")</f>
        <v>6.491893471</v>
      </c>
      <c r="J155">
        <f ca="1">IFERROR(IF(0=LEN(ReferenceData!$J$155),"",ReferenceData!$J$155),"")</f>
        <v>6.5408388679999998</v>
      </c>
      <c r="K155">
        <f ca="1">IFERROR(IF(0=LEN(ReferenceData!$K$155),"",ReferenceData!$K$155),"")</f>
        <v>5.8173647370000001</v>
      </c>
      <c r="L155">
        <f ca="1">IFERROR(IF(0=LEN(ReferenceData!$L$155),"",ReferenceData!$L$155),"")</f>
        <v>5.8816585579999998</v>
      </c>
      <c r="M155">
        <f ca="1">IFERROR(IF(0=LEN(ReferenceData!$M$155),"",ReferenceData!$M$155),"")</f>
        <v>6.063358579</v>
      </c>
      <c r="N155">
        <f ca="1">IFERROR(IF(0=LEN(ReferenceData!$N$155),"",ReferenceData!$N$155),"")</f>
        <v>5.6264570569999997</v>
      </c>
      <c r="O155">
        <f ca="1">IFERROR(IF(0=LEN(ReferenceData!$O$155),"",ReferenceData!$O$155),"")</f>
        <v>5.8808704250000003</v>
      </c>
      <c r="P155">
        <f ca="1">IFERROR(IF(0=LEN(ReferenceData!$P$155),"",ReferenceData!$P$155),"")</f>
        <v>5.88043798</v>
      </c>
      <c r="Q155">
        <f ca="1">IFERROR(IF(0=LEN(ReferenceData!$Q$155),"",ReferenceData!$Q$155),"")</f>
        <v>5.4599648370000002</v>
      </c>
      <c r="R155">
        <f ca="1">IFERROR(IF(0=LEN(ReferenceData!$R$155),"",ReferenceData!$R$155),"")</f>
        <v>5.3757803940000004</v>
      </c>
      <c r="S155">
        <f ca="1">IFERROR(IF(0=LEN(ReferenceData!$S$155),"",ReferenceData!$S$155),"")</f>
        <v>5.0538316170000002</v>
      </c>
      <c r="T155">
        <f ca="1">IFERROR(IF(0=LEN(ReferenceData!$T$155),"",ReferenceData!$T$155),"")</f>
        <v>5.0938057800000003</v>
      </c>
      <c r="U155">
        <f ca="1">IFERROR(IF(0=LEN(ReferenceData!$U$155),"",ReferenceData!$U$155),"")</f>
        <v>5.0356083949999997</v>
      </c>
      <c r="V155">
        <f ca="1">IFERROR(IF(0=LEN(ReferenceData!$V$155),"",ReferenceData!$V$155),"")</f>
        <v>4.8259184089999998</v>
      </c>
      <c r="W155">
        <f ca="1">IFERROR(IF(0=LEN(ReferenceData!$W$155),"",ReferenceData!$W$155),"")</f>
        <v>5.6822274449999997</v>
      </c>
      <c r="X155">
        <f ca="1">IFERROR(IF(0=LEN(ReferenceData!$X$155),"",ReferenceData!$X$155),"")</f>
        <v>5.7525325680000003</v>
      </c>
      <c r="Y155">
        <f ca="1">IFERROR(IF(0=LEN(ReferenceData!$Y$155),"",ReferenceData!$Y$155),"")</f>
        <v>5.5424854430000003</v>
      </c>
      <c r="Z155">
        <f ca="1">IFERROR(IF(0=LEN(ReferenceData!$Z$155),"",ReferenceData!$Z$155),"")</f>
        <v>5.6759369739999999</v>
      </c>
      <c r="AA155">
        <f ca="1">IFERROR(IF(0=LEN(ReferenceData!$AA$155),"",ReferenceData!$AA$155),"")</f>
        <v>5.757572927</v>
      </c>
      <c r="AB155">
        <f ca="1">IFERROR(IF(0=LEN(ReferenceData!$AB$155),"",ReferenceData!$AB$155),"")</f>
        <v>6.0908771369999997</v>
      </c>
      <c r="AC155">
        <f ca="1">IFERROR(IF(0=LEN(ReferenceData!$AC$155),"",ReferenceData!$AC$155),"")</f>
        <v>5.6527875889999999</v>
      </c>
      <c r="AD155">
        <f ca="1">IFERROR(IF(0=LEN(ReferenceData!$AD$155),"",ReferenceData!$AD$155),"")</f>
        <v>6.0779199659999996</v>
      </c>
      <c r="AE155" t="str">
        <f ca="1">IFERROR(IF(0=LEN(ReferenceData!$AE$155),"",ReferenceData!$AE$155),"")</f>
        <v/>
      </c>
      <c r="AF155" t="str">
        <f ca="1">IFERROR(IF(0=LEN(ReferenceData!$AF$155),"",ReferenceData!$AF$155),"")</f>
        <v/>
      </c>
      <c r="AG155" t="str">
        <f ca="1">IFERROR(IF(0=LEN(ReferenceData!$AG$155),"",ReferenceData!$AG$155),"")</f>
        <v/>
      </c>
      <c r="AH155" t="str">
        <f ca="1">IFERROR(IF(0=LEN(ReferenceData!$AH$155),"",ReferenceData!$AH$155),"")</f>
        <v/>
      </c>
      <c r="AI155" t="str">
        <f ca="1">IFERROR(IF(0=LEN(ReferenceData!$AI$155),"",ReferenceData!$AI$155),"")</f>
        <v/>
      </c>
      <c r="AJ155" t="str">
        <f ca="1">IFERROR(IF(0=LEN(ReferenceData!$AJ$155),"",ReferenceData!$AJ$155),"")</f>
        <v/>
      </c>
      <c r="AK155" t="str">
        <f ca="1">IFERROR(IF(0=LEN(ReferenceData!$AK$155),"",ReferenceData!$AK$155),"")</f>
        <v/>
      </c>
      <c r="AL155" t="str">
        <f ca="1">IFERROR(IF(0=LEN(ReferenceData!$AL$155),"",ReferenceData!$AL$155),"")</f>
        <v/>
      </c>
      <c r="AM155" t="str">
        <f ca="1">IFERROR(IF(0=LEN(ReferenceData!$AM$155),"",ReferenceData!$AM$155),"")</f>
        <v/>
      </c>
      <c r="AN155" t="str">
        <f ca="1">IFERROR(IF(0=LEN(ReferenceData!$AN$155),"",ReferenceData!$AN$155),"")</f>
        <v/>
      </c>
      <c r="AO155" t="str">
        <f ca="1">IFERROR(IF(0=LEN(ReferenceData!$AO$155),"",ReferenceData!$AO$155),"")</f>
        <v/>
      </c>
      <c r="AP155" t="str">
        <f ca="1">IFERROR(IF(0=LEN(ReferenceData!$AP$155),"",ReferenceData!$AP$155),"")</f>
        <v/>
      </c>
      <c r="AQ155" t="str">
        <f ca="1">IFERROR(IF(0=LEN(ReferenceData!$AQ$155),"",ReferenceData!$AQ$155),"")</f>
        <v/>
      </c>
      <c r="AR155" t="str">
        <f ca="1">IFERROR(IF(0=LEN(ReferenceData!$AR$155),"",ReferenceData!$AR$155),"")</f>
        <v/>
      </c>
      <c r="AS155" t="str">
        <f ca="1">IFERROR(IF(0=LEN(ReferenceData!$AS$155),"",ReferenceData!$AS$155),"")</f>
        <v/>
      </c>
      <c r="AT155" t="str">
        <f ca="1">IFERROR(IF(0=LEN(ReferenceData!$AT$155),"",ReferenceData!$AT$155),"")</f>
        <v/>
      </c>
      <c r="AU155" t="str">
        <f ca="1">IFERROR(IF(0=LEN(ReferenceData!$AU$155),"",ReferenceData!$AU$155),"")</f>
        <v/>
      </c>
      <c r="AV155" t="str">
        <f ca="1">IFERROR(IF(0=LEN(ReferenceData!$AV$155),"",ReferenceData!$AV$155),"")</f>
        <v/>
      </c>
      <c r="AW155" t="str">
        <f ca="1">IFERROR(IF(0=LEN(ReferenceData!$AW$155),"",ReferenceData!$AW$155),"")</f>
        <v/>
      </c>
      <c r="AX155" t="str">
        <f ca="1">IFERROR(IF(0=LEN(ReferenceData!$AX$155),"",ReferenceData!$AX$155),"")</f>
        <v/>
      </c>
      <c r="AY155" t="str">
        <f ca="1">IFERROR(IF(0=LEN(ReferenceData!$AY$155),"",ReferenceData!$AY$155),"")</f>
        <v/>
      </c>
      <c r="AZ155" t="str">
        <f ca="1">IFERROR(IF(0=LEN(ReferenceData!$AZ$155),"",ReferenceData!$AZ$155),"")</f>
        <v/>
      </c>
      <c r="BA155" t="str">
        <f ca="1">IFERROR(IF(0=LEN(ReferenceData!$BA$155),"",ReferenceData!$BA$155),"")</f>
        <v/>
      </c>
      <c r="BB155" t="str">
        <f ca="1">IFERROR(IF(0=LEN(ReferenceData!$BB$155),"",ReferenceData!$BB$155),"")</f>
        <v/>
      </c>
      <c r="BC155" t="str">
        <f ca="1">IFERROR(IF(0=LEN(ReferenceData!$BC$155),"",ReferenceData!$BC$155),"")</f>
        <v/>
      </c>
      <c r="BD155" t="str">
        <f ca="1">IFERROR(IF(0=LEN(ReferenceData!$BD$155),"",ReferenceData!$BD$155),"")</f>
        <v/>
      </c>
      <c r="BE155" t="str">
        <f ca="1">IFERROR(IF(0=LEN(ReferenceData!$BE$155),"",ReferenceData!$BE$155),"")</f>
        <v/>
      </c>
      <c r="BF155" t="str">
        <f ca="1">IFERROR(IF(0=LEN(ReferenceData!$BF$155),"",ReferenceData!$BF$155),"")</f>
        <v/>
      </c>
      <c r="BG155" t="str">
        <f ca="1">IFERROR(IF(0=LEN(ReferenceData!$BG$155),"",ReferenceData!$BG$155),"")</f>
        <v/>
      </c>
      <c r="BH155" t="str">
        <f ca="1">IFERROR(IF(0=LEN(ReferenceData!$BH$155),"",ReferenceData!$BH$155),"")</f>
        <v/>
      </c>
      <c r="BI155" t="str">
        <f ca="1">IFERROR(IF(0=LEN(ReferenceData!$BI$155),"",ReferenceData!$BI$155),"")</f>
        <v/>
      </c>
      <c r="BJ155" t="str">
        <f ca="1">IFERROR(IF(0=LEN(ReferenceData!$BJ$155),"",ReferenceData!$BJ$155),"")</f>
        <v/>
      </c>
      <c r="BK155" t="str">
        <f ca="1">IFERROR(IF(0=LEN(ReferenceData!$BK$155),"",ReferenceData!$BK$155),"")</f>
        <v/>
      </c>
      <c r="BL155" t="str">
        <f ca="1">IFERROR(IF(0=LEN(ReferenceData!$BL$155),"",ReferenceData!$BL$155),"")</f>
        <v/>
      </c>
      <c r="BM155" t="str">
        <f ca="1">IFERROR(IF(0=LEN(ReferenceData!$BM$155),"",ReferenceData!$BM$155),"")</f>
        <v/>
      </c>
    </row>
    <row r="156" spans="1:65">
      <c r="A156" t="str">
        <f>IFERROR(IF(0=LEN(ReferenceData!$A$156),"",ReferenceData!$A$156),"")</f>
        <v xml:space="preserve">    SL Green Realty Corp</v>
      </c>
      <c r="B156" t="str">
        <f>IFERROR(IF(0=LEN(ReferenceData!$B$156),"",ReferenceData!$B$156),"")</f>
        <v>SLG US Equity</v>
      </c>
      <c r="C156" t="str">
        <f>IFERROR(IF(0=LEN(ReferenceData!$C$156),"",ReferenceData!$C$156),"")</f>
        <v>RX902</v>
      </c>
      <c r="D156" t="str">
        <f>IFERROR(IF(0=LEN(ReferenceData!$D$156),"",ReferenceData!$D$156),"")</f>
        <v>ANN_NOI_GR_AST_NET_RTL_DEV_CTD_%</v>
      </c>
      <c r="E156" t="str">
        <f>IFERROR(IF(0=LEN(ReferenceData!$E$156),"",ReferenceData!$E$156),"")</f>
        <v>动态</v>
      </c>
      <c r="F156" t="str">
        <f ca="1">IFERROR(IF(0=LEN(ReferenceData!$F$156),"",ReferenceData!$F$156),"")</f>
        <v/>
      </c>
      <c r="G156">
        <f ca="1">IFERROR(IF(0=LEN(ReferenceData!$G$156),"",ReferenceData!$G$156),"")</f>
        <v>4.2535844090000001</v>
      </c>
      <c r="H156">
        <f ca="1">IFERROR(IF(0=LEN(ReferenceData!$H$156),"",ReferenceData!$H$156),"")</f>
        <v>4.0002866749999999</v>
      </c>
      <c r="I156">
        <f ca="1">IFERROR(IF(0=LEN(ReferenceData!$I$156),"",ReferenceData!$I$156),"")</f>
        <v>4.424802251</v>
      </c>
      <c r="J156">
        <f ca="1">IFERROR(IF(0=LEN(ReferenceData!$J$156),"",ReferenceData!$J$156),"")</f>
        <v>4.0906436519999998</v>
      </c>
      <c r="K156">
        <f ca="1">IFERROR(IF(0=LEN(ReferenceData!$K$156),"",ReferenceData!$K$156),"")</f>
        <v>4.1779489239999998</v>
      </c>
      <c r="L156">
        <f ca="1">IFERROR(IF(0=LEN(ReferenceData!$L$156),"",ReferenceData!$L$156),"")</f>
        <v>4.1559897059999997</v>
      </c>
      <c r="M156">
        <f ca="1">IFERROR(IF(0=LEN(ReferenceData!$M$156),"",ReferenceData!$M$156),"")</f>
        <v>8.6990333270000004</v>
      </c>
      <c r="N156">
        <f ca="1">IFERROR(IF(0=LEN(ReferenceData!$N$156),"",ReferenceData!$N$156),"")</f>
        <v>4.5516208389999999</v>
      </c>
      <c r="O156">
        <f ca="1">IFERROR(IF(0=LEN(ReferenceData!$O$156),"",ReferenceData!$O$156),"")</f>
        <v>4.1017879649999998</v>
      </c>
      <c r="P156">
        <f ca="1">IFERROR(IF(0=LEN(ReferenceData!$P$156),"",ReferenceData!$P$156),"")</f>
        <v>4.2560934960000001</v>
      </c>
      <c r="Q156">
        <f ca="1">IFERROR(IF(0=LEN(ReferenceData!$Q$156),"",ReferenceData!$Q$156),"")</f>
        <v>4.6977032550000004</v>
      </c>
      <c r="R156">
        <f ca="1">IFERROR(IF(0=LEN(ReferenceData!$R$156),"",ReferenceData!$R$156),"")</f>
        <v>4.367430819</v>
      </c>
      <c r="S156">
        <f ca="1">IFERROR(IF(0=LEN(ReferenceData!$S$156),"",ReferenceData!$S$156),"")</f>
        <v>4.4398642820000003</v>
      </c>
      <c r="T156">
        <f ca="1">IFERROR(IF(0=LEN(ReferenceData!$T$156),"",ReferenceData!$T$156),"")</f>
        <v>4.4354087389999997</v>
      </c>
      <c r="U156">
        <f ca="1">IFERROR(IF(0=LEN(ReferenceData!$U$156),"",ReferenceData!$U$156),"")</f>
        <v>4.4051104859999999</v>
      </c>
      <c r="V156">
        <f ca="1">IFERROR(IF(0=LEN(ReferenceData!$V$156),"",ReferenceData!$V$156),"")</f>
        <v>4.2579171630000001</v>
      </c>
      <c r="W156">
        <f ca="1">IFERROR(IF(0=LEN(ReferenceData!$W$156),"",ReferenceData!$W$156),"")</f>
        <v>4.4195925850000002</v>
      </c>
      <c r="X156">
        <f ca="1">IFERROR(IF(0=LEN(ReferenceData!$X$156),"",ReferenceData!$X$156),"")</f>
        <v>4.2605199440000003</v>
      </c>
      <c r="Y156">
        <f ca="1">IFERROR(IF(0=LEN(ReferenceData!$Y$156),"",ReferenceData!$Y$156),"")</f>
        <v>4.7350269750000002</v>
      </c>
      <c r="Z156">
        <f ca="1">IFERROR(IF(0=LEN(ReferenceData!$Z$156),"",ReferenceData!$Z$156),"")</f>
        <v>4.4606247510000001</v>
      </c>
      <c r="AA156">
        <f ca="1">IFERROR(IF(0=LEN(ReferenceData!$AA$156),"",ReferenceData!$AA$156),"")</f>
        <v>4.5165856030000002</v>
      </c>
      <c r="AB156">
        <f ca="1">IFERROR(IF(0=LEN(ReferenceData!$AB$156),"",ReferenceData!$AB$156),"")</f>
        <v>4.7071660279999996</v>
      </c>
      <c r="AC156">
        <f ca="1">IFERROR(IF(0=LEN(ReferenceData!$AC$156),"",ReferenceData!$AC$156),"")</f>
        <v>5.7402473809999996</v>
      </c>
      <c r="AD156">
        <f ca="1">IFERROR(IF(0=LEN(ReferenceData!$AD$156),"",ReferenceData!$AD$156),"")</f>
        <v>4.6844539840000001</v>
      </c>
      <c r="AE156">
        <f ca="1">IFERROR(IF(0=LEN(ReferenceData!$AE$156),"",ReferenceData!$AE$156),"")</f>
        <v>4.8162933370000003</v>
      </c>
      <c r="AF156">
        <f ca="1">IFERROR(IF(0=LEN(ReferenceData!$AF$156),"",ReferenceData!$AF$156),"")</f>
        <v>4.6428831370000001</v>
      </c>
      <c r="AG156">
        <f ca="1">IFERROR(IF(0=LEN(ReferenceData!$AG$156),"",ReferenceData!$AG$156),"")</f>
        <v>4.9895466949999996</v>
      </c>
      <c r="AH156">
        <f ca="1">IFERROR(IF(0=LEN(ReferenceData!$AH$156),"",ReferenceData!$AH$156),"")</f>
        <v>5.1570626500000003</v>
      </c>
      <c r="AI156">
        <f ca="1">IFERROR(IF(0=LEN(ReferenceData!$AI$156),"",ReferenceData!$AI$156),"")</f>
        <v>4.3072586480000004</v>
      </c>
      <c r="AJ156">
        <f ca="1">IFERROR(IF(0=LEN(ReferenceData!$AJ$156),"",ReferenceData!$AJ$156),"")</f>
        <v>4.6724785850000004</v>
      </c>
      <c r="AK156">
        <f ca="1">IFERROR(IF(0=LEN(ReferenceData!$AK$156),"",ReferenceData!$AK$156),"")</f>
        <v>4.8413989810000002</v>
      </c>
      <c r="AL156">
        <f ca="1">IFERROR(IF(0=LEN(ReferenceData!$AL$156),"",ReferenceData!$AL$156),"")</f>
        <v>4.6534401479999996</v>
      </c>
      <c r="AM156">
        <f ca="1">IFERROR(IF(0=LEN(ReferenceData!$AM$156),"",ReferenceData!$AM$156),"")</f>
        <v>4.4932482179999997</v>
      </c>
      <c r="AN156">
        <f ca="1">IFERROR(IF(0=LEN(ReferenceData!$AN$156),"",ReferenceData!$AN$156),"")</f>
        <v>4.8817202540000002</v>
      </c>
      <c r="AO156">
        <f ca="1">IFERROR(IF(0=LEN(ReferenceData!$AO$156),"",ReferenceData!$AO$156),"")</f>
        <v>4.6956915849999996</v>
      </c>
      <c r="AP156">
        <f ca="1">IFERROR(IF(0=LEN(ReferenceData!$AP$156),"",ReferenceData!$AP$156),"")</f>
        <v>4.7892508469999999</v>
      </c>
      <c r="AQ156">
        <f ca="1">IFERROR(IF(0=LEN(ReferenceData!$AQ$156),"",ReferenceData!$AQ$156),"")</f>
        <v>4.5772670959999999</v>
      </c>
      <c r="AR156">
        <f ca="1">IFERROR(IF(0=LEN(ReferenceData!$AR$156),"",ReferenceData!$AR$156),"")</f>
        <v>4.5917828639999998</v>
      </c>
      <c r="AS156">
        <f ca="1">IFERROR(IF(0=LEN(ReferenceData!$AS$156),"",ReferenceData!$AS$156),"")</f>
        <v>4.7342223959999998</v>
      </c>
      <c r="AT156">
        <f ca="1">IFERROR(IF(0=LEN(ReferenceData!$AT$156),"",ReferenceData!$AT$156),"")</f>
        <v>4.6994340240000003</v>
      </c>
      <c r="AU156">
        <f ca="1">IFERROR(IF(0=LEN(ReferenceData!$AU$156),"",ReferenceData!$AU$156),"")</f>
        <v>4.3864719970000001</v>
      </c>
      <c r="AV156">
        <f ca="1">IFERROR(IF(0=LEN(ReferenceData!$AV$156),"",ReferenceData!$AV$156),"")</f>
        <v>4.5820128579999997</v>
      </c>
      <c r="AW156">
        <f ca="1">IFERROR(IF(0=LEN(ReferenceData!$AW$156),"",ReferenceData!$AW$156),"")</f>
        <v>4.9093898080000002</v>
      </c>
      <c r="AX156">
        <f ca="1">IFERROR(IF(0=LEN(ReferenceData!$AX$156),"",ReferenceData!$AX$156),"")</f>
        <v>4.1295354800000004</v>
      </c>
      <c r="AY156" t="str">
        <f ca="1">IFERROR(IF(0=LEN(ReferenceData!$AY$156),"",ReferenceData!$AY$156),"")</f>
        <v/>
      </c>
      <c r="AZ156">
        <f ca="1">IFERROR(IF(0=LEN(ReferenceData!$AZ$156),"",ReferenceData!$AZ$156),"")</f>
        <v>5.2687289259999996</v>
      </c>
      <c r="BA156">
        <f ca="1">IFERROR(IF(0=LEN(ReferenceData!$BA$156),"",ReferenceData!$BA$156),"")</f>
        <v>5.6146098980000003</v>
      </c>
      <c r="BB156">
        <f ca="1">IFERROR(IF(0=LEN(ReferenceData!$BB$156),"",ReferenceData!$BB$156),"")</f>
        <v>5.5279175829999998</v>
      </c>
      <c r="BC156" t="str">
        <f ca="1">IFERROR(IF(0=LEN(ReferenceData!$BC$156),"",ReferenceData!$BC$156),"")</f>
        <v/>
      </c>
      <c r="BD156">
        <f ca="1">IFERROR(IF(0=LEN(ReferenceData!$BD$156),"",ReferenceData!$BD$156),"")</f>
        <v>5.2285516809999999</v>
      </c>
      <c r="BE156">
        <f ca="1">IFERROR(IF(0=LEN(ReferenceData!$BE$156),"",ReferenceData!$BE$156),"")</f>
        <v>5.4834432499999997</v>
      </c>
      <c r="BF156">
        <f ca="1">IFERROR(IF(0=LEN(ReferenceData!$BF$156),"",ReferenceData!$BF$156),"")</f>
        <v>5.6214658589999997</v>
      </c>
      <c r="BG156" t="str">
        <f ca="1">IFERROR(IF(0=LEN(ReferenceData!$BG$156),"",ReferenceData!$BG$156),"")</f>
        <v/>
      </c>
      <c r="BH156" t="str">
        <f ca="1">IFERROR(IF(0=LEN(ReferenceData!$BH$156),"",ReferenceData!$BH$156),"")</f>
        <v/>
      </c>
      <c r="BI156" t="str">
        <f ca="1">IFERROR(IF(0=LEN(ReferenceData!$BI$156),"",ReferenceData!$BI$156),"")</f>
        <v/>
      </c>
      <c r="BJ156" t="str">
        <f ca="1">IFERROR(IF(0=LEN(ReferenceData!$BJ$156),"",ReferenceData!$BJ$156),"")</f>
        <v/>
      </c>
      <c r="BK156" t="str">
        <f ca="1">IFERROR(IF(0=LEN(ReferenceData!$BK$156),"",ReferenceData!$BK$156),"")</f>
        <v/>
      </c>
      <c r="BL156" t="str">
        <f ca="1">IFERROR(IF(0=LEN(ReferenceData!$BL$156),"",ReferenceData!$BL$156),"")</f>
        <v/>
      </c>
      <c r="BM156" t="str">
        <f ca="1">IFERROR(IF(0=LEN(ReferenceData!$BM$156),"",ReferenceData!$BM$156),"")</f>
        <v/>
      </c>
    </row>
    <row r="157" spans="1:65">
      <c r="A157" t="str">
        <f>IFERROR(IF(0=LEN(ReferenceData!$A$157),"",ReferenceData!$A$157),"")</f>
        <v xml:space="preserve">    Vornado Realty Trust</v>
      </c>
      <c r="B157" t="str">
        <f>IFERROR(IF(0=LEN(ReferenceData!$B$157),"",ReferenceData!$B$157),"")</f>
        <v>VNO US Equity</v>
      </c>
      <c r="C157" t="str">
        <f>IFERROR(IF(0=LEN(ReferenceData!$C$157),"",ReferenceData!$C$157),"")</f>
        <v>RX902</v>
      </c>
      <c r="D157" t="str">
        <f>IFERROR(IF(0=LEN(ReferenceData!$D$157),"",ReferenceData!$D$157),"")</f>
        <v>ANN_NOI_GR_AST_NET_RTL_DEV_CTD_%</v>
      </c>
      <c r="E157" t="str">
        <f>IFERROR(IF(0=LEN(ReferenceData!$E$157),"",ReferenceData!$E$157),"")</f>
        <v>动态</v>
      </c>
      <c r="F157" t="str">
        <f ca="1">IFERROR(IF(0=LEN(ReferenceData!$F$157),"",ReferenceData!$F$157),"")</f>
        <v/>
      </c>
      <c r="G157">
        <f ca="1">IFERROR(IF(0=LEN(ReferenceData!$G$157),"",ReferenceData!$G$157),"")</f>
        <v>3.1456154120000002</v>
      </c>
      <c r="H157">
        <f ca="1">IFERROR(IF(0=LEN(ReferenceData!$H$157),"",ReferenceData!$H$157),"")</f>
        <v>3.3029508409999999</v>
      </c>
      <c r="I157">
        <f ca="1">IFERROR(IF(0=LEN(ReferenceData!$I$157),"",ReferenceData!$I$157),"")</f>
        <v>2.9854234009999998</v>
      </c>
      <c r="J157">
        <f ca="1">IFERROR(IF(0=LEN(ReferenceData!$J$157),"",ReferenceData!$J$157),"")</f>
        <v>2.571799994</v>
      </c>
      <c r="K157">
        <f ca="1">IFERROR(IF(0=LEN(ReferenceData!$K$157),"",ReferenceData!$K$157),"")</f>
        <v>2.8790031210000002</v>
      </c>
      <c r="L157">
        <f ca="1">IFERROR(IF(0=LEN(ReferenceData!$L$157),"",ReferenceData!$L$157),"")</f>
        <v>3.1148857099999998</v>
      </c>
      <c r="M157">
        <f ca="1">IFERROR(IF(0=LEN(ReferenceData!$M$157),"",ReferenceData!$M$157),"")</f>
        <v>3.0564371440000002</v>
      </c>
      <c r="N157">
        <f ca="1">IFERROR(IF(0=LEN(ReferenceData!$N$157),"",ReferenceData!$N$157),"")</f>
        <v>-4.6230630000000002E-3</v>
      </c>
      <c r="O157">
        <f ca="1">IFERROR(IF(0=LEN(ReferenceData!$O$157),"",ReferenceData!$O$157),"")</f>
        <v>3.3825701619999999</v>
      </c>
      <c r="P157">
        <f ca="1">IFERROR(IF(0=LEN(ReferenceData!$P$157),"",ReferenceData!$P$157),"")</f>
        <v>3.281332903</v>
      </c>
      <c r="Q157">
        <f ca="1">IFERROR(IF(0=LEN(ReferenceData!$Q$157),"",ReferenceData!$Q$157),"")</f>
        <v>3.3796438019999999</v>
      </c>
      <c r="R157">
        <f ca="1">IFERROR(IF(0=LEN(ReferenceData!$R$157),"",ReferenceData!$R$157),"")</f>
        <v>2.9803729859999999</v>
      </c>
      <c r="S157">
        <f ca="1">IFERROR(IF(0=LEN(ReferenceData!$S$157),"",ReferenceData!$S$157),"")</f>
        <v>2.8494696849999999</v>
      </c>
      <c r="T157">
        <f ca="1">IFERROR(IF(0=LEN(ReferenceData!$T$157),"",ReferenceData!$T$157),"")</f>
        <v>2.9835407209999998</v>
      </c>
      <c r="U157">
        <f ca="1">IFERROR(IF(0=LEN(ReferenceData!$U$157),"",ReferenceData!$U$157),"")</f>
        <v>3.140226915</v>
      </c>
      <c r="V157">
        <f ca="1">IFERROR(IF(0=LEN(ReferenceData!$V$157),"",ReferenceData!$V$157),"")</f>
        <v>2.4520907329999999</v>
      </c>
      <c r="W157">
        <f ca="1">IFERROR(IF(0=LEN(ReferenceData!$W$157),"",ReferenceData!$W$157),"")</f>
        <v>2.9890838820000001</v>
      </c>
      <c r="X157">
        <f ca="1">IFERROR(IF(0=LEN(ReferenceData!$X$157),"",ReferenceData!$X$157),"")</f>
        <v>3.978798861</v>
      </c>
      <c r="Y157">
        <f ca="1">IFERROR(IF(0=LEN(ReferenceData!$Y$157),"",ReferenceData!$Y$157),"")</f>
        <v>3.5633824299999999</v>
      </c>
      <c r="Z157">
        <f ca="1">IFERROR(IF(0=LEN(ReferenceData!$Z$157),"",ReferenceData!$Z$157),"")</f>
        <v>4.1187290360000004</v>
      </c>
      <c r="AA157">
        <f ca="1">IFERROR(IF(0=LEN(ReferenceData!$AA$157),"",ReferenceData!$AA$157),"")</f>
        <v>1.3698517880000001</v>
      </c>
      <c r="AB157">
        <f ca="1">IFERROR(IF(0=LEN(ReferenceData!$AB$157),"",ReferenceData!$AB$157),"")</f>
        <v>3.40281038</v>
      </c>
      <c r="AC157">
        <f ca="1">IFERROR(IF(0=LEN(ReferenceData!$AC$157),"",ReferenceData!$AC$157),"")</f>
        <v>3.5155336359999998</v>
      </c>
      <c r="AD157">
        <f ca="1">IFERROR(IF(0=LEN(ReferenceData!$AD$157),"",ReferenceData!$AD$157),"")</f>
        <v>3.109091899</v>
      </c>
      <c r="AE157">
        <f ca="1">IFERROR(IF(0=LEN(ReferenceData!$AE$157),"",ReferenceData!$AE$157),"")</f>
        <v>3.4480304730000002</v>
      </c>
      <c r="AF157">
        <f ca="1">IFERROR(IF(0=LEN(ReferenceData!$AF$157),"",ReferenceData!$AF$157),"")</f>
        <v>3.734527843</v>
      </c>
      <c r="AG157">
        <f ca="1">IFERROR(IF(0=LEN(ReferenceData!$AG$157),"",ReferenceData!$AG$157),"")</f>
        <v>3.9415363870000002</v>
      </c>
      <c r="AH157">
        <f ca="1">IFERROR(IF(0=LEN(ReferenceData!$AH$157),"",ReferenceData!$AH$157),"")</f>
        <v>3.3460551330000001</v>
      </c>
      <c r="AI157">
        <f ca="1">IFERROR(IF(0=LEN(ReferenceData!$AI$157),"",ReferenceData!$AI$157),"")</f>
        <v>1.954880739</v>
      </c>
      <c r="AJ157">
        <f ca="1">IFERROR(IF(0=LEN(ReferenceData!$AJ$157),"",ReferenceData!$AJ$157),"")</f>
        <v>3.9006918119999998</v>
      </c>
      <c r="AK157">
        <f ca="1">IFERROR(IF(0=LEN(ReferenceData!$AK$157),"",ReferenceData!$AK$157),"")</f>
        <v>4.2775196900000001</v>
      </c>
      <c r="AL157">
        <f ca="1">IFERROR(IF(0=LEN(ReferenceData!$AL$157),"",ReferenceData!$AL$157),"")</f>
        <v>3.8695244579999999</v>
      </c>
      <c r="AM157">
        <f ca="1">IFERROR(IF(0=LEN(ReferenceData!$AM$157),"",ReferenceData!$AM$157),"")</f>
        <v>2.9344119829999999</v>
      </c>
      <c r="AN157">
        <f ca="1">IFERROR(IF(0=LEN(ReferenceData!$AN$157),"",ReferenceData!$AN$157),"")</f>
        <v>3.6032694969999999</v>
      </c>
      <c r="AO157">
        <f ca="1">IFERROR(IF(0=LEN(ReferenceData!$AO$157),"",ReferenceData!$AO$157),"")</f>
        <v>3.6613916020000001</v>
      </c>
      <c r="AP157">
        <f ca="1">IFERROR(IF(0=LEN(ReferenceData!$AP$157),"",ReferenceData!$AP$157),"")</f>
        <v>3.2039251050000002</v>
      </c>
      <c r="AQ157">
        <f ca="1">IFERROR(IF(0=LEN(ReferenceData!$AQ$157),"",ReferenceData!$AQ$157),"")</f>
        <v>2.7574287220000002</v>
      </c>
      <c r="AR157">
        <f ca="1">IFERROR(IF(0=LEN(ReferenceData!$AR$157),"",ReferenceData!$AR$157),"")</f>
        <v>3.5672821410000002</v>
      </c>
      <c r="AS157">
        <f ca="1">IFERROR(IF(0=LEN(ReferenceData!$AS$157),"",ReferenceData!$AS$157),"")</f>
        <v>4.0228317450000004</v>
      </c>
      <c r="AT157">
        <f ca="1">IFERROR(IF(0=LEN(ReferenceData!$AT$157),"",ReferenceData!$AT$157),"")</f>
        <v>3.5345252199999999</v>
      </c>
      <c r="AU157">
        <f ca="1">IFERROR(IF(0=LEN(ReferenceData!$AU$157),"",ReferenceData!$AU$157),"")</f>
        <v>3.9209933370000001</v>
      </c>
      <c r="AV157">
        <f ca="1">IFERROR(IF(0=LEN(ReferenceData!$AV$157),"",ReferenceData!$AV$157),"")</f>
        <v>3.6331908639999999</v>
      </c>
      <c r="AW157">
        <f ca="1">IFERROR(IF(0=LEN(ReferenceData!$AW$157),"",ReferenceData!$AW$157),"")</f>
        <v>3.430992356</v>
      </c>
      <c r="AX157">
        <f ca="1">IFERROR(IF(0=LEN(ReferenceData!$AX$157),"",ReferenceData!$AX$157),"")</f>
        <v>3.503842498</v>
      </c>
      <c r="AY157">
        <f ca="1">IFERROR(IF(0=LEN(ReferenceData!$AY$157),"",ReferenceData!$AY$157),"")</f>
        <v>3.6097850729999998</v>
      </c>
      <c r="AZ157">
        <f ca="1">IFERROR(IF(0=LEN(ReferenceData!$AZ$157),"",ReferenceData!$AZ$157),"")</f>
        <v>4.2033483519999999</v>
      </c>
      <c r="BA157">
        <f ca="1">IFERROR(IF(0=LEN(ReferenceData!$BA$157),"",ReferenceData!$BA$157),"")</f>
        <v>4.6850450840000004</v>
      </c>
      <c r="BB157">
        <f ca="1">IFERROR(IF(0=LEN(ReferenceData!$BB$157),"",ReferenceData!$BB$157),"")</f>
        <v>4.4548782090000003</v>
      </c>
      <c r="BC157" t="str">
        <f ca="1">IFERROR(IF(0=LEN(ReferenceData!$BC$157),"",ReferenceData!$BC$157),"")</f>
        <v/>
      </c>
      <c r="BD157" t="str">
        <f ca="1">IFERROR(IF(0=LEN(ReferenceData!$BD$157),"",ReferenceData!$BD$157),"")</f>
        <v/>
      </c>
      <c r="BE157" t="str">
        <f ca="1">IFERROR(IF(0=LEN(ReferenceData!$BE$157),"",ReferenceData!$BE$157),"")</f>
        <v/>
      </c>
      <c r="BF157" t="str">
        <f ca="1">IFERROR(IF(0=LEN(ReferenceData!$BF$157),"",ReferenceData!$BF$157),"")</f>
        <v/>
      </c>
      <c r="BG157" t="str">
        <f ca="1">IFERROR(IF(0=LEN(ReferenceData!$BG$157),"",ReferenceData!$BG$157),"")</f>
        <v/>
      </c>
      <c r="BH157" t="str">
        <f ca="1">IFERROR(IF(0=LEN(ReferenceData!$BH$157),"",ReferenceData!$BH$157),"")</f>
        <v/>
      </c>
      <c r="BI157" t="str">
        <f ca="1">IFERROR(IF(0=LEN(ReferenceData!$BI$157),"",ReferenceData!$BI$157),"")</f>
        <v/>
      </c>
      <c r="BJ157" t="str">
        <f ca="1">IFERROR(IF(0=LEN(ReferenceData!$BJ$157),"",ReferenceData!$BJ$157),"")</f>
        <v/>
      </c>
      <c r="BK157" t="str">
        <f ca="1">IFERROR(IF(0=LEN(ReferenceData!$BK$157),"",ReferenceData!$BK$157),"")</f>
        <v/>
      </c>
      <c r="BL157" t="str">
        <f ca="1">IFERROR(IF(0=LEN(ReferenceData!$BL$157),"",ReferenceData!$BL$157),"")</f>
        <v/>
      </c>
      <c r="BM157" t="str">
        <f ca="1">IFERROR(IF(0=LEN(ReferenceData!$BM$157),"",ReferenceData!$BM$157),"")</f>
        <v/>
      </c>
    </row>
    <row r="158" spans="1:65">
      <c r="A158" t="str">
        <f>IFERROR(IF(0=LEN(ReferenceData!$A$158),"",ReferenceData!$A$158),"")</f>
        <v>EBITDA/房地产资产(%)</v>
      </c>
      <c r="B158" t="str">
        <f>IFERROR(IF(0=LEN(ReferenceData!$B$158),"",ReferenceData!$B$158),"")</f>
        <v/>
      </c>
      <c r="C158" t="str">
        <f>IFERROR(IF(0=LEN(ReferenceData!$C$158),"",ReferenceData!$C$158),"")</f>
        <v/>
      </c>
      <c r="D158" t="str">
        <f>IFERROR(IF(0=LEN(ReferenceData!$D$158),"",ReferenceData!$D$158),"")</f>
        <v/>
      </c>
      <c r="E158" t="str">
        <f>IFERROR(IF(0=LEN(ReferenceData!$E$158),"",ReferenceData!$E$158),"")</f>
        <v>Median</v>
      </c>
      <c r="F158" t="str">
        <f ca="1">IFERROR(IF(0=LEN(ReferenceData!$F$158),"",ReferenceData!$F$158),"")</f>
        <v/>
      </c>
      <c r="G158">
        <f ca="1">IFERROR(IF(0=LEN(ReferenceData!$G$158),"",ReferenceData!$G$158),"")</f>
        <v>1.8372028445000002</v>
      </c>
      <c r="H158">
        <f ca="1">IFERROR(IF(0=LEN(ReferenceData!$H$158),"",ReferenceData!$H$158),"")</f>
        <v>2.1068292209999999</v>
      </c>
      <c r="I158">
        <f ca="1">IFERROR(IF(0=LEN(ReferenceData!$I$158),"",ReferenceData!$I$158),"")</f>
        <v>1.9991494350000001</v>
      </c>
      <c r="J158">
        <f ca="1">IFERROR(IF(0=LEN(ReferenceData!$J$158),"",ReferenceData!$J$158),"")</f>
        <v>1.9086934470000001</v>
      </c>
      <c r="K158">
        <f ca="1">IFERROR(IF(0=LEN(ReferenceData!$K$158),"",ReferenceData!$K$158),"")</f>
        <v>1.93939906</v>
      </c>
      <c r="L158">
        <f ca="1">IFERROR(IF(0=LEN(ReferenceData!$L$158),"",ReferenceData!$L$158),"")</f>
        <v>1.9597371269999999</v>
      </c>
      <c r="M158">
        <f ca="1">IFERROR(IF(0=LEN(ReferenceData!$M$158),"",ReferenceData!$M$158),"")</f>
        <v>1.9338816164999999</v>
      </c>
      <c r="N158">
        <f ca="1">IFERROR(IF(0=LEN(ReferenceData!$N$158),"",ReferenceData!$N$158),"")</f>
        <v>1.9013250185000001</v>
      </c>
      <c r="O158">
        <f ca="1">IFERROR(IF(0=LEN(ReferenceData!$O$158),"",ReferenceData!$O$158),"")</f>
        <v>1.8271448395000001</v>
      </c>
      <c r="P158">
        <f ca="1">IFERROR(IF(0=LEN(ReferenceData!$P$158),"",ReferenceData!$P$158),"")</f>
        <v>1.8521233795000001</v>
      </c>
      <c r="Q158">
        <f ca="1">IFERROR(IF(0=LEN(ReferenceData!$Q$158),"",ReferenceData!$Q$158),"")</f>
        <v>1.9851983714999999</v>
      </c>
      <c r="R158">
        <f ca="1">IFERROR(IF(0=LEN(ReferenceData!$R$158),"",ReferenceData!$R$158),"")</f>
        <v>1.8751722790000001</v>
      </c>
      <c r="S158">
        <f ca="1">IFERROR(IF(0=LEN(ReferenceData!$S$158),"",ReferenceData!$S$158),"")</f>
        <v>1.9118142825</v>
      </c>
      <c r="T158">
        <f ca="1">IFERROR(IF(0=LEN(ReferenceData!$T$158),"",ReferenceData!$T$158),"")</f>
        <v>1.9341769615</v>
      </c>
      <c r="U158">
        <f ca="1">IFERROR(IF(0=LEN(ReferenceData!$U$158),"",ReferenceData!$U$158),"")</f>
        <v>1.9756638245</v>
      </c>
      <c r="V158">
        <f ca="1">IFERROR(IF(0=LEN(ReferenceData!$V$158),"",ReferenceData!$V$158),"")</f>
        <v>1.8869306940000001</v>
      </c>
      <c r="W158">
        <f ca="1">IFERROR(IF(0=LEN(ReferenceData!$W$158),"",ReferenceData!$W$158),"")</f>
        <v>1.9978285165</v>
      </c>
      <c r="X158">
        <f ca="1">IFERROR(IF(0=LEN(ReferenceData!$X$158),"",ReferenceData!$X$158),"")</f>
        <v>2.0187738089999998</v>
      </c>
      <c r="Y158">
        <f ca="1">IFERROR(IF(0=LEN(ReferenceData!$Y$158),"",ReferenceData!$Y$158),"")</f>
        <v>1.9854817245</v>
      </c>
      <c r="Z158">
        <f ca="1">IFERROR(IF(0=LEN(ReferenceData!$Z$158),"",ReferenceData!$Z$158),"")</f>
        <v>1.9383110724999999</v>
      </c>
      <c r="AA158">
        <f ca="1">IFERROR(IF(0=LEN(ReferenceData!$AA$158),"",ReferenceData!$AA$158),"")</f>
        <v>1.8223425295</v>
      </c>
      <c r="AB158">
        <f ca="1">IFERROR(IF(0=LEN(ReferenceData!$AB$158),"",ReferenceData!$AB$158),"")</f>
        <v>2.0126185694999998</v>
      </c>
      <c r="AC158">
        <f ca="1">IFERROR(IF(0=LEN(ReferenceData!$AC$158),"",ReferenceData!$AC$158),"")</f>
        <v>2.0187274195000002</v>
      </c>
      <c r="AD158">
        <f ca="1">IFERROR(IF(0=LEN(ReferenceData!$AD$158),"",ReferenceData!$AD$158),"")</f>
        <v>2.0131638765000002</v>
      </c>
      <c r="AE158">
        <f ca="1">IFERROR(IF(0=LEN(ReferenceData!$AE$158),"",ReferenceData!$AE$158),"")</f>
        <v>2.0580449935000003</v>
      </c>
      <c r="AF158">
        <f ca="1">IFERROR(IF(0=LEN(ReferenceData!$AF$158),"",ReferenceData!$AF$158),"")</f>
        <v>2.0981079204999999</v>
      </c>
      <c r="AG158">
        <f ca="1">IFERROR(IF(0=LEN(ReferenceData!$AG$158),"",ReferenceData!$AG$158),"")</f>
        <v>2.0739837364999998</v>
      </c>
      <c r="AH158">
        <f ca="1">IFERROR(IF(0=LEN(ReferenceData!$AH$158),"",ReferenceData!$AH$158),"")</f>
        <v>2.0422688364999999</v>
      </c>
      <c r="AI158">
        <f ca="1">IFERROR(IF(0=LEN(ReferenceData!$AI$158),"",ReferenceData!$AI$158),"")</f>
        <v>2.0435399780000001</v>
      </c>
      <c r="AJ158">
        <f ca="1">IFERROR(IF(0=LEN(ReferenceData!$AJ$158),"",ReferenceData!$AJ$158),"")</f>
        <v>2.139553298</v>
      </c>
      <c r="AK158">
        <f ca="1">IFERROR(IF(0=LEN(ReferenceData!$AK$158),"",ReferenceData!$AK$158),"")</f>
        <v>2.0833817975</v>
      </c>
      <c r="AL158">
        <f ca="1">IFERROR(IF(0=LEN(ReferenceData!$AL$158),"",ReferenceData!$AL$158),"")</f>
        <v>2.1177314360000001</v>
      </c>
      <c r="AM158">
        <f ca="1">IFERROR(IF(0=LEN(ReferenceData!$AM$158),"",ReferenceData!$AM$158),"")</f>
        <v>2.0624545895000002</v>
      </c>
      <c r="AN158">
        <f ca="1">IFERROR(IF(0=LEN(ReferenceData!$AN$158),"",ReferenceData!$AN$158),"")</f>
        <v>2.136995867</v>
      </c>
      <c r="AO158">
        <f ca="1">IFERROR(IF(0=LEN(ReferenceData!$AO$158),"",ReferenceData!$AO$158),"")</f>
        <v>2.3048712260000004</v>
      </c>
      <c r="AP158">
        <f ca="1">IFERROR(IF(0=LEN(ReferenceData!$AP$158),"",ReferenceData!$AP$158),"")</f>
        <v>2.1331629594999999</v>
      </c>
      <c r="AQ158">
        <f ca="1">IFERROR(IF(0=LEN(ReferenceData!$AQ$158),"",ReferenceData!$AQ$158),"")</f>
        <v>2.211508077</v>
      </c>
      <c r="AR158">
        <f ca="1">IFERROR(IF(0=LEN(ReferenceData!$AR$158),"",ReferenceData!$AR$158),"")</f>
        <v>2.2604133219999998</v>
      </c>
      <c r="AS158">
        <f ca="1">IFERROR(IF(0=LEN(ReferenceData!$AS$158),"",ReferenceData!$AS$158),"")</f>
        <v>2.178465826</v>
      </c>
      <c r="AT158">
        <f ca="1">IFERROR(IF(0=LEN(ReferenceData!$AT$158),"",ReferenceData!$AT$158),"")</f>
        <v>2.2679062239999999</v>
      </c>
      <c r="AU158">
        <f ca="1">IFERROR(IF(0=LEN(ReferenceData!$AU$158),"",ReferenceData!$AU$158),"")</f>
        <v>2.179358948</v>
      </c>
      <c r="AV158">
        <f ca="1">IFERROR(IF(0=LEN(ReferenceData!$AV$158),"",ReferenceData!$AV$158),"")</f>
        <v>2.249989845</v>
      </c>
      <c r="AW158">
        <f ca="1">IFERROR(IF(0=LEN(ReferenceData!$AW$158),"",ReferenceData!$AW$158),"")</f>
        <v>2.1909622080000002</v>
      </c>
      <c r="AX158">
        <f ca="1">IFERROR(IF(0=LEN(ReferenceData!$AX$158),"",ReferenceData!$AX$158),"")</f>
        <v>2.1569596679999998</v>
      </c>
      <c r="AY158">
        <f ca="1">IFERROR(IF(0=LEN(ReferenceData!$AY$158),"",ReferenceData!$AY$158),"")</f>
        <v>2.0737362770000001</v>
      </c>
      <c r="AZ158">
        <f ca="1">IFERROR(IF(0=LEN(ReferenceData!$AZ$158),"",ReferenceData!$AZ$158),"")</f>
        <v>2.3118264040000001</v>
      </c>
      <c r="BA158">
        <f ca="1">IFERROR(IF(0=LEN(ReferenceData!$BA$158),"",ReferenceData!$BA$158),"")</f>
        <v>2.2555455219999998</v>
      </c>
      <c r="BB158">
        <f ca="1">IFERROR(IF(0=LEN(ReferenceData!$BB$158),"",ReferenceData!$BB$158),"")</f>
        <v>2.3474833949999998</v>
      </c>
      <c r="BC158">
        <f ca="1">IFERROR(IF(0=LEN(ReferenceData!$BC$158),"",ReferenceData!$BC$158),"")</f>
        <v>1.9099813619999999</v>
      </c>
      <c r="BD158">
        <f ca="1">IFERROR(IF(0=LEN(ReferenceData!$BD$158),"",ReferenceData!$BD$158),"")</f>
        <v>2.1074405760000001</v>
      </c>
      <c r="BE158">
        <f ca="1">IFERROR(IF(0=LEN(ReferenceData!$BE$158),"",ReferenceData!$BE$158),"")</f>
        <v>2.3318563380000001</v>
      </c>
      <c r="BF158">
        <f ca="1">IFERROR(IF(0=LEN(ReferenceData!$BF$158),"",ReferenceData!$BF$158),"")</f>
        <v>2.3969722990000002</v>
      </c>
      <c r="BG158">
        <f ca="1">IFERROR(IF(0=LEN(ReferenceData!$BG$158),"",ReferenceData!$BG$158),"")</f>
        <v>2.3909595939999999</v>
      </c>
      <c r="BH158">
        <f ca="1">IFERROR(IF(0=LEN(ReferenceData!$BH$158),"",ReferenceData!$BH$158),"")</f>
        <v>2.3147588379999999</v>
      </c>
      <c r="BI158">
        <f ca="1">IFERROR(IF(0=LEN(ReferenceData!$BI$158),"",ReferenceData!$BI$158),"")</f>
        <v>2.5983272070000001</v>
      </c>
      <c r="BJ158">
        <f ca="1">IFERROR(IF(0=LEN(ReferenceData!$BJ$158),"",ReferenceData!$BJ$158),"")</f>
        <v>2.4141421790000002</v>
      </c>
      <c r="BK158">
        <f ca="1">IFERROR(IF(0=LEN(ReferenceData!$BK$158),"",ReferenceData!$BK$158),"")</f>
        <v>2.5194699479999998</v>
      </c>
      <c r="BL158">
        <f ca="1">IFERROR(IF(0=LEN(ReferenceData!$BL$158),"",ReferenceData!$BL$158),"")</f>
        <v>2.5982838080000001</v>
      </c>
      <c r="BM158">
        <f ca="1">IFERROR(IF(0=LEN(ReferenceData!$BM$158),"",ReferenceData!$BM$158),"")</f>
        <v>2.4966093570000001</v>
      </c>
    </row>
    <row r="159" spans="1:65">
      <c r="A159" t="str">
        <f>IFERROR(IF(0=LEN(ReferenceData!$A$159),"",ReferenceData!$A$159),"")</f>
        <v xml:space="preserve">    Boston Properties Inc</v>
      </c>
      <c r="B159" t="str">
        <f>IFERROR(IF(0=LEN(ReferenceData!$B$159),"",ReferenceData!$B$159),"")</f>
        <v>BXP US Equity</v>
      </c>
      <c r="C159" t="str">
        <f>IFERROR(IF(0=LEN(ReferenceData!$C$159),"",ReferenceData!$C$159),"")</f>
        <v>RR553</v>
      </c>
      <c r="D159" t="str">
        <f>IFERROR(IF(0=LEN(ReferenceData!$D$159),"",ReferenceData!$D$159),"")</f>
        <v>EBITDA_RE_ASSET</v>
      </c>
      <c r="E159" t="str">
        <f>IFERROR(IF(0=LEN(ReferenceData!$E$159),"",ReferenceData!$E$159),"")</f>
        <v>动态</v>
      </c>
      <c r="F159" t="str">
        <f ca="1">IFERROR(IF(0=LEN(ReferenceData!$F$159),"",ReferenceData!$F$159),"")</f>
        <v/>
      </c>
      <c r="G159">
        <f ca="1">IFERROR(IF(0=LEN(ReferenceData!$G$159),"",ReferenceData!$G$159),"")</f>
        <v>2.2404770310000002</v>
      </c>
      <c r="H159">
        <f ca="1">IFERROR(IF(0=LEN(ReferenceData!$H$159),"",ReferenceData!$H$159),"")</f>
        <v>2.271796707</v>
      </c>
      <c r="I159">
        <f ca="1">IFERROR(IF(0=LEN(ReferenceData!$I$159),"",ReferenceData!$I$159),"")</f>
        <v>2.2903858549999998</v>
      </c>
      <c r="J159">
        <f ca="1">IFERROR(IF(0=LEN(ReferenceData!$J$159),"",ReferenceData!$J$159),"")</f>
        <v>2.1643684529999998</v>
      </c>
      <c r="K159">
        <f ca="1">IFERROR(IF(0=LEN(ReferenceData!$K$159),"",ReferenceData!$K$159),"")</f>
        <v>2.2506162490000001</v>
      </c>
      <c r="L159">
        <f ca="1">IFERROR(IF(0=LEN(ReferenceData!$L$159),"",ReferenceData!$L$159),"")</f>
        <v>2.1814428640000001</v>
      </c>
      <c r="M159">
        <f ca="1">IFERROR(IF(0=LEN(ReferenceData!$M$159),"",ReferenceData!$M$159),"")</f>
        <v>2.3216678540000002</v>
      </c>
      <c r="N159">
        <f ca="1">IFERROR(IF(0=LEN(ReferenceData!$N$159),"",ReferenceData!$N$159),"")</f>
        <v>2.5928028830000001</v>
      </c>
      <c r="O159">
        <f ca="1">IFERROR(IF(0=LEN(ReferenceData!$O$159),"",ReferenceData!$O$159),"")</f>
        <v>2.3744107749999999</v>
      </c>
      <c r="P159">
        <f ca="1">IFERROR(IF(0=LEN(ReferenceData!$P$159),"",ReferenceData!$P$159),"")</f>
        <v>2.411960267</v>
      </c>
      <c r="Q159">
        <f ca="1">IFERROR(IF(0=LEN(ReferenceData!$Q$159),"",ReferenceData!$Q$159),"")</f>
        <v>2.3559778429999998</v>
      </c>
      <c r="R159">
        <f ca="1">IFERROR(IF(0=LEN(ReferenceData!$R$159),"",ReferenceData!$R$159),"")</f>
        <v>2.2853192180000002</v>
      </c>
      <c r="S159">
        <f ca="1">IFERROR(IF(0=LEN(ReferenceData!$S$159),"",ReferenceData!$S$159),"")</f>
        <v>2.33771423</v>
      </c>
      <c r="T159">
        <f ca="1">IFERROR(IF(0=LEN(ReferenceData!$T$159),"",ReferenceData!$T$159),"")</f>
        <v>2.3156862839999999</v>
      </c>
      <c r="U159">
        <f ca="1">IFERROR(IF(0=LEN(ReferenceData!$U$159),"",ReferenceData!$U$159),"")</f>
        <v>2.2144318080000001</v>
      </c>
      <c r="V159">
        <f ca="1">IFERROR(IF(0=LEN(ReferenceData!$V$159),"",ReferenceData!$V$159),"")</f>
        <v>2.0713301589999999</v>
      </c>
      <c r="W159">
        <f ca="1">IFERROR(IF(0=LEN(ReferenceData!$W$159),"",ReferenceData!$W$159),"")</f>
        <v>2.1958677070000001</v>
      </c>
      <c r="X159">
        <f ca="1">IFERROR(IF(0=LEN(ReferenceData!$X$159),"",ReferenceData!$X$159),"")</f>
        <v>2.1368372820000001</v>
      </c>
      <c r="Y159">
        <f ca="1">IFERROR(IF(0=LEN(ReferenceData!$Y$159),"",ReferenceData!$Y$159),"")</f>
        <v>1.896701548</v>
      </c>
      <c r="Z159">
        <f ca="1">IFERROR(IF(0=LEN(ReferenceData!$Z$159),"",ReferenceData!$Z$159),"")</f>
        <v>1.886993908</v>
      </c>
      <c r="AA159">
        <f ca="1">IFERROR(IF(0=LEN(ReferenceData!$AA$159),"",ReferenceData!$AA$159),"")</f>
        <v>2.235424745</v>
      </c>
      <c r="AB159">
        <f ca="1">IFERROR(IF(0=LEN(ReferenceData!$AB$159),"",ReferenceData!$AB$159),"")</f>
        <v>2.1968018169999999</v>
      </c>
      <c r="AC159">
        <f ca="1">IFERROR(IF(0=LEN(ReferenceData!$AC$159),"",ReferenceData!$AC$159),"")</f>
        <v>2.3168405289999998</v>
      </c>
      <c r="AD159">
        <f ca="1">IFERROR(IF(0=LEN(ReferenceData!$AD$159),"",ReferenceData!$AD$159),"")</f>
        <v>2.0602338260000002</v>
      </c>
      <c r="AE159">
        <f ca="1">IFERROR(IF(0=LEN(ReferenceData!$AE$159),"",ReferenceData!$AE$159),"")</f>
        <v>2.3145003059999998</v>
      </c>
      <c r="AF159">
        <f ca="1">IFERROR(IF(0=LEN(ReferenceData!$AF$159),"",ReferenceData!$AF$159),"")</f>
        <v>2.3389064039999998</v>
      </c>
      <c r="AG159">
        <f ca="1">IFERROR(IF(0=LEN(ReferenceData!$AG$159),"",ReferenceData!$AG$159),"")</f>
        <v>2.2752571929999998</v>
      </c>
      <c r="AH159">
        <f ca="1">IFERROR(IF(0=LEN(ReferenceData!$AH$159),"",ReferenceData!$AH$159),"")</f>
        <v>2.1266571769999998</v>
      </c>
      <c r="AI159">
        <f ca="1">IFERROR(IF(0=LEN(ReferenceData!$AI$159),"",ReferenceData!$AI$159),"")</f>
        <v>2.105299107</v>
      </c>
      <c r="AJ159">
        <f ca="1">IFERROR(IF(0=LEN(ReferenceData!$AJ$159),"",ReferenceData!$AJ$159),"")</f>
        <v>2.2094582549999999</v>
      </c>
      <c r="AK159">
        <f ca="1">IFERROR(IF(0=LEN(ReferenceData!$AK$159),"",ReferenceData!$AK$159),"")</f>
        <v>2.430926634</v>
      </c>
      <c r="AL159">
        <f ca="1">IFERROR(IF(0=LEN(ReferenceData!$AL$159),"",ReferenceData!$AL$159),"")</f>
        <v>2.1706877009999999</v>
      </c>
      <c r="AM159">
        <f ca="1">IFERROR(IF(0=LEN(ReferenceData!$AM$159),"",ReferenceData!$AM$159),"")</f>
        <v>2.2426914080000002</v>
      </c>
      <c r="AN159">
        <f ca="1">IFERROR(IF(0=LEN(ReferenceData!$AN$159),"",ReferenceData!$AN$159),"")</f>
        <v>2.214942964</v>
      </c>
      <c r="AO159">
        <f ca="1">IFERROR(IF(0=LEN(ReferenceData!$AO$159),"",ReferenceData!$AO$159),"")</f>
        <v>2.4080629400000002</v>
      </c>
      <c r="AP159">
        <f ca="1">IFERROR(IF(0=LEN(ReferenceData!$AP$159),"",ReferenceData!$AP$159),"")</f>
        <v>2.0405726450000001</v>
      </c>
      <c r="AQ159">
        <f ca="1">IFERROR(IF(0=LEN(ReferenceData!$AQ$159),"",ReferenceData!$AQ$159),"")</f>
        <v>2.4363565020000002</v>
      </c>
      <c r="AR159">
        <f ca="1">IFERROR(IF(0=LEN(ReferenceData!$AR$159),"",ReferenceData!$AR$159),"")</f>
        <v>2.0448742860000002</v>
      </c>
      <c r="AS159">
        <f ca="1">IFERROR(IF(0=LEN(ReferenceData!$AS$159),"",ReferenceData!$AS$159),"")</f>
        <v>2.3764455959999999</v>
      </c>
      <c r="AT159">
        <f ca="1">IFERROR(IF(0=LEN(ReferenceData!$AT$159),"",ReferenceData!$AT$159),"")</f>
        <v>2.5989966799999999</v>
      </c>
      <c r="AU159">
        <f ca="1">IFERROR(IF(0=LEN(ReferenceData!$AU$159),"",ReferenceData!$AU$159),"")</f>
        <v>2.7148840999999999</v>
      </c>
      <c r="AV159">
        <f ca="1">IFERROR(IF(0=LEN(ReferenceData!$AV$159),"",ReferenceData!$AV$159),"")</f>
        <v>2.7240329860000001</v>
      </c>
      <c r="AW159">
        <f ca="1">IFERROR(IF(0=LEN(ReferenceData!$AW$159),"",ReferenceData!$AW$159),"")</f>
        <v>2.8138571020000001</v>
      </c>
      <c r="AX159">
        <f ca="1">IFERROR(IF(0=LEN(ReferenceData!$AX$159),"",ReferenceData!$AX$159),"")</f>
        <v>2.6941072209999999</v>
      </c>
      <c r="AY159">
        <f ca="1">IFERROR(IF(0=LEN(ReferenceData!$AY$159),"",ReferenceData!$AY$159),"")</f>
        <v>2.7559783869999999</v>
      </c>
      <c r="AZ159">
        <f ca="1">IFERROR(IF(0=LEN(ReferenceData!$AZ$159),"",ReferenceData!$AZ$159),"")</f>
        <v>2.8712186129999999</v>
      </c>
      <c r="BA159">
        <f ca="1">IFERROR(IF(0=LEN(ReferenceData!$BA$159),"",ReferenceData!$BA$159),"")</f>
        <v>2.925873519</v>
      </c>
      <c r="BB159">
        <f ca="1">IFERROR(IF(0=LEN(ReferenceData!$BB$159),"",ReferenceData!$BB$159),"")</f>
        <v>2.728707741</v>
      </c>
      <c r="BC159">
        <f ca="1">IFERROR(IF(0=LEN(ReferenceData!$BC$159),"",ReferenceData!$BC$159),"")</f>
        <v>2.818985573</v>
      </c>
      <c r="BD159">
        <f ca="1">IFERROR(IF(0=LEN(ReferenceData!$BD$159),"",ReferenceData!$BD$159),"")</f>
        <v>2.7691084990000001</v>
      </c>
      <c r="BE159">
        <f ca="1">IFERROR(IF(0=LEN(ReferenceData!$BE$159),"",ReferenceData!$BE$159),"")</f>
        <v>2.8228090739999998</v>
      </c>
      <c r="BF159">
        <f ca="1">IFERROR(IF(0=LEN(ReferenceData!$BF$159),"",ReferenceData!$BF$159),"")</f>
        <v>2.6748047810000002</v>
      </c>
      <c r="BG159">
        <f ca="1">IFERROR(IF(0=LEN(ReferenceData!$BG$159),"",ReferenceData!$BG$159),"")</f>
        <v>2.7045820580000002</v>
      </c>
      <c r="BH159">
        <f ca="1">IFERROR(IF(0=LEN(ReferenceData!$BH$159),"",ReferenceData!$BH$159),"")</f>
        <v>2.7304920460000002</v>
      </c>
      <c r="BI159">
        <f ca="1">IFERROR(IF(0=LEN(ReferenceData!$BI$159),"",ReferenceData!$BI$159),"")</f>
        <v>2.635455426</v>
      </c>
      <c r="BJ159">
        <f ca="1">IFERROR(IF(0=LEN(ReferenceData!$BJ$159),"",ReferenceData!$BJ$159),"")</f>
        <v>2.557404252</v>
      </c>
      <c r="BK159">
        <f ca="1">IFERROR(IF(0=LEN(ReferenceData!$BK$159),"",ReferenceData!$BK$159),"")</f>
        <v>2.5824191019999998</v>
      </c>
      <c r="BL159">
        <f ca="1">IFERROR(IF(0=LEN(ReferenceData!$BL$159),"",ReferenceData!$BL$159),"")</f>
        <v>2.5098179150000002</v>
      </c>
      <c r="BM159">
        <f ca="1">IFERROR(IF(0=LEN(ReferenceData!$BM$159),"",ReferenceData!$BM$159),"")</f>
        <v>1.653879689</v>
      </c>
    </row>
    <row r="160" spans="1:65">
      <c r="A160" t="str">
        <f>IFERROR(IF(0=LEN(ReferenceData!$A$160),"",ReferenceData!$A$160),"")</f>
        <v xml:space="preserve">    Brandywine Realty Trust</v>
      </c>
      <c r="B160" t="str">
        <f>IFERROR(IF(0=LEN(ReferenceData!$B$160),"",ReferenceData!$B$160),"")</f>
        <v>BDN US Equity</v>
      </c>
      <c r="C160" t="str">
        <f>IFERROR(IF(0=LEN(ReferenceData!$C$160),"",ReferenceData!$C$160),"")</f>
        <v>RR553</v>
      </c>
      <c r="D160" t="str">
        <f>IFERROR(IF(0=LEN(ReferenceData!$D$160),"",ReferenceData!$D$160),"")</f>
        <v>EBITDA_RE_ASSET</v>
      </c>
      <c r="E160" t="str">
        <f>IFERROR(IF(0=LEN(ReferenceData!$E$160),"",ReferenceData!$E$160),"")</f>
        <v>动态</v>
      </c>
      <c r="F160" t="str">
        <f ca="1">IFERROR(IF(0=LEN(ReferenceData!$F$160),"",ReferenceData!$F$160),"")</f>
        <v/>
      </c>
      <c r="G160">
        <f ca="1">IFERROR(IF(0=LEN(ReferenceData!$G$160),"",ReferenceData!$G$160),"")</f>
        <v>2.1547706149999999</v>
      </c>
      <c r="H160">
        <f ca="1">IFERROR(IF(0=LEN(ReferenceData!$H$160),"",ReferenceData!$H$160),"")</f>
        <v>2.1204479269999998</v>
      </c>
      <c r="I160">
        <f ca="1">IFERROR(IF(0=LEN(ReferenceData!$I$160),"",ReferenceData!$I$160),"")</f>
        <v>2.0650458810000001</v>
      </c>
      <c r="J160">
        <f ca="1">IFERROR(IF(0=LEN(ReferenceData!$J$160),"",ReferenceData!$J$160),"")</f>
        <v>1.9384740620000001</v>
      </c>
      <c r="K160">
        <f ca="1">IFERROR(IF(0=LEN(ReferenceData!$K$160),"",ReferenceData!$K$160),"")</f>
        <v>1.2755292060000001</v>
      </c>
      <c r="L160">
        <f ca="1">IFERROR(IF(0=LEN(ReferenceData!$L$160),"",ReferenceData!$L$160),"")</f>
        <v>2.0369410920000002</v>
      </c>
      <c r="M160">
        <f ca="1">IFERROR(IF(0=LEN(ReferenceData!$M$160),"",ReferenceData!$M$160),"")</f>
        <v>1.823550915</v>
      </c>
      <c r="N160">
        <f ca="1">IFERROR(IF(0=LEN(ReferenceData!$N$160),"",ReferenceData!$N$160),"")</f>
        <v>1.7777347509999999</v>
      </c>
      <c r="O160">
        <f ca="1">IFERROR(IF(0=LEN(ReferenceData!$O$160),"",ReferenceData!$O$160),"")</f>
        <v>8.1380532000000005E-2</v>
      </c>
      <c r="P160">
        <f ca="1">IFERROR(IF(0=LEN(ReferenceData!$P$160),"",ReferenceData!$P$160),"")</f>
        <v>2.0149948740000001</v>
      </c>
      <c r="Q160">
        <f ca="1">IFERROR(IF(0=LEN(ReferenceData!$Q$160),"",ReferenceData!$Q$160),"")</f>
        <v>1.9339002359999999</v>
      </c>
      <c r="R160">
        <f ca="1">IFERROR(IF(0=LEN(ReferenceData!$R$160),"",ReferenceData!$R$160),"")</f>
        <v>1.962999363</v>
      </c>
      <c r="S160">
        <f ca="1">IFERROR(IF(0=LEN(ReferenceData!$S$160),"",ReferenceData!$S$160),"")</f>
        <v>1.866075159</v>
      </c>
      <c r="T160">
        <f ca="1">IFERROR(IF(0=LEN(ReferenceData!$T$160),"",ReferenceData!$T$160),"")</f>
        <v>2.0561167079999998</v>
      </c>
      <c r="U160">
        <f ca="1">IFERROR(IF(0=LEN(ReferenceData!$U$160),"",ReferenceData!$U$160),"")</f>
        <v>2.118813711</v>
      </c>
      <c r="V160">
        <f ca="1">IFERROR(IF(0=LEN(ReferenceData!$V$160),"",ReferenceData!$V$160),"")</f>
        <v>1.9759498339999999</v>
      </c>
      <c r="W160">
        <f ca="1">IFERROR(IF(0=LEN(ReferenceData!$W$160),"",ReferenceData!$W$160),"")</f>
        <v>1.6924701230000001</v>
      </c>
      <c r="X160">
        <f ca="1">IFERROR(IF(0=LEN(ReferenceData!$X$160),"",ReferenceData!$X$160),"")</f>
        <v>1.984053836</v>
      </c>
      <c r="Y160">
        <f ca="1">IFERROR(IF(0=LEN(ReferenceData!$Y$160),"",ReferenceData!$Y$160),"")</f>
        <v>1.9451884930000001</v>
      </c>
      <c r="Z160">
        <f ca="1">IFERROR(IF(0=LEN(ReferenceData!$Z$160),"",ReferenceData!$Z$160),"")</f>
        <v>1.927652986</v>
      </c>
      <c r="AA160">
        <f ca="1">IFERROR(IF(0=LEN(ReferenceData!$AA$160),"",ReferenceData!$AA$160),"")</f>
        <v>-1.7729820540000001</v>
      </c>
      <c r="AB160">
        <f ca="1">IFERROR(IF(0=LEN(ReferenceData!$AB$160),"",ReferenceData!$AB$160),"")</f>
        <v>1.849927552</v>
      </c>
      <c r="AC160">
        <f ca="1">IFERROR(IF(0=LEN(ReferenceData!$AC$160),"",ReferenceData!$AC$160),"")</f>
        <v>1.8715138019999999</v>
      </c>
      <c r="AD160">
        <f ca="1">IFERROR(IF(0=LEN(ReferenceData!$AD$160),"",ReferenceData!$AD$160),"")</f>
        <v>1.878972031</v>
      </c>
      <c r="AE160">
        <f ca="1">IFERROR(IF(0=LEN(ReferenceData!$AE$160),"",ReferenceData!$AE$160),"")</f>
        <v>1.8596318780000001</v>
      </c>
      <c r="AF160">
        <f ca="1">IFERROR(IF(0=LEN(ReferenceData!$AF$160),"",ReferenceData!$AF$160),"")</f>
        <v>1.8232548669999999</v>
      </c>
      <c r="AG160">
        <f ca="1">IFERROR(IF(0=LEN(ReferenceData!$AG$160),"",ReferenceData!$AG$160),"")</f>
        <v>1.8558922799999999</v>
      </c>
      <c r="AH160">
        <f ca="1">IFERROR(IF(0=LEN(ReferenceData!$AH$160),"",ReferenceData!$AH$160),"")</f>
        <v>1.804101889</v>
      </c>
      <c r="AI160">
        <f ca="1">IFERROR(IF(0=LEN(ReferenceData!$AI$160),"",ReferenceData!$AI$160),"")</f>
        <v>1.850470273</v>
      </c>
      <c r="AJ160">
        <f ca="1">IFERROR(IF(0=LEN(ReferenceData!$AJ$160),"",ReferenceData!$AJ$160),"")</f>
        <v>1.80983128</v>
      </c>
      <c r="AK160">
        <f ca="1">IFERROR(IF(0=LEN(ReferenceData!$AK$160),"",ReferenceData!$AK$160),"")</f>
        <v>1.7254650309999999</v>
      </c>
      <c r="AL160">
        <f ca="1">IFERROR(IF(0=LEN(ReferenceData!$AL$160),"",ReferenceData!$AL$160),"")</f>
        <v>1.769769127</v>
      </c>
      <c r="AM160">
        <f ca="1">IFERROR(IF(0=LEN(ReferenceData!$AM$160),"",ReferenceData!$AM$160),"")</f>
        <v>1.5803387310000001</v>
      </c>
      <c r="AN160">
        <f ca="1">IFERROR(IF(0=LEN(ReferenceData!$AN$160),"",ReferenceData!$AN$160),"")</f>
        <v>1.78736063</v>
      </c>
      <c r="AO160">
        <f ca="1">IFERROR(IF(0=LEN(ReferenceData!$AO$160),"",ReferenceData!$AO$160),"")</f>
        <v>1.835836719</v>
      </c>
      <c r="AP160">
        <f ca="1">IFERROR(IF(0=LEN(ReferenceData!$AP$160),"",ReferenceData!$AP$160),"")</f>
        <v>1.7769040979999999</v>
      </c>
      <c r="AQ160">
        <f ca="1">IFERROR(IF(0=LEN(ReferenceData!$AQ$160),"",ReferenceData!$AQ$160),"")</f>
        <v>1.505808104</v>
      </c>
      <c r="AR160">
        <f ca="1">IFERROR(IF(0=LEN(ReferenceData!$AR$160),"",ReferenceData!$AR$160),"")</f>
        <v>1.8391563049999999</v>
      </c>
      <c r="AS160">
        <f ca="1">IFERROR(IF(0=LEN(ReferenceData!$AS$160),"",ReferenceData!$AS$160),"")</f>
        <v>2.0102889479999999</v>
      </c>
      <c r="AT160">
        <f ca="1">IFERROR(IF(0=LEN(ReferenceData!$AT$160),"",ReferenceData!$AT$160),"")</f>
        <v>1.8384648240000001</v>
      </c>
      <c r="AU160">
        <f ca="1">IFERROR(IF(0=LEN(ReferenceData!$AU$160),"",ReferenceData!$AU$160),"")</f>
        <v>1.8783817199999999</v>
      </c>
      <c r="AV160">
        <f ca="1">IFERROR(IF(0=LEN(ReferenceData!$AV$160),"",ReferenceData!$AV$160),"")</f>
        <v>1.889087234</v>
      </c>
      <c r="AW160">
        <f ca="1">IFERROR(IF(0=LEN(ReferenceData!$AW$160),"",ReferenceData!$AW$160),"")</f>
        <v>1.773878265</v>
      </c>
      <c r="AX160">
        <f ca="1">IFERROR(IF(0=LEN(ReferenceData!$AX$160),"",ReferenceData!$AX$160),"")</f>
        <v>1.971584217</v>
      </c>
      <c r="AY160">
        <f ca="1">IFERROR(IF(0=LEN(ReferenceData!$AY$160),"",ReferenceData!$AY$160),"")</f>
        <v>2.0299316620000001</v>
      </c>
      <c r="AZ160">
        <f ca="1">IFERROR(IF(0=LEN(ReferenceData!$AZ$160),"",ReferenceData!$AZ$160),"")</f>
        <v>2.0387412490000001</v>
      </c>
      <c r="BA160">
        <f ca="1">IFERROR(IF(0=LEN(ReferenceData!$BA$160),"",ReferenceData!$BA$160),"")</f>
        <v>1.981109185</v>
      </c>
      <c r="BB160">
        <f ca="1">IFERROR(IF(0=LEN(ReferenceData!$BB$160),"",ReferenceData!$BB$160),"")</f>
        <v>1.83497131</v>
      </c>
      <c r="BC160">
        <f ca="1">IFERROR(IF(0=LEN(ReferenceData!$BC$160),"",ReferenceData!$BC$160),"")</f>
        <v>1.042070724</v>
      </c>
      <c r="BD160">
        <f ca="1">IFERROR(IF(0=LEN(ReferenceData!$BD$160),"",ReferenceData!$BD$160),"")</f>
        <v>2.1074405760000001</v>
      </c>
      <c r="BE160">
        <f ca="1">IFERROR(IF(0=LEN(ReferenceData!$BE$160),"",ReferenceData!$BE$160),"")</f>
        <v>2.1291292450000001</v>
      </c>
      <c r="BF160">
        <f ca="1">IFERROR(IF(0=LEN(ReferenceData!$BF$160),"",ReferenceData!$BF$160),"")</f>
        <v>2.2312234879999999</v>
      </c>
      <c r="BG160">
        <f ca="1">IFERROR(IF(0=LEN(ReferenceData!$BG$160),"",ReferenceData!$BG$160),"")</f>
        <v>2.3909595939999999</v>
      </c>
      <c r="BH160">
        <f ca="1">IFERROR(IF(0=LEN(ReferenceData!$BH$160),"",ReferenceData!$BH$160),"")</f>
        <v>0.65888238399999999</v>
      </c>
      <c r="BI160">
        <f ca="1">IFERROR(IF(0=LEN(ReferenceData!$BI$160),"",ReferenceData!$BI$160),"")</f>
        <v>2.5999441230000002</v>
      </c>
      <c r="BJ160">
        <f ca="1">IFERROR(IF(0=LEN(ReferenceData!$BJ$160),"",ReferenceData!$BJ$160),"")</f>
        <v>2.2501438980000001</v>
      </c>
      <c r="BK160" t="str">
        <f ca="1">IFERROR(IF(0=LEN(ReferenceData!$BK$160),"",ReferenceData!$BK$160),"")</f>
        <v/>
      </c>
      <c r="BL160">
        <f ca="1">IFERROR(IF(0=LEN(ReferenceData!$BL$160),"",ReferenceData!$BL$160),"")</f>
        <v>2.5837273619999999</v>
      </c>
      <c r="BM160">
        <f ca="1">IFERROR(IF(0=LEN(ReferenceData!$BM$160),"",ReferenceData!$BM$160),"")</f>
        <v>2.4635791419999999</v>
      </c>
    </row>
    <row r="161" spans="1:65">
      <c r="A161" t="str">
        <f>IFERROR(IF(0=LEN(ReferenceData!$A$161),"",ReferenceData!$A$161),"")</f>
        <v xml:space="preserve">    Columbia Property Trust Inc</v>
      </c>
      <c r="B161" t="str">
        <f>IFERROR(IF(0=LEN(ReferenceData!$B$161),"",ReferenceData!$B$161),"")</f>
        <v>CXP US Equity</v>
      </c>
      <c r="C161" t="str">
        <f>IFERROR(IF(0=LEN(ReferenceData!$C$161),"",ReferenceData!$C$161),"")</f>
        <v>RR553</v>
      </c>
      <c r="D161" t="str">
        <f>IFERROR(IF(0=LEN(ReferenceData!$D$161),"",ReferenceData!$D$161),"")</f>
        <v>EBITDA_RE_ASSET</v>
      </c>
      <c r="E161" t="str">
        <f>IFERROR(IF(0=LEN(ReferenceData!$E$161),"",ReferenceData!$E$161),"")</f>
        <v>动态</v>
      </c>
      <c r="F161" t="str">
        <f ca="1">IFERROR(IF(0=LEN(ReferenceData!$F$161),"",ReferenceData!$F$161),"")</f>
        <v/>
      </c>
      <c r="G161">
        <f ca="1">IFERROR(IF(0=LEN(ReferenceData!$G$161),"",ReferenceData!$G$161),"")</f>
        <v>0.96272233699999998</v>
      </c>
      <c r="H161">
        <f ca="1">IFERROR(IF(0=LEN(ReferenceData!$H$161),"",ReferenceData!$H$161),"")</f>
        <v>1.121034922</v>
      </c>
      <c r="I161">
        <f ca="1">IFERROR(IF(0=LEN(ReferenceData!$I$161),"",ReferenceData!$I$161),"")</f>
        <v>1.4220318510000001</v>
      </c>
      <c r="J161">
        <f ca="1">IFERROR(IF(0=LEN(ReferenceData!$J$161),"",ReferenceData!$J$161),"")</f>
        <v>1.5285250480000001</v>
      </c>
      <c r="K161">
        <f ca="1">IFERROR(IF(0=LEN(ReferenceData!$K$161),"",ReferenceData!$K$161),"")</f>
        <v>1.909694717</v>
      </c>
      <c r="L161">
        <f ca="1">IFERROR(IF(0=LEN(ReferenceData!$L$161),"",ReferenceData!$L$161),"")</f>
        <v>1.8315705980000001</v>
      </c>
      <c r="M161">
        <f ca="1">IFERROR(IF(0=LEN(ReferenceData!$M$161),"",ReferenceData!$M$161),"")</f>
        <v>1.9578367029999999</v>
      </c>
      <c r="N161">
        <f ca="1">IFERROR(IF(0=LEN(ReferenceData!$N$161),"",ReferenceData!$N$161),"")</f>
        <v>1.8156136970000001</v>
      </c>
      <c r="O161">
        <f ca="1">IFERROR(IF(0=LEN(ReferenceData!$O$161),"",ReferenceData!$O$161),"")</f>
        <v>1.8874415630000001</v>
      </c>
      <c r="P161">
        <f ca="1">IFERROR(IF(0=LEN(ReferenceData!$P$161),"",ReferenceData!$P$161),"")</f>
        <v>1.683943475</v>
      </c>
      <c r="Q161">
        <f ca="1">IFERROR(IF(0=LEN(ReferenceData!$Q$161),"",ReferenceData!$Q$161),"")</f>
        <v>2.1489315819999999</v>
      </c>
      <c r="R161">
        <f ca="1">IFERROR(IF(0=LEN(ReferenceData!$R$161),"",ReferenceData!$R$161),"")</f>
        <v>1.848618434</v>
      </c>
      <c r="S161">
        <f ca="1">IFERROR(IF(0=LEN(ReferenceData!$S$161),"",ReferenceData!$S$161),"")</f>
        <v>1.7447997049999999</v>
      </c>
      <c r="T161">
        <f ca="1">IFERROR(IF(0=LEN(ReferenceData!$T$161),"",ReferenceData!$T$161),"")</f>
        <v>1.903885611</v>
      </c>
      <c r="U161">
        <f ca="1">IFERROR(IF(0=LEN(ReferenceData!$U$161),"",ReferenceData!$U$161),"")</f>
        <v>1.9977544359999999</v>
      </c>
      <c r="V161">
        <f ca="1">IFERROR(IF(0=LEN(ReferenceData!$V$161),"",ReferenceData!$V$161),"")</f>
        <v>1.7767611910000001</v>
      </c>
      <c r="W161">
        <f ca="1">IFERROR(IF(0=LEN(ReferenceData!$W$161),"",ReferenceData!$W$161),"")</f>
        <v>2.1156412570000001</v>
      </c>
      <c r="X161">
        <f ca="1">IFERROR(IF(0=LEN(ReferenceData!$X$161),"",ReferenceData!$X$161),"")</f>
        <v>2.0534937819999999</v>
      </c>
      <c r="Y161">
        <f ca="1">IFERROR(IF(0=LEN(ReferenceData!$Y$161),"",ReferenceData!$Y$161),"")</f>
        <v>2.064795717</v>
      </c>
      <c r="Z161">
        <f ca="1">IFERROR(IF(0=LEN(ReferenceData!$Z$161),"",ReferenceData!$Z$161),"")</f>
        <v>1.1995999900000001</v>
      </c>
      <c r="AA161">
        <f ca="1">IFERROR(IF(0=LEN(ReferenceData!$AA$161),"",ReferenceData!$AA$161),"")</f>
        <v>1.7074635810000001</v>
      </c>
      <c r="AB161">
        <f ca="1">IFERROR(IF(0=LEN(ReferenceData!$AB$161),"",ReferenceData!$AB$161),"")</f>
        <v>2.0227244080000002</v>
      </c>
      <c r="AC161">
        <f ca="1">IFERROR(IF(0=LEN(ReferenceData!$AC$161),"",ReferenceData!$AC$161),"")</f>
        <v>1.9825920050000001</v>
      </c>
      <c r="AD161">
        <f ca="1">IFERROR(IF(0=LEN(ReferenceData!$AD$161),"",ReferenceData!$AD$161),"")</f>
        <v>2.0408280969999999</v>
      </c>
      <c r="AE161">
        <f ca="1">IFERROR(IF(0=LEN(ReferenceData!$AE$161),"",ReferenceData!$AE$161),"")</f>
        <v>1.4333253459999999</v>
      </c>
      <c r="AF161">
        <f ca="1">IFERROR(IF(0=LEN(ReferenceData!$AF$161),"",ReferenceData!$AF$161),"")</f>
        <v>2.1704782979999999</v>
      </c>
      <c r="AG161">
        <f ca="1">IFERROR(IF(0=LEN(ReferenceData!$AG$161),"",ReferenceData!$AG$161),"")</f>
        <v>2.0347221759999998</v>
      </c>
      <c r="AH161">
        <f ca="1">IFERROR(IF(0=LEN(ReferenceData!$AH$161),"",ReferenceData!$AH$161),"")</f>
        <v>1.718500074</v>
      </c>
      <c r="AI161">
        <f ca="1">IFERROR(IF(0=LEN(ReferenceData!$AI$161),"",ReferenceData!$AI$161),"")</f>
        <v>2.1407722819999999</v>
      </c>
      <c r="AJ161">
        <f ca="1">IFERROR(IF(0=LEN(ReferenceData!$AJ$161),"",ReferenceData!$AJ$161),"")</f>
        <v>2.1706013139999998</v>
      </c>
      <c r="AK161">
        <f ca="1">IFERROR(IF(0=LEN(ReferenceData!$AK$161),"",ReferenceData!$AK$161),"")</f>
        <v>1.9906716330000001</v>
      </c>
      <c r="AL161">
        <f ca="1">IFERROR(IF(0=LEN(ReferenceData!$AL$161),"",ReferenceData!$AL$161),"")</f>
        <v>2.0171746800000001</v>
      </c>
      <c r="AM161">
        <f ca="1">IFERROR(IF(0=LEN(ReferenceData!$AM$161),"",ReferenceData!$AM$161),"")</f>
        <v>2.4324837769999998</v>
      </c>
      <c r="AN161">
        <f ca="1">IFERROR(IF(0=LEN(ReferenceData!$AN$161),"",ReferenceData!$AN$161),"")</f>
        <v>2.05904877</v>
      </c>
      <c r="AO161">
        <f ca="1">IFERROR(IF(0=LEN(ReferenceData!$AO$161),"",ReferenceData!$AO$161),"")</f>
        <v>1.9827497620000001</v>
      </c>
      <c r="AP161">
        <f ca="1">IFERROR(IF(0=LEN(ReferenceData!$AP$161),"",ReferenceData!$AP$161),"")</f>
        <v>1.8839930499999999</v>
      </c>
      <c r="AQ161" t="str">
        <f ca="1">IFERROR(IF(0=LEN(ReferenceData!$AQ$161),"",ReferenceData!$AQ$161),"")</f>
        <v/>
      </c>
      <c r="AR161" t="str">
        <f ca="1">IFERROR(IF(0=LEN(ReferenceData!$AR$161),"",ReferenceData!$AR$161),"")</f>
        <v/>
      </c>
      <c r="AS161" t="str">
        <f ca="1">IFERROR(IF(0=LEN(ReferenceData!$AS$161),"",ReferenceData!$AS$161),"")</f>
        <v/>
      </c>
      <c r="AT161" t="str">
        <f ca="1">IFERROR(IF(0=LEN(ReferenceData!$AT$161),"",ReferenceData!$AT$161),"")</f>
        <v/>
      </c>
      <c r="AU161" t="str">
        <f ca="1">IFERROR(IF(0=LEN(ReferenceData!$AU$161),"",ReferenceData!$AU$161),"")</f>
        <v/>
      </c>
      <c r="AV161" t="str">
        <f ca="1">IFERROR(IF(0=LEN(ReferenceData!$AV$161),"",ReferenceData!$AV$161),"")</f>
        <v/>
      </c>
      <c r="AW161" t="str">
        <f ca="1">IFERROR(IF(0=LEN(ReferenceData!$AW$161),"",ReferenceData!$AW$161),"")</f>
        <v/>
      </c>
      <c r="AX161" t="str">
        <f ca="1">IFERROR(IF(0=LEN(ReferenceData!$AX$161),"",ReferenceData!$AX$161),"")</f>
        <v/>
      </c>
      <c r="AY161" t="str">
        <f ca="1">IFERROR(IF(0=LEN(ReferenceData!$AY$161),"",ReferenceData!$AY$161),"")</f>
        <v/>
      </c>
      <c r="AZ161" t="str">
        <f ca="1">IFERROR(IF(0=LEN(ReferenceData!$AZ$161),"",ReferenceData!$AZ$161),"")</f>
        <v/>
      </c>
      <c r="BA161" t="str">
        <f ca="1">IFERROR(IF(0=LEN(ReferenceData!$BA$161),"",ReferenceData!$BA$161),"")</f>
        <v/>
      </c>
      <c r="BB161" t="str">
        <f ca="1">IFERROR(IF(0=LEN(ReferenceData!$BB$161),"",ReferenceData!$BB$161),"")</f>
        <v/>
      </c>
      <c r="BC161" t="str">
        <f ca="1">IFERROR(IF(0=LEN(ReferenceData!$BC$161),"",ReferenceData!$BC$161),"")</f>
        <v/>
      </c>
      <c r="BD161" t="str">
        <f ca="1">IFERROR(IF(0=LEN(ReferenceData!$BD$161),"",ReferenceData!$BD$161),"")</f>
        <v/>
      </c>
      <c r="BE161" t="str">
        <f ca="1">IFERROR(IF(0=LEN(ReferenceData!$BE$161),"",ReferenceData!$BE$161),"")</f>
        <v/>
      </c>
      <c r="BF161" t="str">
        <f ca="1">IFERROR(IF(0=LEN(ReferenceData!$BF$161),"",ReferenceData!$BF$161),"")</f>
        <v/>
      </c>
      <c r="BG161" t="str">
        <f ca="1">IFERROR(IF(0=LEN(ReferenceData!$BG$161),"",ReferenceData!$BG$161),"")</f>
        <v/>
      </c>
      <c r="BH161" t="str">
        <f ca="1">IFERROR(IF(0=LEN(ReferenceData!$BH$161),"",ReferenceData!$BH$161),"")</f>
        <v/>
      </c>
      <c r="BI161" t="str">
        <f ca="1">IFERROR(IF(0=LEN(ReferenceData!$BI$161),"",ReferenceData!$BI$161),"")</f>
        <v/>
      </c>
      <c r="BJ161" t="str">
        <f ca="1">IFERROR(IF(0=LEN(ReferenceData!$BJ$161),"",ReferenceData!$BJ$161),"")</f>
        <v/>
      </c>
      <c r="BK161" t="str">
        <f ca="1">IFERROR(IF(0=LEN(ReferenceData!$BK$161),"",ReferenceData!$BK$161),"")</f>
        <v/>
      </c>
      <c r="BL161" t="str">
        <f ca="1">IFERROR(IF(0=LEN(ReferenceData!$BL$161),"",ReferenceData!$BL$161),"")</f>
        <v/>
      </c>
      <c r="BM161" t="str">
        <f ca="1">IFERROR(IF(0=LEN(ReferenceData!$BM$161),"",ReferenceData!$BM$161),"")</f>
        <v/>
      </c>
    </row>
    <row r="162" spans="1:65">
      <c r="A162" t="str">
        <f>IFERROR(IF(0=LEN(ReferenceData!$A$162),"",ReferenceData!$A$162),"")</f>
        <v xml:space="preserve">    Corporate Office Properties Tr</v>
      </c>
      <c r="B162" t="str">
        <f>IFERROR(IF(0=LEN(ReferenceData!$B$162),"",ReferenceData!$B$162),"")</f>
        <v>OFC US Equity</v>
      </c>
      <c r="C162" t="str">
        <f>IFERROR(IF(0=LEN(ReferenceData!$C$162),"",ReferenceData!$C$162),"")</f>
        <v>RR553</v>
      </c>
      <c r="D162" t="str">
        <f>IFERROR(IF(0=LEN(ReferenceData!$D$162),"",ReferenceData!$D$162),"")</f>
        <v>EBITDA_RE_ASSET</v>
      </c>
      <c r="E162" t="str">
        <f>IFERROR(IF(0=LEN(ReferenceData!$E$162),"",ReferenceData!$E$162),"")</f>
        <v>动态</v>
      </c>
      <c r="F162" t="str">
        <f ca="1">IFERROR(IF(0=LEN(ReferenceData!$F$162),"",ReferenceData!$F$162),"")</f>
        <v/>
      </c>
      <c r="G162">
        <f ca="1">IFERROR(IF(0=LEN(ReferenceData!$G$162),"",ReferenceData!$G$162),"")</f>
        <v>1.875609372</v>
      </c>
      <c r="H162">
        <f ca="1">IFERROR(IF(0=LEN(ReferenceData!$H$162),"",ReferenceData!$H$162),"")</f>
        <v>2.3686313449999998</v>
      </c>
      <c r="I162">
        <f ca="1">IFERROR(IF(0=LEN(ReferenceData!$I$162),"",ReferenceData!$I$162),"")</f>
        <v>2.2151375959999999</v>
      </c>
      <c r="J162">
        <f ca="1">IFERROR(IF(0=LEN(ReferenceData!$J$162),"",ReferenceData!$J$162),"")</f>
        <v>2.2127473719999999</v>
      </c>
      <c r="K162">
        <f ca="1">IFERROR(IF(0=LEN(ReferenceData!$K$162),"",ReferenceData!$K$162),"")</f>
        <v>2.2873526499999999</v>
      </c>
      <c r="L162">
        <f ca="1">IFERROR(IF(0=LEN(ReferenceData!$L$162),"",ReferenceData!$L$162),"")</f>
        <v>1.4424410270000001</v>
      </c>
      <c r="M162">
        <f ca="1">IFERROR(IF(0=LEN(ReferenceData!$M$162),"",ReferenceData!$M$162),"")</f>
        <v>0.212983642</v>
      </c>
      <c r="N162">
        <f ca="1">IFERROR(IF(0=LEN(ReferenceData!$N$162),"",ReferenceData!$N$162),"")</f>
        <v>2.0001335600000001</v>
      </c>
      <c r="O162">
        <f ca="1">IFERROR(IF(0=LEN(ReferenceData!$O$162),"",ReferenceData!$O$162),"")</f>
        <v>1.698306858</v>
      </c>
      <c r="P162">
        <f ca="1">IFERROR(IF(0=LEN(ReferenceData!$P$162),"",ReferenceData!$P$162),"")</f>
        <v>2.120504242</v>
      </c>
      <c r="Q162">
        <f ca="1">IFERROR(IF(0=LEN(ReferenceData!$Q$162),"",ReferenceData!$Q$162),"")</f>
        <v>2.0996841000000002</v>
      </c>
      <c r="R162">
        <f ca="1">IFERROR(IF(0=LEN(ReferenceData!$R$162),"",ReferenceData!$R$162),"")</f>
        <v>1.8550379020000001</v>
      </c>
      <c r="S162">
        <f ca="1">IFERROR(IF(0=LEN(ReferenceData!$S$162),"",ReferenceData!$S$162),"")</f>
        <v>2.0934425339999998</v>
      </c>
      <c r="T162">
        <f ca="1">IFERROR(IF(0=LEN(ReferenceData!$T$162),"",ReferenceData!$T$162),"")</f>
        <v>2.084951008</v>
      </c>
      <c r="U162">
        <f ca="1">IFERROR(IF(0=LEN(ReferenceData!$U$162),"",ReferenceData!$U$162),"")</f>
        <v>1.9535732130000001</v>
      </c>
      <c r="V162">
        <f ca="1">IFERROR(IF(0=LEN(ReferenceData!$V$162),"",ReferenceData!$V$162),"")</f>
        <v>2.1493021830000001</v>
      </c>
      <c r="W162">
        <f ca="1">IFERROR(IF(0=LEN(ReferenceData!$W$162),"",ReferenceData!$W$162),"")</f>
        <v>2.0738568040000001</v>
      </c>
      <c r="X162">
        <f ca="1">IFERROR(IF(0=LEN(ReferenceData!$X$162),"",ReferenceData!$X$162),"")</f>
        <v>1.863880687</v>
      </c>
      <c r="Y162">
        <f ca="1">IFERROR(IF(0=LEN(ReferenceData!$Y$162),"",ReferenceData!$Y$162),"")</f>
        <v>2.0814467479999998</v>
      </c>
      <c r="Z162">
        <f ca="1">IFERROR(IF(0=LEN(ReferenceData!$Z$162),"",ReferenceData!$Z$162),"")</f>
        <v>1.948969159</v>
      </c>
      <c r="AA162">
        <f ca="1">IFERROR(IF(0=LEN(ReferenceData!$AA$162),"",ReferenceData!$AA$162),"")</f>
        <v>1.887824591</v>
      </c>
      <c r="AB162">
        <f ca="1">IFERROR(IF(0=LEN(ReferenceData!$AB$162),"",ReferenceData!$AB$162),"")</f>
        <v>0.70042270399999995</v>
      </c>
      <c r="AC162">
        <f ca="1">IFERROR(IF(0=LEN(ReferenceData!$AC$162),"",ReferenceData!$AC$162),"")</f>
        <v>1.9481584750000001</v>
      </c>
      <c r="AD162">
        <f ca="1">IFERROR(IF(0=LEN(ReferenceData!$AD$162),"",ReferenceData!$AD$162),"")</f>
        <v>1.985499656</v>
      </c>
      <c r="AE162">
        <f ca="1">IFERROR(IF(0=LEN(ReferenceData!$AE$162),"",ReferenceData!$AE$162),"")</f>
        <v>0.70970901200000003</v>
      </c>
      <c r="AF162">
        <f ca="1">IFERROR(IF(0=LEN(ReferenceData!$AF$162),"",ReferenceData!$AF$162),"")</f>
        <v>1.854568336</v>
      </c>
      <c r="AG162">
        <f ca="1">IFERROR(IF(0=LEN(ReferenceData!$AG$162),"",ReferenceData!$AG$162),"")</f>
        <v>1.3362469729999999</v>
      </c>
      <c r="AH162">
        <f ca="1">IFERROR(IF(0=LEN(ReferenceData!$AH$162),"",ReferenceData!$AH$162),"")</f>
        <v>1.0854564920000001</v>
      </c>
      <c r="AI162">
        <f ca="1">IFERROR(IF(0=LEN(ReferenceData!$AI$162),"",ReferenceData!$AI$162),"")</f>
        <v>1.9975010559999999</v>
      </c>
      <c r="AJ162">
        <f ca="1">IFERROR(IF(0=LEN(ReferenceData!$AJ$162),"",ReferenceData!$AJ$162),"")</f>
        <v>1.828852097</v>
      </c>
      <c r="AK162">
        <f ca="1">IFERROR(IF(0=LEN(ReferenceData!$AK$162),"",ReferenceData!$AK$162),"")</f>
        <v>2.0188697449999999</v>
      </c>
      <c r="AL162">
        <f ca="1">IFERROR(IF(0=LEN(ReferenceData!$AL$162),"",ReferenceData!$AL$162),"")</f>
        <v>1.9465494189999999</v>
      </c>
      <c r="AM162">
        <f ca="1">IFERROR(IF(0=LEN(ReferenceData!$AM$162),"",ReferenceData!$AM$162),"")</f>
        <v>1.0970329050000001</v>
      </c>
      <c r="AN162">
        <f ca="1">IFERROR(IF(0=LEN(ReferenceData!$AN$162),"",ReferenceData!$AN$162),"")</f>
        <v>3.090242398</v>
      </c>
      <c r="AO162">
        <f ca="1">IFERROR(IF(0=LEN(ReferenceData!$AO$162),"",ReferenceData!$AO$162),"")</f>
        <v>2.2626111720000002</v>
      </c>
      <c r="AP162">
        <f ca="1">IFERROR(IF(0=LEN(ReferenceData!$AP$162),"",ReferenceData!$AP$162),"")</f>
        <v>2.2522150540000001</v>
      </c>
      <c r="AQ162">
        <f ca="1">IFERROR(IF(0=LEN(ReferenceData!$AQ$162),"",ReferenceData!$AQ$162),"")</f>
        <v>2.211508077</v>
      </c>
      <c r="AR162">
        <f ca="1">IFERROR(IF(0=LEN(ReferenceData!$AR$162),"",ReferenceData!$AR$162),"")</f>
        <v>2.2604133219999998</v>
      </c>
      <c r="AS162">
        <f ca="1">IFERROR(IF(0=LEN(ReferenceData!$AS$162),"",ReferenceData!$AS$162),"")</f>
        <v>2.178465826</v>
      </c>
      <c r="AT162">
        <f ca="1">IFERROR(IF(0=LEN(ReferenceData!$AT$162),"",ReferenceData!$AT$162),"")</f>
        <v>2.1806754779999999</v>
      </c>
      <c r="AU162">
        <f ca="1">IFERROR(IF(0=LEN(ReferenceData!$AU$162),"",ReferenceData!$AU$162),"")</f>
        <v>2.179358948</v>
      </c>
      <c r="AV162">
        <f ca="1">IFERROR(IF(0=LEN(ReferenceData!$AV$162),"",ReferenceData!$AV$162),"")</f>
        <v>2.249989845</v>
      </c>
      <c r="AW162">
        <f ca="1">IFERROR(IF(0=LEN(ReferenceData!$AW$162),"",ReferenceData!$AW$162),"")</f>
        <v>2.2594712060000002</v>
      </c>
      <c r="AX162">
        <f ca="1">IFERROR(IF(0=LEN(ReferenceData!$AX$162),"",ReferenceData!$AX$162),"")</f>
        <v>2.1569596679999998</v>
      </c>
      <c r="AY162">
        <f ca="1">IFERROR(IF(0=LEN(ReferenceData!$AY$162),"",ReferenceData!$AY$162),"")</f>
        <v>2.244151735</v>
      </c>
      <c r="AZ162">
        <f ca="1">IFERROR(IF(0=LEN(ReferenceData!$AZ$162),"",ReferenceData!$AZ$162),"")</f>
        <v>2.364339567</v>
      </c>
      <c r="BA162">
        <f ca="1">IFERROR(IF(0=LEN(ReferenceData!$BA$162),"",ReferenceData!$BA$162),"")</f>
        <v>2.2555455219999998</v>
      </c>
      <c r="BB162">
        <f ca="1">IFERROR(IF(0=LEN(ReferenceData!$BB$162),"",ReferenceData!$BB$162),"")</f>
        <v>2.384674892</v>
      </c>
      <c r="BC162">
        <f ca="1">IFERROR(IF(0=LEN(ReferenceData!$BC$162),"",ReferenceData!$BC$162),"")</f>
        <v>2.2207969259999998</v>
      </c>
      <c r="BD162">
        <f ca="1">IFERROR(IF(0=LEN(ReferenceData!$BD$162),"",ReferenceData!$BD$162),"")</f>
        <v>2.3726523049999999</v>
      </c>
      <c r="BE162">
        <f ca="1">IFERROR(IF(0=LEN(ReferenceData!$BE$162),"",ReferenceData!$BE$162),"")</f>
        <v>2.3318563380000001</v>
      </c>
      <c r="BF162">
        <f ca="1">IFERROR(IF(0=LEN(ReferenceData!$BF$162),"",ReferenceData!$BF$162),"")</f>
        <v>2.3980864149999999</v>
      </c>
      <c r="BG162">
        <f ca="1">IFERROR(IF(0=LEN(ReferenceData!$BG$162),"",ReferenceData!$BG$162),"")</f>
        <v>2.4530304460000001</v>
      </c>
      <c r="BH162">
        <f ca="1">IFERROR(IF(0=LEN(ReferenceData!$BH$162),"",ReferenceData!$BH$162),"")</f>
        <v>2.3147588379999999</v>
      </c>
      <c r="BI162">
        <f ca="1">IFERROR(IF(0=LEN(ReferenceData!$BI$162),"",ReferenceData!$BI$162),"")</f>
        <v>2.7779176360000002</v>
      </c>
      <c r="BJ162">
        <f ca="1">IFERROR(IF(0=LEN(ReferenceData!$BJ$162),"",ReferenceData!$BJ$162),"")</f>
        <v>2.501435753</v>
      </c>
      <c r="BK162">
        <f ca="1">IFERROR(IF(0=LEN(ReferenceData!$BK$162),"",ReferenceData!$BK$162),"")</f>
        <v>2.5194699479999998</v>
      </c>
      <c r="BL162">
        <f ca="1">IFERROR(IF(0=LEN(ReferenceData!$BL$162),"",ReferenceData!$BL$162),"")</f>
        <v>2.6110463030000002</v>
      </c>
      <c r="BM162">
        <f ca="1">IFERROR(IF(0=LEN(ReferenceData!$BM$162),"",ReferenceData!$BM$162),"")</f>
        <v>2.4643786159999999</v>
      </c>
    </row>
    <row r="163" spans="1:65">
      <c r="A163" t="str">
        <f>IFERROR(IF(0=LEN(ReferenceData!$A$163),"",ReferenceData!$A$163),"")</f>
        <v xml:space="preserve">    Highwoods Properties Inc</v>
      </c>
      <c r="B163" t="str">
        <f>IFERROR(IF(0=LEN(ReferenceData!$B$163),"",ReferenceData!$B$163),"")</f>
        <v>HIW US Equity</v>
      </c>
      <c r="C163" t="str">
        <f>IFERROR(IF(0=LEN(ReferenceData!$C$163),"",ReferenceData!$C$163),"")</f>
        <v>RR553</v>
      </c>
      <c r="D163" t="str">
        <f>IFERROR(IF(0=LEN(ReferenceData!$D$163),"",ReferenceData!$D$163),"")</f>
        <v>EBITDA_RE_ASSET</v>
      </c>
      <c r="E163" t="str">
        <f>IFERROR(IF(0=LEN(ReferenceData!$E$163),"",ReferenceData!$E$163),"")</f>
        <v>动态</v>
      </c>
      <c r="F163" t="str">
        <f ca="1">IFERROR(IF(0=LEN(ReferenceData!$F$163),"",ReferenceData!$F$163),"")</f>
        <v/>
      </c>
      <c r="G163">
        <f ca="1">IFERROR(IF(0=LEN(ReferenceData!$G$163),"",ReferenceData!$G$163),"")</f>
        <v>2.611572346</v>
      </c>
      <c r="H163">
        <f ca="1">IFERROR(IF(0=LEN(ReferenceData!$H$163),"",ReferenceData!$H$163),"")</f>
        <v>2.6649740259999999</v>
      </c>
      <c r="I163">
        <f ca="1">IFERROR(IF(0=LEN(ReferenceData!$I$163),"",ReferenceData!$I$163),"")</f>
        <v>2.6775732219999999</v>
      </c>
      <c r="J163">
        <f ca="1">IFERROR(IF(0=LEN(ReferenceData!$J$163),"",ReferenceData!$J$163),"")</f>
        <v>2.4707525690000001</v>
      </c>
      <c r="K163">
        <f ca="1">IFERROR(IF(0=LEN(ReferenceData!$K$163),"",ReferenceData!$K$163),"")</f>
        <v>2.512207546</v>
      </c>
      <c r="L163">
        <f ca="1">IFERROR(IF(0=LEN(ReferenceData!$L$163),"",ReferenceData!$L$163),"")</f>
        <v>2.4508727659999998</v>
      </c>
      <c r="M163">
        <f ca="1">IFERROR(IF(0=LEN(ReferenceData!$M$163),"",ReferenceData!$M$163),"")</f>
        <v>2.6235504540000001</v>
      </c>
      <c r="N163">
        <f ca="1">IFERROR(IF(0=LEN(ReferenceData!$N$163),"",ReferenceData!$N$163),"")</f>
        <v>2.526157032</v>
      </c>
      <c r="O163">
        <f ca="1">IFERROR(IF(0=LEN(ReferenceData!$O$163),"",ReferenceData!$O$163),"")</f>
        <v>2.442955601</v>
      </c>
      <c r="P163">
        <f ca="1">IFERROR(IF(0=LEN(ReferenceData!$P$163),"",ReferenceData!$P$163),"")</f>
        <v>2.397011397</v>
      </c>
      <c r="Q163">
        <f ca="1">IFERROR(IF(0=LEN(ReferenceData!$Q$163),"",ReferenceData!$Q$163),"")</f>
        <v>2.5411559829999999</v>
      </c>
      <c r="R163">
        <f ca="1">IFERROR(IF(0=LEN(ReferenceData!$R$163),"",ReferenceData!$R$163),"")</f>
        <v>2.4960212249999998</v>
      </c>
      <c r="S163">
        <f ca="1">IFERROR(IF(0=LEN(ReferenceData!$S$163),"",ReferenceData!$S$163),"")</f>
        <v>2.3642720449999999</v>
      </c>
      <c r="T163">
        <f ca="1">IFERROR(IF(0=LEN(ReferenceData!$T$163),"",ReferenceData!$T$163),"")</f>
        <v>2.5463388980000001</v>
      </c>
      <c r="U163">
        <f ca="1">IFERROR(IF(0=LEN(ReferenceData!$U$163),"",ReferenceData!$U$163),"")</f>
        <v>2.573772613</v>
      </c>
      <c r="V163">
        <f ca="1">IFERROR(IF(0=LEN(ReferenceData!$V$163),"",ReferenceData!$V$163),"")</f>
        <v>2.4090958630000001</v>
      </c>
      <c r="W163">
        <f ca="1">IFERROR(IF(0=LEN(ReferenceData!$W$163),"",ReferenceData!$W$163),"")</f>
        <v>2.5132312830000001</v>
      </c>
      <c r="X163">
        <f ca="1">IFERROR(IF(0=LEN(ReferenceData!$X$163),"",ReferenceData!$X$163),"")</f>
        <v>2.4290163630000001</v>
      </c>
      <c r="Y163">
        <f ca="1">IFERROR(IF(0=LEN(ReferenceData!$Y$163),"",ReferenceData!$Y$163),"")</f>
        <v>2.5067598640000002</v>
      </c>
      <c r="Z163">
        <f ca="1">IFERROR(IF(0=LEN(ReferenceData!$Z$163),"",ReferenceData!$Z$163),"")</f>
        <v>2.4905207950000001</v>
      </c>
      <c r="AA163">
        <f ca="1">IFERROR(IF(0=LEN(ReferenceData!$AA$163),"",ReferenceData!$AA$163),"")</f>
        <v>2.4602098020000001</v>
      </c>
      <c r="AB163">
        <f ca="1">IFERROR(IF(0=LEN(ReferenceData!$AB$163),"",ReferenceData!$AB$163),"")</f>
        <v>2.4311653259999999</v>
      </c>
      <c r="AC163">
        <f ca="1">IFERROR(IF(0=LEN(ReferenceData!$AC$163),"",ReferenceData!$AC$163),"")</f>
        <v>2.6164388390000002</v>
      </c>
      <c r="AD163">
        <f ca="1">IFERROR(IF(0=LEN(ReferenceData!$AD$163),"",ReferenceData!$AD$163),"")</f>
        <v>2.5635703460000001</v>
      </c>
      <c r="AE163">
        <f ca="1">IFERROR(IF(0=LEN(ReferenceData!$AE$163),"",ReferenceData!$AE$163),"")</f>
        <v>2.5324435379999999</v>
      </c>
      <c r="AF163">
        <f ca="1">IFERROR(IF(0=LEN(ReferenceData!$AF$163),"",ReferenceData!$AF$163),"")</f>
        <v>2.1088847099999999</v>
      </c>
      <c r="AG163">
        <f ca="1">IFERROR(IF(0=LEN(ReferenceData!$AG$163),"",ReferenceData!$AG$163),"")</f>
        <v>2.5745806679999999</v>
      </c>
      <c r="AH163">
        <f ca="1">IFERROR(IF(0=LEN(ReferenceData!$AH$163),"",ReferenceData!$AH$163),"")</f>
        <v>2.542922431</v>
      </c>
      <c r="AI163">
        <f ca="1">IFERROR(IF(0=LEN(ReferenceData!$AI$163),"",ReferenceData!$AI$163),"")</f>
        <v>1.686934698</v>
      </c>
      <c r="AJ163">
        <f ca="1">IFERROR(IF(0=LEN(ReferenceData!$AJ$163),"",ReferenceData!$AJ$163),"")</f>
        <v>2.4241184589999998</v>
      </c>
      <c r="AK163">
        <f ca="1">IFERROR(IF(0=LEN(ReferenceData!$AK$163),"",ReferenceData!$AK$163),"")</f>
        <v>2.6676746360000001</v>
      </c>
      <c r="AL163">
        <f ca="1">IFERROR(IF(0=LEN(ReferenceData!$AL$163),"",ReferenceData!$AL$163),"")</f>
        <v>2.4949508090000001</v>
      </c>
      <c r="AM163">
        <f ca="1">IFERROR(IF(0=LEN(ReferenceData!$AM$163),"",ReferenceData!$AM$163),"")</f>
        <v>1.8822177710000001</v>
      </c>
      <c r="AN163">
        <f ca="1">IFERROR(IF(0=LEN(ReferenceData!$AN$163),"",ReferenceData!$AN$163),"")</f>
        <v>2.3253631220000002</v>
      </c>
      <c r="AO163">
        <f ca="1">IFERROR(IF(0=LEN(ReferenceData!$AO$163),"",ReferenceData!$AO$163),"")</f>
        <v>2.3471312800000002</v>
      </c>
      <c r="AP163">
        <f ca="1">IFERROR(IF(0=LEN(ReferenceData!$AP$163),"",ReferenceData!$AP$163),"")</f>
        <v>2.4047777670000001</v>
      </c>
      <c r="AQ163">
        <f ca="1">IFERROR(IF(0=LEN(ReferenceData!$AQ$163),"",ReferenceData!$AQ$163),"")</f>
        <v>2.0648185290000001</v>
      </c>
      <c r="AR163">
        <f ca="1">IFERROR(IF(0=LEN(ReferenceData!$AR$163),"",ReferenceData!$AR$163),"")</f>
        <v>2.3218274729999999</v>
      </c>
      <c r="AS163">
        <f ca="1">IFERROR(IF(0=LEN(ReferenceData!$AS$163),"",ReferenceData!$AS$163),"")</f>
        <v>2.105181741</v>
      </c>
      <c r="AT163">
        <f ca="1">IFERROR(IF(0=LEN(ReferenceData!$AT$163),"",ReferenceData!$AT$163),"")</f>
        <v>2.2679062239999999</v>
      </c>
      <c r="AU163">
        <f ca="1">IFERROR(IF(0=LEN(ReferenceData!$AU$163),"",ReferenceData!$AU$163),"")</f>
        <v>2.2438737770000001</v>
      </c>
      <c r="AV163">
        <f ca="1">IFERROR(IF(0=LEN(ReferenceData!$AV$163),"",ReferenceData!$AV$163),"")</f>
        <v>2.208898026</v>
      </c>
      <c r="AW163">
        <f ca="1">IFERROR(IF(0=LEN(ReferenceData!$AW$163),"",ReferenceData!$AW$163),"")</f>
        <v>2.0854482769999998</v>
      </c>
      <c r="AX163">
        <f ca="1">IFERROR(IF(0=LEN(ReferenceData!$AX$163),"",ReferenceData!$AX$163),"")</f>
        <v>2.1552842239999999</v>
      </c>
      <c r="AY163">
        <f ca="1">IFERROR(IF(0=LEN(ReferenceData!$AY$163),"",ReferenceData!$AY$163),"")</f>
        <v>1.3807314070000001</v>
      </c>
      <c r="AZ163">
        <f ca="1">IFERROR(IF(0=LEN(ReferenceData!$AZ$163),"",ReferenceData!$AZ$163),"")</f>
        <v>2.260124276</v>
      </c>
      <c r="BA163">
        <f ca="1">IFERROR(IF(0=LEN(ReferenceData!$BA$163),"",ReferenceData!$BA$163),"")</f>
        <v>2.2439854939999999</v>
      </c>
      <c r="BB163">
        <f ca="1">IFERROR(IF(0=LEN(ReferenceData!$BB$163),"",ReferenceData!$BB$163),"")</f>
        <v>2.2966439269999999</v>
      </c>
      <c r="BC163">
        <f ca="1">IFERROR(IF(0=LEN(ReferenceData!$BC$163),"",ReferenceData!$BC$163),"")</f>
        <v>1.470910894</v>
      </c>
      <c r="BD163">
        <f ca="1">IFERROR(IF(0=LEN(ReferenceData!$BD$163),"",ReferenceData!$BD$163),"")</f>
        <v>2.1975375289999999</v>
      </c>
      <c r="BE163">
        <f ca="1">IFERROR(IF(0=LEN(ReferenceData!$BE$163),"",ReferenceData!$BE$163),"")</f>
        <v>2.1898880109999999</v>
      </c>
      <c r="BF163">
        <f ca="1">IFERROR(IF(0=LEN(ReferenceData!$BF$163),"",ReferenceData!$BF$163),"")</f>
        <v>2.2193131880000001</v>
      </c>
      <c r="BG163">
        <f ca="1">IFERROR(IF(0=LEN(ReferenceData!$BG$163),"",ReferenceData!$BG$163),"")</f>
        <v>1.2713027880000001</v>
      </c>
      <c r="BH163">
        <f ca="1">IFERROR(IF(0=LEN(ReferenceData!$BH$163),"",ReferenceData!$BH$163),"")</f>
        <v>1.9245092800000001</v>
      </c>
      <c r="BI163">
        <f ca="1">IFERROR(IF(0=LEN(ReferenceData!$BI$163),"",ReferenceData!$BI$163),"")</f>
        <v>2.1302474880000002</v>
      </c>
      <c r="BJ163">
        <f ca="1">IFERROR(IF(0=LEN(ReferenceData!$BJ$163),"",ReferenceData!$BJ$163),"")</f>
        <v>2.0438576249999998</v>
      </c>
      <c r="BK163" t="str">
        <f ca="1">IFERROR(IF(0=LEN(ReferenceData!$BK$163),"",ReferenceData!$BK$163),"")</f>
        <v/>
      </c>
      <c r="BL163">
        <f ca="1">IFERROR(IF(0=LEN(ReferenceData!$BL$163),"",ReferenceData!$BL$163),"")</f>
        <v>5.0125242720000003</v>
      </c>
      <c r="BM163">
        <f ca="1">IFERROR(IF(0=LEN(ReferenceData!$BM$163),"",ReferenceData!$BM$163),"")</f>
        <v>2.4966093570000001</v>
      </c>
    </row>
    <row r="164" spans="1:65">
      <c r="A164" t="str">
        <f>IFERROR(IF(0=LEN(ReferenceData!$A$164),"",ReferenceData!$A$164),"")</f>
        <v xml:space="preserve">    Kilroy Realty Corp</v>
      </c>
      <c r="B164" t="str">
        <f>IFERROR(IF(0=LEN(ReferenceData!$B$164),"",ReferenceData!$B$164),"")</f>
        <v>KRC US Equity</v>
      </c>
      <c r="C164" t="str">
        <f>IFERROR(IF(0=LEN(ReferenceData!$C$164),"",ReferenceData!$C$164),"")</f>
        <v>RR553</v>
      </c>
      <c r="D164" t="str">
        <f>IFERROR(IF(0=LEN(ReferenceData!$D$164),"",ReferenceData!$D$164),"")</f>
        <v>EBITDA_RE_ASSET</v>
      </c>
      <c r="E164" t="str">
        <f>IFERROR(IF(0=LEN(ReferenceData!$E$164),"",ReferenceData!$E$164),"")</f>
        <v>动态</v>
      </c>
      <c r="F164" t="str">
        <f ca="1">IFERROR(IF(0=LEN(ReferenceData!$F$164),"",ReferenceData!$F$164),"")</f>
        <v/>
      </c>
      <c r="G164">
        <f ca="1">IFERROR(IF(0=LEN(ReferenceData!$G$164),"",ReferenceData!$G$164),"")</f>
        <v>1.7987963170000001</v>
      </c>
      <c r="H164">
        <f ca="1">IFERROR(IF(0=LEN(ReferenceData!$H$164),"",ReferenceData!$H$164),"")</f>
        <v>1.908874212</v>
      </c>
      <c r="I164">
        <f ca="1">IFERROR(IF(0=LEN(ReferenceData!$I$164),"",ReferenceData!$I$164),"")</f>
        <v>1.8948890359999999</v>
      </c>
      <c r="J164">
        <f ca="1">IFERROR(IF(0=LEN(ReferenceData!$J$164),"",ReferenceData!$J$164),"")</f>
        <v>1.8789128319999999</v>
      </c>
      <c r="K164">
        <f ca="1">IFERROR(IF(0=LEN(ReferenceData!$K$164),"",ReferenceData!$K$164),"")</f>
        <v>1.793139254</v>
      </c>
      <c r="L164">
        <f ca="1">IFERROR(IF(0=LEN(ReferenceData!$L$164),"",ReferenceData!$L$164),"")</f>
        <v>1.971492842</v>
      </c>
      <c r="M164">
        <f ca="1">IFERROR(IF(0=LEN(ReferenceData!$M$164),"",ReferenceData!$M$164),"")</f>
        <v>1.847879402</v>
      </c>
      <c r="N164">
        <f ca="1">IFERROR(IF(0=LEN(ReferenceData!$N$164),"",ReferenceData!$N$164),"")</f>
        <v>1.7225255340000001</v>
      </c>
      <c r="O164">
        <f ca="1">IFERROR(IF(0=LEN(ReferenceData!$O$164),"",ReferenceData!$O$164),"")</f>
        <v>1.766848116</v>
      </c>
      <c r="P164">
        <f ca="1">IFERROR(IF(0=LEN(ReferenceData!$P$164),"",ReferenceData!$P$164),"")</f>
        <v>1.701694934</v>
      </c>
      <c r="Q164">
        <f ca="1">IFERROR(IF(0=LEN(ReferenceData!$Q$164),"",ReferenceData!$Q$164),"")</f>
        <v>1.814905228</v>
      </c>
      <c r="R164">
        <f ca="1">IFERROR(IF(0=LEN(ReferenceData!$R$164),"",ReferenceData!$R$164),"")</f>
        <v>1.873290694</v>
      </c>
      <c r="S164">
        <f ca="1">IFERROR(IF(0=LEN(ReferenceData!$S$164),"",ReferenceData!$S$164),"")</f>
        <v>1.7807872309999999</v>
      </c>
      <c r="T164">
        <f ca="1">IFERROR(IF(0=LEN(ReferenceData!$T$164),"",ReferenceData!$T$164),"")</f>
        <v>1.671105394</v>
      </c>
      <c r="U164">
        <f ca="1">IFERROR(IF(0=LEN(ReferenceData!$U$164),"",ReferenceData!$U$164),"")</f>
        <v>1.659351238</v>
      </c>
      <c r="V164">
        <f ca="1">IFERROR(IF(0=LEN(ReferenceData!$V$164),"",ReferenceData!$V$164),"")</f>
        <v>1.689849438</v>
      </c>
      <c r="W164">
        <f ca="1">IFERROR(IF(0=LEN(ReferenceData!$W$164),"",ReferenceData!$W$164),"")</f>
        <v>1.65268028</v>
      </c>
      <c r="X164">
        <f ca="1">IFERROR(IF(0=LEN(ReferenceData!$X$164),"",ReferenceData!$X$164),"")</f>
        <v>1.7009100880000001</v>
      </c>
      <c r="Y164">
        <f ca="1">IFERROR(IF(0=LEN(ReferenceData!$Y$164),"",ReferenceData!$Y$164),"")</f>
        <v>1.7827822760000001</v>
      </c>
      <c r="Z164">
        <f ca="1">IFERROR(IF(0=LEN(ReferenceData!$Z$164),"",ReferenceData!$Z$164),"")</f>
        <v>1.670109085</v>
      </c>
      <c r="AA164">
        <f ca="1">IFERROR(IF(0=LEN(ReferenceData!$AA$164),"",ReferenceData!$AA$164),"")</f>
        <v>2.6681636709999998</v>
      </c>
      <c r="AB164">
        <f ca="1">IFERROR(IF(0=LEN(ReferenceData!$AB$164),"",ReferenceData!$AB$164),"")</f>
        <v>1.8050835350000001</v>
      </c>
      <c r="AC164">
        <f ca="1">IFERROR(IF(0=LEN(ReferenceData!$AC$164),"",ReferenceData!$AC$164),"")</f>
        <v>1.840277618</v>
      </c>
      <c r="AD164">
        <f ca="1">IFERROR(IF(0=LEN(ReferenceData!$AD$164),"",ReferenceData!$AD$164),"")</f>
        <v>1.8965239599999999</v>
      </c>
      <c r="AE164">
        <f ca="1">IFERROR(IF(0=LEN(ReferenceData!$AE$164),"",ReferenceData!$AE$164),"")</f>
        <v>2.0917568200000001</v>
      </c>
      <c r="AF164">
        <f ca="1">IFERROR(IF(0=LEN(ReferenceData!$AF$164),"",ReferenceData!$AF$164),"")</f>
        <v>1.9235104940000001</v>
      </c>
      <c r="AG164">
        <f ca="1">IFERROR(IF(0=LEN(ReferenceData!$AG$164),"",ReferenceData!$AG$164),"")</f>
        <v>1.9415535289999999</v>
      </c>
      <c r="AH164">
        <f ca="1">IFERROR(IF(0=LEN(ReferenceData!$AH$164),"",ReferenceData!$AH$164),"")</f>
        <v>2.0352447960000002</v>
      </c>
      <c r="AI164">
        <f ca="1">IFERROR(IF(0=LEN(ReferenceData!$AI$164),"",ReferenceData!$AI$164),"")</f>
        <v>2.8031686320000002</v>
      </c>
      <c r="AJ164">
        <f ca="1">IFERROR(IF(0=LEN(ReferenceData!$AJ$164),"",ReferenceData!$AJ$164),"")</f>
        <v>1.224394983</v>
      </c>
      <c r="AK164">
        <f ca="1">IFERROR(IF(0=LEN(ReferenceData!$AK$164),"",ReferenceData!$AK$164),"")</f>
        <v>1.909726263</v>
      </c>
      <c r="AL164">
        <f ca="1">IFERROR(IF(0=LEN(ReferenceData!$AL$164),"",ReferenceData!$AL$164),"")</f>
        <v>2.1462065930000001</v>
      </c>
      <c r="AM164">
        <f ca="1">IFERROR(IF(0=LEN(ReferenceData!$AM$164),"",ReferenceData!$AM$164),"")</f>
        <v>2.71645783</v>
      </c>
      <c r="AN164">
        <f ca="1">IFERROR(IF(0=LEN(ReferenceData!$AN$164),"",ReferenceData!$AN$164),"")</f>
        <v>2.2579661190000002</v>
      </c>
      <c r="AO164">
        <f ca="1">IFERROR(IF(0=LEN(ReferenceData!$AO$164),"",ReferenceData!$AO$164),"")</f>
        <v>2.37076741</v>
      </c>
      <c r="AP164">
        <f ca="1">IFERROR(IF(0=LEN(ReferenceData!$AP$164),"",ReferenceData!$AP$164),"")</f>
        <v>2.3232347120000001</v>
      </c>
      <c r="AQ164">
        <f ca="1">IFERROR(IF(0=LEN(ReferenceData!$AQ$164),"",ReferenceData!$AQ$164),"")</f>
        <v>2.4048307499999999</v>
      </c>
      <c r="AR164">
        <f ca="1">IFERROR(IF(0=LEN(ReferenceData!$AR$164),"",ReferenceData!$AR$164),"")</f>
        <v>2.6627228039999999</v>
      </c>
      <c r="AS164">
        <f ca="1">IFERROR(IF(0=LEN(ReferenceData!$AS$164),"",ReferenceData!$AS$164),"")</f>
        <v>2.2509915249999999</v>
      </c>
      <c r="AT164">
        <f ca="1">IFERROR(IF(0=LEN(ReferenceData!$AT$164),"",ReferenceData!$AT$164),"")</f>
        <v>2.4393153249999999</v>
      </c>
      <c r="AU164">
        <f ca="1">IFERROR(IF(0=LEN(ReferenceData!$AU$164),"",ReferenceData!$AU$164),"")</f>
        <v>1.5133164960000001</v>
      </c>
      <c r="AV164">
        <f ca="1">IFERROR(IF(0=LEN(ReferenceData!$AV$164),"",ReferenceData!$AV$164),"")</f>
        <v>2.3512145690000001</v>
      </c>
      <c r="AW164">
        <f ca="1">IFERROR(IF(0=LEN(ReferenceData!$AW$164),"",ReferenceData!$AW$164),"")</f>
        <v>2.316356055</v>
      </c>
      <c r="AX164">
        <f ca="1">IFERROR(IF(0=LEN(ReferenceData!$AX$164),"",ReferenceData!$AX$164),"")</f>
        <v>2.4150420320000001</v>
      </c>
      <c r="AY164">
        <f ca="1">IFERROR(IF(0=LEN(ReferenceData!$AY$164),"",ReferenceData!$AY$164),"")</f>
        <v>2.1140892569999998</v>
      </c>
      <c r="AZ164">
        <f ca="1">IFERROR(IF(0=LEN(ReferenceData!$AZ$164),"",ReferenceData!$AZ$164),"")</f>
        <v>2.5464286010000001</v>
      </c>
      <c r="BA164">
        <f ca="1">IFERROR(IF(0=LEN(ReferenceData!$BA$164),"",ReferenceData!$BA$164),"")</f>
        <v>2.7191537339999998</v>
      </c>
      <c r="BB164">
        <f ca="1">IFERROR(IF(0=LEN(ReferenceData!$BB$164),"",ReferenceData!$BB$164),"")</f>
        <v>2.7613191650000002</v>
      </c>
      <c r="BC164">
        <f ca="1">IFERROR(IF(0=LEN(ReferenceData!$BC$164),"",ReferenceData!$BC$164),"")</f>
        <v>1.2694798549999999</v>
      </c>
      <c r="BD164">
        <f ca="1">IFERROR(IF(0=LEN(ReferenceData!$BD$164),"",ReferenceData!$BD$164),"")</f>
        <v>1.695263918</v>
      </c>
      <c r="BE164">
        <f ca="1">IFERROR(IF(0=LEN(ReferenceData!$BE$164),"",ReferenceData!$BE$164),"")</f>
        <v>1.9653517760000001</v>
      </c>
      <c r="BF164">
        <f ca="1">IFERROR(IF(0=LEN(ReferenceData!$BF$164),"",ReferenceData!$BF$164),"")</f>
        <v>2.699827709</v>
      </c>
      <c r="BG164">
        <f ca="1">IFERROR(IF(0=LEN(ReferenceData!$BG$164),"",ReferenceData!$BG$164),"")</f>
        <v>2.198809319</v>
      </c>
      <c r="BH164">
        <f ca="1">IFERROR(IF(0=LEN(ReferenceData!$BH$164),"",ReferenceData!$BH$164),"")</f>
        <v>2.4971691539999998</v>
      </c>
      <c r="BI164">
        <f ca="1">IFERROR(IF(0=LEN(ReferenceData!$BI$164),"",ReferenceData!$BI$164),"")</f>
        <v>2.5983272070000001</v>
      </c>
      <c r="BJ164">
        <f ca="1">IFERROR(IF(0=LEN(ReferenceData!$BJ$164),"",ReferenceData!$BJ$164),"")</f>
        <v>2.4141421790000002</v>
      </c>
      <c r="BK164">
        <f ca="1">IFERROR(IF(0=LEN(ReferenceData!$BK$164),"",ReferenceData!$BK$164),"")</f>
        <v>2.358792164</v>
      </c>
      <c r="BL164">
        <f ca="1">IFERROR(IF(0=LEN(ReferenceData!$BL$164),"",ReferenceData!$BL$164),"")</f>
        <v>3.5260049480000002</v>
      </c>
      <c r="BM164">
        <f ca="1">IFERROR(IF(0=LEN(ReferenceData!$BM$164),"",ReferenceData!$BM$164),"")</f>
        <v>2.5230731020000001</v>
      </c>
    </row>
    <row r="165" spans="1:65">
      <c r="A165" t="str">
        <f>IFERROR(IF(0=LEN(ReferenceData!$A$165),"",ReferenceData!$A$165),"")</f>
        <v xml:space="preserve">    Mack-Cali Realty Corp</v>
      </c>
      <c r="B165" t="str">
        <f>IFERROR(IF(0=LEN(ReferenceData!$B$165),"",ReferenceData!$B$165),"")</f>
        <v>CLI US Equity</v>
      </c>
      <c r="C165" t="str">
        <f>IFERROR(IF(0=LEN(ReferenceData!$C$165),"",ReferenceData!$C$165),"")</f>
        <v>RR553</v>
      </c>
      <c r="D165" t="str">
        <f>IFERROR(IF(0=LEN(ReferenceData!$D$165),"",ReferenceData!$D$165),"")</f>
        <v>EBITDA_RE_ASSET</v>
      </c>
      <c r="E165" t="str">
        <f>IFERROR(IF(0=LEN(ReferenceData!$E$165),"",ReferenceData!$E$165),"")</f>
        <v>动态</v>
      </c>
      <c r="F165" t="str">
        <f ca="1">IFERROR(IF(0=LEN(ReferenceData!$F$165),"",ReferenceData!$F$165),"")</f>
        <v/>
      </c>
      <c r="G165">
        <f ca="1">IFERROR(IF(0=LEN(ReferenceData!$G$165),"",ReferenceData!$G$165),"")</f>
        <v>1.5803052500000001</v>
      </c>
      <c r="H165">
        <f ca="1">IFERROR(IF(0=LEN(ReferenceData!$H$165),"",ReferenceData!$H$165),"")</f>
        <v>1.8778028849999999</v>
      </c>
      <c r="I165">
        <f ca="1">IFERROR(IF(0=LEN(ReferenceData!$I$165),"",ReferenceData!$I$165),"")</f>
        <v>1.864428261</v>
      </c>
      <c r="J165">
        <f ca="1">IFERROR(IF(0=LEN(ReferenceData!$J$165),"",ReferenceData!$J$165),"")</f>
        <v>1.692776864</v>
      </c>
      <c r="K165">
        <f ca="1">IFERROR(IF(0=LEN(ReferenceData!$K$165),"",ReferenceData!$K$165),"")</f>
        <v>1.9543472500000001</v>
      </c>
      <c r="L165">
        <f ca="1">IFERROR(IF(0=LEN(ReferenceData!$L$165),"",ReferenceData!$L$165),"")</f>
        <v>1.9479814120000001</v>
      </c>
      <c r="M165">
        <f ca="1">IFERROR(IF(0=LEN(ReferenceData!$M$165),"",ReferenceData!$M$165),"")</f>
        <v>1.9099265299999999</v>
      </c>
      <c r="N165">
        <f ca="1">IFERROR(IF(0=LEN(ReferenceData!$N$165),"",ReferenceData!$N$165),"")</f>
        <v>1.9232067100000001</v>
      </c>
      <c r="O165">
        <f ca="1">IFERROR(IF(0=LEN(ReferenceData!$O$165),"",ReferenceData!$O$165),"")</f>
        <v>0.88581627200000002</v>
      </c>
      <c r="P165">
        <f ca="1">IFERROR(IF(0=LEN(ReferenceData!$P$165),"",ReferenceData!$P$165),"")</f>
        <v>-2.6542782030000001</v>
      </c>
      <c r="Q165">
        <f ca="1">IFERROR(IF(0=LEN(ReferenceData!$Q$165),"",ReferenceData!$Q$165),"")</f>
        <v>1.8811540010000001</v>
      </c>
      <c r="R165">
        <f ca="1">IFERROR(IF(0=LEN(ReferenceData!$R$165),"",ReferenceData!$R$165),"")</f>
        <v>1.7971268499999999</v>
      </c>
      <c r="S165">
        <f ca="1">IFERROR(IF(0=LEN(ReferenceData!$S$165),"",ReferenceData!$S$165),"")</f>
        <v>1.532702668</v>
      </c>
      <c r="T165">
        <f ca="1">IFERROR(IF(0=LEN(ReferenceData!$T$165),"",ReferenceData!$T$165),"")</f>
        <v>1.7564011719999999</v>
      </c>
      <c r="U165">
        <f ca="1">IFERROR(IF(0=LEN(ReferenceData!$U$165),"",ReferenceData!$U$165),"")</f>
        <v>2.0846424309999998</v>
      </c>
      <c r="V165">
        <f ca="1">IFERROR(IF(0=LEN(ReferenceData!$V$165),"",ReferenceData!$V$165),"")</f>
        <v>1.504904647</v>
      </c>
      <c r="W165">
        <f ca="1">IFERROR(IF(0=LEN(ReferenceData!$W$165),"",ReferenceData!$W$165),"")</f>
        <v>0.27012276499999999</v>
      </c>
      <c r="X165">
        <f ca="1">IFERROR(IF(0=LEN(ReferenceData!$X$165),"",ReferenceData!$X$165),"")</f>
        <v>0.80952634300000004</v>
      </c>
      <c r="Y165">
        <f ca="1">IFERROR(IF(0=LEN(ReferenceData!$Y$165),"",ReferenceData!$Y$165),"")</f>
        <v>2.1862311019999998</v>
      </c>
      <c r="Z165">
        <f ca="1">IFERROR(IF(0=LEN(ReferenceData!$Z$165),"",ReferenceData!$Z$165),"")</f>
        <v>2.068762762</v>
      </c>
      <c r="AA165">
        <f ca="1">IFERROR(IF(0=LEN(ReferenceData!$AA$165),"",ReferenceData!$AA$165),"")</f>
        <v>1.786380697</v>
      </c>
      <c r="AB165">
        <f ca="1">IFERROR(IF(0=LEN(ReferenceData!$AB$165),"",ReferenceData!$AB$165),"")</f>
        <v>2.221751088</v>
      </c>
      <c r="AC165">
        <f ca="1">IFERROR(IF(0=LEN(ReferenceData!$AC$165),"",ReferenceData!$AC$165),"")</f>
        <v>2.3825452550000001</v>
      </c>
      <c r="AD165">
        <f ca="1">IFERROR(IF(0=LEN(ReferenceData!$AD$165),"",ReferenceData!$AD$165),"")</f>
        <v>2.5843254550000001</v>
      </c>
      <c r="AE165">
        <f ca="1">IFERROR(IF(0=LEN(ReferenceData!$AE$165),"",ReferenceData!$AE$165),"")</f>
        <v>2.5213561549999999</v>
      </c>
      <c r="AF165">
        <f ca="1">IFERROR(IF(0=LEN(ReferenceData!$AF$165),"",ReferenceData!$AF$165),"")</f>
        <v>2.6915359190000001</v>
      </c>
      <c r="AG165">
        <f ca="1">IFERROR(IF(0=LEN(ReferenceData!$AG$165),"",ReferenceData!$AG$165),"")</f>
        <v>2.5112369760000002</v>
      </c>
      <c r="AH165">
        <f ca="1">IFERROR(IF(0=LEN(ReferenceData!$AH$165),"",ReferenceData!$AH$165),"")</f>
        <v>2.4576335789999999</v>
      </c>
      <c r="AI165">
        <f ca="1">IFERROR(IF(0=LEN(ReferenceData!$AI$165),"",ReferenceData!$AI$165),"")</f>
        <v>2.3420708440000002</v>
      </c>
      <c r="AJ165">
        <f ca="1">IFERROR(IF(0=LEN(ReferenceData!$AJ$165),"",ReferenceData!$AJ$165),"")</f>
        <v>2.5067605770000001</v>
      </c>
      <c r="AK165">
        <f ca="1">IFERROR(IF(0=LEN(ReferenceData!$AK$165),"",ReferenceData!$AK$165),"")</f>
        <v>2.5429776450000001</v>
      </c>
      <c r="AL165">
        <f ca="1">IFERROR(IF(0=LEN(ReferenceData!$AL$165),"",ReferenceData!$AL$165),"")</f>
        <v>2.59778989</v>
      </c>
      <c r="AM165">
        <f ca="1">IFERROR(IF(0=LEN(ReferenceData!$AM$165),"",ReferenceData!$AM$165),"")</f>
        <v>2.6482150779999998</v>
      </c>
      <c r="AN165">
        <f ca="1">IFERROR(IF(0=LEN(ReferenceData!$AN$165),"",ReferenceData!$AN$165),"")</f>
        <v>2.6128401459999999</v>
      </c>
      <c r="AO165">
        <f ca="1">IFERROR(IF(0=LEN(ReferenceData!$AO$165),"",ReferenceData!$AO$165),"")</f>
        <v>2.5796384890000001</v>
      </c>
      <c r="AP165">
        <f ca="1">IFERROR(IF(0=LEN(ReferenceData!$AP$165),"",ReferenceData!$AP$165),"")</f>
        <v>2.454367644</v>
      </c>
      <c r="AQ165">
        <f ca="1">IFERROR(IF(0=LEN(ReferenceData!$AQ$165),"",ReferenceData!$AQ$165),"")</f>
        <v>2.6463395150000002</v>
      </c>
      <c r="AR165">
        <f ca="1">IFERROR(IF(0=LEN(ReferenceData!$AR$165),"",ReferenceData!$AR$165),"")</f>
        <v>2.6276230329999999</v>
      </c>
      <c r="AS165">
        <f ca="1">IFERROR(IF(0=LEN(ReferenceData!$AS$165),"",ReferenceData!$AS$165),"")</f>
        <v>2.4107346139999999</v>
      </c>
      <c r="AT165">
        <f ca="1">IFERROR(IF(0=LEN(ReferenceData!$AT$165),"",ReferenceData!$AT$165),"")</f>
        <v>2.3959602759999998</v>
      </c>
      <c r="AU165">
        <f ca="1">IFERROR(IF(0=LEN(ReferenceData!$AU$165),"",ReferenceData!$AU$165),"")</f>
        <v>2.3547884090000002</v>
      </c>
      <c r="AV165">
        <f ca="1">IFERROR(IF(0=LEN(ReferenceData!$AV$165),"",ReferenceData!$AV$165),"")</f>
        <v>2.5520064589999998</v>
      </c>
      <c r="AW165">
        <f ca="1">IFERROR(IF(0=LEN(ReferenceData!$AW$165),"",ReferenceData!$AW$165),"")</f>
        <v>2.4113236680000001</v>
      </c>
      <c r="AX165">
        <f ca="1">IFERROR(IF(0=LEN(ReferenceData!$AX$165),"",ReferenceData!$AX$165),"")</f>
        <v>2.5054420249999998</v>
      </c>
      <c r="AY165">
        <f ca="1">IFERROR(IF(0=LEN(ReferenceData!$AY$165),"",ReferenceData!$AY$165),"")</f>
        <v>2.5384706239999999</v>
      </c>
      <c r="AZ165">
        <f ca="1">IFERROR(IF(0=LEN(ReferenceData!$AZ$165),"",ReferenceData!$AZ$165),"")</f>
        <v>2.358445863</v>
      </c>
      <c r="BA165">
        <f ca="1">IFERROR(IF(0=LEN(ReferenceData!$BA$165),"",ReferenceData!$BA$165),"")</f>
        <v>2.4354694870000002</v>
      </c>
      <c r="BB165">
        <f ca="1">IFERROR(IF(0=LEN(ReferenceData!$BB$165),"",ReferenceData!$BB$165),"")</f>
        <v>2.3474833949999998</v>
      </c>
      <c r="BC165">
        <f ca="1">IFERROR(IF(0=LEN(ReferenceData!$BC$165),"",ReferenceData!$BC$165),"")</f>
        <v>2.2515538080000002</v>
      </c>
      <c r="BD165">
        <f ca="1">IFERROR(IF(0=LEN(ReferenceData!$BD$165),"",ReferenceData!$BD$165),"")</f>
        <v>2.4698504209999999</v>
      </c>
      <c r="BE165">
        <f ca="1">IFERROR(IF(0=LEN(ReferenceData!$BE$165),"",ReferenceData!$BE$165),"")</f>
        <v>2.6352446889999999</v>
      </c>
      <c r="BF165">
        <f ca="1">IFERROR(IF(0=LEN(ReferenceData!$BF$165),"",ReferenceData!$BF$165),"")</f>
        <v>2.3969722990000002</v>
      </c>
      <c r="BG165">
        <f ca="1">IFERROR(IF(0=LEN(ReferenceData!$BG$165),"",ReferenceData!$BG$165),"")</f>
        <v>2.5083900290000001</v>
      </c>
      <c r="BH165">
        <f ca="1">IFERROR(IF(0=LEN(ReferenceData!$BH$165),"",ReferenceData!$BH$165),"")</f>
        <v>2.7528134899999999</v>
      </c>
      <c r="BI165">
        <f ca="1">IFERROR(IF(0=LEN(ReferenceData!$BI$165),"",ReferenceData!$BI$165),"")</f>
        <v>2.5616236030000001</v>
      </c>
      <c r="BJ165">
        <f ca="1">IFERROR(IF(0=LEN(ReferenceData!$BJ$165),"",ReferenceData!$BJ$165),"")</f>
        <v>2.6240711320000001</v>
      </c>
      <c r="BK165">
        <f ca="1">IFERROR(IF(0=LEN(ReferenceData!$BK$165),"",ReferenceData!$BK$165),"")</f>
        <v>2.61109335</v>
      </c>
      <c r="BL165">
        <f ca="1">IFERROR(IF(0=LEN(ReferenceData!$BL$165),"",ReferenceData!$BL$165),"")</f>
        <v>2.6415998100000002</v>
      </c>
      <c r="BM165">
        <f ca="1">IFERROR(IF(0=LEN(ReferenceData!$BM$165),"",ReferenceData!$BM$165),"")</f>
        <v>2.639870867</v>
      </c>
    </row>
    <row r="166" spans="1:65">
      <c r="A166" t="str">
        <f>IFERROR(IF(0=LEN(ReferenceData!$A$166),"",ReferenceData!$A$166),"")</f>
        <v xml:space="preserve">    Piedmont Office Realty Trust I</v>
      </c>
      <c r="B166" t="str">
        <f>IFERROR(IF(0=LEN(ReferenceData!$B$166),"",ReferenceData!$B$166),"")</f>
        <v>PDM US Equity</v>
      </c>
      <c r="C166" t="str">
        <f>IFERROR(IF(0=LEN(ReferenceData!$C$166),"",ReferenceData!$C$166),"")</f>
        <v>RR553</v>
      </c>
      <c r="D166" t="str">
        <f>IFERROR(IF(0=LEN(ReferenceData!$D$166),"",ReferenceData!$D$166),"")</f>
        <v>EBITDA_RE_ASSET</v>
      </c>
      <c r="E166" t="str">
        <f>IFERROR(IF(0=LEN(ReferenceData!$E$166),"",ReferenceData!$E$166),"")</f>
        <v>动态</v>
      </c>
      <c r="F166" t="str">
        <f ca="1">IFERROR(IF(0=LEN(ReferenceData!$F$166),"",ReferenceData!$F$166),"")</f>
        <v/>
      </c>
      <c r="G166">
        <f ca="1">IFERROR(IF(0=LEN(ReferenceData!$G$166),"",ReferenceData!$G$166),"")</f>
        <v>0.89889556699999995</v>
      </c>
      <c r="H166">
        <f ca="1">IFERROR(IF(0=LEN(ReferenceData!$H$166),"",ReferenceData!$H$166),"")</f>
        <v>2.2965531690000001</v>
      </c>
      <c r="I166">
        <f ca="1">IFERROR(IF(0=LEN(ReferenceData!$I$166),"",ReferenceData!$I$166),"")</f>
        <v>2.3422344060000002</v>
      </c>
      <c r="J166">
        <f ca="1">IFERROR(IF(0=LEN(ReferenceData!$J$166),"",ReferenceData!$J$166),"")</f>
        <v>2.3163593900000001</v>
      </c>
      <c r="K166">
        <f ca="1">IFERROR(IF(0=LEN(ReferenceData!$K$166),"",ReferenceData!$K$166),"")</f>
        <v>2.2109949640000002</v>
      </c>
      <c r="L166">
        <f ca="1">IFERROR(IF(0=LEN(ReferenceData!$L$166),"",ReferenceData!$L$166),"")</f>
        <v>1.4810033819999999</v>
      </c>
      <c r="M166">
        <f ca="1">IFERROR(IF(0=LEN(ReferenceData!$M$166),"",ReferenceData!$M$166),"")</f>
        <v>1.7963288479999999</v>
      </c>
      <c r="N166">
        <f ca="1">IFERROR(IF(0=LEN(ReferenceData!$N$166),"",ReferenceData!$N$166),"")</f>
        <v>2.099368659</v>
      </c>
      <c r="O166">
        <f ca="1">IFERROR(IF(0=LEN(ReferenceData!$O$166),"",ReferenceData!$O$166),"")</f>
        <v>2.1041614360000001</v>
      </c>
      <c r="P166">
        <f ca="1">IFERROR(IF(0=LEN(ReferenceData!$P$166),"",ReferenceData!$P$166),"")</f>
        <v>1.1274209550000001</v>
      </c>
      <c r="Q166">
        <f ca="1">IFERROR(IF(0=LEN(ReferenceData!$Q$166),"",ReferenceData!$Q$166),"")</f>
        <v>1.8010226330000001</v>
      </c>
      <c r="R166">
        <f ca="1">IFERROR(IF(0=LEN(ReferenceData!$R$166),"",ReferenceData!$R$166),"")</f>
        <v>1.9648405309999999</v>
      </c>
      <c r="S166">
        <f ca="1">IFERROR(IF(0=LEN(ReferenceData!$S$166),"",ReferenceData!$S$166),"")</f>
        <v>1.9575534059999999</v>
      </c>
      <c r="T166">
        <f ca="1">IFERROR(IF(0=LEN(ReferenceData!$T$166),"",ReferenceData!$T$166),"")</f>
        <v>1.9644683119999999</v>
      </c>
      <c r="U166">
        <f ca="1">IFERROR(IF(0=LEN(ReferenceData!$U$166),"",ReferenceData!$U$166),"")</f>
        <v>1.8951652450000001</v>
      </c>
      <c r="V166">
        <f ca="1">IFERROR(IF(0=LEN(ReferenceData!$V$166),"",ReferenceData!$V$166),"")</f>
        <v>1.895807848</v>
      </c>
      <c r="W166">
        <f ca="1">IFERROR(IF(0=LEN(ReferenceData!$W$166),"",ReferenceData!$W$166),"")</f>
        <v>2.016909584</v>
      </c>
      <c r="X166">
        <f ca="1">IFERROR(IF(0=LEN(ReferenceData!$X$166),"",ReferenceData!$X$166),"")</f>
        <v>2.0743839469999998</v>
      </c>
      <c r="Y166">
        <f ca="1">IFERROR(IF(0=LEN(ReferenceData!$Y$166),"",ReferenceData!$Y$166),"")</f>
        <v>1.9586579369999999</v>
      </c>
      <c r="Z166">
        <f ca="1">IFERROR(IF(0=LEN(ReferenceData!$Z$166),"",ReferenceData!$Z$166),"")</f>
        <v>1.997395544</v>
      </c>
      <c r="AA166">
        <f ca="1">IFERROR(IF(0=LEN(ReferenceData!$AA$166),"",ReferenceData!$AA$166),"")</f>
        <v>1.8583043619999999</v>
      </c>
      <c r="AB166">
        <f ca="1">IFERROR(IF(0=LEN(ReferenceData!$AB$166),"",ReferenceData!$AB$166),"")</f>
        <v>2.8356111749999999</v>
      </c>
      <c r="AC166">
        <f ca="1">IFERROR(IF(0=LEN(ReferenceData!$AC$166),"",ReferenceData!$AC$166),"")</f>
        <v>2.6926021630000001</v>
      </c>
      <c r="AD166">
        <f ca="1">IFERROR(IF(0=LEN(ReferenceData!$AD$166),"",ReferenceData!$AD$166),"")</f>
        <v>2.6610898500000002</v>
      </c>
      <c r="AE166">
        <f ca="1">IFERROR(IF(0=LEN(ReferenceData!$AE$166),"",ReferenceData!$AE$166),"")</f>
        <v>2.024333167</v>
      </c>
      <c r="AF166">
        <f ca="1">IFERROR(IF(0=LEN(ReferenceData!$AF$166),"",ReferenceData!$AF$166),"")</f>
        <v>2.5780670620000001</v>
      </c>
      <c r="AG166">
        <f ca="1">IFERROR(IF(0=LEN(ReferenceData!$AG$166),"",ReferenceData!$AG$166),"")</f>
        <v>2.5693702869999999</v>
      </c>
      <c r="AH166">
        <f ca="1">IFERROR(IF(0=LEN(ReferenceData!$AH$166),"",ReferenceData!$AH$166),"")</f>
        <v>2.5947628200000001</v>
      </c>
      <c r="AI166">
        <f ca="1">IFERROR(IF(0=LEN(ReferenceData!$AI$166),"",ReferenceData!$AI$166),"")</f>
        <v>2.0895788999999998</v>
      </c>
      <c r="AJ166">
        <f ca="1">IFERROR(IF(0=LEN(ReferenceData!$AJ$166),"",ReferenceData!$AJ$166),"")</f>
        <v>2.3982152189999999</v>
      </c>
      <c r="AK166">
        <f ca="1">IFERROR(IF(0=LEN(ReferenceData!$AK$166),"",ReferenceData!$AK$166),"")</f>
        <v>2.6876794780000002</v>
      </c>
      <c r="AL166">
        <f ca="1">IFERROR(IF(0=LEN(ReferenceData!$AL$166),"",ReferenceData!$AL$166),"")</f>
        <v>2.7756273949999999</v>
      </c>
      <c r="AM166">
        <f ca="1">IFERROR(IF(0=LEN(ReferenceData!$AM$166),"",ReferenceData!$AM$166),"")</f>
        <v>2.2755817939999998</v>
      </c>
      <c r="AN166">
        <f ca="1">IFERROR(IF(0=LEN(ReferenceData!$AN$166),"",ReferenceData!$AN$166),"")</f>
        <v>1.616677296</v>
      </c>
      <c r="AO166">
        <f ca="1">IFERROR(IF(0=LEN(ReferenceData!$AO$166),"",ReferenceData!$AO$166),"")</f>
        <v>2.6675410980000001</v>
      </c>
      <c r="AP166">
        <f ca="1">IFERROR(IF(0=LEN(ReferenceData!$AP$166),"",ReferenceData!$AP$166),"")</f>
        <v>2.2257532740000001</v>
      </c>
      <c r="AQ166">
        <f ca="1">IFERROR(IF(0=LEN(ReferenceData!$AQ$166),"",ReferenceData!$AQ$166),"")</f>
        <v>2.3290168869999999</v>
      </c>
      <c r="AR166">
        <f ca="1">IFERROR(IF(0=LEN(ReferenceData!$AR$166),"",ReferenceData!$AR$166),"")</f>
        <v>2.4272533379999999</v>
      </c>
      <c r="AS166">
        <f ca="1">IFERROR(IF(0=LEN(ReferenceData!$AS$166),"",ReferenceData!$AS$166),"")</f>
        <v>2.5939288939999998</v>
      </c>
      <c r="AT166">
        <f ca="1">IFERROR(IF(0=LEN(ReferenceData!$AT$166),"",ReferenceData!$AT$166),"")</f>
        <v>2.4608392430000001</v>
      </c>
      <c r="AU166">
        <f ca="1">IFERROR(IF(0=LEN(ReferenceData!$AU$166),"",ReferenceData!$AU$166),"")</f>
        <v>2.343054183</v>
      </c>
      <c r="AV166">
        <f ca="1">IFERROR(IF(0=LEN(ReferenceData!$AV$166),"",ReferenceData!$AV$166),"")</f>
        <v>2.3001273270000002</v>
      </c>
      <c r="AW166">
        <f ca="1">IFERROR(IF(0=LEN(ReferenceData!$AW$166),"",ReferenceData!$AW$166),"")</f>
        <v>2.1909622080000002</v>
      </c>
      <c r="AX166">
        <f ca="1">IFERROR(IF(0=LEN(ReferenceData!$AX$166),"",ReferenceData!$AX$166),"")</f>
        <v>2.1990972320000002</v>
      </c>
      <c r="AY166">
        <f ca="1">IFERROR(IF(0=LEN(ReferenceData!$AY$166),"",ReferenceData!$AY$166),"")</f>
        <v>2.0179403159999998</v>
      </c>
      <c r="AZ166">
        <f ca="1">IFERROR(IF(0=LEN(ReferenceData!$AZ$166),"",ReferenceData!$AZ$166),"")</f>
        <v>2.3118264040000001</v>
      </c>
      <c r="BA166">
        <f ca="1">IFERROR(IF(0=LEN(ReferenceData!$BA$166),"",ReferenceData!$BA$166),"")</f>
        <v>2.0895459509999998</v>
      </c>
      <c r="BB166">
        <f ca="1">IFERROR(IF(0=LEN(ReferenceData!$BB$166),"",ReferenceData!$BB$166),"")</f>
        <v>2.1449602369999998</v>
      </c>
      <c r="BC166">
        <f ca="1">IFERROR(IF(0=LEN(ReferenceData!$BC$166),"",ReferenceData!$BC$166),"")</f>
        <v>1.9099813619999999</v>
      </c>
      <c r="BD166">
        <f ca="1">IFERROR(IF(0=LEN(ReferenceData!$BD$166),"",ReferenceData!$BD$166),"")</f>
        <v>2.0531207330000001</v>
      </c>
      <c r="BE166">
        <f ca="1">IFERROR(IF(0=LEN(ReferenceData!$BE$166),"",ReferenceData!$BE$166),"")</f>
        <v>2.6456633030000001</v>
      </c>
      <c r="BF166">
        <f ca="1">IFERROR(IF(0=LEN(ReferenceData!$BF$166),"",ReferenceData!$BF$166),"")</f>
        <v>1.673159399</v>
      </c>
      <c r="BG166">
        <f ca="1">IFERROR(IF(0=LEN(ReferenceData!$BG$166),"",ReferenceData!$BG$166),"")</f>
        <v>2.1287233059999999</v>
      </c>
      <c r="BH166">
        <f ca="1">IFERROR(IF(0=LEN(ReferenceData!$BH$166),"",ReferenceData!$BH$166),"")</f>
        <v>1.6522127470000001</v>
      </c>
      <c r="BI166">
        <f ca="1">IFERROR(IF(0=LEN(ReferenceData!$BI$166),"",ReferenceData!$BI$166),"")</f>
        <v>2.4249081549999998</v>
      </c>
      <c r="BJ166">
        <f ca="1">IFERROR(IF(0=LEN(ReferenceData!$BJ$166),"",ReferenceData!$BJ$166),"")</f>
        <v>1.8430498749999999</v>
      </c>
      <c r="BK166">
        <f ca="1">IFERROR(IF(0=LEN(ReferenceData!$BK$166),"",ReferenceData!$BK$166),"")</f>
        <v>1.607942151</v>
      </c>
      <c r="BL166">
        <f ca="1">IFERROR(IF(0=LEN(ReferenceData!$BL$166),"",ReferenceData!$BL$166),"")</f>
        <v>1.920359642</v>
      </c>
      <c r="BM166">
        <f ca="1">IFERROR(IF(0=LEN(ReferenceData!$BM$166),"",ReferenceData!$BM$166),"")</f>
        <v>1.879761249</v>
      </c>
    </row>
    <row r="167" spans="1:65">
      <c r="A167" t="str">
        <f>IFERROR(IF(0=LEN(ReferenceData!$A$167),"",ReferenceData!$A$167),"")</f>
        <v xml:space="preserve">    SL Green Realty Corp</v>
      </c>
      <c r="B167" t="str">
        <f>IFERROR(IF(0=LEN(ReferenceData!$B$167),"",ReferenceData!$B$167),"")</f>
        <v>SLG US Equity</v>
      </c>
      <c r="C167" t="str">
        <f>IFERROR(IF(0=LEN(ReferenceData!$C$167),"",ReferenceData!$C$167),"")</f>
        <v>RR553</v>
      </c>
      <c r="D167" t="str">
        <f>IFERROR(IF(0=LEN(ReferenceData!$D$167),"",ReferenceData!$D$167),"")</f>
        <v>EBITDA_RE_ASSET</v>
      </c>
      <c r="E167" t="str">
        <f>IFERROR(IF(0=LEN(ReferenceData!$E$167),"",ReferenceData!$E$167),"")</f>
        <v>动态</v>
      </c>
      <c r="F167" t="str">
        <f ca="1">IFERROR(IF(0=LEN(ReferenceData!$F$167),"",ReferenceData!$F$167),"")</f>
        <v/>
      </c>
      <c r="G167">
        <f ca="1">IFERROR(IF(0=LEN(ReferenceData!$G$167),"",ReferenceData!$G$167),"")</f>
        <v>1.6245208360000001</v>
      </c>
      <c r="H167">
        <f ca="1">IFERROR(IF(0=LEN(ReferenceData!$H$167),"",ReferenceData!$H$167),"")</f>
        <v>1.5277613430000001</v>
      </c>
      <c r="I167">
        <f ca="1">IFERROR(IF(0=LEN(ReferenceData!$I$167),"",ReferenceData!$I$167),"")</f>
        <v>1.729878056</v>
      </c>
      <c r="J167">
        <f ca="1">IFERROR(IF(0=LEN(ReferenceData!$J$167),"",ReferenceData!$J$167),"")</f>
        <v>1.5421023250000001</v>
      </c>
      <c r="K167">
        <f ca="1">IFERROR(IF(0=LEN(ReferenceData!$K$167),"",ReferenceData!$K$167),"")</f>
        <v>1.4557895949999999</v>
      </c>
      <c r="L167">
        <f ca="1">IFERROR(IF(0=LEN(ReferenceData!$L$167),"",ReferenceData!$L$167),"")</f>
        <v>1.758911924</v>
      </c>
      <c r="M167">
        <f ca="1">IFERROR(IF(0=LEN(ReferenceData!$M$167),"",ReferenceData!$M$167),"")</f>
        <v>2.9642523449999998</v>
      </c>
      <c r="N167">
        <f ca="1">IFERROR(IF(0=LEN(ReferenceData!$N$167),"",ReferenceData!$N$167),"")</f>
        <v>1.8794433269999999</v>
      </c>
      <c r="O167">
        <f ca="1">IFERROR(IF(0=LEN(ReferenceData!$O$167),"",ReferenceData!$O$167),"")</f>
        <v>1.5136463040000001</v>
      </c>
      <c r="P167">
        <f ca="1">IFERROR(IF(0=LEN(ReferenceData!$P$167),"",ReferenceData!$P$167),"")</f>
        <v>1.5410962029999999</v>
      </c>
      <c r="Q167">
        <f ca="1">IFERROR(IF(0=LEN(ReferenceData!$Q$167),"",ReferenceData!$Q$167),"")</f>
        <v>1.7569775059999999</v>
      </c>
      <c r="R167">
        <f ca="1">IFERROR(IF(0=LEN(ReferenceData!$R$167),"",ReferenceData!$R$167),"")</f>
        <v>1.5922864839999999</v>
      </c>
      <c r="S167">
        <f ca="1">IFERROR(IF(0=LEN(ReferenceData!$S$167),"",ReferenceData!$S$167),"")</f>
        <v>1.567759481</v>
      </c>
      <c r="T167">
        <f ca="1">IFERROR(IF(0=LEN(ReferenceData!$T$167),"",ReferenceData!$T$167),"")</f>
        <v>1.6282449429999999</v>
      </c>
      <c r="U167">
        <f ca="1">IFERROR(IF(0=LEN(ReferenceData!$U$167),"",ReferenceData!$U$167),"")</f>
        <v>1.6100049890000001</v>
      </c>
      <c r="V167">
        <f ca="1">IFERROR(IF(0=LEN(ReferenceData!$V$167),"",ReferenceData!$V$167),"")</f>
        <v>1.6252316440000001</v>
      </c>
      <c r="W167">
        <f ca="1">IFERROR(IF(0=LEN(ReferenceData!$W$167),"",ReferenceData!$W$167),"")</f>
        <v>1.52273109</v>
      </c>
      <c r="X167">
        <f ca="1">IFERROR(IF(0=LEN(ReferenceData!$X$167),"",ReferenceData!$X$167),"")</f>
        <v>1.5384873729999999</v>
      </c>
      <c r="Y167">
        <f ca="1">IFERROR(IF(0=LEN(ReferenceData!$Y$167),"",ReferenceData!$Y$167),"")</f>
        <v>1.6734297849999999</v>
      </c>
      <c r="Z167">
        <f ca="1">IFERROR(IF(0=LEN(ReferenceData!$Z$167),"",ReferenceData!$Z$167),"")</f>
        <v>1.6603120520000001</v>
      </c>
      <c r="AA167">
        <f ca="1">IFERROR(IF(0=LEN(ReferenceData!$AA$167),"",ReferenceData!$AA$167),"")</f>
        <v>1.571606128</v>
      </c>
      <c r="AB167">
        <f ca="1">IFERROR(IF(0=LEN(ReferenceData!$AB$167),"",ReferenceData!$AB$167),"")</f>
        <v>1.5767592269999999</v>
      </c>
      <c r="AC167">
        <f ca="1">IFERROR(IF(0=LEN(ReferenceData!$AC$167),"",ReferenceData!$AC$167),"")</f>
        <v>1.6212966390000001</v>
      </c>
      <c r="AD167">
        <f ca="1">IFERROR(IF(0=LEN(ReferenceData!$AD$167),"",ReferenceData!$AD$167),"")</f>
        <v>1.541080553</v>
      </c>
      <c r="AE167">
        <f ca="1">IFERROR(IF(0=LEN(ReferenceData!$AE$167),"",ReferenceData!$AE$167),"")</f>
        <v>1.5003419140000001</v>
      </c>
      <c r="AF167">
        <f ca="1">IFERROR(IF(0=LEN(ReferenceData!$AF$167),"",ReferenceData!$AF$167),"")</f>
        <v>1.477434001</v>
      </c>
      <c r="AG167">
        <f ca="1">IFERROR(IF(0=LEN(ReferenceData!$AG$167),"",ReferenceData!$AG$167),"")</f>
        <v>1.4656907189999999</v>
      </c>
      <c r="AH167">
        <f ca="1">IFERROR(IF(0=LEN(ReferenceData!$AH$167),"",ReferenceData!$AH$167),"")</f>
        <v>2.0492928770000001</v>
      </c>
      <c r="AI167">
        <f ca="1">IFERROR(IF(0=LEN(ReferenceData!$AI$167),"",ReferenceData!$AI$167),"")</f>
        <v>1.518146996</v>
      </c>
      <c r="AJ167">
        <f ca="1">IFERROR(IF(0=LEN(ReferenceData!$AJ$167),"",ReferenceData!$AJ$167),"")</f>
        <v>2.1085052819999999</v>
      </c>
      <c r="AK167">
        <f ca="1">IFERROR(IF(0=LEN(ReferenceData!$AK$167),"",ReferenceData!$AK$167),"")</f>
        <v>1.4195816459999999</v>
      </c>
      <c r="AL167">
        <f ca="1">IFERROR(IF(0=LEN(ReferenceData!$AL$167),"",ReferenceData!$AL$167),"")</f>
        <v>1.3552124480000001</v>
      </c>
      <c r="AM167">
        <f ca="1">IFERROR(IF(0=LEN(ReferenceData!$AM$167),"",ReferenceData!$AM$167),"")</f>
        <v>1.1135196329999999</v>
      </c>
      <c r="AN167">
        <f ca="1">IFERROR(IF(0=LEN(ReferenceData!$AN$167),"",ReferenceData!$AN$167),"")</f>
        <v>1.295581622</v>
      </c>
      <c r="AO167">
        <f ca="1">IFERROR(IF(0=LEN(ReferenceData!$AO$167),"",ReferenceData!$AO$167),"")</f>
        <v>1.020428675</v>
      </c>
      <c r="AP167">
        <f ca="1">IFERROR(IF(0=LEN(ReferenceData!$AP$167),"",ReferenceData!$AP$167),"")</f>
        <v>0.91613250999999996</v>
      </c>
      <c r="AQ167">
        <f ca="1">IFERROR(IF(0=LEN(ReferenceData!$AQ$167),"",ReferenceData!$AQ$167),"")</f>
        <v>0.40629218</v>
      </c>
      <c r="AR167">
        <f ca="1">IFERROR(IF(0=LEN(ReferenceData!$AR$167),"",ReferenceData!$AR$167),"")</f>
        <v>1.44449641</v>
      </c>
      <c r="AS167">
        <f ca="1">IFERROR(IF(0=LEN(ReferenceData!$AS$167),"",ReferenceData!$AS$167),"")</f>
        <v>1.640493142</v>
      </c>
      <c r="AT167">
        <f ca="1">IFERROR(IF(0=LEN(ReferenceData!$AT$167),"",ReferenceData!$AT$167),"")</f>
        <v>1.3219150820000001</v>
      </c>
      <c r="AU167">
        <f ca="1">IFERROR(IF(0=LEN(ReferenceData!$AU$167),"",ReferenceData!$AU$167),"")</f>
        <v>1.3256553310000001</v>
      </c>
      <c r="AV167">
        <f ca="1">IFERROR(IF(0=LEN(ReferenceData!$AV$167),"",ReferenceData!$AV$167),"")</f>
        <v>1.3585946090000001</v>
      </c>
      <c r="AW167">
        <f ca="1">IFERROR(IF(0=LEN(ReferenceData!$AW$167),"",ReferenceData!$AW$167),"")</f>
        <v>1.6427175759999999</v>
      </c>
      <c r="AX167">
        <f ca="1">IFERROR(IF(0=LEN(ReferenceData!$AX$167),"",ReferenceData!$AX$167),"")</f>
        <v>2.073117232</v>
      </c>
      <c r="AY167">
        <f ca="1">IFERROR(IF(0=LEN(ReferenceData!$AY$167),"",ReferenceData!$AY$167),"")</f>
        <v>1.97045268</v>
      </c>
      <c r="AZ167">
        <f ca="1">IFERROR(IF(0=LEN(ReferenceData!$AZ$167),"",ReferenceData!$AZ$167),"")</f>
        <v>1.9069291989999999</v>
      </c>
      <c r="BA167">
        <f ca="1">IFERROR(IF(0=LEN(ReferenceData!$BA$167),"",ReferenceData!$BA$167),"")</f>
        <v>1.8901884499999999</v>
      </c>
      <c r="BB167">
        <f ca="1">IFERROR(IF(0=LEN(ReferenceData!$BB$167),"",ReferenceData!$BB$167),"")</f>
        <v>1.7388559939999999</v>
      </c>
      <c r="BC167">
        <f ca="1">IFERROR(IF(0=LEN(ReferenceData!$BC$167),"",ReferenceData!$BC$167),"")</f>
        <v>1.7552390790000001</v>
      </c>
      <c r="BD167">
        <f ca="1">IFERROR(IF(0=LEN(ReferenceData!$BD$167),"",ReferenceData!$BD$167),"")</f>
        <v>1.9212682619999999</v>
      </c>
      <c r="BE167">
        <f ca="1">IFERROR(IF(0=LEN(ReferenceData!$BE$167),"",ReferenceData!$BE$167),"")</f>
        <v>1.668505159</v>
      </c>
      <c r="BF167">
        <f ca="1">IFERROR(IF(0=LEN(ReferenceData!$BF$167),"",ReferenceData!$BF$167),"")</f>
        <v>1.9021121009999999</v>
      </c>
      <c r="BG167">
        <f ca="1">IFERROR(IF(0=LEN(ReferenceData!$BG$167),"",ReferenceData!$BG$167),"")</f>
        <v>1.597317552</v>
      </c>
      <c r="BH167">
        <f ca="1">IFERROR(IF(0=LEN(ReferenceData!$BH$167),"",ReferenceData!$BH$167),"")</f>
        <v>1.733131545</v>
      </c>
      <c r="BI167">
        <f ca="1">IFERROR(IF(0=LEN(ReferenceData!$BI$167),"",ReferenceData!$BI$167),"")</f>
        <v>2.4017654240000001</v>
      </c>
      <c r="BJ167">
        <f ca="1">IFERROR(IF(0=LEN(ReferenceData!$BJ$167),"",ReferenceData!$BJ$167),"")</f>
        <v>2.0378919710000001</v>
      </c>
      <c r="BK167">
        <f ca="1">IFERROR(IF(0=LEN(ReferenceData!$BK$167),"",ReferenceData!$BK$167),"")</f>
        <v>1.9909782490000001</v>
      </c>
      <c r="BL167">
        <f ca="1">IFERROR(IF(0=LEN(ReferenceData!$BL$167),"",ReferenceData!$BL$167),"")</f>
        <v>2.5982838080000001</v>
      </c>
      <c r="BM167">
        <f ca="1">IFERROR(IF(0=LEN(ReferenceData!$BM$167),"",ReferenceData!$BM$167),"")</f>
        <v>2.5190144989999999</v>
      </c>
    </row>
    <row r="168" spans="1:65">
      <c r="A168" t="str">
        <f>IFERROR(IF(0=LEN(ReferenceData!$A$168),"",ReferenceData!$A$168),"")</f>
        <v xml:space="preserve">    Vornado Realty Trust</v>
      </c>
      <c r="B168" t="str">
        <f>IFERROR(IF(0=LEN(ReferenceData!$B$168),"",ReferenceData!$B$168),"")</f>
        <v>VNO US Equity</v>
      </c>
      <c r="C168" t="str">
        <f>IFERROR(IF(0=LEN(ReferenceData!$C$168),"",ReferenceData!$C$168),"")</f>
        <v>RR553</v>
      </c>
      <c r="D168" t="str">
        <f>IFERROR(IF(0=LEN(ReferenceData!$D$168),"",ReferenceData!$D$168),"")</f>
        <v>EBITDA_RE_ASSET</v>
      </c>
      <c r="E168" t="str">
        <f>IFERROR(IF(0=LEN(ReferenceData!$E$168),"",ReferenceData!$E$168),"")</f>
        <v>动态</v>
      </c>
      <c r="F168" t="str">
        <f ca="1">IFERROR(IF(0=LEN(ReferenceData!$F$168),"",ReferenceData!$F$168),"")</f>
        <v/>
      </c>
      <c r="G168">
        <f ca="1">IFERROR(IF(0=LEN(ReferenceData!$G$168),"",ReferenceData!$G$168),"")</f>
        <v>2.0920043800000001</v>
      </c>
      <c r="H168">
        <f ca="1">IFERROR(IF(0=LEN(ReferenceData!$H$168),"",ReferenceData!$H$168),"")</f>
        <v>2.093210515</v>
      </c>
      <c r="I168">
        <f ca="1">IFERROR(IF(0=LEN(ReferenceData!$I$168),"",ReferenceData!$I$168),"")</f>
        <v>1.9332529890000001</v>
      </c>
      <c r="J168">
        <f ca="1">IFERROR(IF(0=LEN(ReferenceData!$J$168),"",ReferenceData!$J$168),"")</f>
        <v>1.7870669219999999</v>
      </c>
      <c r="K168">
        <f ca="1">IFERROR(IF(0=LEN(ReferenceData!$K$168),"",ReferenceData!$K$168),"")</f>
        <v>1.92445087</v>
      </c>
      <c r="L168">
        <f ca="1">IFERROR(IF(0=LEN(ReferenceData!$L$168),"",ReferenceData!$L$168),"")</f>
        <v>1.982208991</v>
      </c>
      <c r="M168">
        <f ca="1">IFERROR(IF(0=LEN(ReferenceData!$M$168),"",ReferenceData!$M$168),"")</f>
        <v>1.9920735430000001</v>
      </c>
      <c r="N168">
        <f ca="1">IFERROR(IF(0=LEN(ReferenceData!$N$168),"",ReferenceData!$N$168),"")</f>
        <v>0.82323882999999998</v>
      </c>
      <c r="O168">
        <f ca="1">IFERROR(IF(0=LEN(ReferenceData!$O$168),"",ReferenceData!$O$168),"")</f>
        <v>1.9743264389999999</v>
      </c>
      <c r="P168">
        <f ca="1">IFERROR(IF(0=LEN(ReferenceData!$P$168),"",ReferenceData!$P$168),"")</f>
        <v>2.0025518249999998</v>
      </c>
      <c r="Q168">
        <f ca="1">IFERROR(IF(0=LEN(ReferenceData!$Q$168),"",ReferenceData!$Q$168),"")</f>
        <v>2.0364965069999998</v>
      </c>
      <c r="R168">
        <f ca="1">IFERROR(IF(0=LEN(ReferenceData!$R$168),"",ReferenceData!$R$168),"")</f>
        <v>1.8770538640000001</v>
      </c>
      <c r="S168">
        <f ca="1">IFERROR(IF(0=LEN(ReferenceData!$S$168),"",ReferenceData!$S$168),"")</f>
        <v>2.137886215</v>
      </c>
      <c r="T168">
        <f ca="1">IFERROR(IF(0=LEN(ReferenceData!$T$168),"",ReferenceData!$T$168),"")</f>
        <v>1.897167965</v>
      </c>
      <c r="U168">
        <f ca="1">IFERROR(IF(0=LEN(ReferenceData!$U$168),"",ReferenceData!$U$168),"")</f>
        <v>1.8766353650000001</v>
      </c>
      <c r="V168">
        <f ca="1">IFERROR(IF(0=LEN(ReferenceData!$V$168),"",ReferenceData!$V$168),"")</f>
        <v>1.87805354</v>
      </c>
      <c r="W168">
        <f ca="1">IFERROR(IF(0=LEN(ReferenceData!$W$168),"",ReferenceData!$W$168),"")</f>
        <v>1.9787474490000001</v>
      </c>
      <c r="X168">
        <f ca="1">IFERROR(IF(0=LEN(ReferenceData!$X$168),"",ReferenceData!$X$168),"")</f>
        <v>2.1828071850000001</v>
      </c>
      <c r="Y168">
        <f ca="1">IFERROR(IF(0=LEN(ReferenceData!$Y$168),"",ReferenceData!$Y$168),"")</f>
        <v>2.0123055120000002</v>
      </c>
      <c r="Z168">
        <f ca="1">IFERROR(IF(0=LEN(ReferenceData!$Z$168),"",ReferenceData!$Z$168),"")</f>
        <v>2.3333427050000002</v>
      </c>
      <c r="AA168">
        <f ca="1">IFERROR(IF(0=LEN(ReferenceData!$AA$168),"",ReferenceData!$AA$168),"")</f>
        <v>1.1849070820000001</v>
      </c>
      <c r="AB168">
        <f ca="1">IFERROR(IF(0=LEN(ReferenceData!$AB$168),"",ReferenceData!$AB$168),"")</f>
        <v>2.0025127309999999</v>
      </c>
      <c r="AC168">
        <f ca="1">IFERROR(IF(0=LEN(ReferenceData!$AC$168),"",ReferenceData!$AC$168),"")</f>
        <v>2.0548628340000001</v>
      </c>
      <c r="AD168">
        <f ca="1">IFERROR(IF(0=LEN(ReferenceData!$AD$168),"",ReferenceData!$AD$168),"")</f>
        <v>1.9026650679999999</v>
      </c>
      <c r="AE168">
        <f ca="1">IFERROR(IF(0=LEN(ReferenceData!$AE$168),"",ReferenceData!$AE$168),"")</f>
        <v>2.2580128909999999</v>
      </c>
      <c r="AF168">
        <f ca="1">IFERROR(IF(0=LEN(ReferenceData!$AF$168),"",ReferenceData!$AF$168),"")</f>
        <v>2.087331131</v>
      </c>
      <c r="AG168">
        <f ca="1">IFERROR(IF(0=LEN(ReferenceData!$AG$168),"",ReferenceData!$AG$168),"")</f>
        <v>2.1132452970000002</v>
      </c>
      <c r="AH168">
        <f ca="1">IFERROR(IF(0=LEN(ReferenceData!$AH$168),"",ReferenceData!$AH$168),"")</f>
        <v>1.8945162230000001</v>
      </c>
      <c r="AI168">
        <f ca="1">IFERROR(IF(0=LEN(ReferenceData!$AI$168),"",ReferenceData!$AI$168),"")</f>
        <v>1.2991880099999999</v>
      </c>
      <c r="AJ168">
        <f ca="1">IFERROR(IF(0=LEN(ReferenceData!$AJ$168),"",ReferenceData!$AJ$168),"")</f>
        <v>2.0604633030000001</v>
      </c>
      <c r="AK168">
        <f ca="1">IFERROR(IF(0=LEN(ReferenceData!$AK$168),"",ReferenceData!$AK$168),"")</f>
        <v>2.14789385</v>
      </c>
      <c r="AL168">
        <f ca="1">IFERROR(IF(0=LEN(ReferenceData!$AL$168),"",ReferenceData!$AL$168),"")</f>
        <v>2.0892562790000002</v>
      </c>
      <c r="AM168">
        <f ca="1">IFERROR(IF(0=LEN(ReferenceData!$AM$168),"",ReferenceData!$AM$168),"")</f>
        <v>1.8273277429999999</v>
      </c>
      <c r="AN168">
        <f ca="1">IFERROR(IF(0=LEN(ReferenceData!$AN$168),"",ReferenceData!$AN$168),"")</f>
        <v>1.9808976410000001</v>
      </c>
      <c r="AO168">
        <f ca="1">IFERROR(IF(0=LEN(ReferenceData!$AO$168),"",ReferenceData!$AO$168),"")</f>
        <v>1.9697398880000001</v>
      </c>
      <c r="AP168">
        <f ca="1">IFERROR(IF(0=LEN(ReferenceData!$AP$168),"",ReferenceData!$AP$168),"")</f>
        <v>1.7647377200000001</v>
      </c>
      <c r="AQ168">
        <f ca="1">IFERROR(IF(0=LEN(ReferenceData!$AQ$168),"",ReferenceData!$AQ$168),"")</f>
        <v>2.048324434</v>
      </c>
      <c r="AR168">
        <f ca="1">IFERROR(IF(0=LEN(ReferenceData!$AR$168),"",ReferenceData!$AR$168),"")</f>
        <v>1.914637103</v>
      </c>
      <c r="AS168">
        <f ca="1">IFERROR(IF(0=LEN(ReferenceData!$AS$168),"",ReferenceData!$AS$168),"")</f>
        <v>1.9989397849999999</v>
      </c>
      <c r="AT168">
        <f ca="1">IFERROR(IF(0=LEN(ReferenceData!$AT$168),"",ReferenceData!$AT$168),"")</f>
        <v>1.957914562</v>
      </c>
      <c r="AU168">
        <f ca="1">IFERROR(IF(0=LEN(ReferenceData!$AU$168),"",ReferenceData!$AU$168),"")</f>
        <v>2.0795161439999998</v>
      </c>
      <c r="AV168">
        <f ca="1">IFERROR(IF(0=LEN(ReferenceData!$AV$168),"",ReferenceData!$AV$168),"")</f>
        <v>1.7830885940000001</v>
      </c>
      <c r="AW168">
        <f ca="1">IFERROR(IF(0=LEN(ReferenceData!$AW$168),"",ReferenceData!$AW$168),"")</f>
        <v>1.7047280170000001</v>
      </c>
      <c r="AX168">
        <f ca="1">IFERROR(IF(0=LEN(ReferenceData!$AX$168),"",ReferenceData!$AX$168),"")</f>
        <v>1.893721644</v>
      </c>
      <c r="AY168">
        <f ca="1">IFERROR(IF(0=LEN(ReferenceData!$AY$168),"",ReferenceData!$AY$168),"")</f>
        <v>2.0737362770000001</v>
      </c>
      <c r="AZ168">
        <f ca="1">IFERROR(IF(0=LEN(ReferenceData!$AZ$168),"",ReferenceData!$AZ$168),"")</f>
        <v>2.1414825080000002</v>
      </c>
      <c r="BA168">
        <f ca="1">IFERROR(IF(0=LEN(ReferenceData!$BA$168),"",ReferenceData!$BA$168),"")</f>
        <v>2.3761893789999999</v>
      </c>
      <c r="BB168">
        <f ca="1">IFERROR(IF(0=LEN(ReferenceData!$BB$168),"",ReferenceData!$BB$168),"")</f>
        <v>2.423735642</v>
      </c>
      <c r="BC168">
        <f ca="1">IFERROR(IF(0=LEN(ReferenceData!$BC$168),"",ReferenceData!$BC$168),"")</f>
        <v>2.7011345969999998</v>
      </c>
      <c r="BD168">
        <f ca="1">IFERROR(IF(0=LEN(ReferenceData!$BD$168),"",ReferenceData!$BD$168),"")</f>
        <v>2.0040672439999998</v>
      </c>
      <c r="BE168">
        <f ca="1">IFERROR(IF(0=LEN(ReferenceData!$BE$168),"",ReferenceData!$BE$168),"")</f>
        <v>2.6819923760000002</v>
      </c>
      <c r="BF168">
        <f ca="1">IFERROR(IF(0=LEN(ReferenceData!$BF$168),"",ReferenceData!$BF$168),"")</f>
        <v>2.7841686879999998</v>
      </c>
      <c r="BG168">
        <f ca="1">IFERROR(IF(0=LEN(ReferenceData!$BG$168),"",ReferenceData!$BG$168),"")</f>
        <v>4.0654633349999996</v>
      </c>
      <c r="BH168">
        <f ca="1">IFERROR(IF(0=LEN(ReferenceData!$BH$168),"",ReferenceData!$BH$168),"")</f>
        <v>2.7920765529999998</v>
      </c>
      <c r="BI168">
        <f ca="1">IFERROR(IF(0=LEN(ReferenceData!$BI$168),"",ReferenceData!$BI$168),"")</f>
        <v>2.9347510529999998</v>
      </c>
      <c r="BJ168">
        <f ca="1">IFERROR(IF(0=LEN(ReferenceData!$BJ$168),"",ReferenceData!$BJ$168),"")</f>
        <v>2.7445925519999999</v>
      </c>
      <c r="BK168">
        <f ca="1">IFERROR(IF(0=LEN(ReferenceData!$BK$168),"",ReferenceData!$BK$168),"")</f>
        <v>2.654898234</v>
      </c>
      <c r="BL168">
        <f ca="1">IFERROR(IF(0=LEN(ReferenceData!$BL$168),"",ReferenceData!$BL$168),"")</f>
        <v>2.5570570419999998</v>
      </c>
      <c r="BM168">
        <f ca="1">IFERROR(IF(0=LEN(ReferenceData!$BM$168),"",ReferenceData!$BM$168),"")</f>
        <v>2.663701901</v>
      </c>
    </row>
    <row r="169" spans="1:65">
      <c r="A169" t="str">
        <f>IFERROR(IF(0=LEN(ReferenceData!$A$169),"",ReferenceData!$A$169),"")</f>
        <v>FFO/资产(%)</v>
      </c>
      <c r="B169" t="str">
        <f>IFERROR(IF(0=LEN(ReferenceData!$B$169),"",ReferenceData!$B$169),"")</f>
        <v/>
      </c>
      <c r="C169" t="str">
        <f>IFERROR(IF(0=LEN(ReferenceData!$C$169),"",ReferenceData!$C$169),"")</f>
        <v/>
      </c>
      <c r="D169" t="str">
        <f>IFERROR(IF(0=LEN(ReferenceData!$D$169),"",ReferenceData!$D$169),"")</f>
        <v/>
      </c>
      <c r="E169" t="str">
        <f>IFERROR(IF(0=LEN(ReferenceData!$E$169),"",ReferenceData!$E$169),"")</f>
        <v>Median</v>
      </c>
      <c r="F169" t="str">
        <f ca="1">IFERROR(IF(0=LEN(ReferenceData!$F$169),"",ReferenceData!$F$169),"")</f>
        <v/>
      </c>
      <c r="G169">
        <f ca="1">IFERROR(IF(0=LEN(ReferenceData!$G$169),"",ReferenceData!$G$169),"")</f>
        <v>5.7082722740000005</v>
      </c>
      <c r="H169">
        <f ca="1">IFERROR(IF(0=LEN(ReferenceData!$H$169),"",ReferenceData!$H$169),"")</f>
        <v>6.3348725784999997</v>
      </c>
      <c r="I169">
        <f ca="1">IFERROR(IF(0=LEN(ReferenceData!$I$169),"",ReferenceData!$I$169),"")</f>
        <v>6.1312701655000001</v>
      </c>
      <c r="J169">
        <f ca="1">IFERROR(IF(0=LEN(ReferenceData!$J$169),"",ReferenceData!$J$169),"")</f>
        <v>5.9533133564999998</v>
      </c>
      <c r="K169">
        <f ca="1">IFERROR(IF(0=LEN(ReferenceData!$K$169),"",ReferenceData!$K$169),"")</f>
        <v>5.6274478600000002</v>
      </c>
      <c r="L169">
        <f ca="1">IFERROR(IF(0=LEN(ReferenceData!$L$169),"",ReferenceData!$L$169),"")</f>
        <v>5.7270232624999995</v>
      </c>
      <c r="M169">
        <f ca="1">IFERROR(IF(0=LEN(ReferenceData!$M$169),"",ReferenceData!$M$169),"")</f>
        <v>5.8571591659999998</v>
      </c>
      <c r="N169">
        <f ca="1">IFERROR(IF(0=LEN(ReferenceData!$N$169),"",ReferenceData!$N$169),"")</f>
        <v>5.7512983865000002</v>
      </c>
      <c r="O169">
        <f ca="1">IFERROR(IF(0=LEN(ReferenceData!$O$169),"",ReferenceData!$O$169),"")</f>
        <v>6.2244284959999998</v>
      </c>
      <c r="P169">
        <f ca="1">IFERROR(IF(0=LEN(ReferenceData!$P$169),"",ReferenceData!$P$169),"")</f>
        <v>6.0785179424999995</v>
      </c>
      <c r="Q169">
        <f ca="1">IFERROR(IF(0=LEN(ReferenceData!$Q$169),"",ReferenceData!$Q$169),"")</f>
        <v>5.8257631854999996</v>
      </c>
      <c r="R169">
        <f ca="1">IFERROR(IF(0=LEN(ReferenceData!$R$169),"",ReferenceData!$R$169),"")</f>
        <v>5.7408328009999998</v>
      </c>
      <c r="S169">
        <f ca="1">IFERROR(IF(0=LEN(ReferenceData!$S$169),"",ReferenceData!$S$169),"")</f>
        <v>5.4162271579999999</v>
      </c>
      <c r="T169">
        <f ca="1">IFERROR(IF(0=LEN(ReferenceData!$T$169),"",ReferenceData!$T$169),"")</f>
        <v>5.4062321430000004</v>
      </c>
      <c r="U169">
        <f ca="1">IFERROR(IF(0=LEN(ReferenceData!$U$169),"",ReferenceData!$U$169),"")</f>
        <v>5.363020262</v>
      </c>
      <c r="V169">
        <f ca="1">IFERROR(IF(0=LEN(ReferenceData!$V$169),"",ReferenceData!$V$169),"")</f>
        <v>5.3028204905000003</v>
      </c>
      <c r="W169">
        <f ca="1">IFERROR(IF(0=LEN(ReferenceData!$W$169),"",ReferenceData!$W$169),"")</f>
        <v>5.5703075499999999</v>
      </c>
      <c r="X169">
        <f ca="1">IFERROR(IF(0=LEN(ReferenceData!$X$169),"",ReferenceData!$X$169),"")</f>
        <v>5.2687109110000003</v>
      </c>
      <c r="Y169">
        <f ca="1">IFERROR(IF(0=LEN(ReferenceData!$Y$169),"",ReferenceData!$Y$169),"")</f>
        <v>5.1039505275000003</v>
      </c>
      <c r="Z169">
        <f ca="1">IFERROR(IF(0=LEN(ReferenceData!$Z$169),"",ReferenceData!$Z$169),"")</f>
        <v>5.2458716299999999</v>
      </c>
      <c r="AA169">
        <f ca="1">IFERROR(IF(0=LEN(ReferenceData!$AA$169),"",ReferenceData!$AA$169),"")</f>
        <v>5.5043413789999995</v>
      </c>
      <c r="AB169">
        <f ca="1">IFERROR(IF(0=LEN(ReferenceData!$AB$169),"",ReferenceData!$AB$169),"")</f>
        <v>6.2544286915000002</v>
      </c>
      <c r="AC169">
        <f ca="1">IFERROR(IF(0=LEN(ReferenceData!$AC$169),"",ReferenceData!$AC$169),"")</f>
        <v>6.1283060384999999</v>
      </c>
      <c r="AD169">
        <f ca="1">IFERROR(IF(0=LEN(ReferenceData!$AD$169),"",ReferenceData!$AD$169),"")</f>
        <v>6.2221781184999996</v>
      </c>
      <c r="AE169">
        <f ca="1">IFERROR(IF(0=LEN(ReferenceData!$AE$169),"",ReferenceData!$AE$169),"")</f>
        <v>6.5581587710000004</v>
      </c>
      <c r="AF169">
        <f ca="1">IFERROR(IF(0=LEN(ReferenceData!$AF$169),"",ReferenceData!$AF$169),"")</f>
        <v>6.1571627850000006</v>
      </c>
      <c r="AG169">
        <f ca="1">IFERROR(IF(0=LEN(ReferenceData!$AG$169),"",ReferenceData!$AG$169),"")</f>
        <v>5.8547110599999996</v>
      </c>
      <c r="AH169">
        <f ca="1">IFERROR(IF(0=LEN(ReferenceData!$AH$169),"",ReferenceData!$AH$169),"")</f>
        <v>5.674605519</v>
      </c>
      <c r="AI169">
        <f ca="1">IFERROR(IF(0=LEN(ReferenceData!$AI$169),"",ReferenceData!$AI$169),"")</f>
        <v>5.7823444634999994</v>
      </c>
      <c r="AJ169">
        <f ca="1">IFERROR(IF(0=LEN(ReferenceData!$AJ$169),"",ReferenceData!$AJ$169),"")</f>
        <v>5.2920304939999996</v>
      </c>
      <c r="AK169">
        <f ca="1">IFERROR(IF(0=LEN(ReferenceData!$AK$169),"",ReferenceData!$AK$169),"")</f>
        <v>5.3463640960000003</v>
      </c>
      <c r="AL169">
        <f ca="1">IFERROR(IF(0=LEN(ReferenceData!$AL$169),"",ReferenceData!$AL$169),"")</f>
        <v>5.3494692170000002</v>
      </c>
      <c r="AM169">
        <f ca="1">IFERROR(IF(0=LEN(ReferenceData!$AM$169),"",ReferenceData!$AM$169),"")</f>
        <v>5.5257826799999998</v>
      </c>
      <c r="AN169">
        <f ca="1">IFERROR(IF(0=LEN(ReferenceData!$AN$169),"",ReferenceData!$AN$169),"")</f>
        <v>5.8100362460000001</v>
      </c>
      <c r="AO169">
        <f ca="1">IFERROR(IF(0=LEN(ReferenceData!$AO$169),"",ReferenceData!$AO$169),"")</f>
        <v>5.7504058669999996</v>
      </c>
      <c r="AP169">
        <f ca="1">IFERROR(IF(0=LEN(ReferenceData!$AP$169),"",ReferenceData!$AP$169),"")</f>
        <v>5.4529098100000004</v>
      </c>
      <c r="AQ169">
        <f ca="1">IFERROR(IF(0=LEN(ReferenceData!$AQ$169),"",ReferenceData!$AQ$169),"")</f>
        <v>5.3253465999999996</v>
      </c>
      <c r="AR169">
        <f ca="1">IFERROR(IF(0=LEN(ReferenceData!$AR$169),"",ReferenceData!$AR$169),"")</f>
        <v>6.257717242</v>
      </c>
      <c r="AS169">
        <f ca="1">IFERROR(IF(0=LEN(ReferenceData!$AS$169),"",ReferenceData!$AS$169),"")</f>
        <v>6.0515803569999997</v>
      </c>
      <c r="AT169">
        <f ca="1">IFERROR(IF(0=LEN(ReferenceData!$AT$169),"",ReferenceData!$AT$169),"")</f>
        <v>6.2164056639999998</v>
      </c>
      <c r="AU169">
        <f ca="1">IFERROR(IF(0=LEN(ReferenceData!$AU$169),"",ReferenceData!$AU$169),"")</f>
        <v>6.2683736210000003</v>
      </c>
      <c r="AV169">
        <f ca="1">IFERROR(IF(0=LEN(ReferenceData!$AV$169),"",ReferenceData!$AV$169),"")</f>
        <v>6.3736962080000001</v>
      </c>
      <c r="AW169">
        <f ca="1">IFERROR(IF(0=LEN(ReferenceData!$AW$169),"",ReferenceData!$AW$169),"")</f>
        <v>6.3319096090000002</v>
      </c>
      <c r="AX169">
        <f ca="1">IFERROR(IF(0=LEN(ReferenceData!$AX$169),"",ReferenceData!$AX$169),"")</f>
        <v>6.6357926950000001</v>
      </c>
      <c r="AY169">
        <f ca="1">IFERROR(IF(0=LEN(ReferenceData!$AY$169),"",ReferenceData!$AY$169),"")</f>
        <v>6.695941296</v>
      </c>
      <c r="AZ169">
        <f ca="1">IFERROR(IF(0=LEN(ReferenceData!$AZ$169),"",ReferenceData!$AZ$169),"")</f>
        <v>6.5932342879999997</v>
      </c>
      <c r="BA169">
        <f ca="1">IFERROR(IF(0=LEN(ReferenceData!$BA$169),"",ReferenceData!$BA$169),"")</f>
        <v>6.5304601289999997</v>
      </c>
      <c r="BB169">
        <f ca="1">IFERROR(IF(0=LEN(ReferenceData!$BB$169),"",ReferenceData!$BB$169),"")</f>
        <v>6.6396665319999997</v>
      </c>
      <c r="BC169">
        <f ca="1">IFERROR(IF(0=LEN(ReferenceData!$BC$169),"",ReferenceData!$BC$169),"")</f>
        <v>6.9752077430000003</v>
      </c>
      <c r="BD169">
        <f ca="1">IFERROR(IF(0=LEN(ReferenceData!$BD$169),"",ReferenceData!$BD$169),"")</f>
        <v>5.8758352489999996</v>
      </c>
      <c r="BE169">
        <f ca="1">IFERROR(IF(0=LEN(ReferenceData!$BE$169),"",ReferenceData!$BE$169),"")</f>
        <v>6.7063461970000002</v>
      </c>
      <c r="BF169">
        <f ca="1">IFERROR(IF(0=LEN(ReferenceData!$BF$169),"",ReferenceData!$BF$169),"")</f>
        <v>6.6875218009999999</v>
      </c>
      <c r="BG169">
        <f ca="1">IFERROR(IF(0=LEN(ReferenceData!$BG$169),"",ReferenceData!$BG$169),"")</f>
        <v>7.2397652309999998</v>
      </c>
      <c r="BH169">
        <f ca="1">IFERROR(IF(0=LEN(ReferenceData!$BH$169),"",ReferenceData!$BH$169),"")</f>
        <v>6.1420760669999996</v>
      </c>
      <c r="BI169">
        <f ca="1">IFERROR(IF(0=LEN(ReferenceData!$BI$169),"",ReferenceData!$BI$169),"")</f>
        <v>6.5327859310000003</v>
      </c>
      <c r="BJ169">
        <f ca="1">IFERROR(IF(0=LEN(ReferenceData!$BJ$169),"",ReferenceData!$BJ$169),"")</f>
        <v>6.4413779199999999</v>
      </c>
      <c r="BK169">
        <f ca="1">IFERROR(IF(0=LEN(ReferenceData!$BK$169),"",ReferenceData!$BK$169),"")</f>
        <v>6.6037505789999997</v>
      </c>
      <c r="BL169">
        <f ca="1">IFERROR(IF(0=LEN(ReferenceData!$BL$169),"",ReferenceData!$BL$169),"")</f>
        <v>6.6344826599999998</v>
      </c>
      <c r="BM169">
        <f ca="1">IFERROR(IF(0=LEN(ReferenceData!$BM$169),"",ReferenceData!$BM$169),"")</f>
        <v>6.0729576290000002</v>
      </c>
    </row>
    <row r="170" spans="1:65">
      <c r="A170" t="str">
        <f>IFERROR(IF(0=LEN(ReferenceData!$A$170),"",ReferenceData!$A$170),"")</f>
        <v xml:space="preserve">    Boston Properties Inc</v>
      </c>
      <c r="B170" t="str">
        <f>IFERROR(IF(0=LEN(ReferenceData!$B$170),"",ReferenceData!$B$170),"")</f>
        <v>BXP US Equity</v>
      </c>
      <c r="C170" t="str">
        <f>IFERROR(IF(0=LEN(ReferenceData!$C$170),"",ReferenceData!$C$170),"")</f>
        <v>RR554</v>
      </c>
      <c r="D170" t="str">
        <f>IFERROR(IF(0=LEN(ReferenceData!$D$170),"",ReferenceData!$D$170),"")</f>
        <v>FFO_RE_ASSET</v>
      </c>
      <c r="E170" t="str">
        <f>IFERROR(IF(0=LEN(ReferenceData!$E$170),"",ReferenceData!$E$170),"")</f>
        <v>动态</v>
      </c>
      <c r="F170" t="str">
        <f ca="1">IFERROR(IF(0=LEN(ReferenceData!$F$170),"",ReferenceData!$F$170),"")</f>
        <v/>
      </c>
      <c r="G170">
        <f ca="1">IFERROR(IF(0=LEN(ReferenceData!$G$170),"",ReferenceData!$G$170),"")</f>
        <v>5.6724302499999997</v>
      </c>
      <c r="H170">
        <f ca="1">IFERROR(IF(0=LEN(ReferenceData!$H$170),"",ReferenceData!$H$170),"")</f>
        <v>5.7594340620000004</v>
      </c>
      <c r="I170">
        <f ca="1">IFERROR(IF(0=LEN(ReferenceData!$I$170),"",ReferenceData!$I$170),"")</f>
        <v>5.7053550729999998</v>
      </c>
      <c r="J170">
        <f ca="1">IFERROR(IF(0=LEN(ReferenceData!$J$170),"",ReferenceData!$J$170),"")</f>
        <v>5.5396826790000002</v>
      </c>
      <c r="K170">
        <f ca="1">IFERROR(IF(0=LEN(ReferenceData!$K$170),"",ReferenceData!$K$170),"")</f>
        <v>5.7107654529999996</v>
      </c>
      <c r="L170">
        <f ca="1">IFERROR(IF(0=LEN(ReferenceData!$L$170),"",ReferenceData!$L$170),"")</f>
        <v>5.4909341009999997</v>
      </c>
      <c r="M170">
        <f ca="1">IFERROR(IF(0=LEN(ReferenceData!$M$170),"",ReferenceData!$M$170),"")</f>
        <v>5.5690203460000003</v>
      </c>
      <c r="N170">
        <f ca="1">IFERROR(IF(0=LEN(ReferenceData!$N$170),"",ReferenceData!$N$170),"")</f>
        <v>5.5358727759999997</v>
      </c>
      <c r="O170">
        <f ca="1">IFERROR(IF(0=LEN(ReferenceData!$O$170),"",ReferenceData!$O$170),"")</f>
        <v>5.2014455340000003</v>
      </c>
      <c r="P170">
        <f ca="1">IFERROR(IF(0=LEN(ReferenceData!$P$170),"",ReferenceData!$P$170),"")</f>
        <v>5.1459139030000003</v>
      </c>
      <c r="Q170">
        <f ca="1">IFERROR(IF(0=LEN(ReferenceData!$Q$170),"",ReferenceData!$Q$170),"")</f>
        <v>5.1777764060000004</v>
      </c>
      <c r="R170">
        <f ca="1">IFERROR(IF(0=LEN(ReferenceData!$R$170),"",ReferenceData!$R$170),"")</f>
        <v>5.1888556579999996</v>
      </c>
      <c r="S170">
        <f ca="1">IFERROR(IF(0=LEN(ReferenceData!$S$170),"",ReferenceData!$S$170),"")</f>
        <v>5.0719690980000003</v>
      </c>
      <c r="T170">
        <f ca="1">IFERROR(IF(0=LEN(ReferenceData!$T$170),"",ReferenceData!$T$170),"")</f>
        <v>5.07064161</v>
      </c>
      <c r="U170">
        <f ca="1">IFERROR(IF(0=LEN(ReferenceData!$U$170),"",ReferenceData!$U$170),"")</f>
        <v>4.9074672149999996</v>
      </c>
      <c r="V170">
        <f ca="1">IFERROR(IF(0=LEN(ReferenceData!$V$170),"",ReferenceData!$V$170),"")</f>
        <v>5.30742139</v>
      </c>
      <c r="W170">
        <f ca="1">IFERROR(IF(0=LEN(ReferenceData!$W$170),"",ReferenceData!$W$170),"")</f>
        <v>5.2081256419999997</v>
      </c>
      <c r="X170">
        <f ca="1">IFERROR(IF(0=LEN(ReferenceData!$X$170),"",ReferenceData!$X$170),"")</f>
        <v>5.2492915910000004</v>
      </c>
      <c r="Y170">
        <f ca="1">IFERROR(IF(0=LEN(ReferenceData!$Y$170),"",ReferenceData!$Y$170),"")</f>
        <v>5.1200104059999996</v>
      </c>
      <c r="Z170">
        <f ca="1">IFERROR(IF(0=LEN(ReferenceData!$Z$170),"",ReferenceData!$Z$170),"")</f>
        <v>5.7657939230000004</v>
      </c>
      <c r="AA170">
        <f ca="1">IFERROR(IF(0=LEN(ReferenceData!$AA$170),"",ReferenceData!$AA$170),"")</f>
        <v>6.028434979</v>
      </c>
      <c r="AB170">
        <f ca="1">IFERROR(IF(0=LEN(ReferenceData!$AB$170),"",ReferenceData!$AB$170),"")</f>
        <v>6.0270669330000004</v>
      </c>
      <c r="AC170">
        <f ca="1">IFERROR(IF(0=LEN(ReferenceData!$AC$170),"",ReferenceData!$AC$170),"")</f>
        <v>6.2022636440000003</v>
      </c>
      <c r="AD170">
        <f ca="1">IFERROR(IF(0=LEN(ReferenceData!$AD$170),"",ReferenceData!$AD$170),"")</f>
        <v>5.9995752729999996</v>
      </c>
      <c r="AE170">
        <f ca="1">IFERROR(IF(0=LEN(ReferenceData!$AE$170),"",ReferenceData!$AE$170),"")</f>
        <v>6.1369615270000004</v>
      </c>
      <c r="AF170">
        <f ca="1">IFERROR(IF(0=LEN(ReferenceData!$AF$170),"",ReferenceData!$AF$170),"")</f>
        <v>5.5812596020000003</v>
      </c>
      <c r="AG170">
        <f ca="1">IFERROR(IF(0=LEN(ReferenceData!$AG$170),"",ReferenceData!$AG$170),"")</f>
        <v>5.3239671690000003</v>
      </c>
      <c r="AH170">
        <f ca="1">IFERROR(IF(0=LEN(ReferenceData!$AH$170),"",ReferenceData!$AH$170),"")</f>
        <v>5.112962402</v>
      </c>
      <c r="AI170">
        <f ca="1">IFERROR(IF(0=LEN(ReferenceData!$AI$170),"",ReferenceData!$AI$170),"")</f>
        <v>5.0718314109999998</v>
      </c>
      <c r="AJ170">
        <f ca="1">IFERROR(IF(0=LEN(ReferenceData!$AJ$170),"",ReferenceData!$AJ$170),"")</f>
        <v>5.8425453989999996</v>
      </c>
      <c r="AK170">
        <f ca="1">IFERROR(IF(0=LEN(ReferenceData!$AK$170),"",ReferenceData!$AK$170),"")</f>
        <v>6.0363720430000001</v>
      </c>
      <c r="AL170">
        <f ca="1">IFERROR(IF(0=LEN(ReferenceData!$AL$170),"",ReferenceData!$AL$170),"")</f>
        <v>6.1669816309999996</v>
      </c>
      <c r="AM170">
        <f ca="1">IFERROR(IF(0=LEN(ReferenceData!$AM$170),"",ReferenceData!$AM$170),"")</f>
        <v>6.057045488</v>
      </c>
      <c r="AN170">
        <f ca="1">IFERROR(IF(0=LEN(ReferenceData!$AN$170),"",ReferenceData!$AN$170),"")</f>
        <v>4.5694496630000003</v>
      </c>
      <c r="AO170">
        <f ca="1">IFERROR(IF(0=LEN(ReferenceData!$AO$170),"",ReferenceData!$AO$170),"")</f>
        <v>4.6757211129999998</v>
      </c>
      <c r="AP170">
        <f ca="1">IFERROR(IF(0=LEN(ReferenceData!$AP$170),"",ReferenceData!$AP$170),"")</f>
        <v>4.8489655479999998</v>
      </c>
      <c r="AQ170">
        <f ca="1">IFERROR(IF(0=LEN(ReferenceData!$AQ$170),"",ReferenceData!$AQ$170),"")</f>
        <v>5.0488528490000002</v>
      </c>
      <c r="AR170">
        <f ca="1">IFERROR(IF(0=LEN(ReferenceData!$AR$170),"",ReferenceData!$AR$170),"")</f>
        <v>6.9990592249999999</v>
      </c>
      <c r="AS170">
        <f ca="1">IFERROR(IF(0=LEN(ReferenceData!$AS$170),"",ReferenceData!$AS$170),"")</f>
        <v>7.2613865180000001</v>
      </c>
      <c r="AT170">
        <f ca="1">IFERROR(IF(0=LEN(ReferenceData!$AT$170),"",ReferenceData!$AT$170),"")</f>
        <v>7.6054932160000002</v>
      </c>
      <c r="AU170">
        <f ca="1">IFERROR(IF(0=LEN(ReferenceData!$AU$170),"",ReferenceData!$AU$170),"")</f>
        <v>7.7053508769999999</v>
      </c>
      <c r="AV170">
        <f ca="1">IFERROR(IF(0=LEN(ReferenceData!$AV$170),"",ReferenceData!$AV$170),"")</f>
        <v>7.9231452830000002</v>
      </c>
      <c r="AW170">
        <f ca="1">IFERROR(IF(0=LEN(ReferenceData!$AW$170),"",ReferenceData!$AW$170),"")</f>
        <v>8.0635010749999996</v>
      </c>
      <c r="AX170">
        <f ca="1">IFERROR(IF(0=LEN(ReferenceData!$AX$170),"",ReferenceData!$AX$170),"")</f>
        <v>7.4446760740000002</v>
      </c>
      <c r="AY170">
        <f ca="1">IFERROR(IF(0=LEN(ReferenceData!$AY$170),"",ReferenceData!$AY$170),"")</f>
        <v>7.3208941589999998</v>
      </c>
      <c r="AZ170">
        <f ca="1">IFERROR(IF(0=LEN(ReferenceData!$AZ$170),"",ReferenceData!$AZ$170),"")</f>
        <v>6.5932342879999997</v>
      </c>
      <c r="BA170">
        <f ca="1">IFERROR(IF(0=LEN(ReferenceData!$BA$170),"",ReferenceData!$BA$170),"")</f>
        <v>6.5304601289999997</v>
      </c>
      <c r="BB170">
        <f ca="1">IFERROR(IF(0=LEN(ReferenceData!$BB$170),"",ReferenceData!$BB$170),"")</f>
        <v>4.7707442169999998</v>
      </c>
      <c r="BC170">
        <f ca="1">IFERROR(IF(0=LEN(ReferenceData!$BC$170),"",ReferenceData!$BC$170),"")</f>
        <v>4.7461166910000001</v>
      </c>
      <c r="BD170">
        <f ca="1">IFERROR(IF(0=LEN(ReferenceData!$BD$170),"",ReferenceData!$BD$170),"")</f>
        <v>4.9235113449999997</v>
      </c>
      <c r="BE170">
        <f ca="1">IFERROR(IF(0=LEN(ReferenceData!$BE$170),"",ReferenceData!$BE$170),"")</f>
        <v>4.59787838</v>
      </c>
      <c r="BF170">
        <f ca="1">IFERROR(IF(0=LEN(ReferenceData!$BF$170),"",ReferenceData!$BF$170),"")</f>
        <v>6.0481787599999999</v>
      </c>
      <c r="BG170">
        <f ca="1">IFERROR(IF(0=LEN(ReferenceData!$BG$170),"",ReferenceData!$BG$170),"")</f>
        <v>5.6390091389999997</v>
      </c>
      <c r="BH170">
        <f ca="1">IFERROR(IF(0=LEN(ReferenceData!$BH$170),"",ReferenceData!$BH$170),"")</f>
        <v>5.545981426</v>
      </c>
      <c r="BI170">
        <f ca="1">IFERROR(IF(0=LEN(ReferenceData!$BI$170),"",ReferenceData!$BI$170),"")</f>
        <v>5.3406494799999997</v>
      </c>
      <c r="BJ170">
        <f ca="1">IFERROR(IF(0=LEN(ReferenceData!$BJ$170),"",ReferenceData!$BJ$170),"")</f>
        <v>3.930751544</v>
      </c>
      <c r="BK170">
        <f ca="1">IFERROR(IF(0=LEN(ReferenceData!$BK$170),"",ReferenceData!$BK$170),"")</f>
        <v>3.8619515980000001</v>
      </c>
      <c r="BL170">
        <f ca="1">IFERROR(IF(0=LEN(ReferenceData!$BL$170),"",ReferenceData!$BL$170),"")</f>
        <v>3.9628937830000002</v>
      </c>
      <c r="BM170">
        <f ca="1">IFERROR(IF(0=LEN(ReferenceData!$BM$170),"",ReferenceData!$BM$170),"")</f>
        <v>4.3144750399999996</v>
      </c>
    </row>
    <row r="171" spans="1:65">
      <c r="A171" t="str">
        <f>IFERROR(IF(0=LEN(ReferenceData!$A$171),"",ReferenceData!$A$171),"")</f>
        <v xml:space="preserve">    Brandywine Realty Trust</v>
      </c>
      <c r="B171" t="str">
        <f>IFERROR(IF(0=LEN(ReferenceData!$B$171),"",ReferenceData!$B$171),"")</f>
        <v>BDN US Equity</v>
      </c>
      <c r="C171" t="str">
        <f>IFERROR(IF(0=LEN(ReferenceData!$C$171),"",ReferenceData!$C$171),"")</f>
        <v>RR554</v>
      </c>
      <c r="D171" t="str">
        <f>IFERROR(IF(0=LEN(ReferenceData!$D$171),"",ReferenceData!$D$171),"")</f>
        <v>FFO_RE_ASSET</v>
      </c>
      <c r="E171" t="str">
        <f>IFERROR(IF(0=LEN(ReferenceData!$E$171),"",ReferenceData!$E$171),"")</f>
        <v>动态</v>
      </c>
      <c r="F171" t="str">
        <f ca="1">IFERROR(IF(0=LEN(ReferenceData!$F$171),"",ReferenceData!$F$171),"")</f>
        <v/>
      </c>
      <c r="G171">
        <f ca="1">IFERROR(IF(0=LEN(ReferenceData!$G$171),"",ReferenceData!$G$171),"")</f>
        <v>6.7270051310000003</v>
      </c>
      <c r="H171">
        <f ca="1">IFERROR(IF(0=LEN(ReferenceData!$H$171),"",ReferenceData!$H$171),"")</f>
        <v>6.9403474699999999</v>
      </c>
      <c r="I171">
        <f ca="1">IFERROR(IF(0=LEN(ReferenceData!$I$171),"",ReferenceData!$I$171),"")</f>
        <v>6.8095588060000001</v>
      </c>
      <c r="J171">
        <f ca="1">IFERROR(IF(0=LEN(ReferenceData!$J$171),"",ReferenceData!$J$171),"")</f>
        <v>6.7396244479999998</v>
      </c>
      <c r="K171">
        <f ca="1">IFERROR(IF(0=LEN(ReferenceData!$K$171),"",ReferenceData!$K$171),"")</f>
        <v>4.8190097190000003</v>
      </c>
      <c r="L171">
        <f ca="1">IFERROR(IF(0=LEN(ReferenceData!$L$171),"",ReferenceData!$L$171),"")</f>
        <v>4.5246893960000003</v>
      </c>
      <c r="M171">
        <f ca="1">IFERROR(IF(0=LEN(ReferenceData!$M$171),"",ReferenceData!$M$171),"")</f>
        <v>4.9912976320000002</v>
      </c>
      <c r="N171">
        <f ca="1">IFERROR(IF(0=LEN(ReferenceData!$N$171),"",ReferenceData!$N$171),"")</f>
        <v>5.1146667350000001</v>
      </c>
      <c r="O171">
        <f ca="1">IFERROR(IF(0=LEN(ReferenceData!$O$171),"",ReferenceData!$O$171),"")</f>
        <v>6.8980675170000003</v>
      </c>
      <c r="P171">
        <f ca="1">IFERROR(IF(0=LEN(ReferenceData!$P$171),"",ReferenceData!$P$171),"")</f>
        <v>6.0791933269999996</v>
      </c>
      <c r="Q171">
        <f ca="1">IFERROR(IF(0=LEN(ReferenceData!$Q$171),"",ReferenceData!$Q$171),"")</f>
        <v>5.6782630220000003</v>
      </c>
      <c r="R171">
        <f ca="1">IFERROR(IF(0=LEN(ReferenceData!$R$171),"",ReferenceData!$R$171),"")</f>
        <v>5.8081399339999997</v>
      </c>
      <c r="S171">
        <f ca="1">IFERROR(IF(0=LEN(ReferenceData!$S$171),"",ReferenceData!$S$171),"")</f>
        <v>5.5847098539999998</v>
      </c>
      <c r="T171">
        <f ca="1">IFERROR(IF(0=LEN(ReferenceData!$T$171),"",ReferenceData!$T$171),"")</f>
        <v>5.5538629579999998</v>
      </c>
      <c r="U171">
        <f ca="1">IFERROR(IF(0=LEN(ReferenceData!$U$171),"",ReferenceData!$U$171),"")</f>
        <v>5.5417824089999996</v>
      </c>
      <c r="V171">
        <f ca="1">IFERROR(IF(0=LEN(ReferenceData!$V$171),"",ReferenceData!$V$171),"")</f>
        <v>5.2982195909999996</v>
      </c>
      <c r="W171">
        <f ca="1">IFERROR(IF(0=LEN(ReferenceData!$W$171),"",ReferenceData!$W$171),"")</f>
        <v>5.1738451860000003</v>
      </c>
      <c r="X171">
        <f ca="1">IFERROR(IF(0=LEN(ReferenceData!$X$171),"",ReferenceData!$X$171),"")</f>
        <v>4.6115564710000001</v>
      </c>
      <c r="Y171">
        <f ca="1">IFERROR(IF(0=LEN(ReferenceData!$Y$171),"",ReferenceData!$Y$171),"")</f>
        <v>4.4861241100000004</v>
      </c>
      <c r="Z171">
        <f ca="1">IFERROR(IF(0=LEN(ReferenceData!$Z$171),"",ReferenceData!$Z$171),"")</f>
        <v>4.334009</v>
      </c>
      <c r="AA171">
        <f ca="1">IFERROR(IF(0=LEN(ReferenceData!$AA$171),"",ReferenceData!$AA$171),"")</f>
        <v>4.1203597299999997</v>
      </c>
      <c r="AB171">
        <f ca="1">IFERROR(IF(0=LEN(ReferenceData!$AB$171),"",ReferenceData!$AB$171),"")</f>
        <v>4.7214102349999996</v>
      </c>
      <c r="AC171">
        <f ca="1">IFERROR(IF(0=LEN(ReferenceData!$AC$171),"",ReferenceData!$AC$171),"")</f>
        <v>4.8010594810000002</v>
      </c>
      <c r="AD171">
        <f ca="1">IFERROR(IF(0=LEN(ReferenceData!$AD$171),"",ReferenceData!$AD$171),"")</f>
        <v>4.8250158970000001</v>
      </c>
      <c r="AE171">
        <f ca="1">IFERROR(IF(0=LEN(ReferenceData!$AE$171),"",ReferenceData!$AE$171),"")</f>
        <v>4.8158461240000001</v>
      </c>
      <c r="AF171">
        <f ca="1">IFERROR(IF(0=LEN(ReferenceData!$AF$171),"",ReferenceData!$AF$171),"")</f>
        <v>4.7479113689999997</v>
      </c>
      <c r="AG171">
        <f ca="1">IFERROR(IF(0=LEN(ReferenceData!$AG$171),"",ReferenceData!$AG$171),"")</f>
        <v>4.440218174</v>
      </c>
      <c r="AH171">
        <f ca="1">IFERROR(IF(0=LEN(ReferenceData!$AH$171),"",ReferenceData!$AH$171),"")</f>
        <v>4.4189989260000004</v>
      </c>
      <c r="AI171">
        <f ca="1">IFERROR(IF(0=LEN(ReferenceData!$AI$171),"",ReferenceData!$AI$171),"")</f>
        <v>4.3470261040000002</v>
      </c>
      <c r="AJ171">
        <f ca="1">IFERROR(IF(0=LEN(ReferenceData!$AJ$171),"",ReferenceData!$AJ$171),"")</f>
        <v>4.297207416</v>
      </c>
      <c r="AK171">
        <f ca="1">IFERROR(IF(0=LEN(ReferenceData!$AK$171),"",ReferenceData!$AK$171),"")</f>
        <v>4.5932133320000004</v>
      </c>
      <c r="AL171">
        <f ca="1">IFERROR(IF(0=LEN(ReferenceData!$AL$171),"",ReferenceData!$AL$171),"")</f>
        <v>4.8933734019999999</v>
      </c>
      <c r="AM171">
        <f ca="1">IFERROR(IF(0=LEN(ReferenceData!$AM$171),"",ReferenceData!$AM$171),"")</f>
        <v>4.9871188999999996</v>
      </c>
      <c r="AN171">
        <f ca="1">IFERROR(IF(0=LEN(ReferenceData!$AN$171),"",ReferenceData!$AN$171),"")</f>
        <v>5.2482822980000003</v>
      </c>
      <c r="AO171">
        <f ca="1">IFERROR(IF(0=LEN(ReferenceData!$AO$171),"",ReferenceData!$AO$171),"")</f>
        <v>5.0614740930000002</v>
      </c>
      <c r="AP171">
        <f ca="1">IFERROR(IF(0=LEN(ReferenceData!$AP$171),"",ReferenceData!$AP$171),"")</f>
        <v>4.6400832510000001</v>
      </c>
      <c r="AQ171">
        <f ca="1">IFERROR(IF(0=LEN(ReferenceData!$AQ$171),"",ReferenceData!$AQ$171),"")</f>
        <v>4.8553049509999999</v>
      </c>
      <c r="AR171">
        <f ca="1">IFERROR(IF(0=LEN(ReferenceData!$AR$171),"",ReferenceData!$AR$171),"")</f>
        <v>4.7498999990000002</v>
      </c>
      <c r="AS171">
        <f ca="1">IFERROR(IF(0=LEN(ReferenceData!$AS$171),"",ReferenceData!$AS$171),"")</f>
        <v>5.0109171879999996</v>
      </c>
      <c r="AT171">
        <f ca="1">IFERROR(IF(0=LEN(ReferenceData!$AT$171),"",ReferenceData!$AT$171),"")</f>
        <v>5.0152167829999996</v>
      </c>
      <c r="AU171">
        <f ca="1">IFERROR(IF(0=LEN(ReferenceData!$AU$171),"",ReferenceData!$AU$171),"")</f>
        <v>4.8866874500000002</v>
      </c>
      <c r="AV171">
        <f ca="1">IFERROR(IF(0=LEN(ReferenceData!$AV$171),"",ReferenceData!$AV$171),"")</f>
        <v>4.8836176370000004</v>
      </c>
      <c r="AW171">
        <f ca="1">IFERROR(IF(0=LEN(ReferenceData!$AW$171),"",ReferenceData!$AW$171),"")</f>
        <v>5.0553590970000002</v>
      </c>
      <c r="AX171">
        <f ca="1">IFERROR(IF(0=LEN(ReferenceData!$AX$171),"",ReferenceData!$AX$171),"")</f>
        <v>5.0442949639999997</v>
      </c>
      <c r="AY171">
        <f ca="1">IFERROR(IF(0=LEN(ReferenceData!$AY$171),"",ReferenceData!$AY$171),"")</f>
        <v>6.3748750359999997</v>
      </c>
      <c r="AZ171">
        <f ca="1">IFERROR(IF(0=LEN(ReferenceData!$AZ$171),"",ReferenceData!$AZ$171),"")</f>
        <v>6.3361100759999998</v>
      </c>
      <c r="BA171">
        <f ca="1">IFERROR(IF(0=LEN(ReferenceData!$BA$171),"",ReferenceData!$BA$171),"")</f>
        <v>5.7417904110000002</v>
      </c>
      <c r="BB171">
        <f ca="1">IFERROR(IF(0=LEN(ReferenceData!$BB$171),"",ReferenceData!$BB$171),"")</f>
        <v>5.1715786430000001</v>
      </c>
      <c r="BC171">
        <f ca="1">IFERROR(IF(0=LEN(ReferenceData!$BC$171),"",ReferenceData!$BC$171),"")</f>
        <v>6.7608299079999998</v>
      </c>
      <c r="BD171">
        <f ca="1">IFERROR(IF(0=LEN(ReferenceData!$BD$171),"",ReferenceData!$BD$171),"")</f>
        <v>5.8758352489999996</v>
      </c>
      <c r="BE171">
        <f ca="1">IFERROR(IF(0=LEN(ReferenceData!$BE$171),"",ReferenceData!$BE$171),"")</f>
        <v>6.7063461970000002</v>
      </c>
      <c r="BF171">
        <f ca="1">IFERROR(IF(0=LEN(ReferenceData!$BF$171),"",ReferenceData!$BF$171),"")</f>
        <v>6.6875218009999999</v>
      </c>
      <c r="BG171" t="str">
        <f ca="1">IFERROR(IF(0=LEN(ReferenceData!$BG$171),"",ReferenceData!$BG$171),"")</f>
        <v/>
      </c>
      <c r="BH171">
        <f ca="1">IFERROR(IF(0=LEN(ReferenceData!$BH$171),"",ReferenceData!$BH$171),"")</f>
        <v>5.5269457229999999</v>
      </c>
      <c r="BI171">
        <f ca="1">IFERROR(IF(0=LEN(ReferenceData!$BI$171),"",ReferenceData!$BI$171),"")</f>
        <v>6.5327859310000003</v>
      </c>
      <c r="BJ171">
        <f ca="1">IFERROR(IF(0=LEN(ReferenceData!$BJ$171),"",ReferenceData!$BJ$171),"")</f>
        <v>6.4413779199999999</v>
      </c>
      <c r="BK171" t="str">
        <f ca="1">IFERROR(IF(0=LEN(ReferenceData!$BK$171),"",ReferenceData!$BK$171),"")</f>
        <v/>
      </c>
      <c r="BL171">
        <f ca="1">IFERROR(IF(0=LEN(ReferenceData!$BL$171),"",ReferenceData!$BL$171),"")</f>
        <v>7.1944233180000001</v>
      </c>
      <c r="BM171">
        <f ca="1">IFERROR(IF(0=LEN(ReferenceData!$BM$171),"",ReferenceData!$BM$171),"")</f>
        <v>3.3577581620000001</v>
      </c>
    </row>
    <row r="172" spans="1:65">
      <c r="A172" t="str">
        <f>IFERROR(IF(0=LEN(ReferenceData!$A$172),"",ReferenceData!$A$172),"")</f>
        <v xml:space="preserve">    Columbia Property Trust Inc</v>
      </c>
      <c r="B172" t="str">
        <f>IFERROR(IF(0=LEN(ReferenceData!$B$172),"",ReferenceData!$B$172),"")</f>
        <v>CXP US Equity</v>
      </c>
      <c r="C172" t="str">
        <f>IFERROR(IF(0=LEN(ReferenceData!$C$172),"",ReferenceData!$C$172),"")</f>
        <v>RR554</v>
      </c>
      <c r="D172" t="str">
        <f>IFERROR(IF(0=LEN(ReferenceData!$D$172),"",ReferenceData!$D$172),"")</f>
        <v>FFO_RE_ASSET</v>
      </c>
      <c r="E172" t="str">
        <f>IFERROR(IF(0=LEN(ReferenceData!$E$172),"",ReferenceData!$E$172),"")</f>
        <v>动态</v>
      </c>
      <c r="F172" t="str">
        <f ca="1">IFERROR(IF(0=LEN(ReferenceData!$F$172),"",ReferenceData!$F$172),"")</f>
        <v/>
      </c>
      <c r="G172">
        <f ca="1">IFERROR(IF(0=LEN(ReferenceData!$G$172),"",ReferenceData!$G$172),"")</f>
        <v>3.8945434209999998</v>
      </c>
      <c r="H172">
        <f ca="1">IFERROR(IF(0=LEN(ReferenceData!$H$172),"",ReferenceData!$H$172),"")</f>
        <v>4.5018748659999996</v>
      </c>
      <c r="I172">
        <f ca="1">IFERROR(IF(0=LEN(ReferenceData!$I$172),"",ReferenceData!$I$172),"")</f>
        <v>4.1086206010000001</v>
      </c>
      <c r="J172">
        <f ca="1">IFERROR(IF(0=LEN(ReferenceData!$J$172),"",ReferenceData!$J$172),"")</f>
        <v>4.8661920360000002</v>
      </c>
      <c r="K172">
        <f ca="1">IFERROR(IF(0=LEN(ReferenceData!$K$172),"",ReferenceData!$K$172),"")</f>
        <v>5.3305828039999996</v>
      </c>
      <c r="L172">
        <f ca="1">IFERROR(IF(0=LEN(ReferenceData!$L$172),"",ReferenceData!$L$172),"")</f>
        <v>5.1725129540000001</v>
      </c>
      <c r="M172">
        <f ca="1">IFERROR(IF(0=LEN(ReferenceData!$M$172),"",ReferenceData!$M$172),"")</f>
        <v>5.8689289709999999</v>
      </c>
      <c r="N172">
        <f ca="1">IFERROR(IF(0=LEN(ReferenceData!$N$172),"",ReferenceData!$N$172),"")</f>
        <v>5.74150559</v>
      </c>
      <c r="O172">
        <f ca="1">IFERROR(IF(0=LEN(ReferenceData!$O$172),"",ReferenceData!$O$172),"")</f>
        <v>6.1997696400000004</v>
      </c>
      <c r="P172">
        <f ca="1">IFERROR(IF(0=LEN(ReferenceData!$P$172),"",ReferenceData!$P$172),"")</f>
        <v>5.8730613619999996</v>
      </c>
      <c r="Q172">
        <f ca="1">IFERROR(IF(0=LEN(ReferenceData!$Q$172),"",ReferenceData!$Q$172),"")</f>
        <v>6.3547640860000003</v>
      </c>
      <c r="R172">
        <f ca="1">IFERROR(IF(0=LEN(ReferenceData!$R$172),"",ReferenceData!$R$172),"")</f>
        <v>6.0215682270000004</v>
      </c>
      <c r="S172">
        <f ca="1">IFERROR(IF(0=LEN(ReferenceData!$S$172),"",ReferenceData!$S$172),"")</f>
        <v>6.401718571</v>
      </c>
      <c r="T172">
        <f ca="1">IFERROR(IF(0=LEN(ReferenceData!$T$172),"",ReferenceData!$T$172),"")</f>
        <v>5.9834685939999996</v>
      </c>
      <c r="U172">
        <f ca="1">IFERROR(IF(0=LEN(ReferenceData!$U$172),"",ReferenceData!$U$172),"")</f>
        <v>6.3784122710000002</v>
      </c>
      <c r="V172">
        <f ca="1">IFERROR(IF(0=LEN(ReferenceData!$V$172),"",ReferenceData!$V$172),"")</f>
        <v>6.8028004009999998</v>
      </c>
      <c r="W172">
        <f ca="1">IFERROR(IF(0=LEN(ReferenceData!$W$172),"",ReferenceData!$W$172),"")</f>
        <v>6.0383788650000003</v>
      </c>
      <c r="X172">
        <f ca="1">IFERROR(IF(0=LEN(ReferenceData!$X$172),"",ReferenceData!$X$172),"")</f>
        <v>5.8686913240000003</v>
      </c>
      <c r="Y172">
        <f ca="1">IFERROR(IF(0=LEN(ReferenceData!$Y$172),"",ReferenceData!$Y$172),"")</f>
        <v>5.7532321959999999</v>
      </c>
      <c r="Z172">
        <f ca="1">IFERROR(IF(0=LEN(ReferenceData!$Z$172),"",ReferenceData!$Z$172),"")</f>
        <v>5.6170147689999999</v>
      </c>
      <c r="AA172">
        <f ca="1">IFERROR(IF(0=LEN(ReferenceData!$AA$172),"",ReferenceData!$AA$172),"")</f>
        <v>6.3607989539999998</v>
      </c>
      <c r="AB172">
        <f ca="1">IFERROR(IF(0=LEN(ReferenceData!$AB$172),"",ReferenceData!$AB$172),"")</f>
        <v>7.6872696100000004</v>
      </c>
      <c r="AC172">
        <f ca="1">IFERROR(IF(0=LEN(ReferenceData!$AC$172),"",ReferenceData!$AC$172),"")</f>
        <v>7.6579221830000002</v>
      </c>
      <c r="AD172">
        <f ca="1">IFERROR(IF(0=LEN(ReferenceData!$AD$172),"",ReferenceData!$AD$172),"")</f>
        <v>7.3630597419999999</v>
      </c>
      <c r="AE172">
        <f ca="1">IFERROR(IF(0=LEN(ReferenceData!$AE$172),"",ReferenceData!$AE$172),"")</f>
        <v>7.5771005630000001</v>
      </c>
      <c r="AF172">
        <f ca="1">IFERROR(IF(0=LEN(ReferenceData!$AF$172),"",ReferenceData!$AF$172),"")</f>
        <v>6.733065968</v>
      </c>
      <c r="AG172">
        <f ca="1">IFERROR(IF(0=LEN(ReferenceData!$AG$172),"",ReferenceData!$AG$172),"")</f>
        <v>6.3854549509999998</v>
      </c>
      <c r="AH172">
        <f ca="1">IFERROR(IF(0=LEN(ReferenceData!$AH$172),"",ReferenceData!$AH$172),"")</f>
        <v>6.236248636</v>
      </c>
      <c r="AI172">
        <f ca="1">IFERROR(IF(0=LEN(ReferenceData!$AI$172),"",ReferenceData!$AI$172),"")</f>
        <v>6.5574484980000003</v>
      </c>
      <c r="AJ172">
        <f ca="1">IFERROR(IF(0=LEN(ReferenceData!$AJ$172),"",ReferenceData!$AJ$172),"")</f>
        <v>6.5337617530000003</v>
      </c>
      <c r="AK172">
        <f ca="1">IFERROR(IF(0=LEN(ReferenceData!$AK$172),"",ReferenceData!$AK$172),"")</f>
        <v>6.223846279</v>
      </c>
      <c r="AL172" t="str">
        <f ca="1">IFERROR(IF(0=LEN(ReferenceData!$AL$172),"",ReferenceData!$AL$172),"")</f>
        <v/>
      </c>
      <c r="AM172" t="str">
        <f ca="1">IFERROR(IF(0=LEN(ReferenceData!$AM$172),"",ReferenceData!$AM$172),"")</f>
        <v/>
      </c>
      <c r="AN172" t="str">
        <f ca="1">IFERROR(IF(0=LEN(ReferenceData!$AN$172),"",ReferenceData!$AN$172),"")</f>
        <v/>
      </c>
      <c r="AO172" t="str">
        <f ca="1">IFERROR(IF(0=LEN(ReferenceData!$AO$172),"",ReferenceData!$AO$172),"")</f>
        <v/>
      </c>
      <c r="AP172" t="str">
        <f ca="1">IFERROR(IF(0=LEN(ReferenceData!$AP$172),"",ReferenceData!$AP$172),"")</f>
        <v/>
      </c>
      <c r="AQ172" t="str">
        <f ca="1">IFERROR(IF(0=LEN(ReferenceData!$AQ$172),"",ReferenceData!$AQ$172),"")</f>
        <v/>
      </c>
      <c r="AR172" t="str">
        <f ca="1">IFERROR(IF(0=LEN(ReferenceData!$AR$172),"",ReferenceData!$AR$172),"")</f>
        <v/>
      </c>
      <c r="AS172" t="str">
        <f ca="1">IFERROR(IF(0=LEN(ReferenceData!$AS$172),"",ReferenceData!$AS$172),"")</f>
        <v/>
      </c>
      <c r="AT172" t="str">
        <f ca="1">IFERROR(IF(0=LEN(ReferenceData!$AT$172),"",ReferenceData!$AT$172),"")</f>
        <v/>
      </c>
      <c r="AU172" t="str">
        <f ca="1">IFERROR(IF(0=LEN(ReferenceData!$AU$172),"",ReferenceData!$AU$172),"")</f>
        <v/>
      </c>
      <c r="AV172" t="str">
        <f ca="1">IFERROR(IF(0=LEN(ReferenceData!$AV$172),"",ReferenceData!$AV$172),"")</f>
        <v/>
      </c>
      <c r="AW172" t="str">
        <f ca="1">IFERROR(IF(0=LEN(ReferenceData!$AW$172),"",ReferenceData!$AW$172),"")</f>
        <v/>
      </c>
      <c r="AX172" t="str">
        <f ca="1">IFERROR(IF(0=LEN(ReferenceData!$AX$172),"",ReferenceData!$AX$172),"")</f>
        <v/>
      </c>
      <c r="AY172" t="str">
        <f ca="1">IFERROR(IF(0=LEN(ReferenceData!$AY$172),"",ReferenceData!$AY$172),"")</f>
        <v/>
      </c>
      <c r="AZ172" t="str">
        <f ca="1">IFERROR(IF(0=LEN(ReferenceData!$AZ$172),"",ReferenceData!$AZ$172),"")</f>
        <v/>
      </c>
      <c r="BA172" t="str">
        <f ca="1">IFERROR(IF(0=LEN(ReferenceData!$BA$172),"",ReferenceData!$BA$172),"")</f>
        <v/>
      </c>
      <c r="BB172" t="str">
        <f ca="1">IFERROR(IF(0=LEN(ReferenceData!$BB$172),"",ReferenceData!$BB$172),"")</f>
        <v/>
      </c>
      <c r="BC172" t="str">
        <f ca="1">IFERROR(IF(0=LEN(ReferenceData!$BC$172),"",ReferenceData!$BC$172),"")</f>
        <v/>
      </c>
      <c r="BD172" t="str">
        <f ca="1">IFERROR(IF(0=LEN(ReferenceData!$BD$172),"",ReferenceData!$BD$172),"")</f>
        <v/>
      </c>
      <c r="BE172" t="str">
        <f ca="1">IFERROR(IF(0=LEN(ReferenceData!$BE$172),"",ReferenceData!$BE$172),"")</f>
        <v/>
      </c>
      <c r="BF172" t="str">
        <f ca="1">IFERROR(IF(0=LEN(ReferenceData!$BF$172),"",ReferenceData!$BF$172),"")</f>
        <v/>
      </c>
      <c r="BG172" t="str">
        <f ca="1">IFERROR(IF(0=LEN(ReferenceData!$BG$172),"",ReferenceData!$BG$172),"")</f>
        <v/>
      </c>
      <c r="BH172" t="str">
        <f ca="1">IFERROR(IF(0=LEN(ReferenceData!$BH$172),"",ReferenceData!$BH$172),"")</f>
        <v/>
      </c>
      <c r="BI172" t="str">
        <f ca="1">IFERROR(IF(0=LEN(ReferenceData!$BI$172),"",ReferenceData!$BI$172),"")</f>
        <v/>
      </c>
      <c r="BJ172" t="str">
        <f ca="1">IFERROR(IF(0=LEN(ReferenceData!$BJ$172),"",ReferenceData!$BJ$172),"")</f>
        <v/>
      </c>
      <c r="BK172" t="str">
        <f ca="1">IFERROR(IF(0=LEN(ReferenceData!$BK$172),"",ReferenceData!$BK$172),"")</f>
        <v/>
      </c>
      <c r="BL172" t="str">
        <f ca="1">IFERROR(IF(0=LEN(ReferenceData!$BL$172),"",ReferenceData!$BL$172),"")</f>
        <v/>
      </c>
      <c r="BM172" t="str">
        <f ca="1">IFERROR(IF(0=LEN(ReferenceData!$BM$172),"",ReferenceData!$BM$172),"")</f>
        <v/>
      </c>
    </row>
    <row r="173" spans="1:65">
      <c r="A173" t="str">
        <f>IFERROR(IF(0=LEN(ReferenceData!$A$173),"",ReferenceData!$A$173),"")</f>
        <v xml:space="preserve">    Corporate Office Properties Tr</v>
      </c>
      <c r="B173" t="str">
        <f>IFERROR(IF(0=LEN(ReferenceData!$B$173),"",ReferenceData!$B$173),"")</f>
        <v>OFC US Equity</v>
      </c>
      <c r="C173" t="str">
        <f>IFERROR(IF(0=LEN(ReferenceData!$C$173),"",ReferenceData!$C$173),"")</f>
        <v>RR554</v>
      </c>
      <c r="D173" t="str">
        <f>IFERROR(IF(0=LEN(ReferenceData!$D$173),"",ReferenceData!$D$173),"")</f>
        <v>FFO_RE_ASSET</v>
      </c>
      <c r="E173" t="str">
        <f>IFERROR(IF(0=LEN(ReferenceData!$E$173),"",ReferenceData!$E$173),"")</f>
        <v>动态</v>
      </c>
      <c r="F173" t="str">
        <f ca="1">IFERROR(IF(0=LEN(ReferenceData!$F$173),"",ReferenceData!$F$173),"")</f>
        <v/>
      </c>
      <c r="G173">
        <f ca="1">IFERROR(IF(0=LEN(ReferenceData!$G$173),"",ReferenceData!$G$173),"")</f>
        <v>6.3703246609999997</v>
      </c>
      <c r="H173">
        <f ca="1">IFERROR(IF(0=LEN(ReferenceData!$H$173),"",ReferenceData!$H$173),"")</f>
        <v>6.7092445879999998</v>
      </c>
      <c r="I173">
        <f ca="1">IFERROR(IF(0=LEN(ReferenceData!$I$173),"",ReferenceData!$I$173),"")</f>
        <v>6.3091929200000001</v>
      </c>
      <c r="J173">
        <f ca="1">IFERROR(IF(0=LEN(ReferenceData!$J$173),"",ReferenceData!$J$173),"")</f>
        <v>6.00516235</v>
      </c>
      <c r="K173">
        <f ca="1">IFERROR(IF(0=LEN(ReferenceData!$K$173),"",ReferenceData!$K$173),"")</f>
        <v>5.5441302669999999</v>
      </c>
      <c r="L173">
        <f ca="1">IFERROR(IF(0=LEN(ReferenceData!$L$173),"",ReferenceData!$L$173),"")</f>
        <v>4.7703571839999999</v>
      </c>
      <c r="M173">
        <f ca="1">IFERROR(IF(0=LEN(ReferenceData!$M$173),"",ReferenceData!$M$173),"")</f>
        <v>7.1016177059999999</v>
      </c>
      <c r="N173">
        <f ca="1">IFERROR(IF(0=LEN(ReferenceData!$N$173),"",ReferenceData!$N$173),"")</f>
        <v>7.3905800350000002</v>
      </c>
      <c r="O173">
        <f ca="1">IFERROR(IF(0=LEN(ReferenceData!$O$173),"",ReferenceData!$O$173),"")</f>
        <v>7.5061436849999996</v>
      </c>
      <c r="P173">
        <f ca="1">IFERROR(IF(0=LEN(ReferenceData!$P$173),"",ReferenceData!$P$173),"")</f>
        <v>7.6027579809999999</v>
      </c>
      <c r="Q173">
        <f ca="1">IFERROR(IF(0=LEN(ReferenceData!$Q$173),"",ReferenceData!$Q$173),"")</f>
        <v>4.9996987879999999</v>
      </c>
      <c r="R173">
        <f ca="1">IFERROR(IF(0=LEN(ReferenceData!$R$173),"",ReferenceData!$R$173),"")</f>
        <v>4.6538579200000001</v>
      </c>
      <c r="S173">
        <f ca="1">IFERROR(IF(0=LEN(ReferenceData!$S$173),"",ReferenceData!$S$173),"")</f>
        <v>4.7701081900000002</v>
      </c>
      <c r="T173">
        <f ca="1">IFERROR(IF(0=LEN(ReferenceData!$T$173),"",ReferenceData!$T$173),"")</f>
        <v>7.1440792689999997</v>
      </c>
      <c r="U173">
        <f ca="1">IFERROR(IF(0=LEN(ReferenceData!$U$173),"",ReferenceData!$U$173),"")</f>
        <v>7.005710917</v>
      </c>
      <c r="V173">
        <f ca="1">IFERROR(IF(0=LEN(ReferenceData!$V$173),"",ReferenceData!$V$173),"")</f>
        <v>6.698027529</v>
      </c>
      <c r="W173">
        <f ca="1">IFERROR(IF(0=LEN(ReferenceData!$W$173),"",ReferenceData!$W$173),"")</f>
        <v>6.5714328679999996</v>
      </c>
      <c r="X173">
        <f ca="1">IFERROR(IF(0=LEN(ReferenceData!$X$173),"",ReferenceData!$X$173),"")</f>
        <v>4.4709359070000003</v>
      </c>
      <c r="Y173">
        <f ca="1">IFERROR(IF(0=LEN(ReferenceData!$Y$173),"",ReferenceData!$Y$173),"")</f>
        <v>4.1874542019999996</v>
      </c>
      <c r="Z173">
        <f ca="1">IFERROR(IF(0=LEN(ReferenceData!$Z$173),"",ReferenceData!$Z$173),"")</f>
        <v>4.7256376610000004</v>
      </c>
      <c r="AA173">
        <f ca="1">IFERROR(IF(0=LEN(ReferenceData!$AA$173),"",ReferenceData!$AA$173),"")</f>
        <v>4.8936461739999997</v>
      </c>
      <c r="AB173">
        <f ca="1">IFERROR(IF(0=LEN(ReferenceData!$AB$173),"",ReferenceData!$AB$173),"")</f>
        <v>3.0536194249999999</v>
      </c>
      <c r="AC173">
        <f ca="1">IFERROR(IF(0=LEN(ReferenceData!$AC$173),"",ReferenceData!$AC$173),"")</f>
        <v>2.9170295089999998</v>
      </c>
      <c r="AD173">
        <f ca="1">IFERROR(IF(0=LEN(ReferenceData!$AD$173),"",ReferenceData!$AD$173),"")</f>
        <v>2.6481857799999999</v>
      </c>
      <c r="AE173">
        <f ca="1">IFERROR(IF(0=LEN(ReferenceData!$AE$173),"",ReferenceData!$AE$173),"")</f>
        <v>1.6289117959999999</v>
      </c>
      <c r="AF173">
        <f ca="1">IFERROR(IF(0=LEN(ReferenceData!$AF$173),"",ReferenceData!$AF$173),"")</f>
        <v>3.701766127</v>
      </c>
      <c r="AG173">
        <f ca="1">IFERROR(IF(0=LEN(ReferenceData!$AG$173),"",ReferenceData!$AG$173),"")</f>
        <v>3.738966816</v>
      </c>
      <c r="AH173">
        <f ca="1">IFERROR(IF(0=LEN(ReferenceData!$AH$173),"",ReferenceData!$AH$173),"")</f>
        <v>3.8227151309999998</v>
      </c>
      <c r="AI173">
        <f ca="1">IFERROR(IF(0=LEN(ReferenceData!$AI$173),"",ReferenceData!$AI$173),"")</f>
        <v>4.5910996390000003</v>
      </c>
      <c r="AJ173">
        <f ca="1">IFERROR(IF(0=LEN(ReferenceData!$AJ$173),"",ReferenceData!$AJ$173),"")</f>
        <v>4.3102953319999999</v>
      </c>
      <c r="AK173">
        <f ca="1">IFERROR(IF(0=LEN(ReferenceData!$AK$173),"",ReferenceData!$AK$173),"")</f>
        <v>4.5950222649999999</v>
      </c>
      <c r="AL173">
        <f ca="1">IFERROR(IF(0=LEN(ReferenceData!$AL$173),"",ReferenceData!$AL$173),"")</f>
        <v>4.9644438710000003</v>
      </c>
      <c r="AM173">
        <f ca="1">IFERROR(IF(0=LEN(ReferenceData!$AM$173),"",ReferenceData!$AM$173),"")</f>
        <v>5.2553850769999997</v>
      </c>
      <c r="AN173">
        <f ca="1">IFERROR(IF(0=LEN(ReferenceData!$AN$173),"",ReferenceData!$AN$173),"")</f>
        <v>5.8585863629999997</v>
      </c>
      <c r="AO173">
        <f ca="1">IFERROR(IF(0=LEN(ReferenceData!$AO$173),"",ReferenceData!$AO$173),"")</f>
        <v>5.8136162870000003</v>
      </c>
      <c r="AP173">
        <f ca="1">IFERROR(IF(0=LEN(ReferenceData!$AP$173),"",ReferenceData!$AP$173),"")</f>
        <v>5.6156731850000003</v>
      </c>
      <c r="AQ173">
        <f ca="1">IFERROR(IF(0=LEN(ReferenceData!$AQ$173),"",ReferenceData!$AQ$173),"")</f>
        <v>5.3360703899999997</v>
      </c>
      <c r="AR173">
        <f ca="1">IFERROR(IF(0=LEN(ReferenceData!$AR$173),"",ReferenceData!$AR$173),"")</f>
        <v>4.969644315</v>
      </c>
      <c r="AS173">
        <f ca="1">IFERROR(IF(0=LEN(ReferenceData!$AS$173),"",ReferenceData!$AS$173),"")</f>
        <v>4.9586087330000002</v>
      </c>
      <c r="AT173">
        <f ca="1">IFERROR(IF(0=LEN(ReferenceData!$AT$173),"",ReferenceData!$AT$173),"")</f>
        <v>5.0406815140000001</v>
      </c>
      <c r="AU173">
        <f ca="1">IFERROR(IF(0=LEN(ReferenceData!$AU$173),"",ReferenceData!$AU$173),"")</f>
        <v>5.3155798079999999</v>
      </c>
      <c r="AV173">
        <f ca="1">IFERROR(IF(0=LEN(ReferenceData!$AV$173),"",ReferenceData!$AV$173),"")</f>
        <v>5.0532323039999998</v>
      </c>
      <c r="AW173">
        <f ca="1">IFERROR(IF(0=LEN(ReferenceData!$AW$173),"",ReferenceData!$AW$173),"")</f>
        <v>4.7647064329999997</v>
      </c>
      <c r="AX173">
        <f ca="1">IFERROR(IF(0=LEN(ReferenceData!$AX$173),"",ReferenceData!$AX$173),"")</f>
        <v>4.6965750039999996</v>
      </c>
      <c r="AY173">
        <f ca="1">IFERROR(IF(0=LEN(ReferenceData!$AY$173),"",ReferenceData!$AY$173),"")</f>
        <v>4.9475723460000003</v>
      </c>
      <c r="AZ173">
        <f ca="1">IFERROR(IF(0=LEN(ReferenceData!$AZ$173),"",ReferenceData!$AZ$173),"")</f>
        <v>7.456144074</v>
      </c>
      <c r="BA173">
        <f ca="1">IFERROR(IF(0=LEN(ReferenceData!$BA$173),"",ReferenceData!$BA$173),"")</f>
        <v>7.6911666800000003</v>
      </c>
      <c r="BB173">
        <f ca="1">IFERROR(IF(0=LEN(ReferenceData!$BB$173),"",ReferenceData!$BB$173),"")</f>
        <v>8.0251268089999996</v>
      </c>
      <c r="BC173">
        <f ca="1">IFERROR(IF(0=LEN(ReferenceData!$BC$173),"",ReferenceData!$BC$173),"")</f>
        <v>8.0560740479999993</v>
      </c>
      <c r="BD173">
        <f ca="1">IFERROR(IF(0=LEN(ReferenceData!$BD$173),"",ReferenceData!$BD$173),"")</f>
        <v>5.802905559</v>
      </c>
      <c r="BE173">
        <f ca="1">IFERROR(IF(0=LEN(ReferenceData!$BE$173),"",ReferenceData!$BE$173),"")</f>
        <v>5.3679317229999999</v>
      </c>
      <c r="BF173">
        <f ca="1">IFERROR(IF(0=LEN(ReferenceData!$BF$173),"",ReferenceData!$BF$173),"")</f>
        <v>5.5562260160000001</v>
      </c>
      <c r="BG173">
        <f ca="1">IFERROR(IF(0=LEN(ReferenceData!$BG$173),"",ReferenceData!$BG$173),"")</f>
        <v>5.5522663559999996</v>
      </c>
      <c r="BH173">
        <f ca="1">IFERROR(IF(0=LEN(ReferenceData!$BH$173),"",ReferenceData!$BH$173),"")</f>
        <v>5.3132013560000004</v>
      </c>
      <c r="BI173">
        <f ca="1">IFERROR(IF(0=LEN(ReferenceData!$BI$173),"",ReferenceData!$BI$173),"")</f>
        <v>5.7350253889999996</v>
      </c>
      <c r="BJ173">
        <f ca="1">IFERROR(IF(0=LEN(ReferenceData!$BJ$173),"",ReferenceData!$BJ$173),"")</f>
        <v>5.4406129200000004</v>
      </c>
      <c r="BK173">
        <f ca="1">IFERROR(IF(0=LEN(ReferenceData!$BK$173),"",ReferenceData!$BK$173),"")</f>
        <v>5.4678307559999997</v>
      </c>
      <c r="BL173">
        <f ca="1">IFERROR(IF(0=LEN(ReferenceData!$BL$173),"",ReferenceData!$BL$173),"")</f>
        <v>5.274400773</v>
      </c>
      <c r="BM173">
        <f ca="1">IFERROR(IF(0=LEN(ReferenceData!$BM$173),"",ReferenceData!$BM$173),"")</f>
        <v>5.2485593579999996</v>
      </c>
    </row>
    <row r="174" spans="1:65">
      <c r="A174" t="str">
        <f>IFERROR(IF(0=LEN(ReferenceData!$A$174),"",ReferenceData!$A$174),"")</f>
        <v xml:space="preserve">    Highwoods Properties Inc</v>
      </c>
      <c r="B174" t="str">
        <f>IFERROR(IF(0=LEN(ReferenceData!$B$174),"",ReferenceData!$B$174),"")</f>
        <v>HIW US Equity</v>
      </c>
      <c r="C174" t="str">
        <f>IFERROR(IF(0=LEN(ReferenceData!$C$174),"",ReferenceData!$C$174),"")</f>
        <v>RR554</v>
      </c>
      <c r="D174" t="str">
        <f>IFERROR(IF(0=LEN(ReferenceData!$D$174),"",ReferenceData!$D$174),"")</f>
        <v>FFO_RE_ASSET</v>
      </c>
      <c r="E174" t="str">
        <f>IFERROR(IF(0=LEN(ReferenceData!$E$174),"",ReferenceData!$E$174),"")</f>
        <v>动态</v>
      </c>
      <c r="F174" t="str">
        <f ca="1">IFERROR(IF(0=LEN(ReferenceData!$F$174),"",ReferenceData!$F$174),"")</f>
        <v/>
      </c>
      <c r="G174">
        <f ca="1">IFERROR(IF(0=LEN(ReferenceData!$G$174),"",ReferenceData!$G$174),"")</f>
        <v>8.8053389430000006</v>
      </c>
      <c r="H174">
        <f ca="1">IFERROR(IF(0=LEN(ReferenceData!$H$174),"",ReferenceData!$H$174),"")</f>
        <v>8.7776968469999996</v>
      </c>
      <c r="I174">
        <f ca="1">IFERROR(IF(0=LEN(ReferenceData!$I$174),"",ReferenceData!$I$174),"")</f>
        <v>8.7341136640000006</v>
      </c>
      <c r="J174">
        <f ca="1">IFERROR(IF(0=LEN(ReferenceData!$J$174),"",ReferenceData!$J$174),"")</f>
        <v>8.4888416640000006</v>
      </c>
      <c r="K174">
        <f ca="1">IFERROR(IF(0=LEN(ReferenceData!$K$174),"",ReferenceData!$K$174),"")</f>
        <v>8.2416361449999993</v>
      </c>
      <c r="L174">
        <f ca="1">IFERROR(IF(0=LEN(ReferenceData!$L$174),"",ReferenceData!$L$174),"")</f>
        <v>8.2695646679999992</v>
      </c>
      <c r="M174">
        <f ca="1">IFERROR(IF(0=LEN(ReferenceData!$M$174),"",ReferenceData!$M$174),"")</f>
        <v>8.5987343079999992</v>
      </c>
      <c r="N174">
        <f ca="1">IFERROR(IF(0=LEN(ReferenceData!$N$174),"",ReferenceData!$N$174),"")</f>
        <v>8.5000409749999992</v>
      </c>
      <c r="O174">
        <f ca="1">IFERROR(IF(0=LEN(ReferenceData!$O$174),"",ReferenceData!$O$174),"")</f>
        <v>7.9136546279999997</v>
      </c>
      <c r="P174">
        <f ca="1">IFERROR(IF(0=LEN(ReferenceData!$P$174),"",ReferenceData!$P$174),"")</f>
        <v>7.8151234159999996</v>
      </c>
      <c r="Q174">
        <f ca="1">IFERROR(IF(0=LEN(ReferenceData!$Q$174),"",ReferenceData!$Q$174),"")</f>
        <v>8.0064132929999996</v>
      </c>
      <c r="R174">
        <f ca="1">IFERROR(IF(0=LEN(ReferenceData!$R$174),"",ReferenceData!$R$174),"")</f>
        <v>8.0831277220000004</v>
      </c>
      <c r="S174">
        <f ca="1">IFERROR(IF(0=LEN(ReferenceData!$S$174),"",ReferenceData!$S$174),"")</f>
        <v>7.8569153700000003</v>
      </c>
      <c r="T174">
        <f ca="1">IFERROR(IF(0=LEN(ReferenceData!$T$174),"",ReferenceData!$T$174),"")</f>
        <v>7.8725982969999997</v>
      </c>
      <c r="U174">
        <f ca="1">IFERROR(IF(0=LEN(ReferenceData!$U$174),"",ReferenceData!$U$174),"")</f>
        <v>8.1583305740000007</v>
      </c>
      <c r="V174">
        <f ca="1">IFERROR(IF(0=LEN(ReferenceData!$V$174),"",ReferenceData!$V$174),"")</f>
        <v>7.9293001209999998</v>
      </c>
      <c r="W174">
        <f ca="1">IFERROR(IF(0=LEN(ReferenceData!$W$174),"",ReferenceData!$W$174),"")</f>
        <v>7.8775597250000002</v>
      </c>
      <c r="X174">
        <f ca="1">IFERROR(IF(0=LEN(ReferenceData!$X$174),"",ReferenceData!$X$174),"")</f>
        <v>7.5335424599999996</v>
      </c>
      <c r="Y174">
        <f ca="1">IFERROR(IF(0=LEN(ReferenceData!$Y$174),"",ReferenceData!$Y$174),"")</f>
        <v>7.5785980950000003</v>
      </c>
      <c r="Z174">
        <f ca="1">IFERROR(IF(0=LEN(ReferenceData!$Z$174),"",ReferenceData!$Z$174),"")</f>
        <v>7.4873724360000002</v>
      </c>
      <c r="AA174">
        <f ca="1">IFERROR(IF(0=LEN(ReferenceData!$AA$174),"",ReferenceData!$AA$174),"")</f>
        <v>7.3999329239999998</v>
      </c>
      <c r="AB174">
        <f ca="1">IFERROR(IF(0=LEN(ReferenceData!$AB$174),"",ReferenceData!$AB$174),"")</f>
        <v>7.4821552120000003</v>
      </c>
      <c r="AC174">
        <f ca="1">IFERROR(IF(0=LEN(ReferenceData!$AC$174),"",ReferenceData!$AC$174),"")</f>
        <v>7.5780033910000002</v>
      </c>
      <c r="AD174">
        <f ca="1">IFERROR(IF(0=LEN(ReferenceData!$AD$174),"",ReferenceData!$AD$174),"")</f>
        <v>7.2974332329999996</v>
      </c>
      <c r="AE174">
        <f ca="1">IFERROR(IF(0=LEN(ReferenceData!$AE$174),"",ReferenceData!$AE$174),"")</f>
        <v>6.9793560149999996</v>
      </c>
      <c r="AF174">
        <f ca="1">IFERROR(IF(0=LEN(ReferenceData!$AF$174),"",ReferenceData!$AF$174),"")</f>
        <v>6.7376560100000003</v>
      </c>
      <c r="AG174">
        <f ca="1">IFERROR(IF(0=LEN(ReferenceData!$AG$174),"",ReferenceData!$AG$174),"")</f>
        <v>6.98524426</v>
      </c>
      <c r="AH174">
        <f ca="1">IFERROR(IF(0=LEN(ReferenceData!$AH$174),"",ReferenceData!$AH$174),"")</f>
        <v>7.1088636510000001</v>
      </c>
      <c r="AI174">
        <f ca="1">IFERROR(IF(0=LEN(ReferenceData!$AI$174),"",ReferenceData!$AI$174),"")</f>
        <v>7.0466843890000002</v>
      </c>
      <c r="AJ174">
        <f ca="1">IFERROR(IF(0=LEN(ReferenceData!$AJ$174),"",ReferenceData!$AJ$174),"")</f>
        <v>6.4426641350000002</v>
      </c>
      <c r="AK174">
        <f ca="1">IFERROR(IF(0=LEN(ReferenceData!$AK$174),"",ReferenceData!$AK$174),"")</f>
        <v>6.5923932980000002</v>
      </c>
      <c r="AL174">
        <f ca="1">IFERROR(IF(0=LEN(ReferenceData!$AL$174),"",ReferenceData!$AL$174),"")</f>
        <v>6.5388119170000003</v>
      </c>
      <c r="AM174">
        <f ca="1">IFERROR(IF(0=LEN(ReferenceData!$AM$174),"",ReferenceData!$AM$174),"")</f>
        <v>6.5795955030000002</v>
      </c>
      <c r="AN174">
        <f ca="1">IFERROR(IF(0=LEN(ReferenceData!$AN$174),"",ReferenceData!$AN$174),"")</f>
        <v>5.8100362460000001</v>
      </c>
      <c r="AO174">
        <f ca="1">IFERROR(IF(0=LEN(ReferenceData!$AO$174),"",ReferenceData!$AO$174),"")</f>
        <v>5.7504058669999996</v>
      </c>
      <c r="AP174">
        <f ca="1">IFERROR(IF(0=LEN(ReferenceData!$AP$174),"",ReferenceData!$AP$174),"")</f>
        <v>5.4529098100000004</v>
      </c>
      <c r="AQ174">
        <f ca="1">IFERROR(IF(0=LEN(ReferenceData!$AQ$174),"",ReferenceData!$AQ$174),"")</f>
        <v>5.3253465999999996</v>
      </c>
      <c r="AR174">
        <f ca="1">IFERROR(IF(0=LEN(ReferenceData!$AR$174),"",ReferenceData!$AR$174),"")</f>
        <v>6.257717242</v>
      </c>
      <c r="AS174">
        <f ca="1">IFERROR(IF(0=LEN(ReferenceData!$AS$174),"",ReferenceData!$AS$174),"")</f>
        <v>5.975508864</v>
      </c>
      <c r="AT174">
        <f ca="1">IFERROR(IF(0=LEN(ReferenceData!$AT$174),"",ReferenceData!$AT$174),"")</f>
        <v>5.7714952850000003</v>
      </c>
      <c r="AU174">
        <f ca="1">IFERROR(IF(0=LEN(ReferenceData!$AU$174),"",ReferenceData!$AU$174),"")</f>
        <v>6.2918920780000001</v>
      </c>
      <c r="AV174">
        <f ca="1">IFERROR(IF(0=LEN(ReferenceData!$AV$174),"",ReferenceData!$AV$174),"")</f>
        <v>6.4607561860000002</v>
      </c>
      <c r="AW174">
        <f ca="1">IFERROR(IF(0=LEN(ReferenceData!$AW$174),"",ReferenceData!$AW$174),"")</f>
        <v>6.3414487839999998</v>
      </c>
      <c r="AX174">
        <f ca="1">IFERROR(IF(0=LEN(ReferenceData!$AX$174),"",ReferenceData!$AX$174),"")</f>
        <v>6.3028911389999998</v>
      </c>
      <c r="AY174">
        <f ca="1">IFERROR(IF(0=LEN(ReferenceData!$AY$174),"",ReferenceData!$AY$174),"")</f>
        <v>5.3989253430000002</v>
      </c>
      <c r="AZ174">
        <f ca="1">IFERROR(IF(0=LEN(ReferenceData!$AZ$174),"",ReferenceData!$AZ$174),"")</f>
        <v>4.6970493180000004</v>
      </c>
      <c r="BA174">
        <f ca="1">IFERROR(IF(0=LEN(ReferenceData!$BA$174),"",ReferenceData!$BA$174),"")</f>
        <v>4.3611918840000001</v>
      </c>
      <c r="BB174">
        <f ca="1">IFERROR(IF(0=LEN(ReferenceData!$BB$174),"",ReferenceData!$BB$174),"")</f>
        <v>4.4962276640000001</v>
      </c>
      <c r="BC174">
        <f ca="1">IFERROR(IF(0=LEN(ReferenceData!$BC$174),"",ReferenceData!$BC$174),"")</f>
        <v>4.3915830839999996</v>
      </c>
      <c r="BD174">
        <f ca="1">IFERROR(IF(0=LEN(ReferenceData!$BD$174),"",ReferenceData!$BD$174),"")</f>
        <v>4.4855878809999998</v>
      </c>
      <c r="BE174">
        <f ca="1">IFERROR(IF(0=LEN(ReferenceData!$BE$174),"",ReferenceData!$BE$174),"")</f>
        <v>4.8932835969999999</v>
      </c>
      <c r="BF174">
        <f ca="1">IFERROR(IF(0=LEN(ReferenceData!$BF$174),"",ReferenceData!$BF$174),"")</f>
        <v>4.1788913619999999</v>
      </c>
      <c r="BG174" t="str">
        <f ca="1">IFERROR(IF(0=LEN(ReferenceData!$BG$174),"",ReferenceData!$BG$174),"")</f>
        <v/>
      </c>
      <c r="BH174">
        <f ca="1">IFERROR(IF(0=LEN(ReferenceData!$BH$174),"",ReferenceData!$BH$174),"")</f>
        <v>5.9854048190000002</v>
      </c>
      <c r="BI174">
        <f ca="1">IFERROR(IF(0=LEN(ReferenceData!$BI$174),"",ReferenceData!$BI$174),"")</f>
        <v>5.9139588300000003</v>
      </c>
      <c r="BJ174">
        <f ca="1">IFERROR(IF(0=LEN(ReferenceData!$BJ$174),"",ReferenceData!$BJ$174),"")</f>
        <v>6.3058269180000002</v>
      </c>
      <c r="BK174" t="str">
        <f ca="1">IFERROR(IF(0=LEN(ReferenceData!$BK$174),"",ReferenceData!$BK$174),"")</f>
        <v/>
      </c>
      <c r="BL174">
        <f ca="1">IFERROR(IF(0=LEN(ReferenceData!$BL$174),"",ReferenceData!$BL$174),"")</f>
        <v>7.1771371689999999</v>
      </c>
      <c r="BM174">
        <f ca="1">IFERROR(IF(0=LEN(ReferenceData!$BM$174),"",ReferenceData!$BM$174),"")</f>
        <v>5.5817755910000004</v>
      </c>
    </row>
    <row r="175" spans="1:65">
      <c r="A175" t="str">
        <f>IFERROR(IF(0=LEN(ReferenceData!$A$175),"",ReferenceData!$A$175),"")</f>
        <v xml:space="preserve">    Kilroy Realty Corp</v>
      </c>
      <c r="B175" t="str">
        <f>IFERROR(IF(0=LEN(ReferenceData!$B$175),"",ReferenceData!$B$175),"")</f>
        <v>KRC US Equity</v>
      </c>
      <c r="C175" t="str">
        <f>IFERROR(IF(0=LEN(ReferenceData!$C$175),"",ReferenceData!$C$175),"")</f>
        <v>RR554</v>
      </c>
      <c r="D175" t="str">
        <f>IFERROR(IF(0=LEN(ReferenceData!$D$175),"",ReferenceData!$D$175),"")</f>
        <v>FFO_RE_ASSET</v>
      </c>
      <c r="E175" t="str">
        <f>IFERROR(IF(0=LEN(ReferenceData!$E$175),"",ReferenceData!$E$175),"")</f>
        <v>动态</v>
      </c>
      <c r="F175" t="str">
        <f ca="1">IFERROR(IF(0=LEN(ReferenceData!$F$175),"",ReferenceData!$F$175),"")</f>
        <v/>
      </c>
      <c r="G175">
        <f ca="1">IFERROR(IF(0=LEN(ReferenceData!$G$175),"",ReferenceData!$G$175),"")</f>
        <v>5.7441142980000004</v>
      </c>
      <c r="H175">
        <f ca="1">IFERROR(IF(0=LEN(ReferenceData!$H$175),"",ReferenceData!$H$175),"")</f>
        <v>5.9605005689999997</v>
      </c>
      <c r="I175">
        <f ca="1">IFERROR(IF(0=LEN(ReferenceData!$I$175),"",ReferenceData!$I$175),"")</f>
        <v>5.9533474110000002</v>
      </c>
      <c r="J175">
        <f ca="1">IFERROR(IF(0=LEN(ReferenceData!$J$175),"",ReferenceData!$J$175),"")</f>
        <v>5.9014643629999997</v>
      </c>
      <c r="K175">
        <f ca="1">IFERROR(IF(0=LEN(ReferenceData!$K$175),"",ReferenceData!$K$175),"")</f>
        <v>5.9306575339999998</v>
      </c>
      <c r="L175">
        <f ca="1">IFERROR(IF(0=LEN(ReferenceData!$L$175),"",ReferenceData!$L$175),"")</f>
        <v>5.9884347440000001</v>
      </c>
      <c r="M175">
        <f ca="1">IFERROR(IF(0=LEN(ReferenceData!$M$175),"",ReferenceData!$M$175),"")</f>
        <v>5.8453893609999996</v>
      </c>
      <c r="N175">
        <f ca="1">IFERROR(IF(0=LEN(ReferenceData!$N$175),"",ReferenceData!$N$175),"")</f>
        <v>5.7610911829999996</v>
      </c>
      <c r="O175">
        <f ca="1">IFERROR(IF(0=LEN(ReferenceData!$O$175),"",ReferenceData!$O$175),"")</f>
        <v>6.0629405509999996</v>
      </c>
      <c r="P175">
        <f ca="1">IFERROR(IF(0=LEN(ReferenceData!$P$175),"",ReferenceData!$P$175),"")</f>
        <v>6.0778425580000004</v>
      </c>
      <c r="Q175">
        <f ca="1">IFERROR(IF(0=LEN(ReferenceData!$Q$175),"",ReferenceData!$Q$175),"")</f>
        <v>5.9732633489999998</v>
      </c>
      <c r="R175">
        <f ca="1">IFERROR(IF(0=LEN(ReferenceData!$R$175),"",ReferenceData!$R$175),"")</f>
        <v>5.9120189620000003</v>
      </c>
      <c r="S175">
        <f ca="1">IFERROR(IF(0=LEN(ReferenceData!$S$175),"",ReferenceData!$S$175),"")</f>
        <v>5.247744462</v>
      </c>
      <c r="T175">
        <f ca="1">IFERROR(IF(0=LEN(ReferenceData!$T$175),"",ReferenceData!$T$175),"")</f>
        <v>5.2586013280000001</v>
      </c>
      <c r="U175">
        <f ca="1">IFERROR(IF(0=LEN(ReferenceData!$U$175),"",ReferenceData!$U$175),"")</f>
        <v>5.1842581150000004</v>
      </c>
      <c r="V175">
        <f ca="1">IFERROR(IF(0=LEN(ReferenceData!$V$175),"",ReferenceData!$V$175),"")</f>
        <v>5.1507599470000001</v>
      </c>
      <c r="W175">
        <f ca="1">IFERROR(IF(0=LEN(ReferenceData!$W$175),"",ReferenceData!$W$175),"")</f>
        <v>5.1763795559999997</v>
      </c>
      <c r="X175">
        <f ca="1">IFERROR(IF(0=LEN(ReferenceData!$X$175),"",ReferenceData!$X$175),"")</f>
        <v>5.2881302310000002</v>
      </c>
      <c r="Y175">
        <f ca="1">IFERROR(IF(0=LEN(ReferenceData!$Y$175),"",ReferenceData!$Y$175),"")</f>
        <v>5.0878906490000002</v>
      </c>
      <c r="Z175">
        <f ca="1">IFERROR(IF(0=LEN(ReferenceData!$Z$175),"",ReferenceData!$Z$175),"")</f>
        <v>4.8747284909999999</v>
      </c>
      <c r="AA175">
        <f ca="1">IFERROR(IF(0=LEN(ReferenceData!$AA$175),"",ReferenceData!$AA$175),"")</f>
        <v>4.6890591639999997</v>
      </c>
      <c r="AB175">
        <f ca="1">IFERROR(IF(0=LEN(ReferenceData!$AB$175),"",ReferenceData!$AB$175),"")</f>
        <v>4.6688017820000001</v>
      </c>
      <c r="AC175">
        <f ca="1">IFERROR(IF(0=LEN(ReferenceData!$AC$175),"",ReferenceData!$AC$175),"")</f>
        <v>4.5887533510000003</v>
      </c>
      <c r="AD175">
        <f ca="1">IFERROR(IF(0=LEN(ReferenceData!$AD$175),"",ReferenceData!$AD$175),"")</f>
        <v>4.7996426400000001</v>
      </c>
      <c r="AE175">
        <f ca="1">IFERROR(IF(0=LEN(ReferenceData!$AE$175),"",ReferenceData!$AE$175),"")</f>
        <v>4.862775235</v>
      </c>
      <c r="AF175">
        <f ca="1">IFERROR(IF(0=LEN(ReferenceData!$AF$175),"",ReferenceData!$AF$175),"")</f>
        <v>4.6973134019999998</v>
      </c>
      <c r="AG175">
        <f ca="1">IFERROR(IF(0=LEN(ReferenceData!$AG$175),"",ReferenceData!$AG$175),"")</f>
        <v>4.6057196300000003</v>
      </c>
      <c r="AH175">
        <f ca="1">IFERROR(IF(0=LEN(ReferenceData!$AH$175),"",ReferenceData!$AH$175),"")</f>
        <v>4.9166831350000004</v>
      </c>
      <c r="AI175">
        <f ca="1">IFERROR(IF(0=LEN(ReferenceData!$AI$175),"",ReferenceData!$AI$175),"")</f>
        <v>4.7721440929999996</v>
      </c>
      <c r="AJ175">
        <f ca="1">IFERROR(IF(0=LEN(ReferenceData!$AJ$175),"",ReferenceData!$AJ$175),"")</f>
        <v>4.4737744660000001</v>
      </c>
      <c r="AK175">
        <f ca="1">IFERROR(IF(0=LEN(ReferenceData!$AK$175),"",ReferenceData!$AK$175),"")</f>
        <v>4.4811613440000002</v>
      </c>
      <c r="AL175">
        <f ca="1">IFERROR(IF(0=LEN(ReferenceData!$AL$175),"",ReferenceData!$AL$175),"")</f>
        <v>5.3494692170000002</v>
      </c>
      <c r="AM175">
        <f ca="1">IFERROR(IF(0=LEN(ReferenceData!$AM$175),"",ReferenceData!$AM$175),"")</f>
        <v>5.5257826799999998</v>
      </c>
      <c r="AN175">
        <f ca="1">IFERROR(IF(0=LEN(ReferenceData!$AN$175),"",ReferenceData!$AN$175),"")</f>
        <v>5.9430643529999996</v>
      </c>
      <c r="AO175">
        <f ca="1">IFERROR(IF(0=LEN(ReferenceData!$AO$175),"",ReferenceData!$AO$175),"")</f>
        <v>6.102913719</v>
      </c>
      <c r="AP175">
        <f ca="1">IFERROR(IF(0=LEN(ReferenceData!$AP$175),"",ReferenceData!$AP$175),"")</f>
        <v>5.867566429</v>
      </c>
      <c r="AQ175">
        <f ca="1">IFERROR(IF(0=LEN(ReferenceData!$AQ$175),"",ReferenceData!$AQ$175),"")</f>
        <v>5.8912268409999999</v>
      </c>
      <c r="AR175">
        <f ca="1">IFERROR(IF(0=LEN(ReferenceData!$AR$175),"",ReferenceData!$AR$175),"")</f>
        <v>6.2624317300000003</v>
      </c>
      <c r="AS175">
        <f ca="1">IFERROR(IF(0=LEN(ReferenceData!$AS$175),"",ReferenceData!$AS$175),"")</f>
        <v>6.0515803569999997</v>
      </c>
      <c r="AT175">
        <f ca="1">IFERROR(IF(0=LEN(ReferenceData!$AT$175),"",ReferenceData!$AT$175),"")</f>
        <v>6.2164056639999998</v>
      </c>
      <c r="AU175">
        <f ca="1">IFERROR(IF(0=LEN(ReferenceData!$AU$175),"",ReferenceData!$AU$175),"")</f>
        <v>6.2683736210000003</v>
      </c>
      <c r="AV175">
        <f ca="1">IFERROR(IF(0=LEN(ReferenceData!$AV$175),"",ReferenceData!$AV$175),"")</f>
        <v>6.3736962080000001</v>
      </c>
      <c r="AW175">
        <f ca="1">IFERROR(IF(0=LEN(ReferenceData!$AW$175),"",ReferenceData!$AW$175),"")</f>
        <v>6.3319096090000002</v>
      </c>
      <c r="AX175">
        <f ca="1">IFERROR(IF(0=LEN(ReferenceData!$AX$175),"",ReferenceData!$AX$175),"")</f>
        <v>7.1916717500000003</v>
      </c>
      <c r="AY175">
        <f ca="1">IFERROR(IF(0=LEN(ReferenceData!$AY$175),"",ReferenceData!$AY$175),"")</f>
        <v>7.4773444720000004</v>
      </c>
      <c r="AZ175">
        <f ca="1">IFERROR(IF(0=LEN(ReferenceData!$AZ$175),"",ReferenceData!$AZ$175),"")</f>
        <v>6.4389013830000001</v>
      </c>
      <c r="BA175">
        <f ca="1">IFERROR(IF(0=LEN(ReferenceData!$BA$175),"",ReferenceData!$BA$175),"")</f>
        <v>5.6929878220000001</v>
      </c>
      <c r="BB175">
        <f ca="1">IFERROR(IF(0=LEN(ReferenceData!$BB$175),"",ReferenceData!$BB$175),"")</f>
        <v>4.2753963730000004</v>
      </c>
      <c r="BC175">
        <f ca="1">IFERROR(IF(0=LEN(ReferenceData!$BC$175),"",ReferenceData!$BC$175),"")</f>
        <v>4.1991224239999996</v>
      </c>
      <c r="BD175">
        <f ca="1">IFERROR(IF(0=LEN(ReferenceData!$BD$175),"",ReferenceData!$BD$175),"")</f>
        <v>5.0234985749999996</v>
      </c>
      <c r="BE175">
        <f ca="1">IFERROR(IF(0=LEN(ReferenceData!$BE$175),"",ReferenceData!$BE$175),"")</f>
        <v>5.5185623960000001</v>
      </c>
      <c r="BF175">
        <f ca="1">IFERROR(IF(0=LEN(ReferenceData!$BF$175),"",ReferenceData!$BF$175),"")</f>
        <v>6.1467405810000004</v>
      </c>
      <c r="BG175">
        <f ca="1">IFERROR(IF(0=LEN(ReferenceData!$BG$175),"",ReferenceData!$BG$175),"")</f>
        <v>5.7127530870000003</v>
      </c>
      <c r="BH175">
        <f ca="1">IFERROR(IF(0=LEN(ReferenceData!$BH$175),"",ReferenceData!$BH$175),"")</f>
        <v>6.1420760669999996</v>
      </c>
      <c r="BI175">
        <f ca="1">IFERROR(IF(0=LEN(ReferenceData!$BI$175),"",ReferenceData!$BI$175),"")</f>
        <v>7.3299569560000002</v>
      </c>
      <c r="BJ175">
        <f ca="1">IFERROR(IF(0=LEN(ReferenceData!$BJ$175),"",ReferenceData!$BJ$175),"")</f>
        <v>7.348536781</v>
      </c>
      <c r="BK175">
        <f ca="1">IFERROR(IF(0=LEN(ReferenceData!$BK$175),"",ReferenceData!$BK$175),"")</f>
        <v>7.7422940699999998</v>
      </c>
      <c r="BL175" t="str">
        <f ca="1">IFERROR(IF(0=LEN(ReferenceData!$BL$175),"",ReferenceData!$BL$175),"")</f>
        <v/>
      </c>
      <c r="BM175">
        <f ca="1">IFERROR(IF(0=LEN(ReferenceData!$BM$175),"",ReferenceData!$BM$175),"")</f>
        <v>6.994720676</v>
      </c>
    </row>
    <row r="176" spans="1:65">
      <c r="A176" t="str">
        <f>IFERROR(IF(0=LEN(ReferenceData!$A$176),"",ReferenceData!$A$176),"")</f>
        <v xml:space="preserve">    Mack-Cali Realty Corp</v>
      </c>
      <c r="B176" t="str">
        <f>IFERROR(IF(0=LEN(ReferenceData!$B$176),"",ReferenceData!$B$176),"")</f>
        <v>CLI US Equity</v>
      </c>
      <c r="C176" t="str">
        <f>IFERROR(IF(0=LEN(ReferenceData!$C$176),"",ReferenceData!$C$176),"")</f>
        <v>RR554</v>
      </c>
      <c r="D176" t="str">
        <f>IFERROR(IF(0=LEN(ReferenceData!$D$176),"",ReferenceData!$D$176),"")</f>
        <v>FFO_RE_ASSET</v>
      </c>
      <c r="E176" t="str">
        <f>IFERROR(IF(0=LEN(ReferenceData!$E$176),"",ReferenceData!$E$176),"")</f>
        <v>动态</v>
      </c>
      <c r="F176" t="str">
        <f ca="1">IFERROR(IF(0=LEN(ReferenceData!$F$176),"",ReferenceData!$F$176),"")</f>
        <v/>
      </c>
      <c r="G176">
        <f ca="1">IFERROR(IF(0=LEN(ReferenceData!$G$176),"",ReferenceData!$G$176),"")</f>
        <v>5.419466237</v>
      </c>
      <c r="H176">
        <f ca="1">IFERROR(IF(0=LEN(ReferenceData!$H$176),"",ReferenceData!$H$176),"")</f>
        <v>5.0133322610000004</v>
      </c>
      <c r="I176">
        <f ca="1">IFERROR(IF(0=LEN(ReferenceData!$I$176),"",ReferenceData!$I$176),"")</f>
        <v>5.0049473219999996</v>
      </c>
      <c r="J176">
        <f ca="1">IFERROR(IF(0=LEN(ReferenceData!$J$176),"",ReferenceData!$J$176),"")</f>
        <v>5.3164055149999996</v>
      </c>
      <c r="K176">
        <f ca="1">IFERROR(IF(0=LEN(ReferenceData!$K$176),"",ReferenceData!$K$176),"")</f>
        <v>5.4820272069999998</v>
      </c>
      <c r="L176">
        <f ca="1">IFERROR(IF(0=LEN(ReferenceData!$L$176),"",ReferenceData!$L$176),"")</f>
        <v>5.8100456740000004</v>
      </c>
      <c r="M176">
        <f ca="1">IFERROR(IF(0=LEN(ReferenceData!$M$176),"",ReferenceData!$M$176),"")</f>
        <v>5.5837190960000003</v>
      </c>
      <c r="N176">
        <f ca="1">IFERROR(IF(0=LEN(ReferenceData!$N$176),"",ReferenceData!$N$176),"")</f>
        <v>5.1288769609999996</v>
      </c>
      <c r="O176">
        <f ca="1">IFERROR(IF(0=LEN(ReferenceData!$O$176),"",ReferenceData!$O$176),"")</f>
        <v>5.0571689969999998</v>
      </c>
      <c r="P176">
        <f ca="1">IFERROR(IF(0=LEN(ReferenceData!$P$176),"",ReferenceData!$P$176),"")</f>
        <v>4.7550915050000002</v>
      </c>
      <c r="Q176">
        <f ca="1">IFERROR(IF(0=LEN(ReferenceData!$Q$176),"",ReferenceData!$Q$176),"")</f>
        <v>4.5161103740000001</v>
      </c>
      <c r="R176">
        <f ca="1">IFERROR(IF(0=LEN(ReferenceData!$R$176),"",ReferenceData!$R$176),"")</f>
        <v>4.5627455479999997</v>
      </c>
      <c r="S176">
        <f ca="1">IFERROR(IF(0=LEN(ReferenceData!$S$176),"",ReferenceData!$S$176),"")</f>
        <v>4.2241582590000002</v>
      </c>
      <c r="T176">
        <f ca="1">IFERROR(IF(0=LEN(ReferenceData!$T$176),"",ReferenceData!$T$176),"")</f>
        <v>4.7389076509999999</v>
      </c>
      <c r="U176">
        <f ca="1">IFERROR(IF(0=LEN(ReferenceData!$U$176),"",ReferenceData!$U$176),"")</f>
        <v>4.7914500310000001</v>
      </c>
      <c r="V176">
        <f ca="1">IFERROR(IF(0=LEN(ReferenceData!$V$176),"",ReferenceData!$V$176),"")</f>
        <v>5.0674021790000001</v>
      </c>
      <c r="W176">
        <f ca="1">IFERROR(IF(0=LEN(ReferenceData!$W$176),"",ReferenceData!$W$176),"")</f>
        <v>5.932489458</v>
      </c>
      <c r="X176">
        <f ca="1">IFERROR(IF(0=LEN(ReferenceData!$X$176),"",ReferenceData!$X$176),"")</f>
        <v>6.4862547729999998</v>
      </c>
      <c r="Y176">
        <f ca="1">IFERROR(IF(0=LEN(ReferenceData!$Y$176),"",ReferenceData!$Y$176),"")</f>
        <v>6.499332978</v>
      </c>
      <c r="Z176">
        <f ca="1">IFERROR(IF(0=LEN(ReferenceData!$Z$176),"",ReferenceData!$Z$176),"")</f>
        <v>6.324890731</v>
      </c>
      <c r="AA176">
        <f ca="1">IFERROR(IF(0=LEN(ReferenceData!$AA$176),"",ReferenceData!$AA$176),"")</f>
        <v>6.6765653220000001</v>
      </c>
      <c r="AB176">
        <f ca="1">IFERROR(IF(0=LEN(ReferenceData!$AB$176),"",ReferenceData!$AB$176),"")</f>
        <v>6.9196035890000003</v>
      </c>
      <c r="AC176">
        <f ca="1">IFERROR(IF(0=LEN(ReferenceData!$AC$176),"",ReferenceData!$AC$176),"")</f>
        <v>7.1007862319999999</v>
      </c>
      <c r="AD176">
        <f ca="1">IFERROR(IF(0=LEN(ReferenceData!$AD$176),"",ReferenceData!$AD$176),"")</f>
        <v>7.2503730290000004</v>
      </c>
      <c r="AE176">
        <f ca="1">IFERROR(IF(0=LEN(ReferenceData!$AE$176),"",ReferenceData!$AE$176),"")</f>
        <v>7.0465753270000002</v>
      </c>
      <c r="AF176">
        <f ca="1">IFERROR(IF(0=LEN(ReferenceData!$AF$176),"",ReferenceData!$AF$176),"")</f>
        <v>6.9259828729999997</v>
      </c>
      <c r="AG176">
        <f ca="1">IFERROR(IF(0=LEN(ReferenceData!$AG$176),"",ReferenceData!$AG$176),"")</f>
        <v>6.6707703250000003</v>
      </c>
      <c r="AH176">
        <f ca="1">IFERROR(IF(0=LEN(ReferenceData!$AH$176),"",ReferenceData!$AH$176),"")</f>
        <v>6.5537413369999999</v>
      </c>
      <c r="AI176">
        <f ca="1">IFERROR(IF(0=LEN(ReferenceData!$AI$176),"",ReferenceData!$AI$176),"")</f>
        <v>6.4928575159999999</v>
      </c>
      <c r="AJ176">
        <f ca="1">IFERROR(IF(0=LEN(ReferenceData!$AJ$176),"",ReferenceData!$AJ$176),"")</f>
        <v>6.2346758680000001</v>
      </c>
      <c r="AK176">
        <f ca="1">IFERROR(IF(0=LEN(ReferenceData!$AK$176),"",ReferenceData!$AK$176),"")</f>
        <v>6.4709693560000003</v>
      </c>
      <c r="AL176">
        <f ca="1">IFERROR(IF(0=LEN(ReferenceData!$AL$176),"",ReferenceData!$AL$176),"")</f>
        <v>6.767694015</v>
      </c>
      <c r="AM176">
        <f ca="1">IFERROR(IF(0=LEN(ReferenceData!$AM$176),"",ReferenceData!$AM$176),"")</f>
        <v>6.7608492919999996</v>
      </c>
      <c r="AN176">
        <f ca="1">IFERROR(IF(0=LEN(ReferenceData!$AN$176),"",ReferenceData!$AN$176),"")</f>
        <v>6.5786858779999999</v>
      </c>
      <c r="AO176">
        <f ca="1">IFERROR(IF(0=LEN(ReferenceData!$AO$176),"",ReferenceData!$AO$176),"")</f>
        <v>6.7239329139999997</v>
      </c>
      <c r="AP176">
        <f ca="1">IFERROR(IF(0=LEN(ReferenceData!$AP$176),"",ReferenceData!$AP$176),"")</f>
        <v>6.7584288969999999</v>
      </c>
      <c r="AQ176">
        <f ca="1">IFERROR(IF(0=LEN(ReferenceData!$AQ$176),"",ReferenceData!$AQ$176),"")</f>
        <v>6.7899212489999998</v>
      </c>
      <c r="AR176">
        <f ca="1">IFERROR(IF(0=LEN(ReferenceData!$AR$176),"",ReferenceData!$AR$176),"")</f>
        <v>7.2696508729999998</v>
      </c>
      <c r="AS176">
        <f ca="1">IFERROR(IF(0=LEN(ReferenceData!$AS$176),"",ReferenceData!$AS$176),"")</f>
        <v>7.1274274709999998</v>
      </c>
      <c r="AT176">
        <f ca="1">IFERROR(IF(0=LEN(ReferenceData!$AT$176),"",ReferenceData!$AT$176),"")</f>
        <v>7.2994592029999996</v>
      </c>
      <c r="AU176">
        <f ca="1">IFERROR(IF(0=LEN(ReferenceData!$AU$176),"",ReferenceData!$AU$176),"")</f>
        <v>7.2602039109999996</v>
      </c>
      <c r="AV176">
        <f ca="1">IFERROR(IF(0=LEN(ReferenceData!$AV$176),"",ReferenceData!$AV$176),"")</f>
        <v>6.882969847</v>
      </c>
      <c r="AW176">
        <f ca="1">IFERROR(IF(0=LEN(ReferenceData!$AW$176),"",ReferenceData!$AW$176),"")</f>
        <v>6.6368904049999999</v>
      </c>
      <c r="AX176">
        <f ca="1">IFERROR(IF(0=LEN(ReferenceData!$AX$176),"",ReferenceData!$AX$176),"")</f>
        <v>7.0845455810000004</v>
      </c>
      <c r="AY176">
        <f ca="1">IFERROR(IF(0=LEN(ReferenceData!$AY$176),"",ReferenceData!$AY$176),"")</f>
        <v>7.4790889040000001</v>
      </c>
      <c r="AZ176">
        <f ca="1">IFERROR(IF(0=LEN(ReferenceData!$AZ$176),"",ReferenceData!$AZ$176),"")</f>
        <v>7.1217746560000004</v>
      </c>
      <c r="BA176">
        <f ca="1">IFERROR(IF(0=LEN(ReferenceData!$BA$176),"",ReferenceData!$BA$176),"")</f>
        <v>7.1498191090000001</v>
      </c>
      <c r="BB176">
        <f ca="1">IFERROR(IF(0=LEN(ReferenceData!$BB$176),"",ReferenceData!$BB$176),"")</f>
        <v>7.2185871180000003</v>
      </c>
      <c r="BC176">
        <f ca="1">IFERROR(IF(0=LEN(ReferenceData!$BC$176),"",ReferenceData!$BC$176),"")</f>
        <v>7.2904449470000001</v>
      </c>
      <c r="BD176">
        <f ca="1">IFERROR(IF(0=LEN(ReferenceData!$BD$176),"",ReferenceData!$BD$176),"")</f>
        <v>7.3864258940000003</v>
      </c>
      <c r="BE176">
        <f ca="1">IFERROR(IF(0=LEN(ReferenceData!$BE$176),"",ReferenceData!$BE$176),"")</f>
        <v>7.4657553200000004</v>
      </c>
      <c r="BF176">
        <f ca="1">IFERROR(IF(0=LEN(ReferenceData!$BF$176),"",ReferenceData!$BF$176),"")</f>
        <v>7.398186463</v>
      </c>
      <c r="BG176">
        <f ca="1">IFERROR(IF(0=LEN(ReferenceData!$BG$176),"",ReferenceData!$BG$176),"")</f>
        <v>7.6714702299999997</v>
      </c>
      <c r="BH176">
        <f ca="1">IFERROR(IF(0=LEN(ReferenceData!$BH$176),"",ReferenceData!$BH$176),"")</f>
        <v>7.6537560439999996</v>
      </c>
      <c r="BI176">
        <f ca="1">IFERROR(IF(0=LEN(ReferenceData!$BI$176),"",ReferenceData!$BI$176),"")</f>
        <v>7.5019932049999998</v>
      </c>
      <c r="BJ176">
        <f ca="1">IFERROR(IF(0=LEN(ReferenceData!$BJ$176),"",ReferenceData!$BJ$176),"")</f>
        <v>7.7141976139999997</v>
      </c>
      <c r="BK176">
        <f ca="1">IFERROR(IF(0=LEN(ReferenceData!$BK$176),"",ReferenceData!$BK$176),"")</f>
        <v>7.8268168569999998</v>
      </c>
      <c r="BL176">
        <f ca="1">IFERROR(IF(0=LEN(ReferenceData!$BL$176),"",ReferenceData!$BL$176),"")</f>
        <v>7.9265113810000001</v>
      </c>
      <c r="BM176">
        <f ca="1">IFERROR(IF(0=LEN(ReferenceData!$BM$176),"",ReferenceData!$BM$176),"")</f>
        <v>7.8836953100000002</v>
      </c>
    </row>
    <row r="177" spans="1:65">
      <c r="A177" t="str">
        <f>IFERROR(IF(0=LEN(ReferenceData!$A$177),"",ReferenceData!$A$177),"")</f>
        <v xml:space="preserve">    Piedmont Office Realty Trust I</v>
      </c>
      <c r="B177" t="str">
        <f>IFERROR(IF(0=LEN(ReferenceData!$B$177),"",ReferenceData!$B$177),"")</f>
        <v>PDM US Equity</v>
      </c>
      <c r="C177" t="str">
        <f>IFERROR(IF(0=LEN(ReferenceData!$C$177),"",ReferenceData!$C$177),"")</f>
        <v>RR554</v>
      </c>
      <c r="D177" t="str">
        <f>IFERROR(IF(0=LEN(ReferenceData!$D$177),"",ReferenceData!$D$177),"")</f>
        <v>FFO_RE_ASSET</v>
      </c>
      <c r="E177" t="str">
        <f>IFERROR(IF(0=LEN(ReferenceData!$E$177),"",ReferenceData!$E$177),"")</f>
        <v>动态</v>
      </c>
      <c r="F177" t="str">
        <f ca="1">IFERROR(IF(0=LEN(ReferenceData!$F$177),"",ReferenceData!$F$177),"")</f>
        <v/>
      </c>
      <c r="G177">
        <f ca="1">IFERROR(IF(0=LEN(ReferenceData!$G$177),"",ReferenceData!$G$177),"")</f>
        <v>7.3239524210000004</v>
      </c>
      <c r="H177">
        <f ca="1">IFERROR(IF(0=LEN(ReferenceData!$H$177),"",ReferenceData!$H$177),"")</f>
        <v>7.4197554380000001</v>
      </c>
      <c r="I177">
        <f ca="1">IFERROR(IF(0=LEN(ReferenceData!$I$177),"",ReferenceData!$I$177),"")</f>
        <v>7.1951665340000002</v>
      </c>
      <c r="J177">
        <f ca="1">IFERROR(IF(0=LEN(ReferenceData!$J$177),"",ReferenceData!$J$177),"")</f>
        <v>6.8667838960000003</v>
      </c>
      <c r="K177">
        <f ca="1">IFERROR(IF(0=LEN(ReferenceData!$K$177),"",ReferenceData!$K$177),"")</f>
        <v>6.640426197</v>
      </c>
      <c r="L177">
        <f ca="1">IFERROR(IF(0=LEN(ReferenceData!$L$177),"",ReferenceData!$L$177),"")</f>
        <v>6.3067384420000003</v>
      </c>
      <c r="M177">
        <f ca="1">IFERROR(IF(0=LEN(ReferenceData!$M$177),"",ReferenceData!$M$177),"")</f>
        <v>6.3285209919999996</v>
      </c>
      <c r="N177">
        <f ca="1">IFERROR(IF(0=LEN(ReferenceData!$N$177),"",ReferenceData!$N$177),"")</f>
        <v>6.2716396540000003</v>
      </c>
      <c r="O177">
        <f ca="1">IFERROR(IF(0=LEN(ReferenceData!$O$177),"",ReferenceData!$O$177),"")</f>
        <v>6.2490873520000001</v>
      </c>
      <c r="P177">
        <f ca="1">IFERROR(IF(0=LEN(ReferenceData!$P$177),"",ReferenceData!$P$177),"")</f>
        <v>6.186727018</v>
      </c>
      <c r="Q177">
        <f ca="1">IFERROR(IF(0=LEN(ReferenceData!$Q$177),"",ReferenceData!$Q$177),"")</f>
        <v>6.0851304559999999</v>
      </c>
      <c r="R177">
        <f ca="1">IFERROR(IF(0=LEN(ReferenceData!$R$177),"",ReferenceData!$R$177),"")</f>
        <v>6.0349220529999998</v>
      </c>
      <c r="S177">
        <f ca="1">IFERROR(IF(0=LEN(ReferenceData!$S$177),"",ReferenceData!$S$177),"")</f>
        <v>5.9845861459999998</v>
      </c>
      <c r="T177">
        <f ca="1">IFERROR(IF(0=LEN(ReferenceData!$T$177),"",ReferenceData!$T$177),"")</f>
        <v>6.1607143549999996</v>
      </c>
      <c r="U177">
        <f ca="1">IFERROR(IF(0=LEN(ReferenceData!$U$177),"",ReferenceData!$U$177),"")</f>
        <v>6.3584292619999996</v>
      </c>
      <c r="V177">
        <f ca="1">IFERROR(IF(0=LEN(ReferenceData!$V$177),"",ReferenceData!$V$177),"")</f>
        <v>6.4629800309999998</v>
      </c>
      <c r="W177">
        <f ca="1">IFERROR(IF(0=LEN(ReferenceData!$W$177),"",ReferenceData!$W$177),"")</f>
        <v>6.692428832</v>
      </c>
      <c r="X177">
        <f ca="1">IFERROR(IF(0=LEN(ReferenceData!$X$177),"",ReferenceData!$X$177),"")</f>
        <v>7.36263267</v>
      </c>
      <c r="Y177">
        <f ca="1">IFERROR(IF(0=LEN(ReferenceData!$Y$177),"",ReferenceData!$Y$177),"")</f>
        <v>7.0574850939999996</v>
      </c>
      <c r="Z177">
        <f ca="1">IFERROR(IF(0=LEN(ReferenceData!$Z$177),"",ReferenceData!$Z$177),"")</f>
        <v>6.955500969</v>
      </c>
      <c r="AA177">
        <f ca="1">IFERROR(IF(0=LEN(ReferenceData!$AA$177),"",ReferenceData!$AA$177),"")</f>
        <v>6.3480503490000002</v>
      </c>
      <c r="AB177">
        <f ca="1">IFERROR(IF(0=LEN(ReferenceData!$AB$177),"",ReferenceData!$AB$177),"")</f>
        <v>8.2642942300000009</v>
      </c>
      <c r="AC177">
        <f ca="1">IFERROR(IF(0=LEN(ReferenceData!$AC$177),"",ReferenceData!$AC$177),"")</f>
        <v>8.7481127169999997</v>
      </c>
      <c r="AD177">
        <f ca="1">IFERROR(IF(0=LEN(ReferenceData!$AD$177),"",ReferenceData!$AD$177),"")</f>
        <v>8.848346652</v>
      </c>
      <c r="AE177">
        <f ca="1">IFERROR(IF(0=LEN(ReferenceData!$AE$177),"",ReferenceData!$AE$177),"")</f>
        <v>7.3630340079999996</v>
      </c>
      <c r="AF177">
        <f ca="1">IFERROR(IF(0=LEN(ReferenceData!$AF$177),"",ReferenceData!$AF$177),"")</f>
        <v>8.1815932409999998</v>
      </c>
      <c r="AG177">
        <f ca="1">IFERROR(IF(0=LEN(ReferenceData!$AG$177),"",ReferenceData!$AG$177),"")</f>
        <v>9.2788016290000002</v>
      </c>
      <c r="AH177">
        <f ca="1">IFERROR(IF(0=LEN(ReferenceData!$AH$177),"",ReferenceData!$AH$177),"")</f>
        <v>8.9313848510000007</v>
      </c>
      <c r="AI177">
        <f ca="1">IFERROR(IF(0=LEN(ReferenceData!$AI$177),"",ReferenceData!$AI$177),"")</f>
        <v>7.2663367980000002</v>
      </c>
      <c r="AJ177">
        <f ca="1">IFERROR(IF(0=LEN(ReferenceData!$AJ$177),"",ReferenceData!$AJ$177),"")</f>
        <v>8.1413451489999993</v>
      </c>
      <c r="AK177">
        <f ca="1">IFERROR(IF(0=LEN(ReferenceData!$AK$177),"",ReferenceData!$AK$177),"")</f>
        <v>7.3712188630000002</v>
      </c>
      <c r="AL177">
        <f ca="1">IFERROR(IF(0=LEN(ReferenceData!$AL$177),"",ReferenceData!$AL$177),"")</f>
        <v>6.9339729319999996</v>
      </c>
      <c r="AM177">
        <f ca="1">IFERROR(IF(0=LEN(ReferenceData!$AM$177),"",ReferenceData!$AM$177),"")</f>
        <v>6.2618643499999997</v>
      </c>
      <c r="AN177">
        <f ca="1">IFERROR(IF(0=LEN(ReferenceData!$AN$177),"",ReferenceData!$AN$177),"")</f>
        <v>6.9128817969999998</v>
      </c>
      <c r="AO177">
        <f ca="1">IFERROR(IF(0=LEN(ReferenceData!$AO$177),"",ReferenceData!$AO$177),"")</f>
        <v>8.6462575180000005</v>
      </c>
      <c r="AP177">
        <f ca="1">IFERROR(IF(0=LEN(ReferenceData!$AP$177),"",ReferenceData!$AP$177),"")</f>
        <v>7.4041367659999997</v>
      </c>
      <c r="AQ177">
        <f ca="1">IFERROR(IF(0=LEN(ReferenceData!$AQ$177),"",ReferenceData!$AQ$177),"")</f>
        <v>7.6831617850000002</v>
      </c>
      <c r="AR177">
        <f ca="1">IFERROR(IF(0=LEN(ReferenceData!$AR$177),"",ReferenceData!$AR$177),"")</f>
        <v>7.7809780130000004</v>
      </c>
      <c r="AS177">
        <f ca="1">IFERROR(IF(0=LEN(ReferenceData!$AS$177),"",ReferenceData!$AS$177),"")</f>
        <v>8.2911583100000001</v>
      </c>
      <c r="AT177">
        <f ca="1">IFERROR(IF(0=LEN(ReferenceData!$AT$177),"",ReferenceData!$AT$177),"")</f>
        <v>7.712607577</v>
      </c>
      <c r="AU177">
        <f ca="1">IFERROR(IF(0=LEN(ReferenceData!$AU$177),"",ReferenceData!$AU$177),"")</f>
        <v>7.4733573959999999</v>
      </c>
      <c r="AV177">
        <f ca="1">IFERROR(IF(0=LEN(ReferenceData!$AV$177),"",ReferenceData!$AV$177),"")</f>
        <v>7.0569235040000002</v>
      </c>
      <c r="AW177">
        <f ca="1">IFERROR(IF(0=LEN(ReferenceData!$AW$177),"",ReferenceData!$AW$177),"")</f>
        <v>7.2143435069999997</v>
      </c>
      <c r="AX177">
        <f ca="1">IFERROR(IF(0=LEN(ReferenceData!$AX$177),"",ReferenceData!$AX$177),"")</f>
        <v>7.1935025140000004</v>
      </c>
      <c r="AY177">
        <f ca="1">IFERROR(IF(0=LEN(ReferenceData!$AY$177),"",ReferenceData!$AY$177),"")</f>
        <v>6.9919160639999998</v>
      </c>
      <c r="AZ177">
        <f ca="1">IFERROR(IF(0=LEN(ReferenceData!$AZ$177),"",ReferenceData!$AZ$177),"")</f>
        <v>7.2541986569999999</v>
      </c>
      <c r="BA177">
        <f ca="1">IFERROR(IF(0=LEN(ReferenceData!$BA$177),"",ReferenceData!$BA$177),"")</f>
        <v>7.1015293609999999</v>
      </c>
      <c r="BB177">
        <f ca="1">IFERROR(IF(0=LEN(ReferenceData!$BB$177),"",ReferenceData!$BB$177),"")</f>
        <v>6.7945514200000003</v>
      </c>
      <c r="BC177">
        <f ca="1">IFERROR(IF(0=LEN(ReferenceData!$BC$177),"",ReferenceData!$BC$177),"")</f>
        <v>7.1353108430000001</v>
      </c>
      <c r="BD177">
        <f ca="1">IFERROR(IF(0=LEN(ReferenceData!$BD$177),"",ReferenceData!$BD$177),"")</f>
        <v>7.9171189960000001</v>
      </c>
      <c r="BE177">
        <f ca="1">IFERROR(IF(0=LEN(ReferenceData!$BE$177),"",ReferenceData!$BE$177),"")</f>
        <v>7.9066749139999999</v>
      </c>
      <c r="BF177">
        <f ca="1">IFERROR(IF(0=LEN(ReferenceData!$BF$177),"",ReferenceData!$BF$177),"")</f>
        <v>8.2843719579999995</v>
      </c>
      <c r="BG177">
        <f ca="1">IFERROR(IF(0=LEN(ReferenceData!$BG$177),"",ReferenceData!$BG$177),"")</f>
        <v>8.1412827229999998</v>
      </c>
      <c r="BH177">
        <f ca="1">IFERROR(IF(0=LEN(ReferenceData!$BH$177),"",ReferenceData!$BH$177),"")</f>
        <v>8.7382176539999996</v>
      </c>
      <c r="BI177">
        <f ca="1">IFERROR(IF(0=LEN(ReferenceData!$BI$177),"",ReferenceData!$BI$177),"")</f>
        <v>8.276973538</v>
      </c>
      <c r="BJ177">
        <f ca="1">IFERROR(IF(0=LEN(ReferenceData!$BJ$177),"",ReferenceData!$BJ$177),"")</f>
        <v>8.0532731910000006</v>
      </c>
      <c r="BK177">
        <f ca="1">IFERROR(IF(0=LEN(ReferenceData!$BK$177),"",ReferenceData!$BK$177),"")</f>
        <v>7.0913488070000001</v>
      </c>
      <c r="BL177">
        <f ca="1">IFERROR(IF(0=LEN(ReferenceData!$BL$177),"",ReferenceData!$BL$177),"")</f>
        <v>8.2405926669999996</v>
      </c>
      <c r="BM177">
        <f ca="1">IFERROR(IF(0=LEN(ReferenceData!$BM$177),"",ReferenceData!$BM$177),"")</f>
        <v>8.2881363599999993</v>
      </c>
    </row>
    <row r="178" spans="1:65">
      <c r="A178" t="str">
        <f>IFERROR(IF(0=LEN(ReferenceData!$A$178),"",ReferenceData!$A$178),"")</f>
        <v xml:space="preserve">    SL Green Realty Corp</v>
      </c>
      <c r="B178" t="str">
        <f>IFERROR(IF(0=LEN(ReferenceData!$B$178),"",ReferenceData!$B$178),"")</f>
        <v>SLG US Equity</v>
      </c>
      <c r="C178" t="str">
        <f>IFERROR(IF(0=LEN(ReferenceData!$C$178),"",ReferenceData!$C$178),"")</f>
        <v>RR554</v>
      </c>
      <c r="D178" t="str">
        <f>IFERROR(IF(0=LEN(ReferenceData!$D$178),"",ReferenceData!$D$178),"")</f>
        <v>FFO_RE_ASSET</v>
      </c>
      <c r="E178" t="str">
        <f>IFERROR(IF(0=LEN(ReferenceData!$E$178),"",ReferenceData!$E$178),"")</f>
        <v>动态</v>
      </c>
      <c r="F178" t="str">
        <f ca="1">IFERROR(IF(0=LEN(ReferenceData!$F$178),"",ReferenceData!$F$178),"")</f>
        <v/>
      </c>
      <c r="G178">
        <f ca="1">IFERROR(IF(0=LEN(ReferenceData!$G$178),"",ReferenceData!$G$178),"")</f>
        <v>5.0563437660000004</v>
      </c>
      <c r="H178">
        <f ca="1">IFERROR(IF(0=LEN(ReferenceData!$H$178),"",ReferenceData!$H$178),"")</f>
        <v>4.8221695530000002</v>
      </c>
      <c r="I178">
        <f ca="1">IFERROR(IF(0=LEN(ReferenceData!$I$178),"",ReferenceData!$I$178),"")</f>
        <v>4.658631196</v>
      </c>
      <c r="J178">
        <f ca="1">IFERROR(IF(0=LEN(ReferenceData!$J$178),"",ReferenceData!$J$178),"")</f>
        <v>5.7748943849999996</v>
      </c>
      <c r="K178">
        <f ca="1">IFERROR(IF(0=LEN(ReferenceData!$K$178),"",ReferenceData!$K$178),"")</f>
        <v>5.5221859059999998</v>
      </c>
      <c r="L178">
        <f ca="1">IFERROR(IF(0=LEN(ReferenceData!$L$178),"",ReferenceData!$L$178),"")</f>
        <v>5.767683152</v>
      </c>
      <c r="M178">
        <f ca="1">IFERROR(IF(0=LEN(ReferenceData!$M$178),"",ReferenceData!$M$178),"")</f>
        <v>5.9589645290000002</v>
      </c>
      <c r="N178">
        <f ca="1">IFERROR(IF(0=LEN(ReferenceData!$N$178),"",ReferenceData!$N$178),"")</f>
        <v>4.6378146310000004</v>
      </c>
      <c r="O178">
        <f ca="1">IFERROR(IF(0=LEN(ReferenceData!$O$178),"",ReferenceData!$O$178),"")</f>
        <v>4.1056683940000003</v>
      </c>
      <c r="P178">
        <f ca="1">IFERROR(IF(0=LEN(ReferenceData!$P$178),"",ReferenceData!$P$178),"")</f>
        <v>4.0523674310000004</v>
      </c>
      <c r="Q178">
        <f ca="1">IFERROR(IF(0=LEN(ReferenceData!$Q$178),"",ReferenceData!$Q$178),"")</f>
        <v>4.1123128830000004</v>
      </c>
      <c r="R178">
        <f ca="1">IFERROR(IF(0=LEN(ReferenceData!$R$178),"",ReferenceData!$R$178),"")</f>
        <v>4.2053488420000003</v>
      </c>
      <c r="S178">
        <f ca="1">IFERROR(IF(0=LEN(ReferenceData!$S$178),"",ReferenceData!$S$178),"")</f>
        <v>4.1869133859999996</v>
      </c>
      <c r="T178">
        <f ca="1">IFERROR(IF(0=LEN(ReferenceData!$T$178),"",ReferenceData!$T$178),"")</f>
        <v>4.2254401589999997</v>
      </c>
      <c r="U178">
        <f ca="1">IFERROR(IF(0=LEN(ReferenceData!$U$178),"",ReferenceData!$U$178),"")</f>
        <v>4.2502441429999998</v>
      </c>
      <c r="V178">
        <f ca="1">IFERROR(IF(0=LEN(ReferenceData!$V$178),"",ReferenceData!$V$178),"")</f>
        <v>4.1059981829999996</v>
      </c>
      <c r="W178">
        <f ca="1">IFERROR(IF(0=LEN(ReferenceData!$W$178),"",ReferenceData!$W$178),"")</f>
        <v>3.817353877</v>
      </c>
      <c r="X178">
        <f ca="1">IFERROR(IF(0=LEN(ReferenceData!$X$178),"",ReferenceData!$X$178),"")</f>
        <v>3.7083284139999999</v>
      </c>
      <c r="Y178">
        <f ca="1">IFERROR(IF(0=LEN(ReferenceData!$Y$178),"",ReferenceData!$Y$178),"")</f>
        <v>3.5745902470000002</v>
      </c>
      <c r="Z178">
        <f ca="1">IFERROR(IF(0=LEN(ReferenceData!$Z$178),"",ReferenceData!$Z$178),"")</f>
        <v>4.0103004479999997</v>
      </c>
      <c r="AA178">
        <f ca="1">IFERROR(IF(0=LEN(ReferenceData!$AA$178),"",ReferenceData!$AA$178),"")</f>
        <v>3.9954801670000002</v>
      </c>
      <c r="AB178">
        <f ca="1">IFERROR(IF(0=LEN(ReferenceData!$AB$178),"",ReferenceData!$AB$178),"")</f>
        <v>3.971713829</v>
      </c>
      <c r="AC178">
        <f ca="1">IFERROR(IF(0=LEN(ReferenceData!$AC$178),"",ReferenceData!$AC$178),"")</f>
        <v>3.9150787920000001</v>
      </c>
      <c r="AD178">
        <f ca="1">IFERROR(IF(0=LEN(ReferenceData!$AD$178),"",ReferenceData!$AD$178),"")</f>
        <v>3.356583487</v>
      </c>
      <c r="AE178">
        <f ca="1">IFERROR(IF(0=LEN(ReferenceData!$AE$178),"",ReferenceData!$AE$178),"")</f>
        <v>3.9671425839999999</v>
      </c>
      <c r="AF178">
        <f ca="1">IFERROR(IF(0=LEN(ReferenceData!$AF$178),"",ReferenceData!$AF$178),"")</f>
        <v>3.8590532409999998</v>
      </c>
      <c r="AG178">
        <f ca="1">IFERROR(IF(0=LEN(ReferenceData!$AG$178),"",ReferenceData!$AG$178),"")</f>
        <v>4.5327396560000004</v>
      </c>
      <c r="AH178">
        <f ca="1">IFERROR(IF(0=LEN(ReferenceData!$AH$178),"",ReferenceData!$AH$178),"")</f>
        <v>4.6209499369999998</v>
      </c>
      <c r="AI178">
        <f ca="1">IFERROR(IF(0=LEN(ReferenceData!$AI$178),"",ReferenceData!$AI$178),"")</f>
        <v>4.2454092460000004</v>
      </c>
      <c r="AJ178">
        <f ca="1">IFERROR(IF(0=LEN(ReferenceData!$AJ$178),"",ReferenceData!$AJ$178),"")</f>
        <v>4.1110634480000003</v>
      </c>
      <c r="AK178">
        <f ca="1">IFERROR(IF(0=LEN(ReferenceData!$AK$178),"",ReferenceData!$AK$178),"")</f>
        <v>3.4370290030000001</v>
      </c>
      <c r="AL178">
        <f ca="1">IFERROR(IF(0=LEN(ReferenceData!$AL$178),"",ReferenceData!$AL$178),"")</f>
        <v>3.3717056250000002</v>
      </c>
      <c r="AM178">
        <f ca="1">IFERROR(IF(0=LEN(ReferenceData!$AM$178),"",ReferenceData!$AM$178),"")</f>
        <v>3.4148826959999998</v>
      </c>
      <c r="AN178">
        <f ca="1">IFERROR(IF(0=LEN(ReferenceData!$AN$178),"",ReferenceData!$AN$178),"")</f>
        <v>3.2867746960000002</v>
      </c>
      <c r="AO178">
        <f ca="1">IFERROR(IF(0=LEN(ReferenceData!$AO$178),"",ReferenceData!$AO$178),"")</f>
        <v>3.269813847</v>
      </c>
      <c r="AP178">
        <f ca="1">IFERROR(IF(0=LEN(ReferenceData!$AP$178),"",ReferenceData!$AP$178),"")</f>
        <v>3.538616964</v>
      </c>
      <c r="AQ178">
        <f ca="1">IFERROR(IF(0=LEN(ReferenceData!$AQ$178),"",ReferenceData!$AQ$178),"")</f>
        <v>3.484307673</v>
      </c>
      <c r="AR178">
        <f ca="1">IFERROR(IF(0=LEN(ReferenceData!$AR$178),"",ReferenceData!$AR$178),"")</f>
        <v>3.6979953210000001</v>
      </c>
      <c r="AS178">
        <f ca="1">IFERROR(IF(0=LEN(ReferenceData!$AS$178),"",ReferenceData!$AS$178),"")</f>
        <v>3.7368592810000001</v>
      </c>
      <c r="AT178">
        <f ca="1">IFERROR(IF(0=LEN(ReferenceData!$AT$178),"",ReferenceData!$AT$178),"")</f>
        <v>3.3599862630000001</v>
      </c>
      <c r="AU178">
        <f ca="1">IFERROR(IF(0=LEN(ReferenceData!$AU$178),"",ReferenceData!$AU$178),"")</f>
        <v>4.9746434300000004</v>
      </c>
      <c r="AV178">
        <f ca="1">IFERROR(IF(0=LEN(ReferenceData!$AV$178),"",ReferenceData!$AV$178),"")</f>
        <v>5.2381652320000001</v>
      </c>
      <c r="AW178">
        <f ca="1">IFERROR(IF(0=LEN(ReferenceData!$AW$178),"",ReferenceData!$AW$178),"")</f>
        <v>5.3559662970000002</v>
      </c>
      <c r="AX178">
        <f ca="1">IFERROR(IF(0=LEN(ReferenceData!$AX$178),"",ReferenceData!$AX$178),"")</f>
        <v>5.1568591619999999</v>
      </c>
      <c r="AY178">
        <f ca="1">IFERROR(IF(0=LEN(ReferenceData!$AY$178),"",ReferenceData!$AY$178),"")</f>
        <v>6.5257794679999996</v>
      </c>
      <c r="AZ178">
        <f ca="1">IFERROR(IF(0=LEN(ReferenceData!$AZ$178),"",ReferenceData!$AZ$178),"")</f>
        <v>6.5416123410000004</v>
      </c>
      <c r="BA178">
        <f ca="1">IFERROR(IF(0=LEN(ReferenceData!$BA$178),"",ReferenceData!$BA$178),"")</f>
        <v>6.8058929969999999</v>
      </c>
      <c r="BB178">
        <f ca="1">IFERROR(IF(0=LEN(ReferenceData!$BB$178),"",ReferenceData!$BB$178),"")</f>
        <v>6.8151519699999996</v>
      </c>
      <c r="BC178">
        <f ca="1">IFERROR(IF(0=LEN(ReferenceData!$BC$178),"",ReferenceData!$BC$178),"")</f>
        <v>6.9752077430000003</v>
      </c>
      <c r="BD178">
        <f ca="1">IFERROR(IF(0=LEN(ReferenceData!$BD$178),"",ReferenceData!$BD$178),"")</f>
        <v>6.8919735539999998</v>
      </c>
      <c r="BE178">
        <f ca="1">IFERROR(IF(0=LEN(ReferenceData!$BE$178),"",ReferenceData!$BE$178),"")</f>
        <v>7.1758474850000002</v>
      </c>
      <c r="BF178">
        <f ca="1">IFERROR(IF(0=LEN(ReferenceData!$BF$178),"",ReferenceData!$BF$178),"")</f>
        <v>7.3368753</v>
      </c>
      <c r="BG178">
        <f ca="1">IFERROR(IF(0=LEN(ReferenceData!$BG$178),"",ReferenceData!$BG$178),"")</f>
        <v>7.2397652309999998</v>
      </c>
      <c r="BH178">
        <f ca="1">IFERROR(IF(0=LEN(ReferenceData!$BH$178),"",ReferenceData!$BH$178),"")</f>
        <v>8.0805296179999999</v>
      </c>
      <c r="BI178">
        <f ca="1">IFERROR(IF(0=LEN(ReferenceData!$BI$178),"",ReferenceData!$BI$178),"")</f>
        <v>4.7020465390000004</v>
      </c>
      <c r="BJ178">
        <f ca="1">IFERROR(IF(0=LEN(ReferenceData!$BJ$178),"",ReferenceData!$BJ$178),"")</f>
        <v>3.9705654419999998</v>
      </c>
      <c r="BK178">
        <f ca="1">IFERROR(IF(0=LEN(ReferenceData!$BK$178),"",ReferenceData!$BK$178),"")</f>
        <v>4.2516912260000002</v>
      </c>
      <c r="BL178">
        <f ca="1">IFERROR(IF(0=LEN(ReferenceData!$BL$178),"",ReferenceData!$BL$178),"")</f>
        <v>4.7741115479999996</v>
      </c>
      <c r="BM178">
        <f ca="1">IFERROR(IF(0=LEN(ReferenceData!$BM$178),"",ReferenceData!$BM$178),"")</f>
        <v>11.420890139999999</v>
      </c>
    </row>
    <row r="179" spans="1:65">
      <c r="A179" t="str">
        <f>IFERROR(IF(0=LEN(ReferenceData!$A$179),"",ReferenceData!$A$179),"")</f>
        <v xml:space="preserve">    Vornado Realty Trust</v>
      </c>
      <c r="B179" t="str">
        <f>IFERROR(IF(0=LEN(ReferenceData!$B$179),"",ReferenceData!$B$179),"")</f>
        <v>VNO US Equity</v>
      </c>
      <c r="C179" t="str">
        <f>IFERROR(IF(0=LEN(ReferenceData!$C$179),"",ReferenceData!$C$179),"")</f>
        <v>RR554</v>
      </c>
      <c r="D179" t="str">
        <f>IFERROR(IF(0=LEN(ReferenceData!$D$179),"",ReferenceData!$D$179),"")</f>
        <v>FFO_RE_ASSET</v>
      </c>
      <c r="E179" t="str">
        <f>IFERROR(IF(0=LEN(ReferenceData!$E$179),"",ReferenceData!$E$179),"")</f>
        <v>动态</v>
      </c>
      <c r="F179" t="str">
        <f ca="1">IFERROR(IF(0=LEN(ReferenceData!$F$179),"",ReferenceData!$F$179),"")</f>
        <v/>
      </c>
      <c r="G179">
        <f ca="1">IFERROR(IF(0=LEN(ReferenceData!$G$179),"",ReferenceData!$G$179),"")</f>
        <v>5.5319535999999996</v>
      </c>
      <c r="H179">
        <f ca="1">IFERROR(IF(0=LEN(ReferenceData!$H$179),"",ReferenceData!$H$179),"")</f>
        <v>9.3313622949999999</v>
      </c>
      <c r="I179">
        <f ca="1">IFERROR(IF(0=LEN(ReferenceData!$I$179),"",ReferenceData!$I$179),"")</f>
        <v>9.1483791950000004</v>
      </c>
      <c r="J179">
        <f ca="1">IFERROR(IF(0=LEN(ReferenceData!$J$179),"",ReferenceData!$J$179),"")</f>
        <v>8.9980210730000003</v>
      </c>
      <c r="K179">
        <f ca="1">IFERROR(IF(0=LEN(ReferenceData!$K$179),"",ReferenceData!$K$179),"")</f>
        <v>8.965395032</v>
      </c>
      <c r="L179">
        <f ca="1">IFERROR(IF(0=LEN(ReferenceData!$L$179),"",ReferenceData!$L$179),"")</f>
        <v>5.6863633729999998</v>
      </c>
      <c r="M179">
        <f ca="1">IFERROR(IF(0=LEN(ReferenceData!$M$179),"",ReferenceData!$M$179),"")</f>
        <v>5.7939244499999996</v>
      </c>
      <c r="N179">
        <f ca="1">IFERROR(IF(0=LEN(ReferenceData!$N$179),"",ReferenceData!$N$179),"")</f>
        <v>6.5143910979999999</v>
      </c>
      <c r="O179">
        <f ca="1">IFERROR(IF(0=LEN(ReferenceData!$O$179),"",ReferenceData!$O$179),"")</f>
        <v>6.6768313309999998</v>
      </c>
      <c r="P179">
        <f ca="1">IFERROR(IF(0=LEN(ReferenceData!$P$179),"",ReferenceData!$P$179),"")</f>
        <v>6.2773494349999996</v>
      </c>
      <c r="Q179">
        <f ca="1">IFERROR(IF(0=LEN(ReferenceData!$Q$179),"",ReferenceData!$Q$179),"")</f>
        <v>6.2244751889999996</v>
      </c>
      <c r="R179">
        <f ca="1">IFERROR(IF(0=LEN(ReferenceData!$R$179),"",ReferenceData!$R$179),"")</f>
        <v>5.6735256679999999</v>
      </c>
      <c r="S179">
        <f ca="1">IFERROR(IF(0=LEN(ReferenceData!$S$179),"",ReferenceData!$S$179),"")</f>
        <v>6.0194079829999998</v>
      </c>
      <c r="T179">
        <f ca="1">IFERROR(IF(0=LEN(ReferenceData!$T$179),"",ReferenceData!$T$179),"")</f>
        <v>4.1639731009999998</v>
      </c>
      <c r="U179">
        <f ca="1">IFERROR(IF(0=LEN(ReferenceData!$U$179),"",ReferenceData!$U$179),"")</f>
        <v>4.1648377710000002</v>
      </c>
      <c r="V179">
        <f ca="1">IFERROR(IF(0=LEN(ReferenceData!$V$179),"",ReferenceData!$V$179),"")</f>
        <v>4.154728414</v>
      </c>
      <c r="W179">
        <f ca="1">IFERROR(IF(0=LEN(ReferenceData!$W$179),"",ReferenceData!$W$179),"")</f>
        <v>3.9205761180000001</v>
      </c>
      <c r="X179">
        <f ca="1">IFERROR(IF(0=LEN(ReferenceData!$X$179),"",ReferenceData!$X$179),"")</f>
        <v>4.3830326489999996</v>
      </c>
      <c r="Y179">
        <f ca="1">IFERROR(IF(0=LEN(ReferenceData!$Y$179),"",ReferenceData!$Y$179),"")</f>
        <v>4.6363473449999999</v>
      </c>
      <c r="Z179">
        <f ca="1">IFERROR(IF(0=LEN(ReferenceData!$Z$179),"",ReferenceData!$Z$179),"")</f>
        <v>4.0206161939999996</v>
      </c>
      <c r="AA179">
        <f ca="1">IFERROR(IF(0=LEN(ReferenceData!$AA$179),"",ReferenceData!$AA$179),"")</f>
        <v>4.9802477789999999</v>
      </c>
      <c r="AB179">
        <f ca="1">IFERROR(IF(0=LEN(ReferenceData!$AB$179),"",ReferenceData!$AB$179),"")</f>
        <v>6.4817904500000001</v>
      </c>
      <c r="AC179">
        <f ca="1">IFERROR(IF(0=LEN(ReferenceData!$AC$179),"",ReferenceData!$AC$179),"")</f>
        <v>6.0543484330000004</v>
      </c>
      <c r="AD179">
        <f ca="1">IFERROR(IF(0=LEN(ReferenceData!$AD$179),"",ReferenceData!$AD$179),"")</f>
        <v>6.4447809639999996</v>
      </c>
      <c r="AE179">
        <f ca="1">IFERROR(IF(0=LEN(ReferenceData!$AE$179),"",ReferenceData!$AE$179),"")</f>
        <v>7.6711232840000001</v>
      </c>
      <c r="AF179">
        <f ca="1">IFERROR(IF(0=LEN(ReferenceData!$AF$179),"",ReferenceData!$AF$179),"")</f>
        <v>8.2911564599999998</v>
      </c>
      <c r="AG179">
        <f ca="1">IFERROR(IF(0=LEN(ReferenceData!$AG$179),"",ReferenceData!$AG$179),"")</f>
        <v>8.5584856939999998</v>
      </c>
      <c r="AH179">
        <f ca="1">IFERROR(IF(0=LEN(ReferenceData!$AH$179),"",ReferenceData!$AH$179),"")</f>
        <v>8.3112415760000005</v>
      </c>
      <c r="AI179">
        <f ca="1">IFERROR(IF(0=LEN(ReferenceData!$AI$179),"",ReferenceData!$AI$179),"")</f>
        <v>7.5645762249999997</v>
      </c>
      <c r="AJ179">
        <f ca="1">IFERROR(IF(0=LEN(ReferenceData!$AJ$179),"",ReferenceData!$AJ$179),"")</f>
        <v>4.7415155889999996</v>
      </c>
      <c r="AK179">
        <f ca="1">IFERROR(IF(0=LEN(ReferenceData!$AK$179),"",ReferenceData!$AK$179),"")</f>
        <v>4.6563561489999996</v>
      </c>
      <c r="AL179">
        <f ca="1">IFERROR(IF(0=LEN(ReferenceData!$AL$179),"",ReferenceData!$AL$179),"")</f>
        <v>3.9768833190000001</v>
      </c>
      <c r="AM179">
        <f ca="1">IFERROR(IF(0=LEN(ReferenceData!$AM$179),"",ReferenceData!$AM$179),"")</f>
        <v>3.5336326379999998</v>
      </c>
      <c r="AN179">
        <f ca="1">IFERROR(IF(0=LEN(ReferenceData!$AN$179),"",ReferenceData!$AN$179),"")</f>
        <v>2.9524006300000001</v>
      </c>
      <c r="AO179">
        <f ca="1">IFERROR(IF(0=LEN(ReferenceData!$AO$179),"",ReferenceData!$AO$179),"")</f>
        <v>2.5138667039999998</v>
      </c>
      <c r="AP179">
        <f ca="1">IFERROR(IF(0=LEN(ReferenceData!$AP$179),"",ReferenceData!$AP$179),"")</f>
        <v>3.0778832239999998</v>
      </c>
      <c r="AQ179">
        <f ca="1">IFERROR(IF(0=LEN(ReferenceData!$AQ$179),"",ReferenceData!$AQ$179),"")</f>
        <v>4.5749370340000004</v>
      </c>
      <c r="AR179">
        <f ca="1">IFERROR(IF(0=LEN(ReferenceData!$AR$179),"",ReferenceData!$AR$179),"")</f>
        <v>5.9503158469999997</v>
      </c>
      <c r="AS179">
        <f ca="1">IFERROR(IF(0=LEN(ReferenceData!$AS$179),"",ReferenceData!$AS$179),"")</f>
        <v>6.3059320640000003</v>
      </c>
      <c r="AT179">
        <f ca="1">IFERROR(IF(0=LEN(ReferenceData!$AT$179),"",ReferenceData!$AT$179),"")</f>
        <v>7.4335693369999998</v>
      </c>
      <c r="AU179">
        <f ca="1">IFERROR(IF(0=LEN(ReferenceData!$AU$179),"",ReferenceData!$AU$179),"")</f>
        <v>6.1340888009999999</v>
      </c>
      <c r="AV179">
        <f ca="1">IFERROR(IF(0=LEN(ReferenceData!$AV$179),"",ReferenceData!$AV$179),"")</f>
        <v>6.1899797169999999</v>
      </c>
      <c r="AW179">
        <f ca="1">IFERROR(IF(0=LEN(ReferenceData!$AW$179),"",ReferenceData!$AW$179),"")</f>
        <v>6.1833815300000001</v>
      </c>
      <c r="AX179">
        <f ca="1">IFERROR(IF(0=LEN(ReferenceData!$AX$179),"",ReferenceData!$AX$179),"")</f>
        <v>6.6357926950000001</v>
      </c>
      <c r="AY179">
        <f ca="1">IFERROR(IF(0=LEN(ReferenceData!$AY$179),"",ReferenceData!$AY$179),"")</f>
        <v>6.695941296</v>
      </c>
      <c r="AZ179">
        <f ca="1">IFERROR(IF(0=LEN(ReferenceData!$AZ$179),"",ReferenceData!$AZ$179),"")</f>
        <v>7.0237518440000004</v>
      </c>
      <c r="BA179">
        <f ca="1">IFERROR(IF(0=LEN(ReferenceData!$BA$179),"",ReferenceData!$BA$179),"")</f>
        <v>6.4864974560000004</v>
      </c>
      <c r="BB179">
        <f ca="1">IFERROR(IF(0=LEN(ReferenceData!$BB$179),"",ReferenceData!$BB$179),"")</f>
        <v>6.6396665319999997</v>
      </c>
      <c r="BC179">
        <f ca="1">IFERROR(IF(0=LEN(ReferenceData!$BC$179),"",ReferenceData!$BC$179),"")</f>
        <v>7.2166065909999997</v>
      </c>
      <c r="BD179">
        <f ca="1">IFERROR(IF(0=LEN(ReferenceData!$BD$179),"",ReferenceData!$BD$179),"")</f>
        <v>8.9156060119999996</v>
      </c>
      <c r="BE179">
        <f ca="1">IFERROR(IF(0=LEN(ReferenceData!$BE$179),"",ReferenceData!$BE$179),"")</f>
        <v>10.292312450000001</v>
      </c>
      <c r="BF179">
        <f ca="1">IFERROR(IF(0=LEN(ReferenceData!$BF$179),"",ReferenceData!$BF$179),"")</f>
        <v>9.9643019709999994</v>
      </c>
      <c r="BG179">
        <f ca="1">IFERROR(IF(0=LEN(ReferenceData!$BG$179),"",ReferenceData!$BG$179),"")</f>
        <v>8.531786425</v>
      </c>
      <c r="BH179">
        <f ca="1">IFERROR(IF(0=LEN(ReferenceData!$BH$179),"",ReferenceData!$BH$179),"")</f>
        <v>7.0614521369999999</v>
      </c>
      <c r="BI179">
        <f ca="1">IFERROR(IF(0=LEN(ReferenceData!$BI$179),"",ReferenceData!$BI$179),"")</f>
        <v>6.8373675169999997</v>
      </c>
      <c r="BJ179">
        <f ca="1">IFERROR(IF(0=LEN(ReferenceData!$BJ$179),"",ReferenceData!$BJ$179),"")</f>
        <v>6.5127616039999996</v>
      </c>
      <c r="BK179">
        <f ca="1">IFERROR(IF(0=LEN(ReferenceData!$BK$179),"",ReferenceData!$BK$179),"")</f>
        <v>6.6037505789999997</v>
      </c>
      <c r="BL179">
        <f ca="1">IFERROR(IF(0=LEN(ReferenceData!$BL$179),"",ReferenceData!$BL$179),"")</f>
        <v>6.0918281509999996</v>
      </c>
      <c r="BM179">
        <f ca="1">IFERROR(IF(0=LEN(ReferenceData!$BM$179),"",ReferenceData!$BM$179),"")</f>
        <v>6.0729576290000002</v>
      </c>
    </row>
    <row r="180" spans="1:65">
      <c r="A180" t="str">
        <f>IFERROR(IF(0=LEN(ReferenceData!$A$180),"",ReferenceData!$A$180),"")</f>
        <v>净债务/调整后EBITIDA</v>
      </c>
      <c r="B180" t="str">
        <f>IFERROR(IF(0=LEN(ReferenceData!$B$180),"",ReferenceData!$B$180),"")</f>
        <v/>
      </c>
      <c r="C180" t="str">
        <f>IFERROR(IF(0=LEN(ReferenceData!$C$180),"",ReferenceData!$C$180),"")</f>
        <v/>
      </c>
      <c r="D180" t="str">
        <f>IFERROR(IF(0=LEN(ReferenceData!$D$180),"",ReferenceData!$D$180),"")</f>
        <v/>
      </c>
      <c r="E180" t="str">
        <f>IFERROR(IF(0=LEN(ReferenceData!$E$180),"",ReferenceData!$E$180),"")</f>
        <v>Median</v>
      </c>
      <c r="F180" t="str">
        <f ca="1">IFERROR(IF(0=LEN(ReferenceData!$F$180),"",ReferenceData!$F$180),"")</f>
        <v/>
      </c>
      <c r="G180">
        <f ca="1">IFERROR(IF(0=LEN(ReferenceData!$G$180),"",ReferenceData!$G$180),"")</f>
        <v>6.6112931659999994</v>
      </c>
      <c r="H180">
        <f ca="1">IFERROR(IF(0=LEN(ReferenceData!$H$180),"",ReferenceData!$H$180),"")</f>
        <v>6.5789119659999997</v>
      </c>
      <c r="I180">
        <f ca="1">IFERROR(IF(0=LEN(ReferenceData!$I$180),"",ReferenceData!$I$180),"")</f>
        <v>6.5773411749999999</v>
      </c>
      <c r="J180">
        <f ca="1">IFERROR(IF(0=LEN(ReferenceData!$J$180),"",ReferenceData!$J$180),"")</f>
        <v>6.3442363369999999</v>
      </c>
      <c r="K180">
        <f ca="1">IFERROR(IF(0=LEN(ReferenceData!$K$180),"",ReferenceData!$K$180),"")</f>
        <v>6.261934117</v>
      </c>
      <c r="L180">
        <f ca="1">IFERROR(IF(0=LEN(ReferenceData!$L$180),"",ReferenceData!$L$180),"")</f>
        <v>6.0861080274999999</v>
      </c>
      <c r="M180">
        <f ca="1">IFERROR(IF(0=LEN(ReferenceData!$M$180),"",ReferenceData!$M$180),"")</f>
        <v>6.0860804835</v>
      </c>
      <c r="N180">
        <f ca="1">IFERROR(IF(0=LEN(ReferenceData!$N$180),"",ReferenceData!$N$180),"")</f>
        <v>6.2597741769999997</v>
      </c>
      <c r="O180">
        <f ca="1">IFERROR(IF(0=LEN(ReferenceData!$O$180),"",ReferenceData!$O$180),"")</f>
        <v>6.8817368280000002</v>
      </c>
      <c r="P180">
        <f ca="1">IFERROR(IF(0=LEN(ReferenceData!$P$180),"",ReferenceData!$P$180),"")</f>
        <v>7.3963638155</v>
      </c>
      <c r="Q180">
        <f ca="1">IFERROR(IF(0=LEN(ReferenceData!$Q$180),"",ReferenceData!$Q$180),"")</f>
        <v>7.3179856799999996</v>
      </c>
      <c r="R180">
        <f ca="1">IFERROR(IF(0=LEN(ReferenceData!$R$180),"",ReferenceData!$R$180),"")</f>
        <v>7.1095411789999998</v>
      </c>
      <c r="S180">
        <f ca="1">IFERROR(IF(0=LEN(ReferenceData!$S$180),"",ReferenceData!$S$180),"")</f>
        <v>6.9100622510000003</v>
      </c>
      <c r="T180">
        <f ca="1">IFERROR(IF(0=LEN(ReferenceData!$T$180),"",ReferenceData!$T$180),"")</f>
        <v>7.2565342690000003</v>
      </c>
      <c r="U180">
        <f ca="1">IFERROR(IF(0=LEN(ReferenceData!$U$180),"",ReferenceData!$U$180),"")</f>
        <v>7.3182043449999998</v>
      </c>
      <c r="V180">
        <f ca="1">IFERROR(IF(0=LEN(ReferenceData!$V$180),"",ReferenceData!$V$180),"")</f>
        <v>7.0636140009999995</v>
      </c>
      <c r="W180">
        <f ca="1">IFERROR(IF(0=LEN(ReferenceData!$W$180),"",ReferenceData!$W$180),"")</f>
        <v>6.8852685734999994</v>
      </c>
      <c r="X180">
        <f ca="1">IFERROR(IF(0=LEN(ReferenceData!$X$180),"",ReferenceData!$X$180),"")</f>
        <v>7.3721512525000001</v>
      </c>
      <c r="Y180">
        <f ca="1">IFERROR(IF(0=LEN(ReferenceData!$Y$180),"",ReferenceData!$Y$180),"")</f>
        <v>7.4431700715</v>
      </c>
      <c r="Z180">
        <f ca="1">IFERROR(IF(0=LEN(ReferenceData!$Z$180),"",ReferenceData!$Z$180),"")</f>
        <v>7.2387760965000005</v>
      </c>
      <c r="AA180">
        <f ca="1">IFERROR(IF(0=LEN(ReferenceData!$AA$180),"",ReferenceData!$AA$180),"")</f>
        <v>6.9748847600000001</v>
      </c>
      <c r="AB180">
        <f ca="1">IFERROR(IF(0=LEN(ReferenceData!$AB$180),"",ReferenceData!$AB$180),"")</f>
        <v>6.9724206879999997</v>
      </c>
      <c r="AC180">
        <f ca="1">IFERROR(IF(0=LEN(ReferenceData!$AC$180),"",ReferenceData!$AC$180),"")</f>
        <v>6.9743714250000002</v>
      </c>
      <c r="AD180">
        <f ca="1">IFERROR(IF(0=LEN(ReferenceData!$AD$180),"",ReferenceData!$AD$180),"")</f>
        <v>6.9184666395000001</v>
      </c>
      <c r="AE180">
        <f ca="1">IFERROR(IF(0=LEN(ReferenceData!$AE$180),"",ReferenceData!$AE$180),"")</f>
        <v>6.9461028835</v>
      </c>
      <c r="AF180">
        <f ca="1">IFERROR(IF(0=LEN(ReferenceData!$AF$180),"",ReferenceData!$AF$180),"")</f>
        <v>7.1936533965000002</v>
      </c>
      <c r="AG180">
        <f ca="1">IFERROR(IF(0=LEN(ReferenceData!$AG$180),"",ReferenceData!$AG$180),"")</f>
        <v>7.2825687514999995</v>
      </c>
      <c r="AH180">
        <f ca="1">IFERROR(IF(0=LEN(ReferenceData!$AH$180),"",ReferenceData!$AH$180),"")</f>
        <v>7.2205620824999999</v>
      </c>
      <c r="AI180">
        <f ca="1">IFERROR(IF(0=LEN(ReferenceData!$AI$180),"",ReferenceData!$AI$180),"")</f>
        <v>7.4084494254999997</v>
      </c>
      <c r="AJ180">
        <f ca="1">IFERROR(IF(0=LEN(ReferenceData!$AJ$180),"",ReferenceData!$AJ$180),"")</f>
        <v>6.9585309869999996</v>
      </c>
      <c r="AK180">
        <f ca="1">IFERROR(IF(0=LEN(ReferenceData!$AK$180),"",ReferenceData!$AK$180),"")</f>
        <v>6.0903555125000004</v>
      </c>
      <c r="AL180">
        <f ca="1">IFERROR(IF(0=LEN(ReferenceData!$AL$180),"",ReferenceData!$AL$180),"")</f>
        <v>6.0087749850000005</v>
      </c>
      <c r="AM180">
        <f ca="1">IFERROR(IF(0=LEN(ReferenceData!$AM$180),"",ReferenceData!$AM$180),"")</f>
        <v>5.9556077224999999</v>
      </c>
      <c r="AN180" t="str">
        <f ca="1">IFERROR(IF(0=LEN(ReferenceData!$AN$180),"",ReferenceData!$AN$180),"")</f>
        <v/>
      </c>
      <c r="AO180" t="str">
        <f ca="1">IFERROR(IF(0=LEN(ReferenceData!$AO$180),"",ReferenceData!$AO$180),"")</f>
        <v/>
      </c>
      <c r="AP180" t="str">
        <f ca="1">IFERROR(IF(0=LEN(ReferenceData!$AP$180),"",ReferenceData!$AP$180),"")</f>
        <v/>
      </c>
      <c r="AQ180" t="str">
        <f ca="1">IFERROR(IF(0=LEN(ReferenceData!$AQ$180),"",ReferenceData!$AQ$180),"")</f>
        <v/>
      </c>
      <c r="AR180" t="str">
        <f ca="1">IFERROR(IF(0=LEN(ReferenceData!$AR$180),"",ReferenceData!$AR$180),"")</f>
        <v/>
      </c>
      <c r="AS180" t="str">
        <f ca="1">IFERROR(IF(0=LEN(ReferenceData!$AS$180),"",ReferenceData!$AS$180),"")</f>
        <v/>
      </c>
      <c r="AT180" t="str">
        <f ca="1">IFERROR(IF(0=LEN(ReferenceData!$AT$180),"",ReferenceData!$AT$180),"")</f>
        <v/>
      </c>
      <c r="AU180" t="str">
        <f ca="1">IFERROR(IF(0=LEN(ReferenceData!$AU$180),"",ReferenceData!$AU$180),"")</f>
        <v/>
      </c>
      <c r="AV180" t="str">
        <f ca="1">IFERROR(IF(0=LEN(ReferenceData!$AV$180),"",ReferenceData!$AV$180),"")</f>
        <v/>
      </c>
      <c r="AW180" t="str">
        <f ca="1">IFERROR(IF(0=LEN(ReferenceData!$AW$180),"",ReferenceData!$AW$180),"")</f>
        <v/>
      </c>
      <c r="AX180" t="str">
        <f ca="1">IFERROR(IF(0=LEN(ReferenceData!$AX$180),"",ReferenceData!$AX$180),"")</f>
        <v/>
      </c>
      <c r="AY180" t="str">
        <f ca="1">IFERROR(IF(0=LEN(ReferenceData!$AY$180),"",ReferenceData!$AY$180),"")</f>
        <v/>
      </c>
      <c r="AZ180" t="str">
        <f ca="1">IFERROR(IF(0=LEN(ReferenceData!$AZ$180),"",ReferenceData!$AZ$180),"")</f>
        <v/>
      </c>
      <c r="BA180" t="str">
        <f ca="1">IFERROR(IF(0=LEN(ReferenceData!$BA$180),"",ReferenceData!$BA$180),"")</f>
        <v/>
      </c>
      <c r="BB180" t="str">
        <f ca="1">IFERROR(IF(0=LEN(ReferenceData!$BB$180),"",ReferenceData!$BB$180),"")</f>
        <v/>
      </c>
      <c r="BC180" t="str">
        <f ca="1">IFERROR(IF(0=LEN(ReferenceData!$BC$180),"",ReferenceData!$BC$180),"")</f>
        <v/>
      </c>
      <c r="BD180" t="str">
        <f ca="1">IFERROR(IF(0=LEN(ReferenceData!$BD$180),"",ReferenceData!$BD$180),"")</f>
        <v/>
      </c>
      <c r="BE180" t="str">
        <f ca="1">IFERROR(IF(0=LEN(ReferenceData!$BE$180),"",ReferenceData!$BE$180),"")</f>
        <v/>
      </c>
      <c r="BF180" t="str">
        <f ca="1">IFERROR(IF(0=LEN(ReferenceData!$BF$180),"",ReferenceData!$BF$180),"")</f>
        <v/>
      </c>
      <c r="BG180" t="str">
        <f ca="1">IFERROR(IF(0=LEN(ReferenceData!$BG$180),"",ReferenceData!$BG$180),"")</f>
        <v/>
      </c>
      <c r="BH180" t="str">
        <f ca="1">IFERROR(IF(0=LEN(ReferenceData!$BH$180),"",ReferenceData!$BH$180),"")</f>
        <v/>
      </c>
      <c r="BI180" t="str">
        <f ca="1">IFERROR(IF(0=LEN(ReferenceData!$BI$180),"",ReferenceData!$BI$180),"")</f>
        <v/>
      </c>
      <c r="BJ180" t="str">
        <f ca="1">IFERROR(IF(0=LEN(ReferenceData!$BJ$180),"",ReferenceData!$BJ$180),"")</f>
        <v/>
      </c>
      <c r="BK180" t="str">
        <f ca="1">IFERROR(IF(0=LEN(ReferenceData!$BK$180),"",ReferenceData!$BK$180),"")</f>
        <v/>
      </c>
      <c r="BL180" t="str">
        <f ca="1">IFERROR(IF(0=LEN(ReferenceData!$BL$180),"",ReferenceData!$BL$180),"")</f>
        <v/>
      </c>
      <c r="BM180" t="str">
        <f ca="1">IFERROR(IF(0=LEN(ReferenceData!$BM$180),"",ReferenceData!$BM$180),"")</f>
        <v/>
      </c>
    </row>
    <row r="181" spans="1:65">
      <c r="A181" t="str">
        <f>IFERROR(IF(0=LEN(ReferenceData!$A$181),"",ReferenceData!$A$181),"")</f>
        <v xml:space="preserve">    Boston Properties Inc</v>
      </c>
      <c r="B181" t="str">
        <f>IFERROR(IF(0=LEN(ReferenceData!$B$181),"",ReferenceData!$B$181),"")</f>
        <v>BXP US Equity</v>
      </c>
      <c r="C181" t="str">
        <f>IFERROR(IF(0=LEN(ReferenceData!$C$181),"",ReferenceData!$C$181),"")</f>
        <v>F1178</v>
      </c>
      <c r="D181" t="str">
        <f>IFERROR(IF(0=LEN(ReferenceData!$D$181),"",ReferenceData!$D$181),"")</f>
        <v>NET_DEBT_EBITDA_ADJUSTED</v>
      </c>
      <c r="E181" t="str">
        <f>IFERROR(IF(0=LEN(ReferenceData!$E$181),"",ReferenceData!$E$181),"")</f>
        <v>动态</v>
      </c>
      <c r="F181" t="str">
        <f ca="1">IFERROR(IF(0=LEN(ReferenceData!$F$181),"",ReferenceData!$F$181),"")</f>
        <v/>
      </c>
      <c r="G181">
        <f ca="1">IFERROR(IF(0=LEN(ReferenceData!$G$181),"",ReferenceData!$G$181),"")</f>
        <v>6.4476117500000001</v>
      </c>
      <c r="H181">
        <f ca="1">IFERROR(IF(0=LEN(ReferenceData!$H$181),"",ReferenceData!$H$181),"")</f>
        <v>6.4182653729999997</v>
      </c>
      <c r="I181">
        <f ca="1">IFERROR(IF(0=LEN(ReferenceData!$I$181),"",ReferenceData!$I$181),"")</f>
        <v>6.5177183379999999</v>
      </c>
      <c r="J181">
        <f ca="1">IFERROR(IF(0=LEN(ReferenceData!$J$181),"",ReferenceData!$J$181),"")</f>
        <v>6.3724059329999996</v>
      </c>
      <c r="K181">
        <f ca="1">IFERROR(IF(0=LEN(ReferenceData!$K$181),"",ReferenceData!$K$181),"")</f>
        <v>6.0912147540000001</v>
      </c>
      <c r="L181">
        <f ca="1">IFERROR(IF(0=LEN(ReferenceData!$L$181),"",ReferenceData!$L$181),"")</f>
        <v>6.0622330790000003</v>
      </c>
      <c r="M181">
        <f ca="1">IFERROR(IF(0=LEN(ReferenceData!$M$181),"",ReferenceData!$M$181),"")</f>
        <v>5.5791333319999996</v>
      </c>
      <c r="N181">
        <f ca="1">IFERROR(IF(0=LEN(ReferenceData!$N$181),"",ReferenceData!$N$181),"")</f>
        <v>5.4442037709999997</v>
      </c>
      <c r="O181">
        <f ca="1">IFERROR(IF(0=LEN(ReferenceData!$O$181),"",ReferenceData!$O$181),"")</f>
        <v>5.5643670160000003</v>
      </c>
      <c r="P181">
        <f ca="1">IFERROR(IF(0=LEN(ReferenceData!$P$181),"",ReferenceData!$P$181),"")</f>
        <v>5.6171092199999997</v>
      </c>
      <c r="Q181">
        <f ca="1">IFERROR(IF(0=LEN(ReferenceData!$Q$181),"",ReferenceData!$Q$181),"")</f>
        <v>5.773478205</v>
      </c>
      <c r="R181">
        <f ca="1">IFERROR(IF(0=LEN(ReferenceData!$R$181),"",ReferenceData!$R$181),"")</f>
        <v>6.0440787580000004</v>
      </c>
      <c r="S181">
        <f ca="1">IFERROR(IF(0=LEN(ReferenceData!$S$181),"",ReferenceData!$S$181),"")</f>
        <v>5.6934657910000004</v>
      </c>
      <c r="T181">
        <f ca="1">IFERROR(IF(0=LEN(ReferenceData!$T$181),"",ReferenceData!$T$181),"")</f>
        <v>6.831479152</v>
      </c>
      <c r="U181">
        <f ca="1">IFERROR(IF(0=LEN(ReferenceData!$U$181),"",ReferenceData!$U$181),"")</f>
        <v>6.9079580529999998</v>
      </c>
      <c r="V181">
        <f ca="1">IFERROR(IF(0=LEN(ReferenceData!$V$181),"",ReferenceData!$V$181),"")</f>
        <v>7.089872357</v>
      </c>
      <c r="W181">
        <f ca="1">IFERROR(IF(0=LEN(ReferenceData!$W$181),"",ReferenceData!$W$181),"")</f>
        <v>7.1567295670000002</v>
      </c>
      <c r="X181">
        <f ca="1">IFERROR(IF(0=LEN(ReferenceData!$X$181),"",ReferenceData!$X$181),"")</f>
        <v>8.1467918069999996</v>
      </c>
      <c r="Y181">
        <f ca="1">IFERROR(IF(0=LEN(ReferenceData!$Y$181),"",ReferenceData!$Y$181),"")</f>
        <v>8.6838465980000006</v>
      </c>
      <c r="Z181">
        <f ca="1">IFERROR(IF(0=LEN(ReferenceData!$Z$181),"",ReferenceData!$Z$181),"")</f>
        <v>7.199199621</v>
      </c>
      <c r="AA181">
        <f ca="1">IFERROR(IF(0=LEN(ReferenceData!$AA$181),"",ReferenceData!$AA$181),"")</f>
        <v>7.158310868</v>
      </c>
      <c r="AB181">
        <f ca="1">IFERROR(IF(0=LEN(ReferenceData!$AB$181),"",ReferenceData!$AB$181),"")</f>
        <v>6.8537952820000001</v>
      </c>
      <c r="AC181">
        <f ca="1">IFERROR(IF(0=LEN(ReferenceData!$AC$181),"",ReferenceData!$AC$181),"")</f>
        <v>6.671354826</v>
      </c>
      <c r="AD181">
        <f ca="1">IFERROR(IF(0=LEN(ReferenceData!$AD$181),"",ReferenceData!$AD$181),"")</f>
        <v>6.9381020700000002</v>
      </c>
      <c r="AE181">
        <f ca="1">IFERROR(IF(0=LEN(ReferenceData!$AE$181),"",ReferenceData!$AE$181),"")</f>
        <v>6.5683784110000003</v>
      </c>
      <c r="AF181">
        <f ca="1">IFERROR(IF(0=LEN(ReferenceData!$AF$181),"",ReferenceData!$AF$181),"")</f>
        <v>6.7557683910000002</v>
      </c>
      <c r="AG181">
        <f ca="1">IFERROR(IF(0=LEN(ReferenceData!$AG$181),"",ReferenceData!$AG$181),"")</f>
        <v>7.263606598</v>
      </c>
      <c r="AH181">
        <f ca="1">IFERROR(IF(0=LEN(ReferenceData!$AH$181),"",ReferenceData!$AH$181),"")</f>
        <v>7.4275668640000001</v>
      </c>
      <c r="AI181">
        <f ca="1">IFERROR(IF(0=LEN(ReferenceData!$AI$181),"",ReferenceData!$AI$181),"")</f>
        <v>7.7006728950000003</v>
      </c>
      <c r="AJ181">
        <f ca="1">IFERROR(IF(0=LEN(ReferenceData!$AJ$181),"",ReferenceData!$AJ$181),"")</f>
        <v>6.6257044379999996</v>
      </c>
      <c r="AK181">
        <f ca="1">IFERROR(IF(0=LEN(ReferenceData!$AK$181),"",ReferenceData!$AK$181),"")</f>
        <v>5.9893757809999997</v>
      </c>
      <c r="AL181">
        <f ca="1">IFERROR(IF(0=LEN(ReferenceData!$AL$181),"",ReferenceData!$AL$181),"")</f>
        <v>5.9857941139999999</v>
      </c>
      <c r="AM181">
        <f ca="1">IFERROR(IF(0=LEN(ReferenceData!$AM$181),"",ReferenceData!$AM$181),"")</f>
        <v>5.900603512</v>
      </c>
      <c r="AN181" t="str">
        <f ca="1">IFERROR(IF(0=LEN(ReferenceData!$AN$181),"",ReferenceData!$AN$181),"")</f>
        <v/>
      </c>
      <c r="AO181" t="str">
        <f ca="1">IFERROR(IF(0=LEN(ReferenceData!$AO$181),"",ReferenceData!$AO$181),"")</f>
        <v/>
      </c>
      <c r="AP181" t="str">
        <f ca="1">IFERROR(IF(0=LEN(ReferenceData!$AP$181),"",ReferenceData!$AP$181),"")</f>
        <v/>
      </c>
      <c r="AQ181" t="str">
        <f ca="1">IFERROR(IF(0=LEN(ReferenceData!$AQ$181),"",ReferenceData!$AQ$181),"")</f>
        <v/>
      </c>
      <c r="AR181" t="str">
        <f ca="1">IFERROR(IF(0=LEN(ReferenceData!$AR$181),"",ReferenceData!$AR$181),"")</f>
        <v/>
      </c>
      <c r="AS181" t="str">
        <f ca="1">IFERROR(IF(0=LEN(ReferenceData!$AS$181),"",ReferenceData!$AS$181),"")</f>
        <v/>
      </c>
      <c r="AT181" t="str">
        <f ca="1">IFERROR(IF(0=LEN(ReferenceData!$AT$181),"",ReferenceData!$AT$181),"")</f>
        <v/>
      </c>
      <c r="AU181" t="str">
        <f ca="1">IFERROR(IF(0=LEN(ReferenceData!$AU$181),"",ReferenceData!$AU$181),"")</f>
        <v/>
      </c>
      <c r="AV181" t="str">
        <f ca="1">IFERROR(IF(0=LEN(ReferenceData!$AV$181),"",ReferenceData!$AV$181),"")</f>
        <v/>
      </c>
      <c r="AW181" t="str">
        <f ca="1">IFERROR(IF(0=LEN(ReferenceData!$AW$181),"",ReferenceData!$AW$181),"")</f>
        <v/>
      </c>
      <c r="AX181" t="str">
        <f ca="1">IFERROR(IF(0=LEN(ReferenceData!$AX$181),"",ReferenceData!$AX$181),"")</f>
        <v/>
      </c>
      <c r="AY181" t="str">
        <f ca="1">IFERROR(IF(0=LEN(ReferenceData!$AY$181),"",ReferenceData!$AY$181),"")</f>
        <v/>
      </c>
      <c r="AZ181" t="str">
        <f ca="1">IFERROR(IF(0=LEN(ReferenceData!$AZ$181),"",ReferenceData!$AZ$181),"")</f>
        <v/>
      </c>
      <c r="BA181" t="str">
        <f ca="1">IFERROR(IF(0=LEN(ReferenceData!$BA$181),"",ReferenceData!$BA$181),"")</f>
        <v/>
      </c>
      <c r="BB181" t="str">
        <f ca="1">IFERROR(IF(0=LEN(ReferenceData!$BB$181),"",ReferenceData!$BB$181),"")</f>
        <v/>
      </c>
      <c r="BC181" t="str">
        <f ca="1">IFERROR(IF(0=LEN(ReferenceData!$BC$181),"",ReferenceData!$BC$181),"")</f>
        <v/>
      </c>
      <c r="BD181" t="str">
        <f ca="1">IFERROR(IF(0=LEN(ReferenceData!$BD$181),"",ReferenceData!$BD$181),"")</f>
        <v/>
      </c>
      <c r="BE181" t="str">
        <f ca="1">IFERROR(IF(0=LEN(ReferenceData!$BE$181),"",ReferenceData!$BE$181),"")</f>
        <v/>
      </c>
      <c r="BF181" t="str">
        <f ca="1">IFERROR(IF(0=LEN(ReferenceData!$BF$181),"",ReferenceData!$BF$181),"")</f>
        <v/>
      </c>
      <c r="BG181" t="str">
        <f ca="1">IFERROR(IF(0=LEN(ReferenceData!$BG$181),"",ReferenceData!$BG$181),"")</f>
        <v/>
      </c>
      <c r="BH181" t="str">
        <f ca="1">IFERROR(IF(0=LEN(ReferenceData!$BH$181),"",ReferenceData!$BH$181),"")</f>
        <v/>
      </c>
      <c r="BI181" t="str">
        <f ca="1">IFERROR(IF(0=LEN(ReferenceData!$BI$181),"",ReferenceData!$BI$181),"")</f>
        <v/>
      </c>
      <c r="BJ181" t="str">
        <f ca="1">IFERROR(IF(0=LEN(ReferenceData!$BJ$181),"",ReferenceData!$BJ$181),"")</f>
        <v/>
      </c>
      <c r="BK181" t="str">
        <f ca="1">IFERROR(IF(0=LEN(ReferenceData!$BK$181),"",ReferenceData!$BK$181),"")</f>
        <v/>
      </c>
      <c r="BL181" t="str">
        <f ca="1">IFERROR(IF(0=LEN(ReferenceData!$BL$181),"",ReferenceData!$BL$181),"")</f>
        <v/>
      </c>
      <c r="BM181" t="str">
        <f ca="1">IFERROR(IF(0=LEN(ReferenceData!$BM$181),"",ReferenceData!$BM$181),"")</f>
        <v/>
      </c>
    </row>
    <row r="182" spans="1:65">
      <c r="A182" t="str">
        <f>IFERROR(IF(0=LEN(ReferenceData!$A$182),"",ReferenceData!$A$182),"")</f>
        <v xml:space="preserve">    Brandywine Realty Trust</v>
      </c>
      <c r="B182" t="str">
        <f>IFERROR(IF(0=LEN(ReferenceData!$B$182),"",ReferenceData!$B$182),"")</f>
        <v>BDN US Equity</v>
      </c>
      <c r="C182" t="str">
        <f>IFERROR(IF(0=LEN(ReferenceData!$C$182),"",ReferenceData!$C$182),"")</f>
        <v>F1178</v>
      </c>
      <c r="D182" t="str">
        <f>IFERROR(IF(0=LEN(ReferenceData!$D$182),"",ReferenceData!$D$182),"")</f>
        <v>NET_DEBT_EBITDA_ADJUSTED</v>
      </c>
      <c r="E182" t="str">
        <f>IFERROR(IF(0=LEN(ReferenceData!$E$182),"",ReferenceData!$E$182),"")</f>
        <v>动态</v>
      </c>
      <c r="F182" t="str">
        <f ca="1">IFERROR(IF(0=LEN(ReferenceData!$F$182),"",ReferenceData!$F$182),"")</f>
        <v/>
      </c>
      <c r="G182">
        <f ca="1">IFERROR(IF(0=LEN(ReferenceData!$G$182),"",ReferenceData!$G$182),"")</f>
        <v>8.9135943159999993</v>
      </c>
      <c r="H182">
        <f ca="1">IFERROR(IF(0=LEN(ReferenceData!$H$182),"",ReferenceData!$H$182),"")</f>
        <v>6.9363531509999996</v>
      </c>
      <c r="I182">
        <f ca="1">IFERROR(IF(0=LEN(ReferenceData!$I$182),"",ReferenceData!$I$182),"")</f>
        <v>6.636964012</v>
      </c>
      <c r="J182">
        <f ca="1">IFERROR(IF(0=LEN(ReferenceData!$J$182),"",ReferenceData!$J$182),"")</f>
        <v>6.3160667410000002</v>
      </c>
      <c r="K182">
        <f ca="1">IFERROR(IF(0=LEN(ReferenceData!$K$182),"",ReferenceData!$K$182),"")</f>
        <v>6.4326534799999999</v>
      </c>
      <c r="L182">
        <f ca="1">IFERROR(IF(0=LEN(ReferenceData!$L$182),"",ReferenceData!$L$182),"")</f>
        <v>6.1099829760000004</v>
      </c>
      <c r="M182">
        <f ca="1">IFERROR(IF(0=LEN(ReferenceData!$M$182),"",ReferenceData!$M$182),"")</f>
        <v>5.7785370599999997</v>
      </c>
      <c r="N182">
        <f ca="1">IFERROR(IF(0=LEN(ReferenceData!$N$182),"",ReferenceData!$N$182),"")</f>
        <v>5.5294754719999997</v>
      </c>
      <c r="O182">
        <f ca="1">IFERROR(IF(0=LEN(ReferenceData!$O$182),"",ReferenceData!$O$182),"")</f>
        <v>7.0984967680000004</v>
      </c>
      <c r="P182">
        <f ca="1">IFERROR(IF(0=LEN(ReferenceData!$P$182),"",ReferenceData!$P$182),"")</f>
        <v>7.4038765460000002</v>
      </c>
      <c r="Q182">
        <f ca="1">IFERROR(IF(0=LEN(ReferenceData!$Q$182),"",ReferenceData!$Q$182),"")</f>
        <v>7.2286059720000004</v>
      </c>
      <c r="R182">
        <f ca="1">IFERROR(IF(0=LEN(ReferenceData!$R$182),"",ReferenceData!$R$182),"")</f>
        <v>6.5997796429999998</v>
      </c>
      <c r="S182">
        <f ca="1">IFERROR(IF(0=LEN(ReferenceData!$S$182),"",ReferenceData!$S$182),"")</f>
        <v>6.692109833</v>
      </c>
      <c r="T182">
        <f ca="1">IFERROR(IF(0=LEN(ReferenceData!$T$182),"",ReferenceData!$T$182),"")</f>
        <v>6.4734979529999999</v>
      </c>
      <c r="U182">
        <f ca="1">IFERROR(IF(0=LEN(ReferenceData!$U$182),"",ReferenceData!$U$182),"")</f>
        <v>7.5324433409999996</v>
      </c>
      <c r="V182">
        <f ca="1">IFERROR(IF(0=LEN(ReferenceData!$V$182),"",ReferenceData!$V$182),"")</f>
        <v>7.7266986820000003</v>
      </c>
      <c r="W182">
        <f ca="1">IFERROR(IF(0=LEN(ReferenceData!$W$182),"",ReferenceData!$W$182),"")</f>
        <v>7.7264471930000003</v>
      </c>
      <c r="X182">
        <f ca="1">IFERROR(IF(0=LEN(ReferenceData!$X$182),"",ReferenceData!$X$182),"")</f>
        <v>13.668404580000001</v>
      </c>
      <c r="Y182">
        <f ca="1">IFERROR(IF(0=LEN(ReferenceData!$Y$182),"",ReferenceData!$Y$182),"")</f>
        <v>13.83033243</v>
      </c>
      <c r="Z182">
        <f ca="1">IFERROR(IF(0=LEN(ReferenceData!$Z$182),"",ReferenceData!$Z$182),"")</f>
        <v>15.158351100000001</v>
      </c>
      <c r="AA182">
        <f ca="1">IFERROR(IF(0=LEN(ReferenceData!$AA$182),"",ReferenceData!$AA$182),"")</f>
        <v>15.863429740000001</v>
      </c>
      <c r="AB182">
        <f ca="1">IFERROR(IF(0=LEN(ReferenceData!$AB$182),"",ReferenceData!$AB$182),"")</f>
        <v>7.3911481380000001</v>
      </c>
      <c r="AC182">
        <f ca="1">IFERROR(IF(0=LEN(ReferenceData!$AC$182),"",ReferenceData!$AC$182),"")</f>
        <v>7.4805745100000003</v>
      </c>
      <c r="AD182">
        <f ca="1">IFERROR(IF(0=LEN(ReferenceData!$AD$182),"",ReferenceData!$AD$182),"")</f>
        <v>7.6066958390000003</v>
      </c>
      <c r="AE182">
        <f ca="1">IFERROR(IF(0=LEN(ReferenceData!$AE$182),"",ReferenceData!$AE$182),"")</f>
        <v>7.6116343999999998</v>
      </c>
      <c r="AF182">
        <f ca="1">IFERROR(IF(0=LEN(ReferenceData!$AF$182),"",ReferenceData!$AF$182),"")</f>
        <v>7.8665466579999999</v>
      </c>
      <c r="AG182">
        <f ca="1">IFERROR(IF(0=LEN(ReferenceData!$AG$182),"",ReferenceData!$AG$182),"")</f>
        <v>7.8119767539999998</v>
      </c>
      <c r="AH182">
        <f ca="1">IFERROR(IF(0=LEN(ReferenceData!$AH$182),"",ReferenceData!$AH$182),"")</f>
        <v>7.8875501359999998</v>
      </c>
      <c r="AI182">
        <f ca="1">IFERROR(IF(0=LEN(ReferenceData!$AI$182),"",ReferenceData!$AI$182),"")</f>
        <v>7.8574809249999999</v>
      </c>
      <c r="AJ182">
        <f ca="1">IFERROR(IF(0=LEN(ReferenceData!$AJ$182),"",ReferenceData!$AJ$182),"")</f>
        <v>8.1918750629999995</v>
      </c>
      <c r="AK182">
        <f ca="1">IFERROR(IF(0=LEN(ReferenceData!$AK$182),"",ReferenceData!$AK$182),"")</f>
        <v>8.2089169890000004</v>
      </c>
      <c r="AL182">
        <f ca="1">IFERROR(IF(0=LEN(ReferenceData!$AL$182),"",ReferenceData!$AL$182),"")</f>
        <v>8.1028378639999996</v>
      </c>
      <c r="AM182">
        <f ca="1">IFERROR(IF(0=LEN(ReferenceData!$AM$182),"",ReferenceData!$AM$182),"")</f>
        <v>8.1747380629999995</v>
      </c>
      <c r="AN182" t="str">
        <f ca="1">IFERROR(IF(0=LEN(ReferenceData!$AN$182),"",ReferenceData!$AN$182),"")</f>
        <v/>
      </c>
      <c r="AO182" t="str">
        <f ca="1">IFERROR(IF(0=LEN(ReferenceData!$AO$182),"",ReferenceData!$AO$182),"")</f>
        <v/>
      </c>
      <c r="AP182" t="str">
        <f ca="1">IFERROR(IF(0=LEN(ReferenceData!$AP$182),"",ReferenceData!$AP$182),"")</f>
        <v/>
      </c>
      <c r="AQ182" t="str">
        <f ca="1">IFERROR(IF(0=LEN(ReferenceData!$AQ$182),"",ReferenceData!$AQ$182),"")</f>
        <v/>
      </c>
      <c r="AR182" t="str">
        <f ca="1">IFERROR(IF(0=LEN(ReferenceData!$AR$182),"",ReferenceData!$AR$182),"")</f>
        <v/>
      </c>
      <c r="AS182" t="str">
        <f ca="1">IFERROR(IF(0=LEN(ReferenceData!$AS$182),"",ReferenceData!$AS$182),"")</f>
        <v/>
      </c>
      <c r="AT182" t="str">
        <f ca="1">IFERROR(IF(0=LEN(ReferenceData!$AT$182),"",ReferenceData!$AT$182),"")</f>
        <v/>
      </c>
      <c r="AU182" t="str">
        <f ca="1">IFERROR(IF(0=LEN(ReferenceData!$AU$182),"",ReferenceData!$AU$182),"")</f>
        <v/>
      </c>
      <c r="AV182" t="str">
        <f ca="1">IFERROR(IF(0=LEN(ReferenceData!$AV$182),"",ReferenceData!$AV$182),"")</f>
        <v/>
      </c>
      <c r="AW182" t="str">
        <f ca="1">IFERROR(IF(0=LEN(ReferenceData!$AW$182),"",ReferenceData!$AW$182),"")</f>
        <v/>
      </c>
      <c r="AX182" t="str">
        <f ca="1">IFERROR(IF(0=LEN(ReferenceData!$AX$182),"",ReferenceData!$AX$182),"")</f>
        <v/>
      </c>
      <c r="AY182" t="str">
        <f ca="1">IFERROR(IF(0=LEN(ReferenceData!$AY$182),"",ReferenceData!$AY$182),"")</f>
        <v/>
      </c>
      <c r="AZ182" t="str">
        <f ca="1">IFERROR(IF(0=LEN(ReferenceData!$AZ$182),"",ReferenceData!$AZ$182),"")</f>
        <v/>
      </c>
      <c r="BA182" t="str">
        <f ca="1">IFERROR(IF(0=LEN(ReferenceData!$BA$182),"",ReferenceData!$BA$182),"")</f>
        <v/>
      </c>
      <c r="BB182" t="str">
        <f ca="1">IFERROR(IF(0=LEN(ReferenceData!$BB$182),"",ReferenceData!$BB$182),"")</f>
        <v/>
      </c>
      <c r="BC182" t="str">
        <f ca="1">IFERROR(IF(0=LEN(ReferenceData!$BC$182),"",ReferenceData!$BC$182),"")</f>
        <v/>
      </c>
      <c r="BD182" t="str">
        <f ca="1">IFERROR(IF(0=LEN(ReferenceData!$BD$182),"",ReferenceData!$BD$182),"")</f>
        <v/>
      </c>
      <c r="BE182" t="str">
        <f ca="1">IFERROR(IF(0=LEN(ReferenceData!$BE$182),"",ReferenceData!$BE$182),"")</f>
        <v/>
      </c>
      <c r="BF182" t="str">
        <f ca="1">IFERROR(IF(0=LEN(ReferenceData!$BF$182),"",ReferenceData!$BF$182),"")</f>
        <v/>
      </c>
      <c r="BG182" t="str">
        <f ca="1">IFERROR(IF(0=LEN(ReferenceData!$BG$182),"",ReferenceData!$BG$182),"")</f>
        <v/>
      </c>
      <c r="BH182" t="str">
        <f ca="1">IFERROR(IF(0=LEN(ReferenceData!$BH$182),"",ReferenceData!$BH$182),"")</f>
        <v/>
      </c>
      <c r="BI182" t="str">
        <f ca="1">IFERROR(IF(0=LEN(ReferenceData!$BI$182),"",ReferenceData!$BI$182),"")</f>
        <v/>
      </c>
      <c r="BJ182" t="str">
        <f ca="1">IFERROR(IF(0=LEN(ReferenceData!$BJ$182),"",ReferenceData!$BJ$182),"")</f>
        <v/>
      </c>
      <c r="BK182" t="str">
        <f ca="1">IFERROR(IF(0=LEN(ReferenceData!$BK$182),"",ReferenceData!$BK$182),"")</f>
        <v/>
      </c>
      <c r="BL182" t="str">
        <f ca="1">IFERROR(IF(0=LEN(ReferenceData!$BL$182),"",ReferenceData!$BL$182),"")</f>
        <v/>
      </c>
      <c r="BM182" t="str">
        <f ca="1">IFERROR(IF(0=LEN(ReferenceData!$BM$182),"",ReferenceData!$BM$182),"")</f>
        <v/>
      </c>
    </row>
    <row r="183" spans="1:65">
      <c r="A183" t="str">
        <f>IFERROR(IF(0=LEN(ReferenceData!$A$183),"",ReferenceData!$A$183),"")</f>
        <v xml:space="preserve">    Columbia Property Trust Inc</v>
      </c>
      <c r="B183" t="str">
        <f>IFERROR(IF(0=LEN(ReferenceData!$B$183),"",ReferenceData!$B$183),"")</f>
        <v>CXP US Equity</v>
      </c>
      <c r="C183" t="str">
        <f>IFERROR(IF(0=LEN(ReferenceData!$C$183),"",ReferenceData!$C$183),"")</f>
        <v>F1178</v>
      </c>
      <c r="D183" t="str">
        <f>IFERROR(IF(0=LEN(ReferenceData!$D$183),"",ReferenceData!$D$183),"")</f>
        <v>NET_DEBT_EBITDA_ADJUSTED</v>
      </c>
      <c r="E183" t="str">
        <f>IFERROR(IF(0=LEN(ReferenceData!$E$183),"",ReferenceData!$E$183),"")</f>
        <v>动态</v>
      </c>
      <c r="F183" t="str">
        <f ca="1">IFERROR(IF(0=LEN(ReferenceData!$F$183),"",ReferenceData!$F$183),"")</f>
        <v/>
      </c>
      <c r="G183">
        <f ca="1">IFERROR(IF(0=LEN(ReferenceData!$G$183),"",ReferenceData!$G$183),"")</f>
        <v>11.00856937</v>
      </c>
      <c r="H183">
        <f ca="1">IFERROR(IF(0=LEN(ReferenceData!$H$183),"",ReferenceData!$H$183),"")</f>
        <v>5.2283790469999998</v>
      </c>
      <c r="I183">
        <f ca="1">IFERROR(IF(0=LEN(ReferenceData!$I$183),"",ReferenceData!$I$183),"")</f>
        <v>4.575108738</v>
      </c>
      <c r="J183">
        <f ca="1">IFERROR(IF(0=LEN(ReferenceData!$J$183),"",ReferenceData!$J$183),"")</f>
        <v>3.8072818819999998</v>
      </c>
      <c r="K183">
        <f ca="1">IFERROR(IF(0=LEN(ReferenceData!$K$183),"",ReferenceData!$K$183),"")</f>
        <v>5.0637134970000002</v>
      </c>
      <c r="L183">
        <f ca="1">IFERROR(IF(0=LEN(ReferenceData!$L$183),"",ReferenceData!$L$183),"")</f>
        <v>5.2144980729999997</v>
      </c>
      <c r="M183">
        <f ca="1">IFERROR(IF(0=LEN(ReferenceData!$M$183),"",ReferenceData!$M$183),"")</f>
        <v>6.016763063</v>
      </c>
      <c r="N183">
        <f ca="1">IFERROR(IF(0=LEN(ReferenceData!$N$183),"",ReferenceData!$N$183),"")</f>
        <v>5.7288521230000002</v>
      </c>
      <c r="O183">
        <f ca="1">IFERROR(IF(0=LEN(ReferenceData!$O$183),"",ReferenceData!$O$183),"")</f>
        <v>5.7731875060000002</v>
      </c>
      <c r="P183">
        <f ca="1">IFERROR(IF(0=LEN(ReferenceData!$P$183),"",ReferenceData!$P$183),"")</f>
        <v>7.3707239109999998</v>
      </c>
      <c r="Q183">
        <f ca="1">IFERROR(IF(0=LEN(ReferenceData!$Q$183),"",ReferenceData!$Q$183),"")</f>
        <v>6.9832297209999998</v>
      </c>
      <c r="R183">
        <f ca="1">IFERROR(IF(0=LEN(ReferenceData!$R$183),"",ReferenceData!$R$183),"")</f>
        <v>7.2286663999999998</v>
      </c>
      <c r="S183">
        <f ca="1">IFERROR(IF(0=LEN(ReferenceData!$S$183),"",ReferenceData!$S$183),"")</f>
        <v>5.3783062130000001</v>
      </c>
      <c r="T183">
        <f ca="1">IFERROR(IF(0=LEN(ReferenceData!$T$183),"",ReferenceData!$T$183),"")</f>
        <v>6.2308208289999998</v>
      </c>
      <c r="U183">
        <f ca="1">IFERROR(IF(0=LEN(ReferenceData!$U$183),"",ReferenceData!$U$183),"")</f>
        <v>5.3563466630000001</v>
      </c>
      <c r="V183">
        <f ca="1">IFERROR(IF(0=LEN(ReferenceData!$V$183),"",ReferenceData!$V$183),"")</f>
        <v>4.6492368869999998</v>
      </c>
      <c r="W183">
        <f ca="1">IFERROR(IF(0=LEN(ReferenceData!$W$183),"",ReferenceData!$W$183),"")</f>
        <v>5.0472480180000003</v>
      </c>
      <c r="X183">
        <f ca="1">IFERROR(IF(0=LEN(ReferenceData!$X$183),"",ReferenceData!$X$183),"")</f>
        <v>7.609113926</v>
      </c>
      <c r="Y183">
        <f ca="1">IFERROR(IF(0=LEN(ReferenceData!$Y$183),"",ReferenceData!$Y$183),"")</f>
        <v>7.4699457479999998</v>
      </c>
      <c r="Z183">
        <f ca="1">IFERROR(IF(0=LEN(ReferenceData!$Z$183),"",ReferenceData!$Z$183),"")</f>
        <v>7.459116377</v>
      </c>
      <c r="AA183">
        <f ca="1">IFERROR(IF(0=LEN(ReferenceData!$AA$183),"",ReferenceData!$AA$183),"")</f>
        <v>6.7572707630000002</v>
      </c>
      <c r="AB183">
        <f ca="1">IFERROR(IF(0=LEN(ReferenceData!$AB$183),"",ReferenceData!$AB$183),"")</f>
        <v>6.159893104</v>
      </c>
      <c r="AC183">
        <f ca="1">IFERROR(IF(0=LEN(ReferenceData!$AC$183),"",ReferenceData!$AC$183),"")</f>
        <v>5.9422732399999996</v>
      </c>
      <c r="AD183">
        <f ca="1">IFERROR(IF(0=LEN(ReferenceData!$AD$183),"",ReferenceData!$AD$183),"")</f>
        <v>5.7815370279999998</v>
      </c>
      <c r="AE183">
        <f ca="1">IFERROR(IF(0=LEN(ReferenceData!$AE$183),"",ReferenceData!$AE$183),"")</f>
        <v>6.1123532650000003</v>
      </c>
      <c r="AF183">
        <f ca="1">IFERROR(IF(0=LEN(ReferenceData!$AF$183),"",ReferenceData!$AF$183),"")</f>
        <v>6.1195991950000002</v>
      </c>
      <c r="AG183">
        <f ca="1">IFERROR(IF(0=LEN(ReferenceData!$AG$183),"",ReferenceData!$AG$183),"")</f>
        <v>6.5312067340000004</v>
      </c>
      <c r="AH183">
        <f ca="1">IFERROR(IF(0=LEN(ReferenceData!$AH$183),"",ReferenceData!$AH$183),"")</f>
        <v>6.709965585</v>
      </c>
      <c r="AI183">
        <f ca="1">IFERROR(IF(0=LEN(ReferenceData!$AI$183),"",ReferenceData!$AI$183),"")</f>
        <v>4.7712871449999996</v>
      </c>
      <c r="AJ183">
        <f ca="1">IFERROR(IF(0=LEN(ReferenceData!$AJ$183),"",ReferenceData!$AJ$183),"")</f>
        <v>4.5613333540000003</v>
      </c>
      <c r="AK183">
        <f ca="1">IFERROR(IF(0=LEN(ReferenceData!$AK$183),"",ReferenceData!$AK$183),"")</f>
        <v>4.8302958399999998</v>
      </c>
      <c r="AL183">
        <f ca="1">IFERROR(IF(0=LEN(ReferenceData!$AL$183),"",ReferenceData!$AL$183),"")</f>
        <v>4.722316706</v>
      </c>
      <c r="AM183">
        <f ca="1">IFERROR(IF(0=LEN(ReferenceData!$AM$183),"",ReferenceData!$AM$183),"")</f>
        <v>4.9757055899999996</v>
      </c>
      <c r="AN183" t="str">
        <f ca="1">IFERROR(IF(0=LEN(ReferenceData!$AN$183),"",ReferenceData!$AN$183),"")</f>
        <v/>
      </c>
      <c r="AO183" t="str">
        <f ca="1">IFERROR(IF(0=LEN(ReferenceData!$AO$183),"",ReferenceData!$AO$183),"")</f>
        <v/>
      </c>
      <c r="AP183" t="str">
        <f ca="1">IFERROR(IF(0=LEN(ReferenceData!$AP$183),"",ReferenceData!$AP$183),"")</f>
        <v/>
      </c>
      <c r="AQ183" t="str">
        <f ca="1">IFERROR(IF(0=LEN(ReferenceData!$AQ$183),"",ReferenceData!$AQ$183),"")</f>
        <v/>
      </c>
      <c r="AR183" t="str">
        <f ca="1">IFERROR(IF(0=LEN(ReferenceData!$AR$183),"",ReferenceData!$AR$183),"")</f>
        <v/>
      </c>
      <c r="AS183" t="str">
        <f ca="1">IFERROR(IF(0=LEN(ReferenceData!$AS$183),"",ReferenceData!$AS$183),"")</f>
        <v/>
      </c>
      <c r="AT183" t="str">
        <f ca="1">IFERROR(IF(0=LEN(ReferenceData!$AT$183),"",ReferenceData!$AT$183),"")</f>
        <v/>
      </c>
      <c r="AU183" t="str">
        <f ca="1">IFERROR(IF(0=LEN(ReferenceData!$AU$183),"",ReferenceData!$AU$183),"")</f>
        <v/>
      </c>
      <c r="AV183" t="str">
        <f ca="1">IFERROR(IF(0=LEN(ReferenceData!$AV$183),"",ReferenceData!$AV$183),"")</f>
        <v/>
      </c>
      <c r="AW183" t="str">
        <f ca="1">IFERROR(IF(0=LEN(ReferenceData!$AW$183),"",ReferenceData!$AW$183),"")</f>
        <v/>
      </c>
      <c r="AX183" t="str">
        <f ca="1">IFERROR(IF(0=LEN(ReferenceData!$AX$183),"",ReferenceData!$AX$183),"")</f>
        <v/>
      </c>
      <c r="AY183" t="str">
        <f ca="1">IFERROR(IF(0=LEN(ReferenceData!$AY$183),"",ReferenceData!$AY$183),"")</f>
        <v/>
      </c>
      <c r="AZ183" t="str">
        <f ca="1">IFERROR(IF(0=LEN(ReferenceData!$AZ$183),"",ReferenceData!$AZ$183),"")</f>
        <v/>
      </c>
      <c r="BA183" t="str">
        <f ca="1">IFERROR(IF(0=LEN(ReferenceData!$BA$183),"",ReferenceData!$BA$183),"")</f>
        <v/>
      </c>
      <c r="BB183" t="str">
        <f ca="1">IFERROR(IF(0=LEN(ReferenceData!$BB$183),"",ReferenceData!$BB$183),"")</f>
        <v/>
      </c>
      <c r="BC183" t="str">
        <f ca="1">IFERROR(IF(0=LEN(ReferenceData!$BC$183),"",ReferenceData!$BC$183),"")</f>
        <v/>
      </c>
      <c r="BD183" t="str">
        <f ca="1">IFERROR(IF(0=LEN(ReferenceData!$BD$183),"",ReferenceData!$BD$183),"")</f>
        <v/>
      </c>
      <c r="BE183" t="str">
        <f ca="1">IFERROR(IF(0=LEN(ReferenceData!$BE$183),"",ReferenceData!$BE$183),"")</f>
        <v/>
      </c>
      <c r="BF183" t="str">
        <f ca="1">IFERROR(IF(0=LEN(ReferenceData!$BF$183),"",ReferenceData!$BF$183),"")</f>
        <v/>
      </c>
      <c r="BG183" t="str">
        <f ca="1">IFERROR(IF(0=LEN(ReferenceData!$BG$183),"",ReferenceData!$BG$183),"")</f>
        <v/>
      </c>
      <c r="BH183" t="str">
        <f ca="1">IFERROR(IF(0=LEN(ReferenceData!$BH$183),"",ReferenceData!$BH$183),"")</f>
        <v/>
      </c>
      <c r="BI183" t="str">
        <f ca="1">IFERROR(IF(0=LEN(ReferenceData!$BI$183),"",ReferenceData!$BI$183),"")</f>
        <v/>
      </c>
      <c r="BJ183" t="str">
        <f ca="1">IFERROR(IF(0=LEN(ReferenceData!$BJ$183),"",ReferenceData!$BJ$183),"")</f>
        <v/>
      </c>
      <c r="BK183" t="str">
        <f ca="1">IFERROR(IF(0=LEN(ReferenceData!$BK$183),"",ReferenceData!$BK$183),"")</f>
        <v/>
      </c>
      <c r="BL183" t="str">
        <f ca="1">IFERROR(IF(0=LEN(ReferenceData!$BL$183),"",ReferenceData!$BL$183),"")</f>
        <v/>
      </c>
      <c r="BM183" t="str">
        <f ca="1">IFERROR(IF(0=LEN(ReferenceData!$BM$183),"",ReferenceData!$BM$183),"")</f>
        <v/>
      </c>
    </row>
    <row r="184" spans="1:65">
      <c r="A184" t="str">
        <f>IFERROR(IF(0=LEN(ReferenceData!$A$184),"",ReferenceData!$A$184),"")</f>
        <v xml:space="preserve">    Corporate Office Properties Tr</v>
      </c>
      <c r="B184" t="str">
        <f>IFERROR(IF(0=LEN(ReferenceData!$B$184),"",ReferenceData!$B$184),"")</f>
        <v>OFC US Equity</v>
      </c>
      <c r="C184" t="str">
        <f>IFERROR(IF(0=LEN(ReferenceData!$C$184),"",ReferenceData!$C$184),"")</f>
        <v>F1178</v>
      </c>
      <c r="D184" t="str">
        <f>IFERROR(IF(0=LEN(ReferenceData!$D$184),"",ReferenceData!$D$184),"")</f>
        <v>NET_DEBT_EBITDA_ADJUSTED</v>
      </c>
      <c r="E184" t="str">
        <f>IFERROR(IF(0=LEN(ReferenceData!$E$184),"",ReferenceData!$E$184),"")</f>
        <v>动态</v>
      </c>
      <c r="F184" t="str">
        <f ca="1">IFERROR(IF(0=LEN(ReferenceData!$F$184),"",ReferenceData!$F$184),"")</f>
        <v/>
      </c>
      <c r="G184">
        <f ca="1">IFERROR(IF(0=LEN(ReferenceData!$G$184),"",ReferenceData!$G$184),"")</f>
        <v>6.5005908259999998</v>
      </c>
      <c r="H184">
        <f ca="1">IFERROR(IF(0=LEN(ReferenceData!$H$184),"",ReferenceData!$H$184),"")</f>
        <v>6.7395585589999998</v>
      </c>
      <c r="I184">
        <f ca="1">IFERROR(IF(0=LEN(ReferenceData!$I$184),"",ReferenceData!$I$184),"")</f>
        <v>7.8063490760000001</v>
      </c>
      <c r="J184">
        <f ca="1">IFERROR(IF(0=LEN(ReferenceData!$J$184),"",ReferenceData!$J$184),"")</f>
        <v>6.7451990559999997</v>
      </c>
      <c r="K184">
        <f ca="1">IFERROR(IF(0=LEN(ReferenceData!$K$184),"",ReferenceData!$K$184),"")</f>
        <v>6.8398893760000004</v>
      </c>
      <c r="L184">
        <f ca="1">IFERROR(IF(0=LEN(ReferenceData!$L$184),"",ReferenceData!$L$184),"")</f>
        <v>7.05758098</v>
      </c>
      <c r="M184">
        <f ca="1">IFERROR(IF(0=LEN(ReferenceData!$M$184),"",ReferenceData!$M$184),"")</f>
        <v>7.0689960870000004</v>
      </c>
      <c r="N184">
        <f ca="1">IFERROR(IF(0=LEN(ReferenceData!$N$184),"",ReferenceData!$N$184),"")</f>
        <v>7.1402605609999998</v>
      </c>
      <c r="O184">
        <f ca="1">IFERROR(IF(0=LEN(ReferenceData!$O$184),"",ReferenceData!$O$184),"")</f>
        <v>7.0635262980000002</v>
      </c>
      <c r="P184">
        <f ca="1">IFERROR(IF(0=LEN(ReferenceData!$P$184),"",ReferenceData!$P$184),"")</f>
        <v>7.6152319019999997</v>
      </c>
      <c r="Q184">
        <f ca="1">IFERROR(IF(0=LEN(ReferenceData!$Q$184),"",ReferenceData!$Q$184),"")</f>
        <v>7.66637243</v>
      </c>
      <c r="R184">
        <f ca="1">IFERROR(IF(0=LEN(ReferenceData!$R$184),"",ReferenceData!$R$184),"")</f>
        <v>7.5325264179999998</v>
      </c>
      <c r="S184">
        <f ca="1">IFERROR(IF(0=LEN(ReferenceData!$S$184),"",ReferenceData!$S$184),"")</f>
        <v>7.0270074180000002</v>
      </c>
      <c r="T184">
        <f ca="1">IFERROR(IF(0=LEN(ReferenceData!$T$184),"",ReferenceData!$T$184),"")</f>
        <v>7.4689403260000002</v>
      </c>
      <c r="U184">
        <f ca="1">IFERROR(IF(0=LEN(ReferenceData!$U$184),"",ReferenceData!$U$184),"")</f>
        <v>7.5748432149999996</v>
      </c>
      <c r="V184">
        <f ca="1">IFERROR(IF(0=LEN(ReferenceData!$V$184),"",ReferenceData!$V$184),"")</f>
        <v>7.0373556449999999</v>
      </c>
      <c r="W184">
        <f ca="1">IFERROR(IF(0=LEN(ReferenceData!$W$184),"",ReferenceData!$W$184),"")</f>
        <v>6.9537893889999998</v>
      </c>
      <c r="X184">
        <f ca="1">IFERROR(IF(0=LEN(ReferenceData!$X$184),"",ReferenceData!$X$184),"")</f>
        <v>7.8925486139999999</v>
      </c>
      <c r="Y184">
        <f ca="1">IFERROR(IF(0=LEN(ReferenceData!$Y$184),"",ReferenceData!$Y$184),"")</f>
        <v>7.7296078279999998</v>
      </c>
      <c r="Z184">
        <f ca="1">IFERROR(IF(0=LEN(ReferenceData!$Z$184),"",ReferenceData!$Z$184),"")</f>
        <v>7.2783525720000002</v>
      </c>
      <c r="AA184">
        <f ca="1">IFERROR(IF(0=LEN(ReferenceData!$AA$184),"",ReferenceData!$AA$184),"")</f>
        <v>7.6676006660000002</v>
      </c>
      <c r="AB184">
        <f ca="1">IFERROR(IF(0=LEN(ReferenceData!$AB$184),"",ReferenceData!$AB$184),"")</f>
        <v>8.2367855199999997</v>
      </c>
      <c r="AC184">
        <f ca="1">IFERROR(IF(0=LEN(ReferenceData!$AC$184),"",ReferenceData!$AC$184),"")</f>
        <v>8.4672135589999993</v>
      </c>
      <c r="AD184">
        <f ca="1">IFERROR(IF(0=LEN(ReferenceData!$AD$184),"",ReferenceData!$AD$184),"")</f>
        <v>9.3014920419999996</v>
      </c>
      <c r="AE184">
        <f ca="1">IFERROR(IF(0=LEN(ReferenceData!$AE$184),"",ReferenceData!$AE$184),"")</f>
        <v>9.2592363100000004</v>
      </c>
      <c r="AF184">
        <f ca="1">IFERROR(IF(0=LEN(ReferenceData!$AF$184),"",ReferenceData!$AF$184),"")</f>
        <v>9.0839691489999996</v>
      </c>
      <c r="AG184">
        <f ca="1">IFERROR(IF(0=LEN(ReferenceData!$AG$184),"",ReferenceData!$AG$184),"")</f>
        <v>8.7298297700000003</v>
      </c>
      <c r="AH184">
        <f ca="1">IFERROR(IF(0=LEN(ReferenceData!$AH$184),"",ReferenceData!$AH$184),"")</f>
        <v>9.2171423709999996</v>
      </c>
      <c r="AI184">
        <f ca="1">IFERROR(IF(0=LEN(ReferenceData!$AI$184),"",ReferenceData!$AI$184),"")</f>
        <v>9.1468948670000003</v>
      </c>
      <c r="AJ184">
        <f ca="1">IFERROR(IF(0=LEN(ReferenceData!$AJ$184),"",ReferenceData!$AJ$184),"")</f>
        <v>9.0115848950000004</v>
      </c>
      <c r="AK184">
        <f ca="1">IFERROR(IF(0=LEN(ReferenceData!$AK$184),"",ReferenceData!$AK$184),"")</f>
        <v>8.876351884</v>
      </c>
      <c r="AL184">
        <f ca="1">IFERROR(IF(0=LEN(ReferenceData!$AL$184),"",ReferenceData!$AL$184),"")</f>
        <v>8.5197580120000005</v>
      </c>
      <c r="AM184">
        <f ca="1">IFERROR(IF(0=LEN(ReferenceData!$AM$184),"",ReferenceData!$AM$184),"")</f>
        <v>8.1908016709999991</v>
      </c>
      <c r="AN184" t="str">
        <f ca="1">IFERROR(IF(0=LEN(ReferenceData!$AN$184),"",ReferenceData!$AN$184),"")</f>
        <v/>
      </c>
      <c r="AO184" t="str">
        <f ca="1">IFERROR(IF(0=LEN(ReferenceData!$AO$184),"",ReferenceData!$AO$184),"")</f>
        <v/>
      </c>
      <c r="AP184" t="str">
        <f ca="1">IFERROR(IF(0=LEN(ReferenceData!$AP$184),"",ReferenceData!$AP$184),"")</f>
        <v/>
      </c>
      <c r="AQ184" t="str">
        <f ca="1">IFERROR(IF(0=LEN(ReferenceData!$AQ$184),"",ReferenceData!$AQ$184),"")</f>
        <v/>
      </c>
      <c r="AR184" t="str">
        <f ca="1">IFERROR(IF(0=LEN(ReferenceData!$AR$184),"",ReferenceData!$AR$184),"")</f>
        <v/>
      </c>
      <c r="AS184" t="str">
        <f ca="1">IFERROR(IF(0=LEN(ReferenceData!$AS$184),"",ReferenceData!$AS$184),"")</f>
        <v/>
      </c>
      <c r="AT184" t="str">
        <f ca="1">IFERROR(IF(0=LEN(ReferenceData!$AT$184),"",ReferenceData!$AT$184),"")</f>
        <v/>
      </c>
      <c r="AU184" t="str">
        <f ca="1">IFERROR(IF(0=LEN(ReferenceData!$AU$184),"",ReferenceData!$AU$184),"")</f>
        <v/>
      </c>
      <c r="AV184" t="str">
        <f ca="1">IFERROR(IF(0=LEN(ReferenceData!$AV$184),"",ReferenceData!$AV$184),"")</f>
        <v/>
      </c>
      <c r="AW184" t="str">
        <f ca="1">IFERROR(IF(0=LEN(ReferenceData!$AW$184),"",ReferenceData!$AW$184),"")</f>
        <v/>
      </c>
      <c r="AX184" t="str">
        <f ca="1">IFERROR(IF(0=LEN(ReferenceData!$AX$184),"",ReferenceData!$AX$184),"")</f>
        <v/>
      </c>
      <c r="AY184" t="str">
        <f ca="1">IFERROR(IF(0=LEN(ReferenceData!$AY$184),"",ReferenceData!$AY$184),"")</f>
        <v/>
      </c>
      <c r="AZ184" t="str">
        <f ca="1">IFERROR(IF(0=LEN(ReferenceData!$AZ$184),"",ReferenceData!$AZ$184),"")</f>
        <v/>
      </c>
      <c r="BA184" t="str">
        <f ca="1">IFERROR(IF(0=LEN(ReferenceData!$BA$184),"",ReferenceData!$BA$184),"")</f>
        <v/>
      </c>
      <c r="BB184" t="str">
        <f ca="1">IFERROR(IF(0=LEN(ReferenceData!$BB$184),"",ReferenceData!$BB$184),"")</f>
        <v/>
      </c>
      <c r="BC184" t="str">
        <f ca="1">IFERROR(IF(0=LEN(ReferenceData!$BC$184),"",ReferenceData!$BC$184),"")</f>
        <v/>
      </c>
      <c r="BD184" t="str">
        <f ca="1">IFERROR(IF(0=LEN(ReferenceData!$BD$184),"",ReferenceData!$BD$184),"")</f>
        <v/>
      </c>
      <c r="BE184" t="str">
        <f ca="1">IFERROR(IF(0=LEN(ReferenceData!$BE$184),"",ReferenceData!$BE$184),"")</f>
        <v/>
      </c>
      <c r="BF184" t="str">
        <f ca="1">IFERROR(IF(0=LEN(ReferenceData!$BF$184),"",ReferenceData!$BF$184),"")</f>
        <v/>
      </c>
      <c r="BG184" t="str">
        <f ca="1">IFERROR(IF(0=LEN(ReferenceData!$BG$184),"",ReferenceData!$BG$184),"")</f>
        <v/>
      </c>
      <c r="BH184" t="str">
        <f ca="1">IFERROR(IF(0=LEN(ReferenceData!$BH$184),"",ReferenceData!$BH$184),"")</f>
        <v/>
      </c>
      <c r="BI184" t="str">
        <f ca="1">IFERROR(IF(0=LEN(ReferenceData!$BI$184),"",ReferenceData!$BI$184),"")</f>
        <v/>
      </c>
      <c r="BJ184" t="str">
        <f ca="1">IFERROR(IF(0=LEN(ReferenceData!$BJ$184),"",ReferenceData!$BJ$184),"")</f>
        <v/>
      </c>
      <c r="BK184" t="str">
        <f ca="1">IFERROR(IF(0=LEN(ReferenceData!$BK$184),"",ReferenceData!$BK$184),"")</f>
        <v/>
      </c>
      <c r="BL184" t="str">
        <f ca="1">IFERROR(IF(0=LEN(ReferenceData!$BL$184),"",ReferenceData!$BL$184),"")</f>
        <v/>
      </c>
      <c r="BM184" t="str">
        <f ca="1">IFERROR(IF(0=LEN(ReferenceData!$BM$184),"",ReferenceData!$BM$184),"")</f>
        <v/>
      </c>
    </row>
    <row r="185" spans="1:65">
      <c r="A185" t="str">
        <f>IFERROR(IF(0=LEN(ReferenceData!$A$185),"",ReferenceData!$A$185),"")</f>
        <v xml:space="preserve">    Highwoods Properties Inc</v>
      </c>
      <c r="B185" t="str">
        <f>IFERROR(IF(0=LEN(ReferenceData!$B$185),"",ReferenceData!$B$185),"")</f>
        <v>HIW US Equity</v>
      </c>
      <c r="C185" t="str">
        <f>IFERROR(IF(0=LEN(ReferenceData!$C$185),"",ReferenceData!$C$185),"")</f>
        <v>F1178</v>
      </c>
      <c r="D185" t="str">
        <f>IFERROR(IF(0=LEN(ReferenceData!$D$185),"",ReferenceData!$D$185),"")</f>
        <v>NET_DEBT_EBITDA_ADJUSTED</v>
      </c>
      <c r="E185" t="str">
        <f>IFERROR(IF(0=LEN(ReferenceData!$E$185),"",ReferenceData!$E$185),"")</f>
        <v>动态</v>
      </c>
      <c r="F185" t="str">
        <f ca="1">IFERROR(IF(0=LEN(ReferenceData!$F$185),"",ReferenceData!$F$185),"")</f>
        <v/>
      </c>
      <c r="G185">
        <f ca="1">IFERROR(IF(0=LEN(ReferenceData!$G$185),"",ReferenceData!$G$185),"")</f>
        <v>4.7185740999999997</v>
      </c>
      <c r="H185">
        <f ca="1">IFERROR(IF(0=LEN(ReferenceData!$H$185),"",ReferenceData!$H$185),"")</f>
        <v>4.6586170449999997</v>
      </c>
      <c r="I185">
        <f ca="1">IFERROR(IF(0=LEN(ReferenceData!$I$185),"",ReferenceData!$I$185),"")</f>
        <v>4.8680319799999996</v>
      </c>
      <c r="J185">
        <f ca="1">IFERROR(IF(0=LEN(ReferenceData!$J$185),"",ReferenceData!$J$185),"")</f>
        <v>5.08405693</v>
      </c>
      <c r="K185">
        <f ca="1">IFERROR(IF(0=LEN(ReferenceData!$K$185),"",ReferenceData!$K$185),"")</f>
        <v>4.7895463119999997</v>
      </c>
      <c r="L185">
        <f ca="1">IFERROR(IF(0=LEN(ReferenceData!$L$185),"",ReferenceData!$L$185),"")</f>
        <v>4.8174132590000003</v>
      </c>
      <c r="M185">
        <f ca="1">IFERROR(IF(0=LEN(ReferenceData!$M$185),"",ReferenceData!$M$185),"")</f>
        <v>5.3285174790000003</v>
      </c>
      <c r="N185">
        <f ca="1">IFERROR(IF(0=LEN(ReferenceData!$N$185),"",ReferenceData!$N$185),"")</f>
        <v>5.5183815210000002</v>
      </c>
      <c r="O185">
        <f ca="1">IFERROR(IF(0=LEN(ReferenceData!$O$185),"",ReferenceData!$O$185),"")</f>
        <v>6.6999473580000002</v>
      </c>
      <c r="P185">
        <f ca="1">IFERROR(IF(0=LEN(ReferenceData!$P$185),"",ReferenceData!$P$185),"")</f>
        <v>6.9118046470000003</v>
      </c>
      <c r="Q185">
        <f ca="1">IFERROR(IF(0=LEN(ReferenceData!$Q$185),"",ReferenceData!$Q$185),"")</f>
        <v>6.0407326110000001</v>
      </c>
      <c r="R185">
        <f ca="1">IFERROR(IF(0=LEN(ReferenceData!$R$185),"",ReferenceData!$R$185),"")</f>
        <v>5.9589353420000002</v>
      </c>
      <c r="S185">
        <f ca="1">IFERROR(IF(0=LEN(ReferenceData!$S$185),"",ReferenceData!$S$185),"")</f>
        <v>6.0364636230000004</v>
      </c>
      <c r="T185">
        <f ca="1">IFERROR(IF(0=LEN(ReferenceData!$T$185),"",ReferenceData!$T$185),"")</f>
        <v>5.8468996210000004</v>
      </c>
      <c r="U185">
        <f ca="1">IFERROR(IF(0=LEN(ReferenceData!$U$185),"",ReferenceData!$U$185),"")</f>
        <v>6.0375788999999997</v>
      </c>
      <c r="V185">
        <f ca="1">IFERROR(IF(0=LEN(ReferenceData!$V$185),"",ReferenceData!$V$185),"")</f>
        <v>6.0957099729999999</v>
      </c>
      <c r="W185">
        <f ca="1">IFERROR(IF(0=LEN(ReferenceData!$W$185),"",ReferenceData!$W$185),"")</f>
        <v>6.043347432</v>
      </c>
      <c r="X185">
        <f ca="1">IFERROR(IF(0=LEN(ReferenceData!$X$185),"",ReferenceData!$X$185),"")</f>
        <v>6.4986348300000003</v>
      </c>
      <c r="Y185">
        <f ca="1">IFERROR(IF(0=LEN(ReferenceData!$Y$185),"",ReferenceData!$Y$185),"")</f>
        <v>6.4746913499999996</v>
      </c>
      <c r="Z185">
        <f ca="1">IFERROR(IF(0=LEN(ReferenceData!$Z$185),"",ReferenceData!$Z$185),"")</f>
        <v>6.4619716570000003</v>
      </c>
      <c r="AA185">
        <f ca="1">IFERROR(IF(0=LEN(ReferenceData!$AA$185),"",ReferenceData!$AA$185),"")</f>
        <v>6.3955299400000003</v>
      </c>
      <c r="AB185">
        <f ca="1">IFERROR(IF(0=LEN(ReferenceData!$AB$185),"",ReferenceData!$AB$185),"")</f>
        <v>6.1578018749999996</v>
      </c>
      <c r="AC185">
        <f ca="1">IFERROR(IF(0=LEN(ReferenceData!$AC$185),"",ReferenceData!$AC$185),"")</f>
        <v>6.4821656689999996</v>
      </c>
      <c r="AD185">
        <f ca="1">IFERROR(IF(0=LEN(ReferenceData!$AD$185),"",ReferenceData!$AD$185),"")</f>
        <v>6.8988312089999999</v>
      </c>
      <c r="AE185">
        <f ca="1">IFERROR(IF(0=LEN(ReferenceData!$AE$185),"",ReferenceData!$AE$185),"")</f>
        <v>6.9390333179999999</v>
      </c>
      <c r="AF185">
        <f ca="1">IFERROR(IF(0=LEN(ReferenceData!$AF$185),"",ReferenceData!$AF$185),"")</f>
        <v>7.1419636019999997</v>
      </c>
      <c r="AG185">
        <f ca="1">IFERROR(IF(0=LEN(ReferenceData!$AG$185),"",ReferenceData!$AG$185),"")</f>
        <v>6.0654083820000002</v>
      </c>
      <c r="AH185">
        <f ca="1">IFERROR(IF(0=LEN(ReferenceData!$AH$185),"",ReferenceData!$AH$185),"")</f>
        <v>5.7177257849999998</v>
      </c>
      <c r="AI185">
        <f ca="1">IFERROR(IF(0=LEN(ReferenceData!$AI$185),"",ReferenceData!$AI$185),"")</f>
        <v>5.6872596919999996</v>
      </c>
      <c r="AJ185">
        <f ca="1">IFERROR(IF(0=LEN(ReferenceData!$AJ$185),"",ReferenceData!$AJ$185),"")</f>
        <v>5.9377017619999997</v>
      </c>
      <c r="AK185">
        <f ca="1">IFERROR(IF(0=LEN(ReferenceData!$AK$185),"",ReferenceData!$AK$185),"")</f>
        <v>5.7714902410000004</v>
      </c>
      <c r="AL185">
        <f ca="1">IFERROR(IF(0=LEN(ReferenceData!$AL$185),"",ReferenceData!$AL$185),"")</f>
        <v>6.0317558560000002</v>
      </c>
      <c r="AM185">
        <f ca="1">IFERROR(IF(0=LEN(ReferenceData!$AM$185),"",ReferenceData!$AM$185),"")</f>
        <v>6.0106119329999999</v>
      </c>
      <c r="AN185" t="str">
        <f ca="1">IFERROR(IF(0=LEN(ReferenceData!$AN$185),"",ReferenceData!$AN$185),"")</f>
        <v/>
      </c>
      <c r="AO185" t="str">
        <f ca="1">IFERROR(IF(0=LEN(ReferenceData!$AO$185),"",ReferenceData!$AO$185),"")</f>
        <v/>
      </c>
      <c r="AP185" t="str">
        <f ca="1">IFERROR(IF(0=LEN(ReferenceData!$AP$185),"",ReferenceData!$AP$185),"")</f>
        <v/>
      </c>
      <c r="AQ185" t="str">
        <f ca="1">IFERROR(IF(0=LEN(ReferenceData!$AQ$185),"",ReferenceData!$AQ$185),"")</f>
        <v/>
      </c>
      <c r="AR185" t="str">
        <f ca="1">IFERROR(IF(0=LEN(ReferenceData!$AR$185),"",ReferenceData!$AR$185),"")</f>
        <v/>
      </c>
      <c r="AS185" t="str">
        <f ca="1">IFERROR(IF(0=LEN(ReferenceData!$AS$185),"",ReferenceData!$AS$185),"")</f>
        <v/>
      </c>
      <c r="AT185" t="str">
        <f ca="1">IFERROR(IF(0=LEN(ReferenceData!$AT$185),"",ReferenceData!$AT$185),"")</f>
        <v/>
      </c>
      <c r="AU185" t="str">
        <f ca="1">IFERROR(IF(0=LEN(ReferenceData!$AU$185),"",ReferenceData!$AU$185),"")</f>
        <v/>
      </c>
      <c r="AV185" t="str">
        <f ca="1">IFERROR(IF(0=LEN(ReferenceData!$AV$185),"",ReferenceData!$AV$185),"")</f>
        <v/>
      </c>
      <c r="AW185" t="str">
        <f ca="1">IFERROR(IF(0=LEN(ReferenceData!$AW$185),"",ReferenceData!$AW$185),"")</f>
        <v/>
      </c>
      <c r="AX185" t="str">
        <f ca="1">IFERROR(IF(0=LEN(ReferenceData!$AX$185),"",ReferenceData!$AX$185),"")</f>
        <v/>
      </c>
      <c r="AY185" t="str">
        <f ca="1">IFERROR(IF(0=LEN(ReferenceData!$AY$185),"",ReferenceData!$AY$185),"")</f>
        <v/>
      </c>
      <c r="AZ185" t="str">
        <f ca="1">IFERROR(IF(0=LEN(ReferenceData!$AZ$185),"",ReferenceData!$AZ$185),"")</f>
        <v/>
      </c>
      <c r="BA185" t="str">
        <f ca="1">IFERROR(IF(0=LEN(ReferenceData!$BA$185),"",ReferenceData!$BA$185),"")</f>
        <v/>
      </c>
      <c r="BB185" t="str">
        <f ca="1">IFERROR(IF(0=LEN(ReferenceData!$BB$185),"",ReferenceData!$BB$185),"")</f>
        <v/>
      </c>
      <c r="BC185" t="str">
        <f ca="1">IFERROR(IF(0=LEN(ReferenceData!$BC$185),"",ReferenceData!$BC$185),"")</f>
        <v/>
      </c>
      <c r="BD185" t="str">
        <f ca="1">IFERROR(IF(0=LEN(ReferenceData!$BD$185),"",ReferenceData!$BD$185),"")</f>
        <v/>
      </c>
      <c r="BE185" t="str">
        <f ca="1">IFERROR(IF(0=LEN(ReferenceData!$BE$185),"",ReferenceData!$BE$185),"")</f>
        <v/>
      </c>
      <c r="BF185" t="str">
        <f ca="1">IFERROR(IF(0=LEN(ReferenceData!$BF$185),"",ReferenceData!$BF$185),"")</f>
        <v/>
      </c>
      <c r="BG185" t="str">
        <f ca="1">IFERROR(IF(0=LEN(ReferenceData!$BG$185),"",ReferenceData!$BG$185),"")</f>
        <v/>
      </c>
      <c r="BH185" t="str">
        <f ca="1">IFERROR(IF(0=LEN(ReferenceData!$BH$185),"",ReferenceData!$BH$185),"")</f>
        <v/>
      </c>
      <c r="BI185" t="str">
        <f ca="1">IFERROR(IF(0=LEN(ReferenceData!$BI$185),"",ReferenceData!$BI$185),"")</f>
        <v/>
      </c>
      <c r="BJ185" t="str">
        <f ca="1">IFERROR(IF(0=LEN(ReferenceData!$BJ$185),"",ReferenceData!$BJ$185),"")</f>
        <v/>
      </c>
      <c r="BK185" t="str">
        <f ca="1">IFERROR(IF(0=LEN(ReferenceData!$BK$185),"",ReferenceData!$BK$185),"")</f>
        <v/>
      </c>
      <c r="BL185" t="str">
        <f ca="1">IFERROR(IF(0=LEN(ReferenceData!$BL$185),"",ReferenceData!$BL$185),"")</f>
        <v/>
      </c>
      <c r="BM185" t="str">
        <f ca="1">IFERROR(IF(0=LEN(ReferenceData!$BM$185),"",ReferenceData!$BM$185),"")</f>
        <v/>
      </c>
    </row>
    <row r="186" spans="1:65">
      <c r="A186" t="str">
        <f>IFERROR(IF(0=LEN(ReferenceData!$A$186),"",ReferenceData!$A$186),"")</f>
        <v xml:space="preserve">    Kilroy Realty Corp</v>
      </c>
      <c r="B186" t="str">
        <f>IFERROR(IF(0=LEN(ReferenceData!$B$186),"",ReferenceData!$B$186),"")</f>
        <v>KRC US Equity</v>
      </c>
      <c r="C186" t="str">
        <f>IFERROR(IF(0=LEN(ReferenceData!$C$186),"",ReferenceData!$C$186),"")</f>
        <v>F1178</v>
      </c>
      <c r="D186" t="str">
        <f>IFERROR(IF(0=LEN(ReferenceData!$D$186),"",ReferenceData!$D$186),"")</f>
        <v>NET_DEBT_EBITDA_ADJUSTED</v>
      </c>
      <c r="E186" t="str">
        <f>IFERROR(IF(0=LEN(ReferenceData!$E$186),"",ReferenceData!$E$186),"")</f>
        <v>动态</v>
      </c>
      <c r="F186" t="str">
        <f ca="1">IFERROR(IF(0=LEN(ReferenceData!$F$186),"",ReferenceData!$F$186),"")</f>
        <v/>
      </c>
      <c r="G186">
        <f ca="1">IFERROR(IF(0=LEN(ReferenceData!$G$186),"",ReferenceData!$G$186),"")</f>
        <v>5.060663935</v>
      </c>
      <c r="H186">
        <f ca="1">IFERROR(IF(0=LEN(ReferenceData!$H$186),"",ReferenceData!$H$186),"")</f>
        <v>5.2922480260000002</v>
      </c>
      <c r="I186">
        <f ca="1">IFERROR(IF(0=LEN(ReferenceData!$I$186),"",ReferenceData!$I$186),"")</f>
        <v>4.9251909810000001</v>
      </c>
      <c r="J186">
        <f ca="1">IFERROR(IF(0=LEN(ReferenceData!$J$186),"",ReferenceData!$J$186),"")</f>
        <v>4.864320449</v>
      </c>
      <c r="K186">
        <f ca="1">IFERROR(IF(0=LEN(ReferenceData!$K$186),"",ReferenceData!$K$186),"")</f>
        <v>5.1736590900000001</v>
      </c>
      <c r="L186">
        <f ca="1">IFERROR(IF(0=LEN(ReferenceData!$L$186),"",ReferenceData!$L$186),"")</f>
        <v>4.9276812919999999</v>
      </c>
      <c r="M186">
        <f ca="1">IFERROR(IF(0=LEN(ReferenceData!$M$186),"",ReferenceData!$M$186),"")</f>
        <v>6.332323937</v>
      </c>
      <c r="N186">
        <f ca="1">IFERROR(IF(0=LEN(ReferenceData!$N$186),"",ReferenceData!$N$186),"")</f>
        <v>6.0596377759999998</v>
      </c>
      <c r="O186">
        <f ca="1">IFERROR(IF(0=LEN(ReferenceData!$O$186),"",ReferenceData!$O$186),"")</f>
        <v>5.8045757690000004</v>
      </c>
      <c r="P186">
        <f ca="1">IFERROR(IF(0=LEN(ReferenceData!$P$186),"",ReferenceData!$P$186),"")</f>
        <v>5.6404535329999996</v>
      </c>
      <c r="Q186">
        <f ca="1">IFERROR(IF(0=LEN(ReferenceData!$Q$186),"",ReferenceData!$Q$186),"")</f>
        <v>6.4822247639999997</v>
      </c>
      <c r="R186">
        <f ca="1">IFERROR(IF(0=LEN(ReferenceData!$R$186),"",ReferenceData!$R$186),"")</f>
        <v>6.8767724169999997</v>
      </c>
      <c r="S186">
        <f ca="1">IFERROR(IF(0=LEN(ReferenceData!$S$186),"",ReferenceData!$S$186),"")</f>
        <v>7.4430563120000004</v>
      </c>
      <c r="T186">
        <f ca="1">IFERROR(IF(0=LEN(ReferenceData!$T$186),"",ReferenceData!$T$186),"")</f>
        <v>7.1642737270000003</v>
      </c>
      <c r="U186">
        <f ca="1">IFERROR(IF(0=LEN(ReferenceData!$U$186),"",ReferenceData!$U$186),"")</f>
        <v>7.3350210550000003</v>
      </c>
      <c r="V186">
        <f ca="1">IFERROR(IF(0=LEN(ReferenceData!$V$186),"",ReferenceData!$V$186),"")</f>
        <v>6.8794978550000003</v>
      </c>
      <c r="W186">
        <f ca="1">IFERROR(IF(0=LEN(ReferenceData!$W$186),"",ReferenceData!$W$186),"")</f>
        <v>7.4059341390000002</v>
      </c>
      <c r="X186">
        <f ca="1">IFERROR(IF(0=LEN(ReferenceData!$X$186),"",ReferenceData!$X$186),"")</f>
        <v>6.0236220229999997</v>
      </c>
      <c r="Y186">
        <f ca="1">IFERROR(IF(0=LEN(ReferenceData!$Y$186),"",ReferenceData!$Y$186),"")</f>
        <v>6.4330782979999999</v>
      </c>
      <c r="Z186">
        <f ca="1">IFERROR(IF(0=LEN(ReferenceData!$Z$186),"",ReferenceData!$Z$186),"")</f>
        <v>6.6044304829999998</v>
      </c>
      <c r="AA186">
        <f ca="1">IFERROR(IF(0=LEN(ReferenceData!$AA$186),"",ReferenceData!$AA$186),"")</f>
        <v>6.7914586520000002</v>
      </c>
      <c r="AB186">
        <f ca="1">IFERROR(IF(0=LEN(ReferenceData!$AB$186),"",ReferenceData!$AB$186),"")</f>
        <v>7.1520761339999996</v>
      </c>
      <c r="AC186">
        <f ca="1">IFERROR(IF(0=LEN(ReferenceData!$AC$186),"",ReferenceData!$AC$186),"")</f>
        <v>7.4156566249999996</v>
      </c>
      <c r="AD186">
        <f ca="1">IFERROR(IF(0=LEN(ReferenceData!$AD$186),"",ReferenceData!$AD$186),"")</f>
        <v>6.2036351060000001</v>
      </c>
      <c r="AE186">
        <f ca="1">IFERROR(IF(0=LEN(ReferenceData!$AE$186),"",ReferenceData!$AE$186),"")</f>
        <v>8.1758006470000009</v>
      </c>
      <c r="AF186">
        <f ca="1">IFERROR(IF(0=LEN(ReferenceData!$AF$186),"",ReferenceData!$AF$186),"")</f>
        <v>7.6189031160000003</v>
      </c>
      <c r="AG186">
        <f ca="1">IFERROR(IF(0=LEN(ReferenceData!$AG$186),"",ReferenceData!$AG$186),"")</f>
        <v>8.2745613410000001</v>
      </c>
      <c r="AH186">
        <f ca="1">IFERROR(IF(0=LEN(ReferenceData!$AH$186),"",ReferenceData!$AH$186),"")</f>
        <v>7.7857623279999997</v>
      </c>
      <c r="AI186">
        <f ca="1">IFERROR(IF(0=LEN(ReferenceData!$AI$186),"",ReferenceData!$AI$186),"")</f>
        <v>7.6113663909999998</v>
      </c>
      <c r="AJ186">
        <f ca="1">IFERROR(IF(0=LEN(ReferenceData!$AJ$186),"",ReferenceData!$AJ$186),"")</f>
        <v>7.2913575359999996</v>
      </c>
      <c r="AK186">
        <f ca="1">IFERROR(IF(0=LEN(ReferenceData!$AK$186),"",ReferenceData!$AK$186),"")</f>
        <v>6.1913352440000002</v>
      </c>
      <c r="AL186">
        <f ca="1">IFERROR(IF(0=LEN(ReferenceData!$AL$186),"",ReferenceData!$AL$186),"")</f>
        <v>5.393349293</v>
      </c>
      <c r="AM186">
        <f ca="1">IFERROR(IF(0=LEN(ReferenceData!$AM$186),"",ReferenceData!$AM$186),"")</f>
        <v>5.1485653429999996</v>
      </c>
      <c r="AN186" t="str">
        <f ca="1">IFERROR(IF(0=LEN(ReferenceData!$AN$186),"",ReferenceData!$AN$186),"")</f>
        <v/>
      </c>
      <c r="AO186" t="str">
        <f ca="1">IFERROR(IF(0=LEN(ReferenceData!$AO$186),"",ReferenceData!$AO$186),"")</f>
        <v/>
      </c>
      <c r="AP186" t="str">
        <f ca="1">IFERROR(IF(0=LEN(ReferenceData!$AP$186),"",ReferenceData!$AP$186),"")</f>
        <v/>
      </c>
      <c r="AQ186" t="str">
        <f ca="1">IFERROR(IF(0=LEN(ReferenceData!$AQ$186),"",ReferenceData!$AQ$186),"")</f>
        <v/>
      </c>
      <c r="AR186" t="str">
        <f ca="1">IFERROR(IF(0=LEN(ReferenceData!$AR$186),"",ReferenceData!$AR$186),"")</f>
        <v/>
      </c>
      <c r="AS186" t="str">
        <f ca="1">IFERROR(IF(0=LEN(ReferenceData!$AS$186),"",ReferenceData!$AS$186),"")</f>
        <v/>
      </c>
      <c r="AT186" t="str">
        <f ca="1">IFERROR(IF(0=LEN(ReferenceData!$AT$186),"",ReferenceData!$AT$186),"")</f>
        <v/>
      </c>
      <c r="AU186" t="str">
        <f ca="1">IFERROR(IF(0=LEN(ReferenceData!$AU$186),"",ReferenceData!$AU$186),"")</f>
        <v/>
      </c>
      <c r="AV186" t="str">
        <f ca="1">IFERROR(IF(0=LEN(ReferenceData!$AV$186),"",ReferenceData!$AV$186),"")</f>
        <v/>
      </c>
      <c r="AW186" t="str">
        <f ca="1">IFERROR(IF(0=LEN(ReferenceData!$AW$186),"",ReferenceData!$AW$186),"")</f>
        <v/>
      </c>
      <c r="AX186" t="str">
        <f ca="1">IFERROR(IF(0=LEN(ReferenceData!$AX$186),"",ReferenceData!$AX$186),"")</f>
        <v/>
      </c>
      <c r="AY186" t="str">
        <f ca="1">IFERROR(IF(0=LEN(ReferenceData!$AY$186),"",ReferenceData!$AY$186),"")</f>
        <v/>
      </c>
      <c r="AZ186" t="str">
        <f ca="1">IFERROR(IF(0=LEN(ReferenceData!$AZ$186),"",ReferenceData!$AZ$186),"")</f>
        <v/>
      </c>
      <c r="BA186" t="str">
        <f ca="1">IFERROR(IF(0=LEN(ReferenceData!$BA$186),"",ReferenceData!$BA$186),"")</f>
        <v/>
      </c>
      <c r="BB186" t="str">
        <f ca="1">IFERROR(IF(0=LEN(ReferenceData!$BB$186),"",ReferenceData!$BB$186),"")</f>
        <v/>
      </c>
      <c r="BC186" t="str">
        <f ca="1">IFERROR(IF(0=LEN(ReferenceData!$BC$186),"",ReferenceData!$BC$186),"")</f>
        <v/>
      </c>
      <c r="BD186" t="str">
        <f ca="1">IFERROR(IF(0=LEN(ReferenceData!$BD$186),"",ReferenceData!$BD$186),"")</f>
        <v/>
      </c>
      <c r="BE186" t="str">
        <f ca="1">IFERROR(IF(0=LEN(ReferenceData!$BE$186),"",ReferenceData!$BE$186),"")</f>
        <v/>
      </c>
      <c r="BF186" t="str">
        <f ca="1">IFERROR(IF(0=LEN(ReferenceData!$BF$186),"",ReferenceData!$BF$186),"")</f>
        <v/>
      </c>
      <c r="BG186" t="str">
        <f ca="1">IFERROR(IF(0=LEN(ReferenceData!$BG$186),"",ReferenceData!$BG$186),"")</f>
        <v/>
      </c>
      <c r="BH186" t="str">
        <f ca="1">IFERROR(IF(0=LEN(ReferenceData!$BH$186),"",ReferenceData!$BH$186),"")</f>
        <v/>
      </c>
      <c r="BI186" t="str">
        <f ca="1">IFERROR(IF(0=LEN(ReferenceData!$BI$186),"",ReferenceData!$BI$186),"")</f>
        <v/>
      </c>
      <c r="BJ186" t="str">
        <f ca="1">IFERROR(IF(0=LEN(ReferenceData!$BJ$186),"",ReferenceData!$BJ$186),"")</f>
        <v/>
      </c>
      <c r="BK186" t="str">
        <f ca="1">IFERROR(IF(0=LEN(ReferenceData!$BK$186),"",ReferenceData!$BK$186),"")</f>
        <v/>
      </c>
      <c r="BL186" t="str">
        <f ca="1">IFERROR(IF(0=LEN(ReferenceData!$BL$186),"",ReferenceData!$BL$186),"")</f>
        <v/>
      </c>
      <c r="BM186" t="str">
        <f ca="1">IFERROR(IF(0=LEN(ReferenceData!$BM$186),"",ReferenceData!$BM$186),"")</f>
        <v/>
      </c>
    </row>
    <row r="187" spans="1:65">
      <c r="A187" t="str">
        <f>IFERROR(IF(0=LEN(ReferenceData!$A$187),"",ReferenceData!$A$187),"")</f>
        <v xml:space="preserve">    Mack-Cali Realty Corp</v>
      </c>
      <c r="B187" t="str">
        <f>IFERROR(IF(0=LEN(ReferenceData!$B$187),"",ReferenceData!$B$187),"")</f>
        <v>CLI US Equity</v>
      </c>
      <c r="C187" t="str">
        <f>IFERROR(IF(0=LEN(ReferenceData!$C$187),"",ReferenceData!$C$187),"")</f>
        <v>F1178</v>
      </c>
      <c r="D187" t="str">
        <f>IFERROR(IF(0=LEN(ReferenceData!$D$187),"",ReferenceData!$D$187),"")</f>
        <v>NET_DEBT_EBITDA_ADJUSTED</v>
      </c>
      <c r="E187" t="str">
        <f>IFERROR(IF(0=LEN(ReferenceData!$E$187),"",ReferenceData!$E$187),"")</f>
        <v>动态</v>
      </c>
      <c r="F187" t="str">
        <f ca="1">IFERROR(IF(0=LEN(ReferenceData!$F$187),"",ReferenceData!$F$187),"")</f>
        <v/>
      </c>
      <c r="G187">
        <f ca="1">IFERROR(IF(0=LEN(ReferenceData!$G$187),"",ReferenceData!$G$187),"")</f>
        <v>9.0119591880000005</v>
      </c>
      <c r="H187">
        <f ca="1">IFERROR(IF(0=LEN(ReferenceData!$H$187),"",ReferenceData!$H$187),"")</f>
        <v>8.7768356890000003</v>
      </c>
      <c r="I187">
        <f ca="1">IFERROR(IF(0=LEN(ReferenceData!$I$187),"",ReferenceData!$I$187),"")</f>
        <v>9.4752917649999997</v>
      </c>
      <c r="J187">
        <f ca="1">IFERROR(IF(0=LEN(ReferenceData!$J$187),"",ReferenceData!$J$187),"")</f>
        <v>8.6526759309999992</v>
      </c>
      <c r="K187">
        <f ca="1">IFERROR(IF(0=LEN(ReferenceData!$K$187),"",ReferenceData!$K$187),"")</f>
        <v>7.8047327480000002</v>
      </c>
      <c r="L187">
        <f ca="1">IFERROR(IF(0=LEN(ReferenceData!$L$187),"",ReferenceData!$L$187),"")</f>
        <v>8.4825504600000006</v>
      </c>
      <c r="M187">
        <f ca="1">IFERROR(IF(0=LEN(ReferenceData!$M$187),"",ReferenceData!$M$187),"")</f>
        <v>7.9920850479999999</v>
      </c>
      <c r="N187">
        <f ca="1">IFERROR(IF(0=LEN(ReferenceData!$N$187),"",ReferenceData!$N$187),"")</f>
        <v>7.7660516209999999</v>
      </c>
      <c r="O187">
        <f ca="1">IFERROR(IF(0=LEN(ReferenceData!$O$187),"",ReferenceData!$O$187),"")</f>
        <v>7.7031586250000004</v>
      </c>
      <c r="P187">
        <f ca="1">IFERROR(IF(0=LEN(ReferenceData!$P$187),"",ReferenceData!$P$187),"")</f>
        <v>7.5735008029999999</v>
      </c>
      <c r="Q187">
        <f ca="1">IFERROR(IF(0=LEN(ReferenceData!$Q$187),"",ReferenceData!$Q$187),"")</f>
        <v>7.6495491900000001</v>
      </c>
      <c r="R187">
        <f ca="1">IFERROR(IF(0=LEN(ReferenceData!$R$187),"",ReferenceData!$R$187),"")</f>
        <v>7.6568938400000004</v>
      </c>
      <c r="S187">
        <f ca="1">IFERROR(IF(0=LEN(ReferenceData!$S$187),"",ReferenceData!$S$187),"")</f>
        <v>7.8273323039999996</v>
      </c>
      <c r="T187">
        <f ca="1">IFERROR(IF(0=LEN(ReferenceData!$T$187),"",ReferenceData!$T$187),"")</f>
        <v>7.682159822</v>
      </c>
      <c r="U187">
        <f ca="1">IFERROR(IF(0=LEN(ReferenceData!$U$187),"",ReferenceData!$U$187),"")</f>
        <v>7.3013876350000002</v>
      </c>
      <c r="V187">
        <f ca="1">IFERROR(IF(0=LEN(ReferenceData!$V$187),"",ReferenceData!$V$187),"")</f>
        <v>7.2371675350000002</v>
      </c>
      <c r="W187">
        <f ca="1">IFERROR(IF(0=LEN(ReferenceData!$W$187),"",ReferenceData!$W$187),"")</f>
        <v>6.5253341049999998</v>
      </c>
      <c r="X187">
        <f ca="1">IFERROR(IF(0=LEN(ReferenceData!$X$187),"",ReferenceData!$X$187),"")</f>
        <v>5.942085488</v>
      </c>
      <c r="Y187">
        <f ca="1">IFERROR(IF(0=LEN(ReferenceData!$Y$187),"",ReferenceData!$Y$187),"")</f>
        <v>6.2068600209999998</v>
      </c>
      <c r="Z187">
        <f ca="1">IFERROR(IF(0=LEN(ReferenceData!$Z$187),"",ReferenceData!$Z$187),"")</f>
        <v>6.3751620090000003</v>
      </c>
      <c r="AA187">
        <f ca="1">IFERROR(IF(0=LEN(ReferenceData!$AA$187),"",ReferenceData!$AA$187),"")</f>
        <v>5.7860803689999996</v>
      </c>
      <c r="AB187">
        <f ca="1">IFERROR(IF(0=LEN(ReferenceData!$AB$187),"",ReferenceData!$AB$187),"")</f>
        <v>5.1563159020000002</v>
      </c>
      <c r="AC187">
        <f ca="1">IFERROR(IF(0=LEN(ReferenceData!$AC$187),"",ReferenceData!$AC$187),"")</f>
        <v>4.8095435909999997</v>
      </c>
      <c r="AD187">
        <f ca="1">IFERROR(IF(0=LEN(ReferenceData!$AD$187),"",ReferenceData!$AD$187),"")</f>
        <v>4.7591797180000004</v>
      </c>
      <c r="AE187">
        <f ca="1">IFERROR(IF(0=LEN(ReferenceData!$AE$187),"",ReferenceData!$AE$187),"")</f>
        <v>4.7385266350000004</v>
      </c>
      <c r="AF187">
        <f ca="1">IFERROR(IF(0=LEN(ReferenceData!$AF$187),"",ReferenceData!$AF$187),"")</f>
        <v>4.6327085050000001</v>
      </c>
      <c r="AG187">
        <f ca="1">IFERROR(IF(0=LEN(ReferenceData!$AG$187),"",ReferenceData!$AG$187),"")</f>
        <v>4.6483127140000002</v>
      </c>
      <c r="AH187">
        <f ca="1">IFERROR(IF(0=LEN(ReferenceData!$AH$187),"",ReferenceData!$AH$187),"")</f>
        <v>4.6500372519999997</v>
      </c>
      <c r="AI187">
        <f ca="1">IFERROR(IF(0=LEN(ReferenceData!$AI$187),"",ReferenceData!$AI$187),"")</f>
        <v>5.052273671</v>
      </c>
      <c r="AJ187">
        <f ca="1">IFERROR(IF(0=LEN(ReferenceData!$AJ$187),"",ReferenceData!$AJ$187),"")</f>
        <v>4.9712824219999998</v>
      </c>
      <c r="AK187">
        <f ca="1">IFERROR(IF(0=LEN(ReferenceData!$AK$187),"",ReferenceData!$AK$187),"")</f>
        <v>4.8024066220000003</v>
      </c>
      <c r="AL187">
        <f ca="1">IFERROR(IF(0=LEN(ReferenceData!$AL$187),"",ReferenceData!$AL$187),"")</f>
        <v>4.8401995339999999</v>
      </c>
      <c r="AM187">
        <f ca="1">IFERROR(IF(0=LEN(ReferenceData!$AM$187),"",ReferenceData!$AM$187),"")</f>
        <v>4.8691983719999996</v>
      </c>
      <c r="AN187" t="str">
        <f ca="1">IFERROR(IF(0=LEN(ReferenceData!$AN$187),"",ReferenceData!$AN$187),"")</f>
        <v/>
      </c>
      <c r="AO187" t="str">
        <f ca="1">IFERROR(IF(0=LEN(ReferenceData!$AO$187),"",ReferenceData!$AO$187),"")</f>
        <v/>
      </c>
      <c r="AP187" t="str">
        <f ca="1">IFERROR(IF(0=LEN(ReferenceData!$AP$187),"",ReferenceData!$AP$187),"")</f>
        <v/>
      </c>
      <c r="AQ187" t="str">
        <f ca="1">IFERROR(IF(0=LEN(ReferenceData!$AQ$187),"",ReferenceData!$AQ$187),"")</f>
        <v/>
      </c>
      <c r="AR187" t="str">
        <f ca="1">IFERROR(IF(0=LEN(ReferenceData!$AR$187),"",ReferenceData!$AR$187),"")</f>
        <v/>
      </c>
      <c r="AS187" t="str">
        <f ca="1">IFERROR(IF(0=LEN(ReferenceData!$AS$187),"",ReferenceData!$AS$187),"")</f>
        <v/>
      </c>
      <c r="AT187" t="str">
        <f ca="1">IFERROR(IF(0=LEN(ReferenceData!$AT$187),"",ReferenceData!$AT$187),"")</f>
        <v/>
      </c>
      <c r="AU187" t="str">
        <f ca="1">IFERROR(IF(0=LEN(ReferenceData!$AU$187),"",ReferenceData!$AU$187),"")</f>
        <v/>
      </c>
      <c r="AV187" t="str">
        <f ca="1">IFERROR(IF(0=LEN(ReferenceData!$AV$187),"",ReferenceData!$AV$187),"")</f>
        <v/>
      </c>
      <c r="AW187" t="str">
        <f ca="1">IFERROR(IF(0=LEN(ReferenceData!$AW$187),"",ReferenceData!$AW$187),"")</f>
        <v/>
      </c>
      <c r="AX187" t="str">
        <f ca="1">IFERROR(IF(0=LEN(ReferenceData!$AX$187),"",ReferenceData!$AX$187),"")</f>
        <v/>
      </c>
      <c r="AY187" t="str">
        <f ca="1">IFERROR(IF(0=LEN(ReferenceData!$AY$187),"",ReferenceData!$AY$187),"")</f>
        <v/>
      </c>
      <c r="AZ187" t="str">
        <f ca="1">IFERROR(IF(0=LEN(ReferenceData!$AZ$187),"",ReferenceData!$AZ$187),"")</f>
        <v/>
      </c>
      <c r="BA187" t="str">
        <f ca="1">IFERROR(IF(0=LEN(ReferenceData!$BA$187),"",ReferenceData!$BA$187),"")</f>
        <v/>
      </c>
      <c r="BB187" t="str">
        <f ca="1">IFERROR(IF(0=LEN(ReferenceData!$BB$187),"",ReferenceData!$BB$187),"")</f>
        <v/>
      </c>
      <c r="BC187" t="str">
        <f ca="1">IFERROR(IF(0=LEN(ReferenceData!$BC$187),"",ReferenceData!$BC$187),"")</f>
        <v/>
      </c>
      <c r="BD187" t="str">
        <f ca="1">IFERROR(IF(0=LEN(ReferenceData!$BD$187),"",ReferenceData!$BD$187),"")</f>
        <v/>
      </c>
      <c r="BE187" t="str">
        <f ca="1">IFERROR(IF(0=LEN(ReferenceData!$BE$187),"",ReferenceData!$BE$187),"")</f>
        <v/>
      </c>
      <c r="BF187" t="str">
        <f ca="1">IFERROR(IF(0=LEN(ReferenceData!$BF$187),"",ReferenceData!$BF$187),"")</f>
        <v/>
      </c>
      <c r="BG187" t="str">
        <f ca="1">IFERROR(IF(0=LEN(ReferenceData!$BG$187),"",ReferenceData!$BG$187),"")</f>
        <v/>
      </c>
      <c r="BH187" t="str">
        <f ca="1">IFERROR(IF(0=LEN(ReferenceData!$BH$187),"",ReferenceData!$BH$187),"")</f>
        <v/>
      </c>
      <c r="BI187" t="str">
        <f ca="1">IFERROR(IF(0=LEN(ReferenceData!$BI$187),"",ReferenceData!$BI$187),"")</f>
        <v/>
      </c>
      <c r="BJ187" t="str">
        <f ca="1">IFERROR(IF(0=LEN(ReferenceData!$BJ$187),"",ReferenceData!$BJ$187),"")</f>
        <v/>
      </c>
      <c r="BK187" t="str">
        <f ca="1">IFERROR(IF(0=LEN(ReferenceData!$BK$187),"",ReferenceData!$BK$187),"")</f>
        <v/>
      </c>
      <c r="BL187" t="str">
        <f ca="1">IFERROR(IF(0=LEN(ReferenceData!$BL$187),"",ReferenceData!$BL$187),"")</f>
        <v/>
      </c>
      <c r="BM187" t="str">
        <f ca="1">IFERROR(IF(0=LEN(ReferenceData!$BM$187),"",ReferenceData!$BM$187),"")</f>
        <v/>
      </c>
    </row>
    <row r="188" spans="1:65">
      <c r="A188" t="str">
        <f>IFERROR(IF(0=LEN(ReferenceData!$A$188),"",ReferenceData!$A$188),"")</f>
        <v xml:space="preserve">    Piedmont Office Realty Trust I</v>
      </c>
      <c r="B188" t="str">
        <f>IFERROR(IF(0=LEN(ReferenceData!$B$188),"",ReferenceData!$B$188),"")</f>
        <v>PDM US Equity</v>
      </c>
      <c r="C188" t="str">
        <f>IFERROR(IF(0=LEN(ReferenceData!$C$188),"",ReferenceData!$C$188),"")</f>
        <v>F1178</v>
      </c>
      <c r="D188" t="str">
        <f>IFERROR(IF(0=LEN(ReferenceData!$D$188),"",ReferenceData!$D$188),"")</f>
        <v>NET_DEBT_EBITDA_ADJUSTED</v>
      </c>
      <c r="E188" t="str">
        <f>IFERROR(IF(0=LEN(ReferenceData!$E$188),"",ReferenceData!$E$188),"")</f>
        <v>动态</v>
      </c>
      <c r="F188" t="str">
        <f ca="1">IFERROR(IF(0=LEN(ReferenceData!$F$188),"",ReferenceData!$F$188),"")</f>
        <v/>
      </c>
      <c r="G188">
        <f ca="1">IFERROR(IF(0=LEN(ReferenceData!$G$188),"",ReferenceData!$G$188),"")</f>
        <v>5.3419438020000003</v>
      </c>
      <c r="H188">
        <f ca="1">IFERROR(IF(0=LEN(ReferenceData!$H$188),"",ReferenceData!$H$188),"")</f>
        <v>5.1134417059999997</v>
      </c>
      <c r="I188">
        <f ca="1">IFERROR(IF(0=LEN(ReferenceData!$I$188),"",ReferenceData!$I$188),"")</f>
        <v>6.2842637100000003</v>
      </c>
      <c r="J188">
        <f ca="1">IFERROR(IF(0=LEN(ReferenceData!$J$188),"",ReferenceData!$J$188),"")</f>
        <v>6.5311362050000001</v>
      </c>
      <c r="K188">
        <f ca="1">IFERROR(IF(0=LEN(ReferenceData!$K$188),"",ReferenceData!$K$188),"")</f>
        <v>6.5630445479999997</v>
      </c>
      <c r="L188">
        <f ca="1">IFERROR(IF(0=LEN(ReferenceData!$L$188),"",ReferenceData!$L$188),"")</f>
        <v>6.55203939</v>
      </c>
      <c r="M188">
        <f ca="1">IFERROR(IF(0=LEN(ReferenceData!$M$188),"",ReferenceData!$M$188),"")</f>
        <v>6.0780997179999998</v>
      </c>
      <c r="N188">
        <f ca="1">IFERROR(IF(0=LEN(ReferenceData!$N$188),"",ReferenceData!$N$188),"")</f>
        <v>6.4599105779999997</v>
      </c>
      <c r="O188">
        <f ca="1">IFERROR(IF(0=LEN(ReferenceData!$O$188),"",ReferenceData!$O$188),"")</f>
        <v>6.4721744360000004</v>
      </c>
      <c r="P188">
        <f ca="1">IFERROR(IF(0=LEN(ReferenceData!$P$188),"",ReferenceData!$P$188),"")</f>
        <v>7.7044075799999998</v>
      </c>
      <c r="Q188">
        <f ca="1">IFERROR(IF(0=LEN(ReferenceData!$Q$188),"",ReferenceData!$Q$188),"")</f>
        <v>7.4073653879999997</v>
      </c>
      <c r="R188">
        <f ca="1">IFERROR(IF(0=LEN(ReferenceData!$R$188),"",ReferenceData!$R$188),"")</f>
        <v>7.510243612</v>
      </c>
      <c r="S188">
        <f ca="1">IFERROR(IF(0=LEN(ReferenceData!$S$188),"",ReferenceData!$S$188),"")</f>
        <v>7.4551344500000001</v>
      </c>
      <c r="T188">
        <f ca="1">IFERROR(IF(0=LEN(ReferenceData!$T$188),"",ReferenceData!$T$188),"")</f>
        <v>7.3487948110000003</v>
      </c>
      <c r="U188">
        <f ca="1">IFERROR(IF(0=LEN(ReferenceData!$U$188),"",ReferenceData!$U$188),"")</f>
        <v>6.876093987</v>
      </c>
      <c r="V188">
        <f ca="1">IFERROR(IF(0=LEN(ReferenceData!$V$188),"",ReferenceData!$V$188),"")</f>
        <v>6.6144778280000001</v>
      </c>
      <c r="W188">
        <f ca="1">IFERROR(IF(0=LEN(ReferenceData!$W$188),"",ReferenceData!$W$188),"")</f>
        <v>6.4699175709999999</v>
      </c>
      <c r="X188">
        <f ca="1">IFERROR(IF(0=LEN(ReferenceData!$X$188),"",ReferenceData!$X$188),"")</f>
        <v>5.986732612</v>
      </c>
      <c r="Y188">
        <f ca="1">IFERROR(IF(0=LEN(ReferenceData!$Y$188),"",ReferenceData!$Y$188),"")</f>
        <v>5.6617570099999996</v>
      </c>
      <c r="Z188">
        <f ca="1">IFERROR(IF(0=LEN(ReferenceData!$Z$188),"",ReferenceData!$Z$188),"")</f>
        <v>5.5997243340000002</v>
      </c>
      <c r="AA188">
        <f ca="1">IFERROR(IF(0=LEN(ReferenceData!$AA$188),"",ReferenceData!$AA$188),"")</f>
        <v>4.696343487</v>
      </c>
      <c r="AB188">
        <f ca="1">IFERROR(IF(0=LEN(ReferenceData!$AB$188),"",ReferenceData!$AB$188),"")</f>
        <v>4.7013204440000003</v>
      </c>
      <c r="AC188">
        <f ca="1">IFERROR(IF(0=LEN(ReferenceData!$AC$188),"",ReferenceData!$AC$188),"")</f>
        <v>4.5224582790000003</v>
      </c>
      <c r="AD188">
        <f ca="1">IFERROR(IF(0=LEN(ReferenceData!$AD$188),"",ReferenceData!$AD$188),"")</f>
        <v>4.3011059420000004</v>
      </c>
      <c r="AE188">
        <f ca="1">IFERROR(IF(0=LEN(ReferenceData!$AE$188),"",ReferenceData!$AE$188),"")</f>
        <v>4.2632302849999997</v>
      </c>
      <c r="AF188">
        <f ca="1">IFERROR(IF(0=LEN(ReferenceData!$AF$188),"",ReferenceData!$AF$188),"")</f>
        <v>4.8378782170000001</v>
      </c>
      <c r="AG188">
        <f ca="1">IFERROR(IF(0=LEN(ReferenceData!$AG$188),"",ReferenceData!$AG$188),"")</f>
        <v>5.027946</v>
      </c>
      <c r="AH188">
        <f ca="1">IFERROR(IF(0=LEN(ReferenceData!$AH$188),"",ReferenceData!$AH$188),"")</f>
        <v>4.8137326040000001</v>
      </c>
      <c r="AI188">
        <f ca="1">IFERROR(IF(0=LEN(ReferenceData!$AI$188),"",ReferenceData!$AI$188),"")</f>
        <v>4.0877907579999997</v>
      </c>
      <c r="AJ188">
        <f ca="1">IFERROR(IF(0=LEN(ReferenceData!$AJ$188),"",ReferenceData!$AJ$188),"")</f>
        <v>3.9546352659999999</v>
      </c>
      <c r="AK188">
        <f ca="1">IFERROR(IF(0=LEN(ReferenceData!$AK$188),"",ReferenceData!$AK$188),"")</f>
        <v>3.9119220370000001</v>
      </c>
      <c r="AL188">
        <f ca="1">IFERROR(IF(0=LEN(ReferenceData!$AL$188),"",ReferenceData!$AL$188),"")</f>
        <v>3.885786065</v>
      </c>
      <c r="AM188">
        <f ca="1">IFERROR(IF(0=LEN(ReferenceData!$AM$188),"",ReferenceData!$AM$188),"")</f>
        <v>4.4034098549999996</v>
      </c>
      <c r="AN188" t="str">
        <f ca="1">IFERROR(IF(0=LEN(ReferenceData!$AN$188),"",ReferenceData!$AN$188),"")</f>
        <v/>
      </c>
      <c r="AO188" t="str">
        <f ca="1">IFERROR(IF(0=LEN(ReferenceData!$AO$188),"",ReferenceData!$AO$188),"")</f>
        <v/>
      </c>
      <c r="AP188" t="str">
        <f ca="1">IFERROR(IF(0=LEN(ReferenceData!$AP$188),"",ReferenceData!$AP$188),"")</f>
        <v/>
      </c>
      <c r="AQ188" t="str">
        <f ca="1">IFERROR(IF(0=LEN(ReferenceData!$AQ$188),"",ReferenceData!$AQ$188),"")</f>
        <v/>
      </c>
      <c r="AR188" t="str">
        <f ca="1">IFERROR(IF(0=LEN(ReferenceData!$AR$188),"",ReferenceData!$AR$188),"")</f>
        <v/>
      </c>
      <c r="AS188" t="str">
        <f ca="1">IFERROR(IF(0=LEN(ReferenceData!$AS$188),"",ReferenceData!$AS$188),"")</f>
        <v/>
      </c>
      <c r="AT188" t="str">
        <f ca="1">IFERROR(IF(0=LEN(ReferenceData!$AT$188),"",ReferenceData!$AT$188),"")</f>
        <v/>
      </c>
      <c r="AU188" t="str">
        <f ca="1">IFERROR(IF(0=LEN(ReferenceData!$AU$188),"",ReferenceData!$AU$188),"")</f>
        <v/>
      </c>
      <c r="AV188" t="str">
        <f ca="1">IFERROR(IF(0=LEN(ReferenceData!$AV$188),"",ReferenceData!$AV$188),"")</f>
        <v/>
      </c>
      <c r="AW188" t="str">
        <f ca="1">IFERROR(IF(0=LEN(ReferenceData!$AW$188),"",ReferenceData!$AW$188),"")</f>
        <v/>
      </c>
      <c r="AX188" t="str">
        <f ca="1">IFERROR(IF(0=LEN(ReferenceData!$AX$188),"",ReferenceData!$AX$188),"")</f>
        <v/>
      </c>
      <c r="AY188" t="str">
        <f ca="1">IFERROR(IF(0=LEN(ReferenceData!$AY$188),"",ReferenceData!$AY$188),"")</f>
        <v/>
      </c>
      <c r="AZ188" t="str">
        <f ca="1">IFERROR(IF(0=LEN(ReferenceData!$AZ$188),"",ReferenceData!$AZ$188),"")</f>
        <v/>
      </c>
      <c r="BA188" t="str">
        <f ca="1">IFERROR(IF(0=LEN(ReferenceData!$BA$188),"",ReferenceData!$BA$188),"")</f>
        <v/>
      </c>
      <c r="BB188" t="str">
        <f ca="1">IFERROR(IF(0=LEN(ReferenceData!$BB$188),"",ReferenceData!$BB$188),"")</f>
        <v/>
      </c>
      <c r="BC188" t="str">
        <f ca="1">IFERROR(IF(0=LEN(ReferenceData!$BC$188),"",ReferenceData!$BC$188),"")</f>
        <v/>
      </c>
      <c r="BD188" t="str">
        <f ca="1">IFERROR(IF(0=LEN(ReferenceData!$BD$188),"",ReferenceData!$BD$188),"")</f>
        <v/>
      </c>
      <c r="BE188" t="str">
        <f ca="1">IFERROR(IF(0=LEN(ReferenceData!$BE$188),"",ReferenceData!$BE$188),"")</f>
        <v/>
      </c>
      <c r="BF188" t="str">
        <f ca="1">IFERROR(IF(0=LEN(ReferenceData!$BF$188),"",ReferenceData!$BF$188),"")</f>
        <v/>
      </c>
      <c r="BG188" t="str">
        <f ca="1">IFERROR(IF(0=LEN(ReferenceData!$BG$188),"",ReferenceData!$BG$188),"")</f>
        <v/>
      </c>
      <c r="BH188" t="str">
        <f ca="1">IFERROR(IF(0=LEN(ReferenceData!$BH$188),"",ReferenceData!$BH$188),"")</f>
        <v/>
      </c>
      <c r="BI188" t="str">
        <f ca="1">IFERROR(IF(0=LEN(ReferenceData!$BI$188),"",ReferenceData!$BI$188),"")</f>
        <v/>
      </c>
      <c r="BJ188" t="str">
        <f ca="1">IFERROR(IF(0=LEN(ReferenceData!$BJ$188),"",ReferenceData!$BJ$188),"")</f>
        <v/>
      </c>
      <c r="BK188" t="str">
        <f ca="1">IFERROR(IF(0=LEN(ReferenceData!$BK$188),"",ReferenceData!$BK$188),"")</f>
        <v/>
      </c>
      <c r="BL188" t="str">
        <f ca="1">IFERROR(IF(0=LEN(ReferenceData!$BL$188),"",ReferenceData!$BL$188),"")</f>
        <v/>
      </c>
      <c r="BM188" t="str">
        <f ca="1">IFERROR(IF(0=LEN(ReferenceData!$BM$188),"",ReferenceData!$BM$188),"")</f>
        <v/>
      </c>
    </row>
    <row r="189" spans="1:65">
      <c r="A189" t="str">
        <f>IFERROR(IF(0=LEN(ReferenceData!$A$189),"",ReferenceData!$A$189),"")</f>
        <v xml:space="preserve">    SL Green Realty Corp</v>
      </c>
      <c r="B189" t="str">
        <f>IFERROR(IF(0=LEN(ReferenceData!$B$189),"",ReferenceData!$B$189),"")</f>
        <v>SLG US Equity</v>
      </c>
      <c r="C189" t="str">
        <f>IFERROR(IF(0=LEN(ReferenceData!$C$189),"",ReferenceData!$C$189),"")</f>
        <v>F1178</v>
      </c>
      <c r="D189" t="str">
        <f>IFERROR(IF(0=LEN(ReferenceData!$D$189),"",ReferenceData!$D$189),"")</f>
        <v>NET_DEBT_EBITDA_ADJUSTED</v>
      </c>
      <c r="E189" t="str">
        <f>IFERROR(IF(0=LEN(ReferenceData!$E$189),"",ReferenceData!$E$189),"")</f>
        <v>动态</v>
      </c>
      <c r="F189" t="str">
        <f ca="1">IFERROR(IF(0=LEN(ReferenceData!$F$189),"",ReferenceData!$F$189),"")</f>
        <v/>
      </c>
      <c r="G189">
        <f ca="1">IFERROR(IF(0=LEN(ReferenceData!$G$189),"",ReferenceData!$G$189),"")</f>
        <v>6.7219955059999998</v>
      </c>
      <c r="H189">
        <f ca="1">IFERROR(IF(0=LEN(ReferenceData!$H$189),"",ReferenceData!$H$189),"")</f>
        <v>7.2299711210000002</v>
      </c>
      <c r="I189">
        <f ca="1">IFERROR(IF(0=LEN(ReferenceData!$I$189),"",ReferenceData!$I$189),"")</f>
        <v>6.8563524569999998</v>
      </c>
      <c r="J189">
        <f ca="1">IFERROR(IF(0=LEN(ReferenceData!$J$189),"",ReferenceData!$J$189),"")</f>
        <v>5.5331014749999996</v>
      </c>
      <c r="K189">
        <f ca="1">IFERROR(IF(0=LEN(ReferenceData!$K$189),"",ReferenceData!$K$189),"")</f>
        <v>5.2617274070000004</v>
      </c>
      <c r="L189">
        <f ca="1">IFERROR(IF(0=LEN(ReferenceData!$L$189),"",ReferenceData!$L$189),"")</f>
        <v>4.8042639789999999</v>
      </c>
      <c r="M189">
        <f ca="1">IFERROR(IF(0=LEN(ReferenceData!$M$189),"",ReferenceData!$M$189),"")</f>
        <v>6.0940612490000001</v>
      </c>
      <c r="N189">
        <f ca="1">IFERROR(IF(0=LEN(ReferenceData!$N$189),"",ReferenceData!$N$189),"")</f>
        <v>8.5508000000000006</v>
      </c>
      <c r="O189">
        <f ca="1">IFERROR(IF(0=LEN(ReferenceData!$O$189),"",ReferenceData!$O$189),"")</f>
        <v>9.8959828549999997</v>
      </c>
      <c r="P189">
        <f ca="1">IFERROR(IF(0=LEN(ReferenceData!$P$189),"",ReferenceData!$P$189),"")</f>
        <v>10.098267570000001</v>
      </c>
      <c r="Q189">
        <f ca="1">IFERROR(IF(0=LEN(ReferenceData!$Q$189),"",ReferenceData!$Q$189),"")</f>
        <v>8.3626850029999993</v>
      </c>
      <c r="R189">
        <f ca="1">IFERROR(IF(0=LEN(ReferenceData!$R$189),"",ReferenceData!$R$189),"")</f>
        <v>8.3042595030000008</v>
      </c>
      <c r="S189">
        <f ca="1">IFERROR(IF(0=LEN(ReferenceData!$S$189),"",ReferenceData!$S$189),"")</f>
        <v>8.6562207230000006</v>
      </c>
      <c r="T189">
        <f ca="1">IFERROR(IF(0=LEN(ReferenceData!$T$189),"",ReferenceData!$T$189),"")</f>
        <v>9.1221650899999993</v>
      </c>
      <c r="U189">
        <f ca="1">IFERROR(IF(0=LEN(ReferenceData!$U$189),"",ReferenceData!$U$189),"")</f>
        <v>9.3846535000000006</v>
      </c>
      <c r="V189">
        <f ca="1">IFERROR(IF(0=LEN(ReferenceData!$V$189),"",ReferenceData!$V$189),"")</f>
        <v>8.3032156449999999</v>
      </c>
      <c r="W189">
        <f ca="1">IFERROR(IF(0=LEN(ReferenceData!$W$189),"",ReferenceData!$W$189),"")</f>
        <v>8.3065335339999997</v>
      </c>
      <c r="X189">
        <f ca="1">IFERROR(IF(0=LEN(ReferenceData!$X$189),"",ReferenceData!$X$189),"")</f>
        <v>8.1876953760000006</v>
      </c>
      <c r="Y189">
        <f ca="1">IFERROR(IF(0=LEN(ReferenceData!$Y$189),"",ReferenceData!$Y$189),"")</f>
        <v>8.0324435080000001</v>
      </c>
      <c r="Z189">
        <f ca="1">IFERROR(IF(0=LEN(ReferenceData!$Z$189),"",ReferenceData!$Z$189),"")</f>
        <v>8.0641285319999998</v>
      </c>
      <c r="AA189">
        <f ca="1">IFERROR(IF(0=LEN(ReferenceData!$AA$189),"",ReferenceData!$AA$189),"")</f>
        <v>8.1507620280000008</v>
      </c>
      <c r="AB189">
        <f ca="1">IFERROR(IF(0=LEN(ReferenceData!$AB$189),"",ReferenceData!$AB$189),"")</f>
        <v>8.1228210369999996</v>
      </c>
      <c r="AC189">
        <f ca="1">IFERROR(IF(0=LEN(ReferenceData!$AC$189),"",ReferenceData!$AC$189),"")</f>
        <v>8.1620462820000004</v>
      </c>
      <c r="AD189">
        <f ca="1">IFERROR(IF(0=LEN(ReferenceData!$AD$189),"",ReferenceData!$AD$189),"")</f>
        <v>8.5684193739999994</v>
      </c>
      <c r="AE189">
        <f ca="1">IFERROR(IF(0=LEN(ReferenceData!$AE$189),"",ReferenceData!$AE$189),"")</f>
        <v>8.3091691000000001</v>
      </c>
      <c r="AF189">
        <f ca="1">IFERROR(IF(0=LEN(ReferenceData!$AF$189),"",ReferenceData!$AF$189),"")</f>
        <v>8.2275044170000005</v>
      </c>
      <c r="AG189">
        <f ca="1">IFERROR(IF(0=LEN(ReferenceData!$AG$189),"",ReferenceData!$AG$189),"")</f>
        <v>7.4620046330000003</v>
      </c>
      <c r="AH189">
        <f ca="1">IFERROR(IF(0=LEN(ReferenceData!$AH$189),"",ReferenceData!$AH$189),"")</f>
        <v>7.0135573009999996</v>
      </c>
      <c r="AI189">
        <f ca="1">IFERROR(IF(0=LEN(ReferenceData!$AI$189),"",ReferenceData!$AI$189),"")</f>
        <v>8.3312265669999999</v>
      </c>
      <c r="AJ189">
        <f ca="1">IFERROR(IF(0=LEN(ReferenceData!$AJ$189),"",ReferenceData!$AJ$189),"")</f>
        <v>7.8056454190000002</v>
      </c>
      <c r="AK189">
        <f ca="1">IFERROR(IF(0=LEN(ReferenceData!$AK$189),"",ReferenceData!$AK$189),"")</f>
        <v>8.825193895</v>
      </c>
      <c r="AL189">
        <f ca="1">IFERROR(IF(0=LEN(ReferenceData!$AL$189),"",ReferenceData!$AL$189),"")</f>
        <v>10.43888112</v>
      </c>
      <c r="AM189">
        <f ca="1">IFERROR(IF(0=LEN(ReferenceData!$AM$189),"",ReferenceData!$AM$189),"")</f>
        <v>11.4058005</v>
      </c>
      <c r="AN189" t="str">
        <f ca="1">IFERROR(IF(0=LEN(ReferenceData!$AN$189),"",ReferenceData!$AN$189),"")</f>
        <v/>
      </c>
      <c r="AO189" t="str">
        <f ca="1">IFERROR(IF(0=LEN(ReferenceData!$AO$189),"",ReferenceData!$AO$189),"")</f>
        <v/>
      </c>
      <c r="AP189" t="str">
        <f ca="1">IFERROR(IF(0=LEN(ReferenceData!$AP$189),"",ReferenceData!$AP$189),"")</f>
        <v/>
      </c>
      <c r="AQ189" t="str">
        <f ca="1">IFERROR(IF(0=LEN(ReferenceData!$AQ$189),"",ReferenceData!$AQ$189),"")</f>
        <v/>
      </c>
      <c r="AR189" t="str">
        <f ca="1">IFERROR(IF(0=LEN(ReferenceData!$AR$189),"",ReferenceData!$AR$189),"")</f>
        <v/>
      </c>
      <c r="AS189" t="str">
        <f ca="1">IFERROR(IF(0=LEN(ReferenceData!$AS$189),"",ReferenceData!$AS$189),"")</f>
        <v/>
      </c>
      <c r="AT189" t="str">
        <f ca="1">IFERROR(IF(0=LEN(ReferenceData!$AT$189),"",ReferenceData!$AT$189),"")</f>
        <v/>
      </c>
      <c r="AU189" t="str">
        <f ca="1">IFERROR(IF(0=LEN(ReferenceData!$AU$189),"",ReferenceData!$AU$189),"")</f>
        <v/>
      </c>
      <c r="AV189" t="str">
        <f ca="1">IFERROR(IF(0=LEN(ReferenceData!$AV$189),"",ReferenceData!$AV$189),"")</f>
        <v/>
      </c>
      <c r="AW189" t="str">
        <f ca="1">IFERROR(IF(0=LEN(ReferenceData!$AW$189),"",ReferenceData!$AW$189),"")</f>
        <v/>
      </c>
      <c r="AX189" t="str">
        <f ca="1">IFERROR(IF(0=LEN(ReferenceData!$AX$189),"",ReferenceData!$AX$189),"")</f>
        <v/>
      </c>
      <c r="AY189" t="str">
        <f ca="1">IFERROR(IF(0=LEN(ReferenceData!$AY$189),"",ReferenceData!$AY$189),"")</f>
        <v/>
      </c>
      <c r="AZ189" t="str">
        <f ca="1">IFERROR(IF(0=LEN(ReferenceData!$AZ$189),"",ReferenceData!$AZ$189),"")</f>
        <v/>
      </c>
      <c r="BA189" t="str">
        <f ca="1">IFERROR(IF(0=LEN(ReferenceData!$BA$189),"",ReferenceData!$BA$189),"")</f>
        <v/>
      </c>
      <c r="BB189" t="str">
        <f ca="1">IFERROR(IF(0=LEN(ReferenceData!$BB$189),"",ReferenceData!$BB$189),"")</f>
        <v/>
      </c>
      <c r="BC189" t="str">
        <f ca="1">IFERROR(IF(0=LEN(ReferenceData!$BC$189),"",ReferenceData!$BC$189),"")</f>
        <v/>
      </c>
      <c r="BD189" t="str">
        <f ca="1">IFERROR(IF(0=LEN(ReferenceData!$BD$189),"",ReferenceData!$BD$189),"")</f>
        <v/>
      </c>
      <c r="BE189" t="str">
        <f ca="1">IFERROR(IF(0=LEN(ReferenceData!$BE$189),"",ReferenceData!$BE$189),"")</f>
        <v/>
      </c>
      <c r="BF189" t="str">
        <f ca="1">IFERROR(IF(0=LEN(ReferenceData!$BF$189),"",ReferenceData!$BF$189),"")</f>
        <v/>
      </c>
      <c r="BG189" t="str">
        <f ca="1">IFERROR(IF(0=LEN(ReferenceData!$BG$189),"",ReferenceData!$BG$189),"")</f>
        <v/>
      </c>
      <c r="BH189" t="str">
        <f ca="1">IFERROR(IF(0=LEN(ReferenceData!$BH$189),"",ReferenceData!$BH$189),"")</f>
        <v/>
      </c>
      <c r="BI189" t="str">
        <f ca="1">IFERROR(IF(0=LEN(ReferenceData!$BI$189),"",ReferenceData!$BI$189),"")</f>
        <v/>
      </c>
      <c r="BJ189" t="str">
        <f ca="1">IFERROR(IF(0=LEN(ReferenceData!$BJ$189),"",ReferenceData!$BJ$189),"")</f>
        <v/>
      </c>
      <c r="BK189" t="str">
        <f ca="1">IFERROR(IF(0=LEN(ReferenceData!$BK$189),"",ReferenceData!$BK$189),"")</f>
        <v/>
      </c>
      <c r="BL189" t="str">
        <f ca="1">IFERROR(IF(0=LEN(ReferenceData!$BL$189),"",ReferenceData!$BL$189),"")</f>
        <v/>
      </c>
      <c r="BM189" t="str">
        <f ca="1">IFERROR(IF(0=LEN(ReferenceData!$BM$189),"",ReferenceData!$BM$189),"")</f>
        <v/>
      </c>
    </row>
    <row r="190" spans="1:65">
      <c r="A190" t="str">
        <f>IFERROR(IF(0=LEN(ReferenceData!$A$190),"",ReferenceData!$A$190),"")</f>
        <v xml:space="preserve">    Vornado Realty Trust</v>
      </c>
      <c r="B190" t="str">
        <f>IFERROR(IF(0=LEN(ReferenceData!$B$190),"",ReferenceData!$B$190),"")</f>
        <v>VNO US Equity</v>
      </c>
      <c r="C190" t="str">
        <f>IFERROR(IF(0=LEN(ReferenceData!$C$190),"",ReferenceData!$C$190),"")</f>
        <v>F1178</v>
      </c>
      <c r="D190" t="str">
        <f>IFERROR(IF(0=LEN(ReferenceData!$D$190),"",ReferenceData!$D$190),"")</f>
        <v>NET_DEBT_EBITDA_ADJUSTED</v>
      </c>
      <c r="E190" t="str">
        <f>IFERROR(IF(0=LEN(ReferenceData!$E$190),"",ReferenceData!$E$190),"")</f>
        <v>动态</v>
      </c>
      <c r="F190" t="str">
        <f ca="1">IFERROR(IF(0=LEN(ReferenceData!$F$190),"",ReferenceData!$F$190),"")</f>
        <v/>
      </c>
      <c r="G190">
        <f ca="1">IFERROR(IF(0=LEN(ReferenceData!$G$190),"",ReferenceData!$G$190),"")</f>
        <v>7.31001134</v>
      </c>
      <c r="H190">
        <f ca="1">IFERROR(IF(0=LEN(ReferenceData!$H$190),"",ReferenceData!$H$190),"")</f>
        <v>6.9354403700000002</v>
      </c>
      <c r="I190">
        <f ca="1">IFERROR(IF(0=LEN(ReferenceData!$I$190),"",ReferenceData!$I$190),"")</f>
        <v>7.9525425969999999</v>
      </c>
      <c r="J190">
        <f ca="1">IFERROR(IF(0=LEN(ReferenceData!$J$190),"",ReferenceData!$J$190),"")</f>
        <v>7.3939294560000004</v>
      </c>
      <c r="K190">
        <f ca="1">IFERROR(IF(0=LEN(ReferenceData!$K$190),"",ReferenceData!$K$190),"")</f>
        <v>7.3588832110000002</v>
      </c>
      <c r="L190">
        <f ca="1">IFERROR(IF(0=LEN(ReferenceData!$L$190),"",ReferenceData!$L$190),"")</f>
        <v>7.8091126949999996</v>
      </c>
      <c r="M190">
        <f ca="1">IFERROR(IF(0=LEN(ReferenceData!$M$190),"",ReferenceData!$M$190),"")</f>
        <v>7.509010698</v>
      </c>
      <c r="N190">
        <f ca="1">IFERROR(IF(0=LEN(ReferenceData!$N$190),"",ReferenceData!$N$190),"")</f>
        <v>7.4797460500000001</v>
      </c>
      <c r="O190">
        <f ca="1">IFERROR(IF(0=LEN(ReferenceData!$O$190),"",ReferenceData!$O$190),"")</f>
        <v>7.4078989389999998</v>
      </c>
      <c r="P190">
        <f ca="1">IFERROR(IF(0=LEN(ReferenceData!$P$190),"",ReferenceData!$P$190),"")</f>
        <v>7.3888510849999998</v>
      </c>
      <c r="Q190">
        <f ca="1">IFERROR(IF(0=LEN(ReferenceData!$Q$190),"",ReferenceData!$Q$190),"")</f>
        <v>7.5169027269999997</v>
      </c>
      <c r="R190">
        <f ca="1">IFERROR(IF(0=LEN(ReferenceData!$R$190),"",ReferenceData!$R$190),"")</f>
        <v>6.9904159579999998</v>
      </c>
      <c r="S190">
        <f ca="1">IFERROR(IF(0=LEN(ReferenceData!$S$190),"",ReferenceData!$S$190),"")</f>
        <v>6.7931170840000004</v>
      </c>
      <c r="T190">
        <f ca="1">IFERROR(IF(0=LEN(ReferenceData!$T$190),"",ReferenceData!$T$190),"")</f>
        <v>7.8129509160000001</v>
      </c>
      <c r="U190">
        <f ca="1">IFERROR(IF(0=LEN(ReferenceData!$U$190),"",ReferenceData!$U$190),"")</f>
        <v>7.5565245409999999</v>
      </c>
      <c r="V190">
        <f ca="1">IFERROR(IF(0=LEN(ReferenceData!$V$190),"",ReferenceData!$V$190),"")</f>
        <v>7.1884885120000002</v>
      </c>
      <c r="W190">
        <f ca="1">IFERROR(IF(0=LEN(ReferenceData!$W$190),"",ReferenceData!$W$190),"")</f>
        <v>6.816747758</v>
      </c>
      <c r="X190">
        <f ca="1">IFERROR(IF(0=LEN(ReferenceData!$X$190),"",ReferenceData!$X$190),"")</f>
        <v>7.1351885790000003</v>
      </c>
      <c r="Y190">
        <f ca="1">IFERROR(IF(0=LEN(ReferenceData!$Y$190),"",ReferenceData!$Y$190),"")</f>
        <v>7.4163943950000002</v>
      </c>
      <c r="Z190">
        <f ca="1">IFERROR(IF(0=LEN(ReferenceData!$Z$190),"",ReferenceData!$Z$190),"")</f>
        <v>7.8400793310000001</v>
      </c>
      <c r="AA190">
        <f ca="1">IFERROR(IF(0=LEN(ReferenceData!$AA$190),"",ReferenceData!$AA$190),"")</f>
        <v>8.8416801110000005</v>
      </c>
      <c r="AB190">
        <f ca="1">IFERROR(IF(0=LEN(ReferenceData!$AB$190),"",ReferenceData!$AB$190),"")</f>
        <v>7.0910460940000002</v>
      </c>
      <c r="AC190">
        <f ca="1">IFERROR(IF(0=LEN(ReferenceData!$AC$190),"",ReferenceData!$AC$190),"")</f>
        <v>7.2773880240000004</v>
      </c>
      <c r="AD190">
        <f ca="1">IFERROR(IF(0=LEN(ReferenceData!$AD$190),"",ReferenceData!$AD$190),"")</f>
        <v>7.1209674510000003</v>
      </c>
      <c r="AE190">
        <f ca="1">IFERROR(IF(0=LEN(ReferenceData!$AE$190),"",ReferenceData!$AE$190),"")</f>
        <v>6.9531724490000002</v>
      </c>
      <c r="AF190">
        <f ca="1">IFERROR(IF(0=LEN(ReferenceData!$AF$190),"",ReferenceData!$AF$190),"")</f>
        <v>7.2453431909999999</v>
      </c>
      <c r="AG190">
        <f ca="1">IFERROR(IF(0=LEN(ReferenceData!$AG$190),"",ReferenceData!$AG$190),"")</f>
        <v>7.3015309049999999</v>
      </c>
      <c r="AH190">
        <f ca="1">IFERROR(IF(0=LEN(ReferenceData!$AH$190),"",ReferenceData!$AH$190),"")</f>
        <v>7.4897502889999998</v>
      </c>
      <c r="AI190">
        <f ca="1">IFERROR(IF(0=LEN(ReferenceData!$AI$190),"",ReferenceData!$AI$190),"")</f>
        <v>7.2055324599999997</v>
      </c>
      <c r="AJ190">
        <f ca="1">IFERROR(IF(0=LEN(ReferenceData!$AJ$190),"",ReferenceData!$AJ$190),"")</f>
        <v>7.7167655230000003</v>
      </c>
      <c r="AK190">
        <f ca="1">IFERROR(IF(0=LEN(ReferenceData!$AK$190),"",ReferenceData!$AK$190),"")</f>
        <v>7.5795666309999996</v>
      </c>
      <c r="AL190">
        <f ca="1">IFERROR(IF(0=LEN(ReferenceData!$AL$190),"",ReferenceData!$AL$190),"")</f>
        <v>7.9222025049999996</v>
      </c>
      <c r="AM190">
        <f ca="1">IFERROR(IF(0=LEN(ReferenceData!$AM$190),"",ReferenceData!$AM$190),"")</f>
        <v>7.6431590739999997</v>
      </c>
      <c r="AN190" t="str">
        <f ca="1">IFERROR(IF(0=LEN(ReferenceData!$AN$190),"",ReferenceData!$AN$190),"")</f>
        <v/>
      </c>
      <c r="AO190" t="str">
        <f ca="1">IFERROR(IF(0=LEN(ReferenceData!$AO$190),"",ReferenceData!$AO$190),"")</f>
        <v/>
      </c>
      <c r="AP190" t="str">
        <f ca="1">IFERROR(IF(0=LEN(ReferenceData!$AP$190),"",ReferenceData!$AP$190),"")</f>
        <v/>
      </c>
      <c r="AQ190" t="str">
        <f ca="1">IFERROR(IF(0=LEN(ReferenceData!$AQ$190),"",ReferenceData!$AQ$190),"")</f>
        <v/>
      </c>
      <c r="AR190" t="str">
        <f ca="1">IFERROR(IF(0=LEN(ReferenceData!$AR$190),"",ReferenceData!$AR$190),"")</f>
        <v/>
      </c>
      <c r="AS190" t="str">
        <f ca="1">IFERROR(IF(0=LEN(ReferenceData!$AS$190),"",ReferenceData!$AS$190),"")</f>
        <v/>
      </c>
      <c r="AT190" t="str">
        <f ca="1">IFERROR(IF(0=LEN(ReferenceData!$AT$190),"",ReferenceData!$AT$190),"")</f>
        <v/>
      </c>
      <c r="AU190" t="str">
        <f ca="1">IFERROR(IF(0=LEN(ReferenceData!$AU$190),"",ReferenceData!$AU$190),"")</f>
        <v/>
      </c>
      <c r="AV190" t="str">
        <f ca="1">IFERROR(IF(0=LEN(ReferenceData!$AV$190),"",ReferenceData!$AV$190),"")</f>
        <v/>
      </c>
      <c r="AW190" t="str">
        <f ca="1">IFERROR(IF(0=LEN(ReferenceData!$AW$190),"",ReferenceData!$AW$190),"")</f>
        <v/>
      </c>
      <c r="AX190" t="str">
        <f ca="1">IFERROR(IF(0=LEN(ReferenceData!$AX$190),"",ReferenceData!$AX$190),"")</f>
        <v/>
      </c>
      <c r="AY190" t="str">
        <f ca="1">IFERROR(IF(0=LEN(ReferenceData!$AY$190),"",ReferenceData!$AY$190),"")</f>
        <v/>
      </c>
      <c r="AZ190" t="str">
        <f ca="1">IFERROR(IF(0=LEN(ReferenceData!$AZ$190),"",ReferenceData!$AZ$190),"")</f>
        <v/>
      </c>
      <c r="BA190" t="str">
        <f ca="1">IFERROR(IF(0=LEN(ReferenceData!$BA$190),"",ReferenceData!$BA$190),"")</f>
        <v/>
      </c>
      <c r="BB190" t="str">
        <f ca="1">IFERROR(IF(0=LEN(ReferenceData!$BB$190),"",ReferenceData!$BB$190),"")</f>
        <v/>
      </c>
      <c r="BC190" t="str">
        <f ca="1">IFERROR(IF(0=LEN(ReferenceData!$BC$190),"",ReferenceData!$BC$190),"")</f>
        <v/>
      </c>
      <c r="BD190" t="str">
        <f ca="1">IFERROR(IF(0=LEN(ReferenceData!$BD$190),"",ReferenceData!$BD$190),"")</f>
        <v/>
      </c>
      <c r="BE190" t="str">
        <f ca="1">IFERROR(IF(0=LEN(ReferenceData!$BE$190),"",ReferenceData!$BE$190),"")</f>
        <v/>
      </c>
      <c r="BF190" t="str">
        <f ca="1">IFERROR(IF(0=LEN(ReferenceData!$BF$190),"",ReferenceData!$BF$190),"")</f>
        <v/>
      </c>
      <c r="BG190" t="str">
        <f ca="1">IFERROR(IF(0=LEN(ReferenceData!$BG$190),"",ReferenceData!$BG$190),"")</f>
        <v/>
      </c>
      <c r="BH190" t="str">
        <f ca="1">IFERROR(IF(0=LEN(ReferenceData!$BH$190),"",ReferenceData!$BH$190),"")</f>
        <v/>
      </c>
      <c r="BI190" t="str">
        <f ca="1">IFERROR(IF(0=LEN(ReferenceData!$BI$190),"",ReferenceData!$BI$190),"")</f>
        <v/>
      </c>
      <c r="BJ190" t="str">
        <f ca="1">IFERROR(IF(0=LEN(ReferenceData!$BJ$190),"",ReferenceData!$BJ$190),"")</f>
        <v/>
      </c>
      <c r="BK190" t="str">
        <f ca="1">IFERROR(IF(0=LEN(ReferenceData!$BK$190),"",ReferenceData!$BK$190),"")</f>
        <v/>
      </c>
      <c r="BL190" t="str">
        <f ca="1">IFERROR(IF(0=LEN(ReferenceData!$BL$190),"",ReferenceData!$BL$190),"")</f>
        <v/>
      </c>
      <c r="BM190" t="str">
        <f ca="1">IFERROR(IF(0=LEN(ReferenceData!$BM$190),"",ReferenceData!$BM$190),"")</f>
        <v/>
      </c>
    </row>
    <row r="191" spans="1:65">
      <c r="A191" t="str">
        <f>IFERROR(IF(0=LEN(ReferenceData!$A$191),"",ReferenceData!$A$191),"")</f>
        <v>债务/市值</v>
      </c>
      <c r="B191" t="str">
        <f>IFERROR(IF(0=LEN(ReferenceData!$B$191),"",ReferenceData!$B$191),"")</f>
        <v/>
      </c>
      <c r="C191" t="str">
        <f>IFERROR(IF(0=LEN(ReferenceData!$C$191),"",ReferenceData!$C$191),"")</f>
        <v/>
      </c>
      <c r="D191" t="str">
        <f>IFERROR(IF(0=LEN(ReferenceData!$D$191),"",ReferenceData!$D$191),"")</f>
        <v/>
      </c>
      <c r="E191" t="str">
        <f>IFERROR(IF(0=LEN(ReferenceData!$E$191),"",ReferenceData!$E$191),"")</f>
        <v>Median</v>
      </c>
      <c r="F191">
        <f ca="1">IFERROR(IF(0=LEN(ReferenceData!$F$191),"",ReferenceData!$F$191),"")</f>
        <v>0.68201662500000004</v>
      </c>
      <c r="G191">
        <f ca="1">IFERROR(IF(0=LEN(ReferenceData!$G$191),"",ReferenceData!$G$191),"")</f>
        <v>0.59532984550000001</v>
      </c>
      <c r="H191">
        <f ca="1">IFERROR(IF(0=LEN(ReferenceData!$H$191),"",ReferenceData!$H$191),"")</f>
        <v>0.57974349399999991</v>
      </c>
      <c r="I191">
        <f ca="1">IFERROR(IF(0=LEN(ReferenceData!$I$191),"",ReferenceData!$I$191),"")</f>
        <v>0.56847092999999993</v>
      </c>
      <c r="J191">
        <f ca="1">IFERROR(IF(0=LEN(ReferenceData!$J$191),"",ReferenceData!$J$191),"")</f>
        <v>0.57072264899999992</v>
      </c>
      <c r="K191">
        <f ca="1">IFERROR(IF(0=LEN(ReferenceData!$K$191),"",ReferenceData!$K$191),"")</f>
        <v>0.5826292515</v>
      </c>
      <c r="L191">
        <f ca="1">IFERROR(IF(0=LEN(ReferenceData!$L$191),"",ReferenceData!$L$191),"")</f>
        <v>0.58862460699999997</v>
      </c>
      <c r="M191">
        <f ca="1">IFERROR(IF(0=LEN(ReferenceData!$M$191),"",ReferenceData!$M$191),"")</f>
        <v>0.63683704699999999</v>
      </c>
      <c r="N191">
        <f ca="1">IFERROR(IF(0=LEN(ReferenceData!$N$191),"",ReferenceData!$N$191),"")</f>
        <v>0.69358129600000007</v>
      </c>
      <c r="O191">
        <f ca="1">IFERROR(IF(0=LEN(ReferenceData!$O$191),"",ReferenceData!$O$191),"")</f>
        <v>0.6854389635</v>
      </c>
      <c r="P191">
        <f ca="1">IFERROR(IF(0=LEN(ReferenceData!$P$191),"",ReferenceData!$P$191),"")</f>
        <v>0.85831266849999999</v>
      </c>
      <c r="Q191">
        <f ca="1">IFERROR(IF(0=LEN(ReferenceData!$Q$191),"",ReferenceData!$Q$191),"")</f>
        <v>0.72586253450000005</v>
      </c>
      <c r="R191">
        <f ca="1">IFERROR(IF(0=LEN(ReferenceData!$R$191),"",ReferenceData!$R$191),"")</f>
        <v>0.641297793</v>
      </c>
      <c r="S191">
        <f ca="1">IFERROR(IF(0=LEN(ReferenceData!$S$191),"",ReferenceData!$S$191),"")</f>
        <v>0.62695850350000004</v>
      </c>
      <c r="T191">
        <f ca="1">IFERROR(IF(0=LEN(ReferenceData!$T$191),"",ReferenceData!$T$191),"")</f>
        <v>0.73880303599999997</v>
      </c>
      <c r="U191">
        <f ca="1">IFERROR(IF(0=LEN(ReferenceData!$U$191),"",ReferenceData!$U$191),"")</f>
        <v>0.65238916699999994</v>
      </c>
      <c r="V191">
        <f ca="1">IFERROR(IF(0=LEN(ReferenceData!$V$191),"",ReferenceData!$V$191),"")</f>
        <v>0.66787299150000001</v>
      </c>
      <c r="W191">
        <f ca="1">IFERROR(IF(0=LEN(ReferenceData!$W$191),"",ReferenceData!$W$191),"")</f>
        <v>0.74569408400000003</v>
      </c>
      <c r="X191">
        <f ca="1">IFERROR(IF(0=LEN(ReferenceData!$X$191),"",ReferenceData!$X$191),"")</f>
        <v>0.69699848200000003</v>
      </c>
      <c r="Y191">
        <f ca="1">IFERROR(IF(0=LEN(ReferenceData!$Y$191),"",ReferenceData!$Y$191),"")</f>
        <v>0.71015263699999998</v>
      </c>
      <c r="Z191">
        <f ca="1">IFERROR(IF(0=LEN(ReferenceData!$Z$191),"",ReferenceData!$Z$191),"")</f>
        <v>0.66723345499999998</v>
      </c>
      <c r="AA191">
        <f ca="1">IFERROR(IF(0=LEN(ReferenceData!$AA$191),"",ReferenceData!$AA$191),"")</f>
        <v>0.75781114699999996</v>
      </c>
      <c r="AB191">
        <f ca="1">IFERROR(IF(0=LEN(ReferenceData!$AB$191),"",ReferenceData!$AB$191),"")</f>
        <v>0.708623161</v>
      </c>
      <c r="AC191">
        <f ca="1">IFERROR(IF(0=LEN(ReferenceData!$AC$191),"",ReferenceData!$AC$191),"")</f>
        <v>0.73289328300000001</v>
      </c>
      <c r="AD191">
        <f ca="1">IFERROR(IF(0=LEN(ReferenceData!$AD$191),"",ReferenceData!$AD$191),"")</f>
        <v>0.766956623</v>
      </c>
      <c r="AE191">
        <f ca="1">IFERROR(IF(0=LEN(ReferenceData!$AE$191),"",ReferenceData!$AE$191),"")</f>
        <v>0.85136817799999998</v>
      </c>
      <c r="AF191">
        <f ca="1">IFERROR(IF(0=LEN(ReferenceData!$AF$191),"",ReferenceData!$AF$191),"")</f>
        <v>0.925696242</v>
      </c>
      <c r="AG191">
        <f ca="1">IFERROR(IF(0=LEN(ReferenceData!$AG$191),"",ReferenceData!$AG$191),"")</f>
        <v>0.67592423999999995</v>
      </c>
      <c r="AH191">
        <f ca="1">IFERROR(IF(0=LEN(ReferenceData!$AH$191),"",ReferenceData!$AH$191),"")</f>
        <v>0.677791794</v>
      </c>
      <c r="AI191">
        <f ca="1">IFERROR(IF(0=LEN(ReferenceData!$AI$191),"",ReferenceData!$AI$191),"")</f>
        <v>0.74784244300000002</v>
      </c>
      <c r="AJ191">
        <f ca="1">IFERROR(IF(0=LEN(ReferenceData!$AJ$191),"",ReferenceData!$AJ$191),"")</f>
        <v>0.72925673700000004</v>
      </c>
      <c r="AK191">
        <f ca="1">IFERROR(IF(0=LEN(ReferenceData!$AK$191),"",ReferenceData!$AK$191),"")</f>
        <v>0.82364174099999998</v>
      </c>
      <c r="AL191">
        <f ca="1">IFERROR(IF(0=LEN(ReferenceData!$AL$191),"",ReferenceData!$AL$191),"")</f>
        <v>0.82845737600000002</v>
      </c>
      <c r="AM191">
        <f ca="1">IFERROR(IF(0=LEN(ReferenceData!$AM$191),"",ReferenceData!$AM$191),"")</f>
        <v>0.85371676749999992</v>
      </c>
      <c r="AN191">
        <f ca="1">IFERROR(IF(0=LEN(ReferenceData!$AN$191),"",ReferenceData!$AN$191),"")</f>
        <v>0.90505620799999997</v>
      </c>
      <c r="AO191">
        <f ca="1">IFERROR(IF(0=LEN(ReferenceData!$AO$191),"",ReferenceData!$AO$191),"")</f>
        <v>1.1350292479999999</v>
      </c>
      <c r="AP191">
        <f ca="1">IFERROR(IF(0=LEN(ReferenceData!$AP$191),"",ReferenceData!$AP$191),"")</f>
        <v>1.8807197035000001</v>
      </c>
      <c r="AQ191">
        <f ca="1">IFERROR(IF(0=LEN(ReferenceData!$AQ$191),"",ReferenceData!$AQ$191),"")</f>
        <v>1.253725786</v>
      </c>
      <c r="AR191">
        <f ca="1">IFERROR(IF(0=LEN(ReferenceData!$AR$191),"",ReferenceData!$AR$191),"")</f>
        <v>0.88691640250000003</v>
      </c>
      <c r="AS191">
        <f ca="1">IFERROR(IF(0=LEN(ReferenceData!$AS$191),"",ReferenceData!$AS$191),"")</f>
        <v>0.978699125</v>
      </c>
      <c r="AT191">
        <f ca="1">IFERROR(IF(0=LEN(ReferenceData!$AT$191),"",ReferenceData!$AT$191),"")</f>
        <v>0.957091735</v>
      </c>
      <c r="AU191">
        <f ca="1">IFERROR(IF(0=LEN(ReferenceData!$AU$191),"",ReferenceData!$AU$191),"")</f>
        <v>0.96782230899999999</v>
      </c>
      <c r="AV191">
        <f ca="1">IFERROR(IF(0=LEN(ReferenceData!$AV$191),"",ReferenceData!$AV$191),"")</f>
        <v>0.7638893135</v>
      </c>
      <c r="AW191">
        <f ca="1">IFERROR(IF(0=LEN(ReferenceData!$AW$191),"",ReferenceData!$AW$191),"")</f>
        <v>0.722552317</v>
      </c>
      <c r="AX191">
        <f ca="1">IFERROR(IF(0=LEN(ReferenceData!$AX$191),"",ReferenceData!$AX$191),"")</f>
        <v>0.63057913700000001</v>
      </c>
      <c r="AY191">
        <f ca="1">IFERROR(IF(0=LEN(ReferenceData!$AY$191),"",ReferenceData!$AY$191),"")</f>
        <v>0.579993745</v>
      </c>
      <c r="AZ191">
        <f ca="1">IFERROR(IF(0=LEN(ReferenceData!$AZ$191),"",ReferenceData!$AZ$191),"")</f>
        <v>0.60160841600000003</v>
      </c>
      <c r="BA191">
        <f ca="1">IFERROR(IF(0=LEN(ReferenceData!$BA$191),"",ReferenceData!$BA$191),"")</f>
        <v>0.6334016885</v>
      </c>
      <c r="BB191">
        <f ca="1">IFERROR(IF(0=LEN(ReferenceData!$BB$191),"",ReferenceData!$BB$191),"")</f>
        <v>0.60871810750000011</v>
      </c>
      <c r="BC191">
        <f ca="1">IFERROR(IF(0=LEN(ReferenceData!$BC$191),"",ReferenceData!$BC$191),"")</f>
        <v>0.68727142600000002</v>
      </c>
      <c r="BD191">
        <f ca="1">IFERROR(IF(0=LEN(ReferenceData!$BD$191),"",ReferenceData!$BD$191),"")</f>
        <v>0.67300184100000005</v>
      </c>
      <c r="BE191">
        <f ca="1">IFERROR(IF(0=LEN(ReferenceData!$BE$191),"",ReferenceData!$BE$191),"")</f>
        <v>0.66849923899999997</v>
      </c>
      <c r="BF191">
        <f ca="1">IFERROR(IF(0=LEN(ReferenceData!$BF$191),"",ReferenceData!$BF$191),"")</f>
        <v>0.77438527499999998</v>
      </c>
      <c r="BG191">
        <f ca="1">IFERROR(IF(0=LEN(ReferenceData!$BG$191),"",ReferenceData!$BG$191),"")</f>
        <v>0.68360222049999997</v>
      </c>
      <c r="BH191">
        <f ca="1">IFERROR(IF(0=LEN(ReferenceData!$BH$191),"",ReferenceData!$BH$191),"")</f>
        <v>0.75652042399999997</v>
      </c>
      <c r="BI191">
        <f ca="1">IFERROR(IF(0=LEN(ReferenceData!$BI$191),"",ReferenceData!$BI$191),"")</f>
        <v>0.72788851250000008</v>
      </c>
      <c r="BJ191">
        <f ca="1">IFERROR(IF(0=LEN(ReferenceData!$BJ$191),"",ReferenceData!$BJ$191),"")</f>
        <v>0.67643346299999996</v>
      </c>
      <c r="BK191">
        <f ca="1">IFERROR(IF(0=LEN(ReferenceData!$BK$191),"",ReferenceData!$BK$191),"")</f>
        <v>0.84337680900000001</v>
      </c>
      <c r="BL191">
        <f ca="1">IFERROR(IF(0=LEN(ReferenceData!$BL$191),"",ReferenceData!$BL$191),"")</f>
        <v>0.96730167450000004</v>
      </c>
      <c r="BM191">
        <f ca="1">IFERROR(IF(0=LEN(ReferenceData!$BM$191),"",ReferenceData!$BM$191),"")</f>
        <v>1.0181704745000002</v>
      </c>
    </row>
    <row r="192" spans="1:65">
      <c r="A192" t="str">
        <f>IFERROR(IF(0=LEN(ReferenceData!$A$192),"",ReferenceData!$A$192),"")</f>
        <v xml:space="preserve">    Boston Properties Inc</v>
      </c>
      <c r="B192" t="str">
        <f>IFERROR(IF(0=LEN(ReferenceData!$B$192),"",ReferenceData!$B$192),"")</f>
        <v>BXP US Equity</v>
      </c>
      <c r="C192" t="str">
        <f>IFERROR(IF(0=LEN(ReferenceData!$C$192),"",ReferenceData!$C$192),"")</f>
        <v>RR263</v>
      </c>
      <c r="D192" t="str">
        <f>IFERROR(IF(0=LEN(ReferenceData!$D$192),"",ReferenceData!$D$192),"")</f>
        <v>DEBT_TO_MKT_CAP</v>
      </c>
      <c r="E192" t="str">
        <f>IFERROR(IF(0=LEN(ReferenceData!$E$192),"",ReferenceData!$E$192),"")</f>
        <v>动态</v>
      </c>
      <c r="F192">
        <f ca="1">IFERROR(IF(0=LEN(ReferenceData!$F$192),"",ReferenceData!$F$192),"")</f>
        <v>0.53004147999999995</v>
      </c>
      <c r="G192">
        <f ca="1">IFERROR(IF(0=LEN(ReferenceData!$G$192),"",ReferenceData!$G$192),"")</f>
        <v>0.51187793500000001</v>
      </c>
      <c r="H192">
        <f ca="1">IFERROR(IF(0=LEN(ReferenceData!$H$192),"",ReferenceData!$H$192),"")</f>
        <v>0.53972847000000002</v>
      </c>
      <c r="I192">
        <f ca="1">IFERROR(IF(0=LEN(ReferenceData!$I$192),"",ReferenceData!$I$192),"")</f>
        <v>0.54083334800000005</v>
      </c>
      <c r="J192">
        <f ca="1">IFERROR(IF(0=LEN(ReferenceData!$J$192),"",ReferenceData!$J$192),"")</f>
        <v>0.47653916800000001</v>
      </c>
      <c r="K192">
        <f ca="1">IFERROR(IF(0=LEN(ReferenceData!$K$192),"",ReferenceData!$K$192),"")</f>
        <v>0.49717296500000002</v>
      </c>
      <c r="L192">
        <f ca="1">IFERROR(IF(0=LEN(ReferenceData!$L$192),"",ReferenceData!$L$192),"")</f>
        <v>0.45968281900000002</v>
      </c>
      <c r="M192">
        <f ca="1">IFERROR(IF(0=LEN(ReferenceData!$M$192),"",ReferenceData!$M$192),"")</f>
        <v>0.48141370700000002</v>
      </c>
      <c r="N192">
        <f ca="1">IFERROR(IF(0=LEN(ReferenceData!$N$192),"",ReferenceData!$N$192),"")</f>
        <v>0.51132767499999998</v>
      </c>
      <c r="O192">
        <f ca="1">IFERROR(IF(0=LEN(ReferenceData!$O$192),"",ReferenceData!$O$192),"")</f>
        <v>0.45992180799999999</v>
      </c>
      <c r="P192">
        <f ca="1">IFERROR(IF(0=LEN(ReferenceData!$P$192),"",ReferenceData!$P$192),"")</f>
        <v>0.53510055400000001</v>
      </c>
      <c r="Q192">
        <f ca="1">IFERROR(IF(0=LEN(ReferenceData!$Q$192),"",ReferenceData!$Q$192),"")</f>
        <v>0.53141181000000004</v>
      </c>
      <c r="R192">
        <f ca="1">IFERROR(IF(0=LEN(ReferenceData!$R$192),"",ReferenceData!$R$192),"")</f>
        <v>0.45942246599999997</v>
      </c>
      <c r="S192">
        <f ca="1">IFERROR(IF(0=LEN(ReferenceData!$S$192),"",ReferenceData!$S$192),"")</f>
        <v>0.50283101600000002</v>
      </c>
      <c r="T192">
        <f ca="1">IFERROR(IF(0=LEN(ReferenceData!$T$192),"",ReferenceData!$T$192),"")</f>
        <v>0.59109464700000003</v>
      </c>
      <c r="U192">
        <f ca="1">IFERROR(IF(0=LEN(ReferenceData!$U$192),"",ReferenceData!$U$192),"")</f>
        <v>0.58363923500000003</v>
      </c>
      <c r="V192">
        <f ca="1">IFERROR(IF(0=LEN(ReferenceData!$V$192),"",ReferenceData!$V$192),"")</f>
        <v>0.60358643099999998</v>
      </c>
      <c r="W192">
        <f ca="1">IFERROR(IF(0=LEN(ReferenceData!$W$192),"",ReferenceData!$W$192),"")</f>
        <v>0.73912808100000005</v>
      </c>
      <c r="X192">
        <f ca="1">IFERROR(IF(0=LEN(ReferenceData!$X$192),"",ReferenceData!$X$192),"")</f>
        <v>0.69699848200000003</v>
      </c>
      <c r="Y192">
        <f ca="1">IFERROR(IF(0=LEN(ReferenceData!$Y$192),"",ReferenceData!$Y$192),"")</f>
        <v>0.71015263699999998</v>
      </c>
      <c r="Z192">
        <f ca="1">IFERROR(IF(0=LEN(ReferenceData!$Z$192),"",ReferenceData!$Z$192),"")</f>
        <v>0.57890443999999996</v>
      </c>
      <c r="AA192">
        <f ca="1">IFERROR(IF(0=LEN(ReferenceData!$AA$192),"",ReferenceData!$AA$192),"")</f>
        <v>0.55832103899999996</v>
      </c>
      <c r="AB192">
        <f ca="1">IFERROR(IF(0=LEN(ReferenceData!$AB$192),"",ReferenceData!$AB$192),"")</f>
        <v>0.51876422499999997</v>
      </c>
      <c r="AC192">
        <f ca="1">IFERROR(IF(0=LEN(ReferenceData!$AC$192),"",ReferenceData!$AC$192),"")</f>
        <v>0.54794800600000004</v>
      </c>
      <c r="AD192">
        <f ca="1">IFERROR(IF(0=LEN(ReferenceData!$AD$192),"",ReferenceData!$AD$192),"")</f>
        <v>0.51134817600000004</v>
      </c>
      <c r="AE192">
        <f ca="1">IFERROR(IF(0=LEN(ReferenceData!$AE$192),"",ReferenceData!$AE$192),"")</f>
        <v>0.595746895</v>
      </c>
      <c r="AF192">
        <f ca="1">IFERROR(IF(0=LEN(ReferenceData!$AF$192),"",ReferenceData!$AF$192),"")</f>
        <v>0.61165044300000004</v>
      </c>
      <c r="AG192">
        <f ca="1">IFERROR(IF(0=LEN(ReferenceData!$AG$192),"",ReferenceData!$AG$192),"")</f>
        <v>0.51380555900000002</v>
      </c>
      <c r="AH192">
        <f ca="1">IFERROR(IF(0=LEN(ReferenceData!$AH$192),"",ReferenceData!$AH$192),"")</f>
        <v>0.58987467699999996</v>
      </c>
      <c r="AI192">
        <f ca="1">IFERROR(IF(0=LEN(ReferenceData!$AI$192),"",ReferenceData!$AI$192),"")</f>
        <v>0.64543853699999998</v>
      </c>
      <c r="AJ192">
        <f ca="1">IFERROR(IF(0=LEN(ReferenceData!$AJ$192),"",ReferenceData!$AJ$192),"")</f>
        <v>0.64276114399999995</v>
      </c>
      <c r="AK192">
        <f ca="1">IFERROR(IF(0=LEN(ReferenceData!$AK$192),"",ReferenceData!$AK$192),"")</f>
        <v>0.72894051500000001</v>
      </c>
      <c r="AL192">
        <f ca="1">IFERROR(IF(0=LEN(ReferenceData!$AL$192),"",ReferenceData!$AL$192),"")</f>
        <v>0.63670032499999996</v>
      </c>
      <c r="AM192">
        <f ca="1">IFERROR(IF(0=LEN(ReferenceData!$AM$192),"",ReferenceData!$AM$192),"")</f>
        <v>0.72225391000000005</v>
      </c>
      <c r="AN192">
        <f ca="1">IFERROR(IF(0=LEN(ReferenceData!$AN$192),"",ReferenceData!$AN$192),"")</f>
        <v>0.66148033399999995</v>
      </c>
      <c r="AO192">
        <f ca="1">IFERROR(IF(0=LEN(ReferenceData!$AO$192),"",ReferenceData!$AO$192),"")</f>
        <v>0.90157920000000003</v>
      </c>
      <c r="AP192">
        <f ca="1">IFERROR(IF(0=LEN(ReferenceData!$AP$192),"",ReferenceData!$AP$192),"")</f>
        <v>1.439000686</v>
      </c>
      <c r="AQ192">
        <f ca="1">IFERROR(IF(0=LEN(ReferenceData!$AQ$192),"",ReferenceData!$AQ$192),"")</f>
        <v>0.92539006599999996</v>
      </c>
      <c r="AR192">
        <f ca="1">IFERROR(IF(0=LEN(ReferenceData!$AR$192),"",ReferenceData!$AR$192),"")</f>
        <v>0.544622312</v>
      </c>
      <c r="AS192">
        <f ca="1">IFERROR(IF(0=LEN(ReferenceData!$AS$192),"",ReferenceData!$AS$192),"")</f>
        <v>0.50965163800000002</v>
      </c>
      <c r="AT192">
        <f ca="1">IFERROR(IF(0=LEN(ReferenceData!$AT$192),"",ReferenceData!$AT$192),"")</f>
        <v>0.50246842000000003</v>
      </c>
      <c r="AU192">
        <f ca="1">IFERROR(IF(0=LEN(ReferenceData!$AU$192),"",ReferenceData!$AU$192),"")</f>
        <v>0.50157881500000001</v>
      </c>
      <c r="AV192">
        <f ca="1">IFERROR(IF(0=LEN(ReferenceData!$AV$192),"",ReferenceData!$AV$192),"")</f>
        <v>0.437371116</v>
      </c>
      <c r="AW192">
        <f ca="1">IFERROR(IF(0=LEN(ReferenceData!$AW$192),"",ReferenceData!$AW$192),"")</f>
        <v>0.462369523</v>
      </c>
      <c r="AX192">
        <f ca="1">IFERROR(IF(0=LEN(ReferenceData!$AX$192),"",ReferenceData!$AX$192),"")</f>
        <v>0.41078043800000003</v>
      </c>
      <c r="AY192">
        <f ca="1">IFERROR(IF(0=LEN(ReferenceData!$AY$192),"",ReferenceData!$AY$192),"")</f>
        <v>0.35201548300000002</v>
      </c>
      <c r="AZ192">
        <f ca="1">IFERROR(IF(0=LEN(ReferenceData!$AZ$192),"",ReferenceData!$AZ$192),"")</f>
        <v>0.40074085300000001</v>
      </c>
      <c r="BA192">
        <f ca="1">IFERROR(IF(0=LEN(ReferenceData!$BA$192),"",ReferenceData!$BA$192),"")</f>
        <v>0.46837943999999998</v>
      </c>
      <c r="BB192">
        <f ca="1">IFERROR(IF(0=LEN(ReferenceData!$BB$192),"",ReferenceData!$BB$192),"")</f>
        <v>0.447192965</v>
      </c>
      <c r="BC192">
        <f ca="1">IFERROR(IF(0=LEN(ReferenceData!$BC$192),"",ReferenceData!$BC$192),"")</f>
        <v>0.57866520399999999</v>
      </c>
      <c r="BD192">
        <f ca="1">IFERROR(IF(0=LEN(ReferenceData!$BD$192),"",ReferenceData!$BD$192),"")</f>
        <v>0.62196917500000004</v>
      </c>
      <c r="BE192">
        <f ca="1">IFERROR(IF(0=LEN(ReferenceData!$BE$192),"",ReferenceData!$BE$192),"")</f>
        <v>0.63186815900000004</v>
      </c>
      <c r="BF192">
        <f ca="1">IFERROR(IF(0=LEN(ReferenceData!$BF$192),"",ReferenceData!$BF$192),"")</f>
        <v>0.75378198200000002</v>
      </c>
      <c r="BG192">
        <f ca="1">IFERROR(IF(0=LEN(ReferenceData!$BG$192),"",ReferenceData!$BG$192),"")</f>
        <v>0.71005275999999995</v>
      </c>
      <c r="BH192">
        <f ca="1">IFERROR(IF(0=LEN(ReferenceData!$BH$192),"",ReferenceData!$BH$192),"")</f>
        <v>0.83670605799999997</v>
      </c>
      <c r="BI192">
        <f ca="1">IFERROR(IF(0=LEN(ReferenceData!$BI$192),"",ReferenceData!$BI$192),"")</f>
        <v>0.93665550600000003</v>
      </c>
      <c r="BJ192">
        <f ca="1">IFERROR(IF(0=LEN(ReferenceData!$BJ$192),"",ReferenceData!$BJ$192),"")</f>
        <v>0.85840472999999995</v>
      </c>
      <c r="BK192">
        <f ca="1">IFERROR(IF(0=LEN(ReferenceData!$BK$192),"",ReferenceData!$BK$192),"")</f>
        <v>1.0605876759999999</v>
      </c>
      <c r="BL192">
        <f ca="1">IFERROR(IF(0=LEN(ReferenceData!$BL$192),"",ReferenceData!$BL$192),"")</f>
        <v>1.162961326</v>
      </c>
      <c r="BM192">
        <f ca="1">IFERROR(IF(0=LEN(ReferenceData!$BM$192),"",ReferenceData!$BM$192),"")</f>
        <v>1.1418870720000001</v>
      </c>
    </row>
    <row r="193" spans="1:65">
      <c r="A193" t="str">
        <f>IFERROR(IF(0=LEN(ReferenceData!$A$193),"",ReferenceData!$A$193),"")</f>
        <v xml:space="preserve">    Brandywine Realty Trust</v>
      </c>
      <c r="B193" t="str">
        <f>IFERROR(IF(0=LEN(ReferenceData!$B$193),"",ReferenceData!$B$193),"")</f>
        <v>BDN US Equity</v>
      </c>
      <c r="C193" t="str">
        <f>IFERROR(IF(0=LEN(ReferenceData!$C$193),"",ReferenceData!$C$193),"")</f>
        <v>RR263</v>
      </c>
      <c r="D193" t="str">
        <f>IFERROR(IF(0=LEN(ReferenceData!$D$193),"",ReferenceData!$D$193),"")</f>
        <v>DEBT_TO_MKT_CAP</v>
      </c>
      <c r="E193" t="str">
        <f>IFERROR(IF(0=LEN(ReferenceData!$E$193),"",ReferenceData!$E$193),"")</f>
        <v>动态</v>
      </c>
      <c r="F193">
        <f ca="1">IFERROR(IF(0=LEN(ReferenceData!$F$193),"",ReferenceData!$F$193),"")</f>
        <v>0.67459149100000004</v>
      </c>
      <c r="G193">
        <f ca="1">IFERROR(IF(0=LEN(ReferenceData!$G$193),"",ReferenceData!$G$193),"")</f>
        <v>0.60490817799999996</v>
      </c>
      <c r="H193">
        <f ca="1">IFERROR(IF(0=LEN(ReferenceData!$H$193),"",ReferenceData!$H$193),"")</f>
        <v>0.61600593199999998</v>
      </c>
      <c r="I193">
        <f ca="1">IFERROR(IF(0=LEN(ReferenceData!$I$193),"",ReferenceData!$I$193),"")</f>
        <v>0.62215007300000003</v>
      </c>
      <c r="J193">
        <f ca="1">IFERROR(IF(0=LEN(ReferenceData!$J$193),"",ReferenceData!$J$193),"")</f>
        <v>0.70786967899999997</v>
      </c>
      <c r="K193">
        <f ca="1">IFERROR(IF(0=LEN(ReferenceData!$K$193),"",ReferenceData!$K$193),"")</f>
        <v>0.69619937399999998</v>
      </c>
      <c r="L193">
        <f ca="1">IFERROR(IF(0=LEN(ReferenceData!$L$193),"",ReferenceData!$L$193),"")</f>
        <v>0.73617794599999997</v>
      </c>
      <c r="M193">
        <f ca="1">IFERROR(IF(0=LEN(ReferenceData!$M$193),"",ReferenceData!$M$193),"")</f>
        <v>0.69198707999999998</v>
      </c>
      <c r="N193">
        <f ca="1">IFERROR(IF(0=LEN(ReferenceData!$N$193),"",ReferenceData!$N$193),"")</f>
        <v>0.89081259599999996</v>
      </c>
      <c r="O193">
        <f ca="1">IFERROR(IF(0=LEN(ReferenceData!$O$193),"",ReferenceData!$O$193),"")</f>
        <v>0.996460813</v>
      </c>
      <c r="P193">
        <f ca="1">IFERROR(IF(0=LEN(ReferenceData!$P$193),"",ReferenceData!$P$193),"")</f>
        <v>1.100883963</v>
      </c>
      <c r="Q193">
        <f ca="1">IFERROR(IF(0=LEN(ReferenceData!$Q$193),"",ReferenceData!$Q$193),"")</f>
        <v>1.0230787699999999</v>
      </c>
      <c r="R193">
        <f ca="1">IFERROR(IF(0=LEN(ReferenceData!$R$193),"",ReferenceData!$R$193),"")</f>
        <v>0.85232616800000005</v>
      </c>
      <c r="S193">
        <f ca="1">IFERROR(IF(0=LEN(ReferenceData!$S$193),"",ReferenceData!$S$193),"")</f>
        <v>0.84868096800000004</v>
      </c>
      <c r="T193">
        <f ca="1">IFERROR(IF(0=LEN(ReferenceData!$T$193),"",ReferenceData!$T$193),"")</f>
        <v>1.0777240260000001</v>
      </c>
      <c r="U193">
        <f ca="1">IFERROR(IF(0=LEN(ReferenceData!$U$193),"",ReferenceData!$U$193),"")</f>
        <v>1.056523401</v>
      </c>
      <c r="V193">
        <f ca="1">IFERROR(IF(0=LEN(ReferenceData!$V$193),"",ReferenceData!$V$193),"")</f>
        <v>1.143555528</v>
      </c>
      <c r="W193">
        <f ca="1">IFERROR(IF(0=LEN(ReferenceData!$W$193),"",ReferenceData!$W$193),"")</f>
        <v>1.175418699</v>
      </c>
      <c r="X193">
        <f ca="1">IFERROR(IF(0=LEN(ReferenceData!$X$193),"",ReferenceData!$X$193),"")</f>
        <v>1.1509836360000001</v>
      </c>
      <c r="Y193">
        <f ca="1">IFERROR(IF(0=LEN(ReferenceData!$Y$193),"",ReferenceData!$Y$193),"")</f>
        <v>1.124270594</v>
      </c>
      <c r="Z193">
        <f ca="1">IFERROR(IF(0=LEN(ReferenceData!$Z$193),"",ReferenceData!$Z$193),"")</f>
        <v>1.122819287</v>
      </c>
      <c r="AA193">
        <f ca="1">IFERROR(IF(0=LEN(ReferenceData!$AA$193),"",ReferenceData!$AA$193),"")</f>
        <v>1.40990708</v>
      </c>
      <c r="AB193">
        <f ca="1">IFERROR(IF(0=LEN(ReferenceData!$AB$193),"",ReferenceData!$AB$193),"")</f>
        <v>1.4338477089999999</v>
      </c>
      <c r="AC193">
        <f ca="1">IFERROR(IF(0=LEN(ReferenceData!$AC$193),"",ReferenceData!$AC$193),"")</f>
        <v>1.419645896</v>
      </c>
      <c r="AD193">
        <f ca="1">IFERROR(IF(0=LEN(ReferenceData!$AD$193),"",ReferenceData!$AD$193),"")</f>
        <v>1.6322342839999999</v>
      </c>
      <c r="AE193">
        <f ca="1">IFERROR(IF(0=LEN(ReferenceData!$AE$193),"",ReferenceData!$AE$193),"")</f>
        <v>1.8586827530000001</v>
      </c>
      <c r="AF193">
        <f ca="1">IFERROR(IF(0=LEN(ReferenceData!$AF$193),"",ReferenceData!$AF$193),"")</f>
        <v>2.2956153000000001</v>
      </c>
      <c r="AG193">
        <f ca="1">IFERROR(IF(0=LEN(ReferenceData!$AG$193),"",ReferenceData!$AG$193),"")</f>
        <v>1.572109057</v>
      </c>
      <c r="AH193">
        <f ca="1">IFERROR(IF(0=LEN(ReferenceData!$AH$193),"",ReferenceData!$AH$193),"")</f>
        <v>1.494557208</v>
      </c>
      <c r="AI193">
        <f ca="1">IFERROR(IF(0=LEN(ReferenceData!$AI$193),"",ReferenceData!$AI$193),"")</f>
        <v>1.551588784</v>
      </c>
      <c r="AJ193">
        <f ca="1">IFERROR(IF(0=LEN(ReferenceData!$AJ$193),"",ReferenceData!$AJ$193),"")</f>
        <v>1.5614200140000001</v>
      </c>
      <c r="AK193">
        <f ca="1">IFERROR(IF(0=LEN(ReferenceData!$AK$193),"",ReferenceData!$AK$193),"")</f>
        <v>1.7063476799999999</v>
      </c>
      <c r="AL193">
        <f ca="1">IFERROR(IF(0=LEN(ReferenceData!$AL$193),"",ReferenceData!$AL$193),"")</f>
        <v>1.547539225</v>
      </c>
      <c r="AM193">
        <f ca="1">IFERROR(IF(0=LEN(ReferenceData!$AM$193),"",ReferenceData!$AM$193),"")</f>
        <v>1.674521004</v>
      </c>
      <c r="AN193">
        <f ca="1">IFERROR(IF(0=LEN(ReferenceData!$AN$193),"",ReferenceData!$AN$193),"")</f>
        <v>1.7678288010000001</v>
      </c>
      <c r="AO193">
        <f ca="1">IFERROR(IF(0=LEN(ReferenceData!$AO$193),"",ReferenceData!$AO$193),"")</f>
        <v>2.5940072980000002</v>
      </c>
      <c r="AP193">
        <f ca="1">IFERROR(IF(0=LEN(ReferenceData!$AP$193),"",ReferenceData!$AP$193),"")</f>
        <v>10.73750231</v>
      </c>
      <c r="AQ193">
        <f ca="1">IFERROR(IF(0=LEN(ReferenceData!$AQ$193),"",ReferenceData!$AQ$193),"")</f>
        <v>4.0335148079999996</v>
      </c>
      <c r="AR193">
        <f ca="1">IFERROR(IF(0=LEN(ReferenceData!$AR$193),"",ReferenceData!$AR$193),"")</f>
        <v>2.1302489499999999</v>
      </c>
      <c r="AS193">
        <f ca="1">IFERROR(IF(0=LEN(ReferenceData!$AS$193),"",ReferenceData!$AS$193),"")</f>
        <v>2.184954421</v>
      </c>
      <c r="AT193">
        <f ca="1">IFERROR(IF(0=LEN(ReferenceData!$AT$193),"",ReferenceData!$AT$193),"")</f>
        <v>2.086599036</v>
      </c>
      <c r="AU193">
        <f ca="1">IFERROR(IF(0=LEN(ReferenceData!$AU$193),"",ReferenceData!$AU$193),"")</f>
        <v>1.991509148</v>
      </c>
      <c r="AV193">
        <f ca="1">IFERROR(IF(0=LEN(ReferenceData!$AV$193),"",ReferenceData!$AV$193),"")</f>
        <v>1.48704339</v>
      </c>
      <c r="AW193">
        <f ca="1">IFERROR(IF(0=LEN(ReferenceData!$AW$193),"",ReferenceData!$AW$193),"")</f>
        <v>1.2763288939999999</v>
      </c>
      <c r="AX193">
        <f ca="1">IFERROR(IF(0=LEN(ReferenceData!$AX$193),"",ReferenceData!$AX$193),"")</f>
        <v>1.0830860090000001</v>
      </c>
      <c r="AY193">
        <f ca="1">IFERROR(IF(0=LEN(ReferenceData!$AY$193),"",ReferenceData!$AY$193),"")</f>
        <v>1.081366316</v>
      </c>
      <c r="AZ193">
        <f ca="1">IFERROR(IF(0=LEN(ReferenceData!$AZ$193),"",ReferenceData!$AZ$193),"")</f>
        <v>1.087909217</v>
      </c>
      <c r="BA193">
        <f ca="1">IFERROR(IF(0=LEN(ReferenceData!$BA$193),"",ReferenceData!$BA$193),"")</f>
        <v>1.0747876220000001</v>
      </c>
      <c r="BB193">
        <f ca="1">IFERROR(IF(0=LEN(ReferenceData!$BB$193),"",ReferenceData!$BB$193),"")</f>
        <v>1.0667348430000001</v>
      </c>
      <c r="BC193">
        <f ca="1">IFERROR(IF(0=LEN(ReferenceData!$BC$193),"",ReferenceData!$BC$193),"")</f>
        <v>0.97029597599999995</v>
      </c>
      <c r="BD193">
        <f ca="1">IFERROR(IF(0=LEN(ReferenceData!$BD$193),"",ReferenceData!$BD$193),"")</f>
        <v>0.84800944599999994</v>
      </c>
      <c r="BE193">
        <f ca="1">IFERROR(IF(0=LEN(ReferenceData!$BE$193),"",ReferenceData!$BE$193),"")</f>
        <v>0.82685056599999995</v>
      </c>
      <c r="BF193">
        <f ca="1">IFERROR(IF(0=LEN(ReferenceData!$BF$193),"",ReferenceData!$BF$193),"")</f>
        <v>0.85443865600000002</v>
      </c>
      <c r="BG193">
        <f ca="1">IFERROR(IF(0=LEN(ReferenceData!$BG$193),"",ReferenceData!$BG$193),"")</f>
        <v>0.83010133799999997</v>
      </c>
      <c r="BH193">
        <f ca="1">IFERROR(IF(0=LEN(ReferenceData!$BH$193),"",ReferenceData!$BH$193),"")</f>
        <v>0.83764461400000001</v>
      </c>
      <c r="BI193">
        <f ca="1">IFERROR(IF(0=LEN(ReferenceData!$BI$193),"",ReferenceData!$BI$193),"")</f>
        <v>0.66049703999999998</v>
      </c>
      <c r="BJ193">
        <f ca="1">IFERROR(IF(0=LEN(ReferenceData!$BJ$193),"",ReferenceData!$BJ$193),"")</f>
        <v>0.58568727600000003</v>
      </c>
      <c r="BK193">
        <f ca="1">IFERROR(IF(0=LEN(ReferenceData!$BK$193),"",ReferenceData!$BK$193),"")</f>
        <v>0.85826518100000004</v>
      </c>
      <c r="BL193">
        <f ca="1">IFERROR(IF(0=LEN(ReferenceData!$BL$193),"",ReferenceData!$BL$193),"")</f>
        <v>0.98415177799999998</v>
      </c>
      <c r="BM193">
        <f ca="1">IFERROR(IF(0=LEN(ReferenceData!$BM$193),"",ReferenceData!$BM$193),"")</f>
        <v>1.0233715000000001</v>
      </c>
    </row>
    <row r="194" spans="1:65">
      <c r="A194" t="str">
        <f>IFERROR(IF(0=LEN(ReferenceData!$A$194),"",ReferenceData!$A$194),"")</f>
        <v xml:space="preserve">    Columbia Property Trust Inc</v>
      </c>
      <c r="B194" t="str">
        <f>IFERROR(IF(0=LEN(ReferenceData!$B$194),"",ReferenceData!$B$194),"")</f>
        <v>CXP US Equity</v>
      </c>
      <c r="C194" t="str">
        <f>IFERROR(IF(0=LEN(ReferenceData!$C$194),"",ReferenceData!$C$194),"")</f>
        <v>RR263</v>
      </c>
      <c r="D194" t="str">
        <f>IFERROR(IF(0=LEN(ReferenceData!$D$194),"",ReferenceData!$D$194),"")</f>
        <v>DEBT_TO_MKT_CAP</v>
      </c>
      <c r="E194" t="str">
        <f>IFERROR(IF(0=LEN(ReferenceData!$E$194),"",ReferenceData!$E$194),"")</f>
        <v>动态</v>
      </c>
      <c r="F194">
        <f ca="1">IFERROR(IF(0=LEN(ReferenceData!$F$194),"",ReferenceData!$F$194),"")</f>
        <v>0.70538689600000004</v>
      </c>
      <c r="G194">
        <f ca="1">IFERROR(IF(0=LEN(ReferenceData!$G$194),"",ReferenceData!$G$194),"")</f>
        <v>0.64918918800000003</v>
      </c>
      <c r="H194">
        <f ca="1">IFERROR(IF(0=LEN(ReferenceData!$H$194),"",ReferenceData!$H$194),"")</f>
        <v>0.505410778</v>
      </c>
      <c r="I194">
        <f ca="1">IFERROR(IF(0=LEN(ReferenceData!$I$194),"",ReferenceData!$I$194),"")</f>
        <v>0.53258675499999997</v>
      </c>
      <c r="J194">
        <f ca="1">IFERROR(IF(0=LEN(ReferenceData!$J$194),"",ReferenceData!$J$194),"")</f>
        <v>0.536068824</v>
      </c>
      <c r="K194">
        <f ca="1">IFERROR(IF(0=LEN(ReferenceData!$K$194),"",ReferenceData!$K$194),"")</f>
        <v>0.57531165799999995</v>
      </c>
      <c r="L194">
        <f ca="1">IFERROR(IF(0=LEN(ReferenceData!$L$194),"",ReferenceData!$L$194),"")</f>
        <v>0.59118777499999997</v>
      </c>
      <c r="M194">
        <f ca="1">IFERROR(IF(0=LEN(ReferenceData!$M$194),"",ReferenceData!$M$194),"")</f>
        <v>0.67084703000000001</v>
      </c>
      <c r="N194">
        <f ca="1">IFERROR(IF(0=LEN(ReferenceData!$N$194),"",ReferenceData!$N$194),"")</f>
        <v>0.707338668</v>
      </c>
      <c r="O194">
        <f ca="1">IFERROR(IF(0=LEN(ReferenceData!$O$194),"",ReferenceData!$O$194),"")</f>
        <v>0.63212122000000004</v>
      </c>
      <c r="P194">
        <f ca="1">IFERROR(IF(0=LEN(ReferenceData!$P$194),"",ReferenceData!$P$194),"")</f>
        <v>0.81957615399999995</v>
      </c>
      <c r="Q194">
        <f ca="1">IFERROR(IF(0=LEN(ReferenceData!$Q$194),"",ReferenceData!$Q$194),"")</f>
        <v>0.72835334100000004</v>
      </c>
      <c r="R194">
        <f ca="1">IFERROR(IF(0=LEN(ReferenceData!$R$194),"",ReferenceData!$R$194),"")</f>
        <v>0.66687903599999998</v>
      </c>
      <c r="S194">
        <f ca="1">IFERROR(IF(0=LEN(ReferenceData!$S$194),"",ReferenceData!$S$194),"")</f>
        <v>0.56672172200000004</v>
      </c>
      <c r="T194">
        <f ca="1">IFERROR(IF(0=LEN(ReferenceData!$T$194),"",ReferenceData!$T$194),"")</f>
        <v>0.65703436500000001</v>
      </c>
      <c r="U194">
        <f ca="1">IFERROR(IF(0=LEN(ReferenceData!$U$194),"",ReferenceData!$U$194),"")</f>
        <v>0.54015390399999996</v>
      </c>
      <c r="V194">
        <f ca="1">IFERROR(IF(0=LEN(ReferenceData!$V$194),"",ReferenceData!$V$194),"")</f>
        <v>0.473635321</v>
      </c>
      <c r="W194">
        <f ca="1">IFERROR(IF(0=LEN(ReferenceData!$W$194),"",ReferenceData!$W$194),"")</f>
        <v>0.51649809199999996</v>
      </c>
      <c r="X194" t="str">
        <f ca="1">IFERROR(IF(0=LEN(ReferenceData!$X$194),"",ReferenceData!$X$194),"")</f>
        <v/>
      </c>
      <c r="Y194" t="str">
        <f ca="1">IFERROR(IF(0=LEN(ReferenceData!$Y$194),"",ReferenceData!$Y$194),"")</f>
        <v/>
      </c>
      <c r="Z194" t="str">
        <f ca="1">IFERROR(IF(0=LEN(ReferenceData!$Z$194),"",ReferenceData!$Z$194),"")</f>
        <v/>
      </c>
      <c r="AA194" t="str">
        <f ca="1">IFERROR(IF(0=LEN(ReferenceData!$AA$194),"",ReferenceData!$AA$194),"")</f>
        <v/>
      </c>
      <c r="AB194" t="str">
        <f ca="1">IFERROR(IF(0=LEN(ReferenceData!$AB$194),"",ReferenceData!$AB$194),"")</f>
        <v/>
      </c>
      <c r="AC194" t="str">
        <f ca="1">IFERROR(IF(0=LEN(ReferenceData!$AC$194),"",ReferenceData!$AC$194),"")</f>
        <v/>
      </c>
      <c r="AD194" t="str">
        <f ca="1">IFERROR(IF(0=LEN(ReferenceData!$AD$194),"",ReferenceData!$AD$194),"")</f>
        <v/>
      </c>
      <c r="AE194" t="str">
        <f ca="1">IFERROR(IF(0=LEN(ReferenceData!$AE$194),"",ReferenceData!$AE$194),"")</f>
        <v/>
      </c>
      <c r="AF194" t="str">
        <f ca="1">IFERROR(IF(0=LEN(ReferenceData!$AF$194),"",ReferenceData!$AF$194),"")</f>
        <v/>
      </c>
      <c r="AG194" t="str">
        <f ca="1">IFERROR(IF(0=LEN(ReferenceData!$AG$194),"",ReferenceData!$AG$194),"")</f>
        <v/>
      </c>
      <c r="AH194" t="str">
        <f ca="1">IFERROR(IF(0=LEN(ReferenceData!$AH$194),"",ReferenceData!$AH$194),"")</f>
        <v/>
      </c>
      <c r="AI194" t="str">
        <f ca="1">IFERROR(IF(0=LEN(ReferenceData!$AI$194),"",ReferenceData!$AI$194),"")</f>
        <v/>
      </c>
      <c r="AJ194" t="str">
        <f ca="1">IFERROR(IF(0=LEN(ReferenceData!$AJ$194),"",ReferenceData!$AJ$194),"")</f>
        <v/>
      </c>
      <c r="AK194" t="str">
        <f ca="1">IFERROR(IF(0=LEN(ReferenceData!$AK$194),"",ReferenceData!$AK$194),"")</f>
        <v/>
      </c>
      <c r="AL194" t="str">
        <f ca="1">IFERROR(IF(0=LEN(ReferenceData!$AL$194),"",ReferenceData!$AL$194),"")</f>
        <v/>
      </c>
      <c r="AM194" t="str">
        <f ca="1">IFERROR(IF(0=LEN(ReferenceData!$AM$194),"",ReferenceData!$AM$194),"")</f>
        <v/>
      </c>
      <c r="AN194" t="str">
        <f ca="1">IFERROR(IF(0=LEN(ReferenceData!$AN$194),"",ReferenceData!$AN$194),"")</f>
        <v/>
      </c>
      <c r="AO194" t="str">
        <f ca="1">IFERROR(IF(0=LEN(ReferenceData!$AO$194),"",ReferenceData!$AO$194),"")</f>
        <v/>
      </c>
      <c r="AP194" t="str">
        <f ca="1">IFERROR(IF(0=LEN(ReferenceData!$AP$194),"",ReferenceData!$AP$194),"")</f>
        <v/>
      </c>
      <c r="AQ194" t="str">
        <f ca="1">IFERROR(IF(0=LEN(ReferenceData!$AQ$194),"",ReferenceData!$AQ$194),"")</f>
        <v/>
      </c>
      <c r="AR194" t="str">
        <f ca="1">IFERROR(IF(0=LEN(ReferenceData!$AR$194),"",ReferenceData!$AR$194),"")</f>
        <v/>
      </c>
      <c r="AS194" t="str">
        <f ca="1">IFERROR(IF(0=LEN(ReferenceData!$AS$194),"",ReferenceData!$AS$194),"")</f>
        <v/>
      </c>
      <c r="AT194" t="str">
        <f ca="1">IFERROR(IF(0=LEN(ReferenceData!$AT$194),"",ReferenceData!$AT$194),"")</f>
        <v/>
      </c>
      <c r="AU194" t="str">
        <f ca="1">IFERROR(IF(0=LEN(ReferenceData!$AU$194),"",ReferenceData!$AU$194),"")</f>
        <v/>
      </c>
      <c r="AV194" t="str">
        <f ca="1">IFERROR(IF(0=LEN(ReferenceData!$AV$194),"",ReferenceData!$AV$194),"")</f>
        <v/>
      </c>
      <c r="AW194" t="str">
        <f ca="1">IFERROR(IF(0=LEN(ReferenceData!$AW$194),"",ReferenceData!$AW$194),"")</f>
        <v/>
      </c>
      <c r="AX194" t="str">
        <f ca="1">IFERROR(IF(0=LEN(ReferenceData!$AX$194),"",ReferenceData!$AX$194),"")</f>
        <v/>
      </c>
      <c r="AY194" t="str">
        <f ca="1">IFERROR(IF(0=LEN(ReferenceData!$AY$194),"",ReferenceData!$AY$194),"")</f>
        <v/>
      </c>
      <c r="AZ194" t="str">
        <f ca="1">IFERROR(IF(0=LEN(ReferenceData!$AZ$194),"",ReferenceData!$AZ$194),"")</f>
        <v/>
      </c>
      <c r="BA194" t="str">
        <f ca="1">IFERROR(IF(0=LEN(ReferenceData!$BA$194),"",ReferenceData!$BA$194),"")</f>
        <v/>
      </c>
      <c r="BB194" t="str">
        <f ca="1">IFERROR(IF(0=LEN(ReferenceData!$BB$194),"",ReferenceData!$BB$194),"")</f>
        <v/>
      </c>
      <c r="BC194" t="str">
        <f ca="1">IFERROR(IF(0=LEN(ReferenceData!$BC$194),"",ReferenceData!$BC$194),"")</f>
        <v/>
      </c>
      <c r="BD194" t="str">
        <f ca="1">IFERROR(IF(0=LEN(ReferenceData!$BD$194),"",ReferenceData!$BD$194),"")</f>
        <v/>
      </c>
      <c r="BE194" t="str">
        <f ca="1">IFERROR(IF(0=LEN(ReferenceData!$BE$194),"",ReferenceData!$BE$194),"")</f>
        <v/>
      </c>
      <c r="BF194" t="str">
        <f ca="1">IFERROR(IF(0=LEN(ReferenceData!$BF$194),"",ReferenceData!$BF$194),"")</f>
        <v/>
      </c>
      <c r="BG194" t="str">
        <f ca="1">IFERROR(IF(0=LEN(ReferenceData!$BG$194),"",ReferenceData!$BG$194),"")</f>
        <v/>
      </c>
      <c r="BH194" t="str">
        <f ca="1">IFERROR(IF(0=LEN(ReferenceData!$BH$194),"",ReferenceData!$BH$194),"")</f>
        <v/>
      </c>
      <c r="BI194" t="str">
        <f ca="1">IFERROR(IF(0=LEN(ReferenceData!$BI$194),"",ReferenceData!$BI$194),"")</f>
        <v/>
      </c>
      <c r="BJ194" t="str">
        <f ca="1">IFERROR(IF(0=LEN(ReferenceData!$BJ$194),"",ReferenceData!$BJ$194),"")</f>
        <v/>
      </c>
      <c r="BK194" t="str">
        <f ca="1">IFERROR(IF(0=LEN(ReferenceData!$BK$194),"",ReferenceData!$BK$194),"")</f>
        <v/>
      </c>
      <c r="BL194" t="str">
        <f ca="1">IFERROR(IF(0=LEN(ReferenceData!$BL$194),"",ReferenceData!$BL$194),"")</f>
        <v/>
      </c>
      <c r="BM194" t="str">
        <f ca="1">IFERROR(IF(0=LEN(ReferenceData!$BM$194),"",ReferenceData!$BM$194),"")</f>
        <v/>
      </c>
    </row>
    <row r="195" spans="1:65">
      <c r="A195" t="str">
        <f>IFERROR(IF(0=LEN(ReferenceData!$A$195),"",ReferenceData!$A$195),"")</f>
        <v xml:space="preserve">    Corporate Office Properties Tr</v>
      </c>
      <c r="B195" t="str">
        <f>IFERROR(IF(0=LEN(ReferenceData!$B$195),"",ReferenceData!$B$195),"")</f>
        <v>OFC US Equity</v>
      </c>
      <c r="C195" t="str">
        <f>IFERROR(IF(0=LEN(ReferenceData!$C$195),"",ReferenceData!$C$195),"")</f>
        <v>RR263</v>
      </c>
      <c r="D195" t="str">
        <f>IFERROR(IF(0=LEN(ReferenceData!$D$195),"",ReferenceData!$D$195),"")</f>
        <v>DEBT_TO_MKT_CAP</v>
      </c>
      <c r="E195" t="str">
        <f>IFERROR(IF(0=LEN(ReferenceData!$E$195),"",ReferenceData!$E$195),"")</f>
        <v>动态</v>
      </c>
      <c r="F195">
        <f ca="1">IFERROR(IF(0=LEN(ReferenceData!$F$195),"",ReferenceData!$F$195),"")</f>
        <v>0.68944175900000004</v>
      </c>
      <c r="G195">
        <f ca="1">IFERROR(IF(0=LEN(ReferenceData!$G$195),"",ReferenceData!$G$195),"")</f>
        <v>0.58043965399999997</v>
      </c>
      <c r="H195">
        <f ca="1">IFERROR(IF(0=LEN(ReferenceData!$H$195),"",ReferenceData!$H$195),"")</f>
        <v>0.57866793599999999</v>
      </c>
      <c r="I195">
        <f ca="1">IFERROR(IF(0=LEN(ReferenceData!$I$195),"",ReferenceData!$I$195),"")</f>
        <v>0.54947668299999997</v>
      </c>
      <c r="J195">
        <f ca="1">IFERROR(IF(0=LEN(ReferenceData!$J$195),"",ReferenceData!$J$195),"")</f>
        <v>0.58181643299999997</v>
      </c>
      <c r="K195">
        <f ca="1">IFERROR(IF(0=LEN(ReferenceData!$K$195),"",ReferenceData!$K$195),"")</f>
        <v>0.64357843599999998</v>
      </c>
      <c r="L195">
        <f ca="1">IFERROR(IF(0=LEN(ReferenceData!$L$195),"",ReferenceData!$L$195),"")</f>
        <v>0.69752203099999999</v>
      </c>
      <c r="M195">
        <f ca="1">IFERROR(IF(0=LEN(ReferenceData!$M$195),"",ReferenceData!$M$195),"")</f>
        <v>0.74834610300000004</v>
      </c>
      <c r="N195">
        <f ca="1">IFERROR(IF(0=LEN(ReferenceData!$N$195),"",ReferenceData!$N$195),"")</f>
        <v>0.861613611</v>
      </c>
      <c r="O195">
        <f ca="1">IFERROR(IF(0=LEN(ReferenceData!$O$195),"",ReferenceData!$O$195),"")</f>
        <v>1.0068282420000001</v>
      </c>
      <c r="P195">
        <f ca="1">IFERROR(IF(0=LEN(ReferenceData!$P$195),"",ReferenceData!$P$195),"")</f>
        <v>1.0670519030000001</v>
      </c>
      <c r="Q195">
        <f ca="1">IFERROR(IF(0=LEN(ReferenceData!$Q$195),"",ReferenceData!$Q$195),"")</f>
        <v>0.95720709100000001</v>
      </c>
      <c r="R195">
        <f ca="1">IFERROR(IF(0=LEN(ReferenceData!$R$195),"",ReferenceData!$R$195),"")</f>
        <v>0.72474467600000003</v>
      </c>
      <c r="S195">
        <f ca="1">IFERROR(IF(0=LEN(ReferenceData!$S$195),"",ReferenceData!$S$195),"")</f>
        <v>0.72920061899999999</v>
      </c>
      <c r="T195">
        <f ca="1">IFERROR(IF(0=LEN(ReferenceData!$T$195),"",ReferenceData!$T$195),"")</f>
        <v>0.909054731</v>
      </c>
      <c r="U195">
        <f ca="1">IFERROR(IF(0=LEN(ReferenceData!$U$195),"",ReferenceData!$U$195),"")</f>
        <v>0.86167197100000004</v>
      </c>
      <c r="V195">
        <f ca="1">IFERROR(IF(0=LEN(ReferenceData!$V$195),"",ReferenceData!$V$195),"")</f>
        <v>0.82776348499999997</v>
      </c>
      <c r="W195">
        <f ca="1">IFERROR(IF(0=LEN(ReferenceData!$W$195),"",ReferenceData!$W$195),"")</f>
        <v>0.93122815199999998</v>
      </c>
      <c r="X195">
        <f ca="1">IFERROR(IF(0=LEN(ReferenceData!$X$195),"",ReferenceData!$X$195),"")</f>
        <v>1.0580182410000001</v>
      </c>
      <c r="Y195">
        <f ca="1">IFERROR(IF(0=LEN(ReferenceData!$Y$195),"",ReferenceData!$Y$195),"")</f>
        <v>0.95713316199999998</v>
      </c>
      <c r="Z195">
        <f ca="1">IFERROR(IF(0=LEN(ReferenceData!$Z$195),"",ReferenceData!$Z$195),"")</f>
        <v>0.85547279899999995</v>
      </c>
      <c r="AA195">
        <f ca="1">IFERROR(IF(0=LEN(ReferenceData!$AA$195),"",ReferenceData!$AA$195),"")</f>
        <v>1.000465194</v>
      </c>
      <c r="AB195">
        <f ca="1">IFERROR(IF(0=LEN(ReferenceData!$AB$195),"",ReferenceData!$AB$195),"")</f>
        <v>1.255396105</v>
      </c>
      <c r="AC195">
        <f ca="1">IFERROR(IF(0=LEN(ReferenceData!$AC$195),"",ReferenceData!$AC$195),"")</f>
        <v>1.2941340429999999</v>
      </c>
      <c r="AD195">
        <f ca="1">IFERROR(IF(0=LEN(ReferenceData!$AD$195),"",ReferenceData!$AD$195),"")</f>
        <v>1.4465787080000001</v>
      </c>
      <c r="AE195">
        <f ca="1">IFERROR(IF(0=LEN(ReferenceData!$AE$195),"",ReferenceData!$AE$195),"")</f>
        <v>1.58537912</v>
      </c>
      <c r="AF195">
        <f ca="1">IFERROR(IF(0=LEN(ReferenceData!$AF$195),"",ReferenceData!$AF$195),"")</f>
        <v>1.54513849</v>
      </c>
      <c r="AG195">
        <f ca="1">IFERROR(IF(0=LEN(ReferenceData!$AG$195),"",ReferenceData!$AG$195),"")</f>
        <v>1.039497688</v>
      </c>
      <c r="AH195">
        <f ca="1">IFERROR(IF(0=LEN(ReferenceData!$AH$195),"",ReferenceData!$AH$195),"")</f>
        <v>0.99075319699999997</v>
      </c>
      <c r="AI195">
        <f ca="1">IFERROR(IF(0=LEN(ReferenceData!$AI$195),"",ReferenceData!$AI$195),"")</f>
        <v>0.994344746</v>
      </c>
      <c r="AJ195">
        <f ca="1">IFERROR(IF(0=LEN(ReferenceData!$AJ$195),"",ReferenceData!$AJ$195),"")</f>
        <v>0.89078700300000002</v>
      </c>
      <c r="AK195">
        <f ca="1">IFERROR(IF(0=LEN(ReferenceData!$AK$195),"",ReferenceData!$AK$195),"")</f>
        <v>0.98076927700000005</v>
      </c>
      <c r="AL195">
        <f ca="1">IFERROR(IF(0=LEN(ReferenceData!$AL$195),"",ReferenceData!$AL$195),"")</f>
        <v>0.89931873699999998</v>
      </c>
      <c r="AM195">
        <f ca="1">IFERROR(IF(0=LEN(ReferenceData!$AM$195),"",ReferenceData!$AM$195),"")</f>
        <v>0.96259181000000005</v>
      </c>
      <c r="AN195">
        <f ca="1">IFERROR(IF(0=LEN(ReferenceData!$AN$195),"",ReferenceData!$AN$195),"")</f>
        <v>0.88699849900000005</v>
      </c>
      <c r="AO195">
        <f ca="1">IFERROR(IF(0=LEN(ReferenceData!$AO$195),"",ReferenceData!$AO$195),"")</f>
        <v>1.0885197049999999</v>
      </c>
      <c r="AP195">
        <f ca="1">IFERROR(IF(0=LEN(ReferenceData!$AP$195),"",ReferenceData!$AP$195),"")</f>
        <v>1.4530965039999999</v>
      </c>
      <c r="AQ195">
        <f ca="1">IFERROR(IF(0=LEN(ReferenceData!$AQ$195),"",ReferenceData!$AQ$195),"")</f>
        <v>1.1722319990000001</v>
      </c>
      <c r="AR195">
        <f ca="1">IFERROR(IF(0=LEN(ReferenceData!$AR$195),"",ReferenceData!$AR$195),"")</f>
        <v>0.90282714100000006</v>
      </c>
      <c r="AS195">
        <f ca="1">IFERROR(IF(0=LEN(ReferenceData!$AS$195),"",ReferenceData!$AS$195),"")</f>
        <v>1.164698666</v>
      </c>
      <c r="AT195">
        <f ca="1">IFERROR(IF(0=LEN(ReferenceData!$AT$195),"",ReferenceData!$AT$195),"")</f>
        <v>1.159108115</v>
      </c>
      <c r="AU195">
        <f ca="1">IFERROR(IF(0=LEN(ReferenceData!$AU$195),"",ReferenceData!$AU$195),"")</f>
        <v>1.2237903080000001</v>
      </c>
      <c r="AV195">
        <f ca="1">IFERROR(IF(0=LEN(ReferenceData!$AV$195),"",ReferenceData!$AV$195),"")</f>
        <v>0.91672060399999999</v>
      </c>
      <c r="AW195">
        <f ca="1">IFERROR(IF(0=LEN(ReferenceData!$AW$195),"",ReferenceData!$AW$195),"")</f>
        <v>0.90786906999999994</v>
      </c>
      <c r="AX195">
        <f ca="1">IFERROR(IF(0=LEN(ReferenceData!$AX$195),"",ReferenceData!$AX$195),"")</f>
        <v>0.81480736799999998</v>
      </c>
      <c r="AY195">
        <f ca="1">IFERROR(IF(0=LEN(ReferenceData!$AY$195),"",ReferenceData!$AY$195),"")</f>
        <v>0.69337670100000004</v>
      </c>
      <c r="AZ195">
        <f ca="1">IFERROR(IF(0=LEN(ReferenceData!$AZ$195),"",ReferenceData!$AZ$195),"")</f>
        <v>0.74123053900000002</v>
      </c>
      <c r="BA195">
        <f ca="1">IFERROR(IF(0=LEN(ReferenceData!$BA$195),"",ReferenceData!$BA$195),"")</f>
        <v>0.806124285</v>
      </c>
      <c r="BB195">
        <f ca="1">IFERROR(IF(0=LEN(ReferenceData!$BB$195),"",ReferenceData!$BB$195),"")</f>
        <v>0.74338693899999997</v>
      </c>
      <c r="BC195">
        <f ca="1">IFERROR(IF(0=LEN(ReferenceData!$BC$195),"",ReferenceData!$BC$195),"")</f>
        <v>0.95906232199999997</v>
      </c>
      <c r="BD195">
        <f ca="1">IFERROR(IF(0=LEN(ReferenceData!$BD$195),"",ReferenceData!$BD$195),"")</f>
        <v>0.86447104900000005</v>
      </c>
      <c r="BE195">
        <f ca="1">IFERROR(IF(0=LEN(ReferenceData!$BE$195),"",ReferenceData!$BE$195),"")</f>
        <v>1.078927494</v>
      </c>
      <c r="BF195">
        <f ca="1">IFERROR(IF(0=LEN(ReferenceData!$BF$195),"",ReferenceData!$BF$195),"")</f>
        <v>1.123737271</v>
      </c>
      <c r="BG195">
        <f ca="1">IFERROR(IF(0=LEN(ReferenceData!$BG$195),"",ReferenceData!$BG$195),"")</f>
        <v>0.94977182900000001</v>
      </c>
      <c r="BH195">
        <f ca="1">IFERROR(IF(0=LEN(ReferenceData!$BH$195),"",ReferenceData!$BH$195),"")</f>
        <v>1.0884593300000001</v>
      </c>
      <c r="BI195">
        <f ca="1">IFERROR(IF(0=LEN(ReferenceData!$BI$195),"",ReferenceData!$BI$195),"")</f>
        <v>0.97198541199999999</v>
      </c>
      <c r="BJ195">
        <f ca="1">IFERROR(IF(0=LEN(ReferenceData!$BJ$195),"",ReferenceData!$BJ$195),"")</f>
        <v>1.078998168</v>
      </c>
      <c r="BK195">
        <f ca="1">IFERROR(IF(0=LEN(ReferenceData!$BK$195),"",ReferenceData!$BK$195),"")</f>
        <v>1.190368219</v>
      </c>
      <c r="BL195">
        <f ca="1">IFERROR(IF(0=LEN(ReferenceData!$BL$195),"",ReferenceData!$BL$195),"")</f>
        <v>1.394573539</v>
      </c>
      <c r="BM195">
        <f ca="1">IFERROR(IF(0=LEN(ReferenceData!$BM$195),"",ReferenceData!$BM$195),"")</f>
        <v>1.5329302970000001</v>
      </c>
    </row>
    <row r="196" spans="1:65">
      <c r="A196" t="str">
        <f>IFERROR(IF(0=LEN(ReferenceData!$A$196),"",ReferenceData!$A$196),"")</f>
        <v xml:space="preserve">    Highwoods Properties Inc</v>
      </c>
      <c r="B196" t="str">
        <f>IFERROR(IF(0=LEN(ReferenceData!$B$196),"",ReferenceData!$B$196),"")</f>
        <v>HIW US Equity</v>
      </c>
      <c r="C196" t="str">
        <f>IFERROR(IF(0=LEN(ReferenceData!$C$196),"",ReferenceData!$C$196),"")</f>
        <v>RR263</v>
      </c>
      <c r="D196" t="str">
        <f>IFERROR(IF(0=LEN(ReferenceData!$D$196),"",ReferenceData!$D$196),"")</f>
        <v>DEBT_TO_MKT_CAP</v>
      </c>
      <c r="E196" t="str">
        <f>IFERROR(IF(0=LEN(ReferenceData!$E$196),"",ReferenceData!$E$196),"")</f>
        <v>动态</v>
      </c>
      <c r="F196">
        <f ca="1">IFERROR(IF(0=LEN(ReferenceData!$F$196),"",ReferenceData!$F$196),"")</f>
        <v>0.438759118</v>
      </c>
      <c r="G196">
        <f ca="1">IFERROR(IF(0=LEN(ReferenceData!$G$196),"",ReferenceData!$G$196),"")</f>
        <v>0.38321506100000002</v>
      </c>
      <c r="H196">
        <f ca="1">IFERROR(IF(0=LEN(ReferenceData!$H$196),"",ReferenceData!$H$196),"")</f>
        <v>0.36566626899999999</v>
      </c>
      <c r="I196">
        <f ca="1">IFERROR(IF(0=LEN(ReferenceData!$I$196),"",ReferenceData!$I$196),"")</f>
        <v>0.38756539600000001</v>
      </c>
      <c r="J196">
        <f ca="1">IFERROR(IF(0=LEN(ReferenceData!$J$196),"",ReferenceData!$J$196),"")</f>
        <v>0.40891609699999998</v>
      </c>
      <c r="K196">
        <f ca="1">IFERROR(IF(0=LEN(ReferenceData!$K$196),"",ReferenceData!$K$196),"")</f>
        <v>0.381117223</v>
      </c>
      <c r="L196">
        <f ca="1">IFERROR(IF(0=LEN(ReferenceData!$L$196),"",ReferenceData!$L$196),"")</f>
        <v>0.36988251</v>
      </c>
      <c r="M196">
        <f ca="1">IFERROR(IF(0=LEN(ReferenceData!$M$196),"",ReferenceData!$M$196),"")</f>
        <v>0.404846288</v>
      </c>
      <c r="N196">
        <f ca="1">IFERROR(IF(0=LEN(ReferenceData!$N$196),"",ReferenceData!$N$196),"")</f>
        <v>0.45725118399999998</v>
      </c>
      <c r="O196">
        <f ca="1">IFERROR(IF(0=LEN(ReferenceData!$O$196),"",ReferenceData!$O$196),"")</f>
        <v>0.60141478100000001</v>
      </c>
      <c r="P196">
        <f ca="1">IFERROR(IF(0=LEN(ReferenceData!$P$196),"",ReferenceData!$P$196),"")</f>
        <v>0.67964900299999997</v>
      </c>
      <c r="Q196">
        <f ca="1">IFERROR(IF(0=LEN(ReferenceData!$Q$196),"",ReferenceData!$Q$196),"")</f>
        <v>0.56529516199999996</v>
      </c>
      <c r="R196">
        <f ca="1">IFERROR(IF(0=LEN(ReferenceData!$R$196),"",ReferenceData!$R$196),"")</f>
        <v>0.49114808900000001</v>
      </c>
      <c r="S196">
        <f ca="1">IFERROR(IF(0=LEN(ReferenceData!$S$196),"",ReferenceData!$S$196),"")</f>
        <v>0.51253776799999995</v>
      </c>
      <c r="T196">
        <f ca="1">IFERROR(IF(0=LEN(ReferenceData!$T$196),"",ReferenceData!$T$196),"")</f>
        <v>0.57291141099999998</v>
      </c>
      <c r="U196">
        <f ca="1">IFERROR(IF(0=LEN(ReferenceData!$U$196),"",ReferenceData!$U$196),"")</f>
        <v>0.54461393499999999</v>
      </c>
      <c r="V196">
        <f ca="1">IFERROR(IF(0=LEN(ReferenceData!$V$196),"",ReferenceData!$V$196),"")</f>
        <v>0.58266802900000003</v>
      </c>
      <c r="W196">
        <f ca="1">IFERROR(IF(0=LEN(ReferenceData!$W$196),"",ReferenceData!$W$196),"")</f>
        <v>0.60155338599999997</v>
      </c>
      <c r="X196">
        <f ca="1">IFERROR(IF(0=LEN(ReferenceData!$X$196),"",ReferenceData!$X$196),"")</f>
        <v>0.64621938000000001</v>
      </c>
      <c r="Y196">
        <f ca="1">IFERROR(IF(0=LEN(ReferenceData!$Y$196),"",ReferenceData!$Y$196),"")</f>
        <v>0.667320837</v>
      </c>
      <c r="Z196">
        <f ca="1">IFERROR(IF(0=LEN(ReferenceData!$Z$196),"",ReferenceData!$Z$196),"")</f>
        <v>0.59490546200000005</v>
      </c>
      <c r="AA196">
        <f ca="1">IFERROR(IF(0=LEN(ReferenceData!$AA$196),"",ReferenceData!$AA$196),"")</f>
        <v>0.70776008999999995</v>
      </c>
      <c r="AB196">
        <f ca="1">IFERROR(IF(0=LEN(ReferenceData!$AB$196),"",ReferenceData!$AB$196),"")</f>
        <v>0.708623161</v>
      </c>
      <c r="AC196">
        <f ca="1">IFERROR(IF(0=LEN(ReferenceData!$AC$196),"",ReferenceData!$AC$196),"")</f>
        <v>0.73289328300000001</v>
      </c>
      <c r="AD196">
        <f ca="1">IFERROR(IF(0=LEN(ReferenceData!$AD$196),"",ReferenceData!$AD$196),"")</f>
        <v>0.78636771800000005</v>
      </c>
      <c r="AE196">
        <f ca="1">IFERROR(IF(0=LEN(ReferenceData!$AE$196),"",ReferenceData!$AE$196),"")</f>
        <v>0.86787373199999995</v>
      </c>
      <c r="AF196">
        <f ca="1">IFERROR(IF(0=LEN(ReferenceData!$AF$196),"",ReferenceData!$AF$196),"")</f>
        <v>0.925696242</v>
      </c>
      <c r="AG196">
        <f ca="1">IFERROR(IF(0=LEN(ReferenceData!$AG$196),"",ReferenceData!$AG$196),"")</f>
        <v>0.67592423999999995</v>
      </c>
      <c r="AH196">
        <f ca="1">IFERROR(IF(0=LEN(ReferenceData!$AH$196),"",ReferenceData!$AH$196),"")</f>
        <v>0.618467722</v>
      </c>
      <c r="AI196">
        <f ca="1">IFERROR(IF(0=LEN(ReferenceData!$AI$196),"",ReferenceData!$AI$196),"")</f>
        <v>0.66728116900000001</v>
      </c>
      <c r="AJ196">
        <f ca="1">IFERROR(IF(0=LEN(ReferenceData!$AJ$196),"",ReferenceData!$AJ$196),"")</f>
        <v>0.64576652800000001</v>
      </c>
      <c r="AK196">
        <f ca="1">IFERROR(IF(0=LEN(ReferenceData!$AK$196),"",ReferenceData!$AK$196),"")</f>
        <v>0.73650781499999995</v>
      </c>
      <c r="AL196">
        <f ca="1">IFERROR(IF(0=LEN(ReferenceData!$AL$196),"",ReferenceData!$AL$196),"")</f>
        <v>0.64761718599999996</v>
      </c>
      <c r="AM196">
        <f ca="1">IFERROR(IF(0=LEN(ReferenceData!$AM$196),"",ReferenceData!$AM$196),"")</f>
        <v>0.61976028500000002</v>
      </c>
      <c r="AN196">
        <f ca="1">IFERROR(IF(0=LEN(ReferenceData!$AN$196),"",ReferenceData!$AN$196),"")</f>
        <v>0.66077416300000003</v>
      </c>
      <c r="AO196">
        <f ca="1">IFERROR(IF(0=LEN(ReferenceData!$AO$196),"",ReferenceData!$AO$196),"")</f>
        <v>0.90157811700000001</v>
      </c>
      <c r="AP196">
        <f ca="1">IFERROR(IF(0=LEN(ReferenceData!$AP$196),"",ReferenceData!$AP$196),"")</f>
        <v>1.1891301679999999</v>
      </c>
      <c r="AQ196">
        <f ca="1">IFERROR(IF(0=LEN(ReferenceData!$AQ$196),"",ReferenceData!$AQ$196),"")</f>
        <v>0.92266209399999999</v>
      </c>
      <c r="AR196">
        <f ca="1">IFERROR(IF(0=LEN(ReferenceData!$AR$196),"",ReferenceData!$AR$196),"")</f>
        <v>0.70343843100000003</v>
      </c>
      <c r="AS196">
        <f ca="1">IFERROR(IF(0=LEN(ReferenceData!$AS$196),"",ReferenceData!$AS$196),"")</f>
        <v>0.961916043</v>
      </c>
      <c r="AT196">
        <f ca="1">IFERROR(IF(0=LEN(ReferenceData!$AT$196),"",ReferenceData!$AT$196),"")</f>
        <v>0.95893059899999999</v>
      </c>
      <c r="AU196">
        <f ca="1">IFERROR(IF(0=LEN(ReferenceData!$AU$196),"",ReferenceData!$AU$196),"")</f>
        <v>0.97777086999999996</v>
      </c>
      <c r="AV196">
        <f ca="1">IFERROR(IF(0=LEN(ReferenceData!$AV$196),"",ReferenceData!$AV$196),"")</f>
        <v>0.76443170199999999</v>
      </c>
      <c r="AW196">
        <f ca="1">IFERROR(IF(0=LEN(ReferenceData!$AW$196),"",ReferenceData!$AW$196),"")</f>
        <v>0.73023450099999998</v>
      </c>
      <c r="AX196">
        <f ca="1">IFERROR(IF(0=LEN(ReferenceData!$AX$196),"",ReferenceData!$AX$196),"")</f>
        <v>0.66980204300000001</v>
      </c>
      <c r="AY196">
        <f ca="1">IFERROR(IF(0=LEN(ReferenceData!$AY$196),"",ReferenceData!$AY$196),"")</f>
        <v>0.64114926999999999</v>
      </c>
      <c r="AZ196">
        <f ca="1">IFERROR(IF(0=LEN(ReferenceData!$AZ$196),"",ReferenceData!$AZ$196),"")</f>
        <v>0.72531783800000005</v>
      </c>
      <c r="BA196">
        <f ca="1">IFERROR(IF(0=LEN(ReferenceData!$BA$196),"",ReferenceData!$BA$196),"")</f>
        <v>0.74889423499999996</v>
      </c>
      <c r="BB196">
        <f ca="1">IFERROR(IF(0=LEN(ReferenceData!$BB$196),"",ReferenceData!$BB$196),"")</f>
        <v>0.79577346299999996</v>
      </c>
      <c r="BC196">
        <f ca="1">IFERROR(IF(0=LEN(ReferenceData!$BC$196),"",ReferenceData!$BC$196),"")</f>
        <v>0.95735905700000001</v>
      </c>
      <c r="BD196">
        <f ca="1">IFERROR(IF(0=LEN(ReferenceData!$BD$196),"",ReferenceData!$BD$196),"")</f>
        <v>0.90911318699999999</v>
      </c>
      <c r="BE196">
        <f ca="1">IFERROR(IF(0=LEN(ReferenceData!$BE$196),"",ReferenceData!$BE$196),"")</f>
        <v>0.987847221</v>
      </c>
      <c r="BF196">
        <f ca="1">IFERROR(IF(0=LEN(ReferenceData!$BF$196),"",ReferenceData!$BF$196),"")</f>
        <v>1.0983816179999999</v>
      </c>
      <c r="BG196">
        <f ca="1">IFERROR(IF(0=LEN(ReferenceData!$BG$196),"",ReferenceData!$BG$196),"")</f>
        <v>1.100783423</v>
      </c>
      <c r="BH196">
        <f ca="1">IFERROR(IF(0=LEN(ReferenceData!$BH$196),"",ReferenceData!$BH$196),"")</f>
        <v>1.2604709650000001</v>
      </c>
      <c r="BI196">
        <f ca="1">IFERROR(IF(0=LEN(ReferenceData!$BI$196),"",ReferenceData!$BI$196),"")</f>
        <v>1.3225558909999999</v>
      </c>
      <c r="BJ196">
        <f ca="1">IFERROR(IF(0=LEN(ReferenceData!$BJ$196),"",ReferenceData!$BJ$196),"")</f>
        <v>1.2591859409999999</v>
      </c>
      <c r="BK196">
        <f ca="1">IFERROR(IF(0=LEN(ReferenceData!$BK$196),"",ReferenceData!$BK$196),"")</f>
        <v>1.177750117</v>
      </c>
      <c r="BL196">
        <f ca="1">IFERROR(IF(0=LEN(ReferenceData!$BL$196),"",ReferenceData!$BL$196),"")</f>
        <v>1.2733956209999999</v>
      </c>
      <c r="BM196">
        <f ca="1">IFERROR(IF(0=LEN(ReferenceData!$BM$196),"",ReferenceData!$BM$196),"")</f>
        <v>1.324106768</v>
      </c>
    </row>
    <row r="197" spans="1:65">
      <c r="A197" t="str">
        <f>IFERROR(IF(0=LEN(ReferenceData!$A$197),"",ReferenceData!$A$197),"")</f>
        <v xml:space="preserve">    Kilroy Realty Corp</v>
      </c>
      <c r="B197" t="str">
        <f>IFERROR(IF(0=LEN(ReferenceData!$B$197),"",ReferenceData!$B$197),"")</f>
        <v>KRC US Equity</v>
      </c>
      <c r="C197" t="str">
        <f>IFERROR(IF(0=LEN(ReferenceData!$C$197),"",ReferenceData!$C$197),"")</f>
        <v>RR263</v>
      </c>
      <c r="D197" t="str">
        <f>IFERROR(IF(0=LEN(ReferenceData!$D$197),"",ReferenceData!$D$197),"")</f>
        <v>DEBT_TO_MKT_CAP</v>
      </c>
      <c r="E197" t="str">
        <f>IFERROR(IF(0=LEN(ReferenceData!$E$197),"",ReferenceData!$E$197),"")</f>
        <v>动态</v>
      </c>
      <c r="F197">
        <f ca="1">IFERROR(IF(0=LEN(ReferenceData!$F$197),"",ReferenceData!$F$197),"")</f>
        <v>0.33746846899999999</v>
      </c>
      <c r="G197">
        <f ca="1">IFERROR(IF(0=LEN(ReferenceData!$G$197),"",ReferenceData!$G$197),"")</f>
        <v>0.31957894399999998</v>
      </c>
      <c r="H197">
        <f ca="1">IFERROR(IF(0=LEN(ReferenceData!$H$197),"",ReferenceData!$H$197),"")</f>
        <v>0.34809993700000003</v>
      </c>
      <c r="I197">
        <f ca="1">IFERROR(IF(0=LEN(ReferenceData!$I$197),"",ReferenceData!$I$197),"")</f>
        <v>0.34725715800000001</v>
      </c>
      <c r="J197">
        <f ca="1">IFERROR(IF(0=LEN(ReferenceData!$J$197),"",ReferenceData!$J$197),"")</f>
        <v>0.364101336</v>
      </c>
      <c r="K197">
        <f ca="1">IFERROR(IF(0=LEN(ReferenceData!$K$197),"",ReferenceData!$K$197),"")</f>
        <v>0.34340691600000001</v>
      </c>
      <c r="L197">
        <f ca="1">IFERROR(IF(0=LEN(ReferenceData!$L$197),"",ReferenceData!$L$197),"")</f>
        <v>0.34656963299999999</v>
      </c>
      <c r="M197">
        <f ca="1">IFERROR(IF(0=LEN(ReferenceData!$M$197),"",ReferenceData!$M$197),"")</f>
        <v>0.39897413300000001</v>
      </c>
      <c r="N197">
        <f ca="1">IFERROR(IF(0=LEN(ReferenceData!$N$197),"",ReferenceData!$N$197),"")</f>
        <v>0.40258491000000002</v>
      </c>
      <c r="O197">
        <f ca="1">IFERROR(IF(0=LEN(ReferenceData!$O$197),"",ReferenceData!$O$197),"")</f>
        <v>0.38135393400000001</v>
      </c>
      <c r="P197">
        <f ca="1">IFERROR(IF(0=LEN(ReferenceData!$P$197),"",ReferenceData!$P$197),"")</f>
        <v>0.44227736000000001</v>
      </c>
      <c r="Q197">
        <f ca="1">IFERROR(IF(0=LEN(ReferenceData!$Q$197),"",ReferenceData!$Q$197),"")</f>
        <v>0.39801882599999999</v>
      </c>
      <c r="R197">
        <f ca="1">IFERROR(IF(0=LEN(ReferenceData!$R$197),"",ReferenceData!$R$197),"")</f>
        <v>0.369337213</v>
      </c>
      <c r="S197">
        <f ca="1">IFERROR(IF(0=LEN(ReferenceData!$S$197),"",ReferenceData!$S$197),"")</f>
        <v>0.41593978300000001</v>
      </c>
      <c r="T197">
        <f ca="1">IFERROR(IF(0=LEN(ReferenceData!$T$197),"",ReferenceData!$T$197),"")</f>
        <v>0.49018595399999998</v>
      </c>
      <c r="U197">
        <f ca="1">IFERROR(IF(0=LEN(ReferenceData!$U$197),"",ReferenceData!$U$197),"")</f>
        <v>0.436406454</v>
      </c>
      <c r="V197">
        <f ca="1">IFERROR(IF(0=LEN(ReferenceData!$V$197),"",ReferenceData!$V$197),"")</f>
        <v>0.448474706</v>
      </c>
      <c r="W197">
        <f ca="1">IFERROR(IF(0=LEN(ReferenceData!$W$197),"",ReferenceData!$W$197),"")</f>
        <v>0.53512005699999998</v>
      </c>
      <c r="X197">
        <f ca="1">IFERROR(IF(0=LEN(ReferenceData!$X$197),"",ReferenceData!$X$197),"")</f>
        <v>0.53153660300000005</v>
      </c>
      <c r="Y197">
        <f ca="1">IFERROR(IF(0=LEN(ReferenceData!$Y$197),"",ReferenceData!$Y$197),"")</f>
        <v>0.54151298000000003</v>
      </c>
      <c r="Z197">
        <f ca="1">IFERROR(IF(0=LEN(ReferenceData!$Z$197),"",ReferenceData!$Z$197),"")</f>
        <v>0.55205760400000004</v>
      </c>
      <c r="AA197">
        <f ca="1">IFERROR(IF(0=LEN(ReferenceData!$AA$197),"",ReferenceData!$AA$197),"")</f>
        <v>0.576828165</v>
      </c>
      <c r="AB197">
        <f ca="1">IFERROR(IF(0=LEN(ReferenceData!$AB$197),"",ReferenceData!$AB$197),"")</f>
        <v>0.55624564700000001</v>
      </c>
      <c r="AC197">
        <f ca="1">IFERROR(IF(0=LEN(ReferenceData!$AC$197),"",ReferenceData!$AC$197),"")</f>
        <v>0.55890451900000004</v>
      </c>
      <c r="AD197">
        <f ca="1">IFERROR(IF(0=LEN(ReferenceData!$AD$197),"",ReferenceData!$AD$197),"")</f>
        <v>0.58521197599999997</v>
      </c>
      <c r="AE197">
        <f ca="1">IFERROR(IF(0=LEN(ReferenceData!$AE$197),"",ReferenceData!$AE$197),"")</f>
        <v>0.85136817799999998</v>
      </c>
      <c r="AF197">
        <f ca="1">IFERROR(IF(0=LEN(ReferenceData!$AF$197),"",ReferenceData!$AF$197),"")</f>
        <v>1.00180402</v>
      </c>
      <c r="AG197">
        <f ca="1">IFERROR(IF(0=LEN(ReferenceData!$AG$197),"",ReferenceData!$AG$197),"")</f>
        <v>0.75970936899999997</v>
      </c>
      <c r="AH197">
        <f ca="1">IFERROR(IF(0=LEN(ReferenceData!$AH$197),"",ReferenceData!$AH$197),"")</f>
        <v>0.75395324100000005</v>
      </c>
      <c r="AI197">
        <f ca="1">IFERROR(IF(0=LEN(ReferenceData!$AI$197),"",ReferenceData!$AI$197),"")</f>
        <v>0.74784244300000002</v>
      </c>
      <c r="AJ197">
        <f ca="1">IFERROR(IF(0=LEN(ReferenceData!$AJ$197),"",ReferenceData!$AJ$197),"")</f>
        <v>0.70496616000000001</v>
      </c>
      <c r="AK197">
        <f ca="1">IFERROR(IF(0=LEN(ReferenceData!$AK$197),"",ReferenceData!$AK$197),"")</f>
        <v>0.74299842100000002</v>
      </c>
      <c r="AL197">
        <f ca="1">IFERROR(IF(0=LEN(ReferenceData!$AL$197),"",ReferenceData!$AL$197),"")</f>
        <v>0.75220927900000001</v>
      </c>
      <c r="AM197">
        <f ca="1">IFERROR(IF(0=LEN(ReferenceData!$AM$197),"",ReferenceData!$AM$197),"")</f>
        <v>0.734498506</v>
      </c>
      <c r="AN197">
        <f ca="1">IFERROR(IF(0=LEN(ReferenceData!$AN$197),"",ReferenceData!$AN$197),"")</f>
        <v>0.80633012800000003</v>
      </c>
      <c r="AO197">
        <f ca="1">IFERROR(IF(0=LEN(ReferenceData!$AO$197),"",ReferenceData!$AO$197),"")</f>
        <v>1.0980647240000001</v>
      </c>
      <c r="AP197">
        <f ca="1">IFERROR(IF(0=LEN(ReferenceData!$AP$197),"",ReferenceData!$AP$197),"")</f>
        <v>2.0483340910000001</v>
      </c>
      <c r="AQ197">
        <f ca="1">IFERROR(IF(0=LEN(ReferenceData!$AQ$197),"",ReferenceData!$AQ$197),"")</f>
        <v>1.0318464490000001</v>
      </c>
      <c r="AR197">
        <f ca="1">IFERROR(IF(0=LEN(ReferenceData!$AR$197),"",ReferenceData!$AR$197),"")</f>
        <v>0.74059111600000005</v>
      </c>
      <c r="AS197">
        <f ca="1">IFERROR(IF(0=LEN(ReferenceData!$AS$197),"",ReferenceData!$AS$197),"")</f>
        <v>0.74847461000000004</v>
      </c>
      <c r="AT197">
        <f ca="1">IFERROR(IF(0=LEN(ReferenceData!$AT$197),"",ReferenceData!$AT$197),"")</f>
        <v>0.70098554599999996</v>
      </c>
      <c r="AU197">
        <f ca="1">IFERROR(IF(0=LEN(ReferenceData!$AU$197),"",ReferenceData!$AU$197),"")</f>
        <v>0.61472317200000004</v>
      </c>
      <c r="AV197">
        <f ca="1">IFERROR(IF(0=LEN(ReferenceData!$AV$197),"",ReferenceData!$AV$197),"")</f>
        <v>0.52957576900000003</v>
      </c>
      <c r="AW197">
        <f ca="1">IFERROR(IF(0=LEN(ReferenceData!$AW$197),"",ReferenceData!$AW$197),"")</f>
        <v>0.439587585</v>
      </c>
      <c r="AX197">
        <f ca="1">IFERROR(IF(0=LEN(ReferenceData!$AX$197),"",ReferenceData!$AX$197),"")</f>
        <v>0.38574397199999999</v>
      </c>
      <c r="AY197">
        <f ca="1">IFERROR(IF(0=LEN(ReferenceData!$AY$197),"",ReferenceData!$AY$197),"")</f>
        <v>0.34801333099999998</v>
      </c>
      <c r="AZ197">
        <f ca="1">IFERROR(IF(0=LEN(ReferenceData!$AZ$197),"",ReferenceData!$AZ$197),"")</f>
        <v>0.34300956300000002</v>
      </c>
      <c r="BA197">
        <f ca="1">IFERROR(IF(0=LEN(ReferenceData!$BA$197),"",ReferenceData!$BA$197),"")</f>
        <v>0.373688148</v>
      </c>
      <c r="BB197">
        <f ca="1">IFERROR(IF(0=LEN(ReferenceData!$BB$197),"",ReferenceData!$BB$197),"")</f>
        <v>0.404129181</v>
      </c>
      <c r="BC197">
        <f ca="1">IFERROR(IF(0=LEN(ReferenceData!$BC$197),"",ReferenceData!$BC$197),"")</f>
        <v>0.47045602199999997</v>
      </c>
      <c r="BD197">
        <f ca="1">IFERROR(IF(0=LEN(ReferenceData!$BD$197),"",ReferenceData!$BD$197),"")</f>
        <v>0.51259203099999995</v>
      </c>
      <c r="BE197">
        <f ca="1">IFERROR(IF(0=LEN(ReferenceData!$BE$197),"",ReferenceData!$BE$197),"")</f>
        <v>0.59642697499999997</v>
      </c>
      <c r="BF197">
        <f ca="1">IFERROR(IF(0=LEN(ReferenceData!$BF$197),"",ReferenceData!$BF$197),"")</f>
        <v>0.66636989999999996</v>
      </c>
      <c r="BG197">
        <f ca="1">IFERROR(IF(0=LEN(ReferenceData!$BG$197),"",ReferenceData!$BG$197),"")</f>
        <v>0.65715168099999999</v>
      </c>
      <c r="BH197">
        <f ca="1">IFERROR(IF(0=LEN(ReferenceData!$BH$197),"",ReferenceData!$BH$197),"")</f>
        <v>0.67633478999999996</v>
      </c>
      <c r="BI197">
        <f ca="1">IFERROR(IF(0=LEN(ReferenceData!$BI$197),"",ReferenceData!$BI$197),"")</f>
        <v>0.77961809800000004</v>
      </c>
      <c r="BJ197">
        <f ca="1">IFERROR(IF(0=LEN(ReferenceData!$BJ$197),"",ReferenceData!$BJ$197),"")</f>
        <v>0.76299039300000004</v>
      </c>
      <c r="BK197">
        <f ca="1">IFERROR(IF(0=LEN(ReferenceData!$BK$197),"",ReferenceData!$BK$197),"")</f>
        <v>0.82848843699999997</v>
      </c>
      <c r="BL197">
        <f ca="1">IFERROR(IF(0=LEN(ReferenceData!$BL$197),"",ReferenceData!$BL$197),"")</f>
        <v>0.950451571</v>
      </c>
      <c r="BM197">
        <f ca="1">IFERROR(IF(0=LEN(ReferenceData!$BM$197),"",ReferenceData!$BM$197),"")</f>
        <v>1.0129694490000001</v>
      </c>
    </row>
    <row r="198" spans="1:65">
      <c r="A198" t="str">
        <f>IFERROR(IF(0=LEN(ReferenceData!$A$198),"",ReferenceData!$A$198),"")</f>
        <v xml:space="preserve">    Mack-Cali Realty Corp</v>
      </c>
      <c r="B198" t="str">
        <f>IFERROR(IF(0=LEN(ReferenceData!$B$198),"",ReferenceData!$B$198),"")</f>
        <v>CLI US Equity</v>
      </c>
      <c r="C198" t="str">
        <f>IFERROR(IF(0=LEN(ReferenceData!$C$198),"",ReferenceData!$C$198),"")</f>
        <v>RR263</v>
      </c>
      <c r="D198" t="str">
        <f>IFERROR(IF(0=LEN(ReferenceData!$D$198),"",ReferenceData!$D$198),"")</f>
        <v>DEBT_TO_MKT_CAP</v>
      </c>
      <c r="E198" t="str">
        <f>IFERROR(IF(0=LEN(ReferenceData!$E$198),"",ReferenceData!$E$198),"")</f>
        <v>动态</v>
      </c>
      <c r="F198">
        <f ca="1">IFERROR(IF(0=LEN(ReferenceData!$F$198),"",ReferenceData!$F$198),"")</f>
        <v>1.765948957</v>
      </c>
      <c r="G198">
        <f ca="1">IFERROR(IF(0=LEN(ReferenceData!$G$198),"",ReferenceData!$G$198),"")</f>
        <v>1.449316015</v>
      </c>
      <c r="H198">
        <f ca="1">IFERROR(IF(0=LEN(ReferenceData!$H$198),"",ReferenceData!$H$198),"")</f>
        <v>1.331797318</v>
      </c>
      <c r="I198">
        <f ca="1">IFERROR(IF(0=LEN(ReferenceData!$I$198),"",ReferenceData!$I$198),"")</f>
        <v>1.2094970759999999</v>
      </c>
      <c r="J198">
        <f ca="1">IFERROR(IF(0=LEN(ReferenceData!$J$198),"",ReferenceData!$J$198),"")</f>
        <v>1.1283988359999999</v>
      </c>
      <c r="K198">
        <f ca="1">IFERROR(IF(0=LEN(ReferenceData!$K$198),"",ReferenceData!$K$198),"")</f>
        <v>0.89905396999999998</v>
      </c>
      <c r="L198">
        <f ca="1">IFERROR(IF(0=LEN(ReferenceData!$L$198),"",ReferenceData!$L$198),"")</f>
        <v>1.006150372</v>
      </c>
      <c r="M198">
        <f ca="1">IFERROR(IF(0=LEN(ReferenceData!$M$198),"",ReferenceData!$M$198),"")</f>
        <v>0.93253235199999995</v>
      </c>
      <c r="N198">
        <f ca="1">IFERROR(IF(0=LEN(ReferenceData!$N$198),"",ReferenceData!$N$198),"")</f>
        <v>1.0778063600000001</v>
      </c>
      <c r="O198">
        <f ca="1">IFERROR(IF(0=LEN(ReferenceData!$O$198),"",ReferenceData!$O$198),"")</f>
        <v>1.028767124</v>
      </c>
      <c r="P198">
        <f ca="1">IFERROR(IF(0=LEN(ReferenceData!$P$198),"",ReferenceData!$P$198),"")</f>
        <v>1.2149624450000001</v>
      </c>
      <c r="Q198">
        <f ca="1">IFERROR(IF(0=LEN(ReferenceData!$Q$198),"",ReferenceData!$Q$198),"")</f>
        <v>1.238747635</v>
      </c>
      <c r="R198">
        <f ca="1">IFERROR(IF(0=LEN(ReferenceData!$R$198),"",ReferenceData!$R$198),"")</f>
        <v>1.2271219769999999</v>
      </c>
      <c r="S198">
        <f ca="1">IFERROR(IF(0=LEN(ReferenceData!$S$198),"",ReferenceData!$S$198),"")</f>
        <v>1.2308444780000001</v>
      </c>
      <c r="T198">
        <f ca="1">IFERROR(IF(0=LEN(ReferenceData!$T$198),"",ReferenceData!$T$198),"")</f>
        <v>1.3164419359999999</v>
      </c>
      <c r="U198">
        <f ca="1">IFERROR(IF(0=LEN(ReferenceData!$U$198),"",ReferenceData!$U$198),"")</f>
        <v>1.1595793780000001</v>
      </c>
      <c r="V198">
        <f ca="1">IFERROR(IF(0=LEN(ReferenceData!$V$198),"",ReferenceData!$V$198),"")</f>
        <v>1.2119967890000001</v>
      </c>
      <c r="W198">
        <f ca="1">IFERROR(IF(0=LEN(ReferenceData!$W$198),"",ReferenceData!$W$198),"")</f>
        <v>1.2496505950000001</v>
      </c>
      <c r="X198">
        <f ca="1">IFERROR(IF(0=LEN(ReferenceData!$X$198),"",ReferenceData!$X$198),"")</f>
        <v>1.226694387</v>
      </c>
      <c r="Y198">
        <f ca="1">IFERROR(IF(0=LEN(ReferenceData!$Y$198),"",ReferenceData!$Y$198),"")</f>
        <v>1.100245484</v>
      </c>
      <c r="Z198">
        <f ca="1">IFERROR(IF(0=LEN(ReferenceData!$Z$198),"",ReferenceData!$Z$198),"")</f>
        <v>0.91313357399999995</v>
      </c>
      <c r="AA198">
        <f ca="1">IFERROR(IF(0=LEN(ReferenceData!$AA$198),"",ReferenceData!$AA$198),"")</f>
        <v>0.96557299200000002</v>
      </c>
      <c r="AB198">
        <f ca="1">IFERROR(IF(0=LEN(ReferenceData!$AB$198),"",ReferenceData!$AB$198),"")</f>
        <v>0.84341862700000003</v>
      </c>
      <c r="AC198">
        <f ca="1">IFERROR(IF(0=LEN(ReferenceData!$AC$198),"",ReferenceData!$AC$198),"")</f>
        <v>0.75585638099999997</v>
      </c>
      <c r="AD198">
        <f ca="1">IFERROR(IF(0=LEN(ReferenceData!$AD$198),"",ReferenceData!$AD$198),"")</f>
        <v>0.766956623</v>
      </c>
      <c r="AE198">
        <f ca="1">IFERROR(IF(0=LEN(ReferenceData!$AE$198),"",ReferenceData!$AE$198),"")</f>
        <v>0.82301765400000004</v>
      </c>
      <c r="AF198">
        <f ca="1">IFERROR(IF(0=LEN(ReferenceData!$AF$198),"",ReferenceData!$AF$198),"")</f>
        <v>0.80998681900000002</v>
      </c>
      <c r="AG198">
        <f ca="1">IFERROR(IF(0=LEN(ReferenceData!$AG$198),"",ReferenceData!$AG$198),"")</f>
        <v>0.65264745899999999</v>
      </c>
      <c r="AH198">
        <f ca="1">IFERROR(IF(0=LEN(ReferenceData!$AH$198),"",ReferenceData!$AH$198),"")</f>
        <v>0.63763333200000005</v>
      </c>
      <c r="AI198">
        <f ca="1">IFERROR(IF(0=LEN(ReferenceData!$AI$198),"",ReferenceData!$AI$198),"")</f>
        <v>0.79470847600000005</v>
      </c>
      <c r="AJ198">
        <f ca="1">IFERROR(IF(0=LEN(ReferenceData!$AJ$198),"",ReferenceData!$AJ$198),"")</f>
        <v>0.83404819399999996</v>
      </c>
      <c r="AK198">
        <f ca="1">IFERROR(IF(0=LEN(ReferenceData!$AK$198),"",ReferenceData!$AK$198),"")</f>
        <v>0.91918303199999996</v>
      </c>
      <c r="AL198">
        <f ca="1">IFERROR(IF(0=LEN(ReferenceData!$AL$198),"",ReferenceData!$AL$198),"")</f>
        <v>0.83716543499999996</v>
      </c>
      <c r="AM198">
        <f ca="1">IFERROR(IF(0=LEN(ReferenceData!$AM$198),"",ReferenceData!$AM$198),"")</f>
        <v>0.859709532</v>
      </c>
      <c r="AN198">
        <f ca="1">IFERROR(IF(0=LEN(ReferenceData!$AN$198),"",ReferenceData!$AN$198),"")</f>
        <v>0.92311391700000001</v>
      </c>
      <c r="AO198">
        <f ca="1">IFERROR(IF(0=LEN(ReferenceData!$AO$198),"",ReferenceData!$AO$198),"")</f>
        <v>1.171993772</v>
      </c>
      <c r="AP198">
        <f ca="1">IFERROR(IF(0=LEN(ReferenceData!$AP$198),"",ReferenceData!$AP$198),"")</f>
        <v>1.713105316</v>
      </c>
      <c r="AQ198">
        <f ca="1">IFERROR(IF(0=LEN(ReferenceData!$AQ$198),"",ReferenceData!$AQ$198),"")</f>
        <v>1.378822285</v>
      </c>
      <c r="AR198">
        <f ca="1">IFERROR(IF(0=LEN(ReferenceData!$AR$198),"",ReferenceData!$AR$198),"")</f>
        <v>1.0016483920000001</v>
      </c>
      <c r="AS198">
        <f ca="1">IFERROR(IF(0=LEN(ReferenceData!$AS$198),"",ReferenceData!$AS$198),"")</f>
        <v>0.99548220700000001</v>
      </c>
      <c r="AT198">
        <f ca="1">IFERROR(IF(0=LEN(ReferenceData!$AT$198),"",ReferenceData!$AT$198),"")</f>
        <v>0.955252871</v>
      </c>
      <c r="AU198">
        <f ca="1">IFERROR(IF(0=LEN(ReferenceData!$AU$198),"",ReferenceData!$AU$198),"")</f>
        <v>0.95787374800000002</v>
      </c>
      <c r="AV198">
        <f ca="1">IFERROR(IF(0=LEN(ReferenceData!$AV$198),"",ReferenceData!$AV$198),"")</f>
        <v>0.76334692500000001</v>
      </c>
      <c r="AW198">
        <f ca="1">IFERROR(IF(0=LEN(ReferenceData!$AW$198),"",ReferenceData!$AW$198),"")</f>
        <v>0.71487013300000002</v>
      </c>
      <c r="AX198">
        <f ca="1">IFERROR(IF(0=LEN(ReferenceData!$AX$198),"",ReferenceData!$AX$198),"")</f>
        <v>0.61816251700000002</v>
      </c>
      <c r="AY198">
        <f ca="1">IFERROR(IF(0=LEN(ReferenceData!$AY$198),"",ReferenceData!$AY$198),"")</f>
        <v>0.67650094100000002</v>
      </c>
      <c r="AZ198">
        <f ca="1">IFERROR(IF(0=LEN(ReferenceData!$AZ$198),"",ReferenceData!$AZ$198),"")</f>
        <v>0.75674827</v>
      </c>
      <c r="BA198">
        <f ca="1">IFERROR(IF(0=LEN(ReferenceData!$BA$198),"",ReferenceData!$BA$198),"")</f>
        <v>0.82738140500000001</v>
      </c>
      <c r="BB198">
        <f ca="1">IFERROR(IF(0=LEN(ReferenceData!$BB$198),"",ReferenceData!$BB$198),"")</f>
        <v>0.70653648300000005</v>
      </c>
      <c r="BC198">
        <f ca="1">IFERROR(IF(0=LEN(ReferenceData!$BC$198),"",ReferenceData!$BC$198),"")</f>
        <v>0.79587764800000005</v>
      </c>
      <c r="BD198">
        <f ca="1">IFERROR(IF(0=LEN(ReferenceData!$BD$198),"",ReferenceData!$BD$198),"")</f>
        <v>0.72403450700000005</v>
      </c>
      <c r="BE198">
        <f ca="1">IFERROR(IF(0=LEN(ReferenceData!$BE$198),"",ReferenceData!$BE$198),"")</f>
        <v>0.70513031900000001</v>
      </c>
      <c r="BF198">
        <f ca="1">IFERROR(IF(0=LEN(ReferenceData!$BF$198),"",ReferenceData!$BF$198),"")</f>
        <v>0.79498856799999995</v>
      </c>
      <c r="BG198">
        <f ca="1">IFERROR(IF(0=LEN(ReferenceData!$BG$198),"",ReferenceData!$BG$198),"")</f>
        <v>0.60768851700000004</v>
      </c>
      <c r="BH198">
        <f ca="1">IFERROR(IF(0=LEN(ReferenceData!$BH$198),"",ReferenceData!$BH$198),"")</f>
        <v>0.63139573100000002</v>
      </c>
      <c r="BI198">
        <f ca="1">IFERROR(IF(0=LEN(ReferenceData!$BI$198),"",ReferenceData!$BI$198),"")</f>
        <v>0.67615892700000002</v>
      </c>
      <c r="BJ198">
        <f ca="1">IFERROR(IF(0=LEN(ReferenceData!$BJ$198),"",ReferenceData!$BJ$198),"")</f>
        <v>0.57803665400000004</v>
      </c>
      <c r="BK198">
        <f ca="1">IFERROR(IF(0=LEN(ReferenceData!$BK$198),"",ReferenceData!$BK$198),"")</f>
        <v>0.67128905699999997</v>
      </c>
      <c r="BL198">
        <f ca="1">IFERROR(IF(0=LEN(ReferenceData!$BL$198),"",ReferenceData!$BL$198),"")</f>
        <v>0.71610525199999997</v>
      </c>
      <c r="BM198">
        <f ca="1">IFERROR(IF(0=LEN(ReferenceData!$BM$198),"",ReferenceData!$BM$198),"")</f>
        <v>0.82339833500000004</v>
      </c>
    </row>
    <row r="199" spans="1:65">
      <c r="A199" t="str">
        <f>IFERROR(IF(0=LEN(ReferenceData!$A$199),"",ReferenceData!$A$199),"")</f>
        <v xml:space="preserve">    Piedmont Office Realty Trust I</v>
      </c>
      <c r="B199" t="str">
        <f>IFERROR(IF(0=LEN(ReferenceData!$B$199),"",ReferenceData!$B$199),"")</f>
        <v>PDM US Equity</v>
      </c>
      <c r="C199" t="str">
        <f>IFERROR(IF(0=LEN(ReferenceData!$C$199),"",ReferenceData!$C$199),"")</f>
        <v>RR263</v>
      </c>
      <c r="D199" t="str">
        <f>IFERROR(IF(0=LEN(ReferenceData!$D$199),"",ReferenceData!$D$199),"")</f>
        <v>DEBT_TO_MKT_CAP</v>
      </c>
      <c r="E199" t="str">
        <f>IFERROR(IF(0=LEN(ReferenceData!$E$199),"",ReferenceData!$E$199),"")</f>
        <v>动态</v>
      </c>
      <c r="F199">
        <f ca="1">IFERROR(IF(0=LEN(ReferenceData!$F$199),"",ReferenceData!$F$199),"")</f>
        <v>0.7289525</v>
      </c>
      <c r="G199">
        <f ca="1">IFERROR(IF(0=LEN(ReferenceData!$G$199),"",ReferenceData!$G$199),"")</f>
        <v>0.60997718000000001</v>
      </c>
      <c r="H199">
        <f ca="1">IFERROR(IF(0=LEN(ReferenceData!$H$199),"",ReferenceData!$H$199),"")</f>
        <v>0.58081905199999995</v>
      </c>
      <c r="I199">
        <f ca="1">IFERROR(IF(0=LEN(ReferenceData!$I$199),"",ReferenceData!$I$199),"")</f>
        <v>0.67006675800000004</v>
      </c>
      <c r="J199">
        <f ca="1">IFERROR(IF(0=LEN(ReferenceData!$J$199),"",ReferenceData!$J$199),"")</f>
        <v>0.66490347999999999</v>
      </c>
      <c r="K199">
        <f ca="1">IFERROR(IF(0=LEN(ReferenceData!$K$199),"",ReferenceData!$K$199),"")</f>
        <v>0.66531489200000005</v>
      </c>
      <c r="L199">
        <f ca="1">IFERROR(IF(0=LEN(ReferenceData!$L$199),"",ReferenceData!$L$199),"")</f>
        <v>0.630708143</v>
      </c>
      <c r="M199">
        <f ca="1">IFERROR(IF(0=LEN(ReferenceData!$M$199),"",ReferenceData!$M$199),"")</f>
        <v>0.60282706399999997</v>
      </c>
      <c r="N199">
        <f ca="1">IFERROR(IF(0=LEN(ReferenceData!$N$199),"",ReferenceData!$N$199),"")</f>
        <v>0.67982392400000002</v>
      </c>
      <c r="O199">
        <f ca="1">IFERROR(IF(0=LEN(ReferenceData!$O$199),"",ReferenceData!$O$199),"")</f>
        <v>0.73875670699999996</v>
      </c>
      <c r="P199">
        <f ca="1">IFERROR(IF(0=LEN(ReferenceData!$P$199),"",ReferenceData!$P$199),"")</f>
        <v>0.89704918300000003</v>
      </c>
      <c r="Q199">
        <f ca="1">IFERROR(IF(0=LEN(ReferenceData!$Q$199),"",ReferenceData!$Q$199),"")</f>
        <v>0.85438565899999996</v>
      </c>
      <c r="R199">
        <f ca="1">IFERROR(IF(0=LEN(ReferenceData!$R$199),"",ReferenceData!$R$199),"")</f>
        <v>0.80985475200000001</v>
      </c>
      <c r="S199">
        <f ca="1">IFERROR(IF(0=LEN(ReferenceData!$S$199),"",ReferenceData!$S$199),"")</f>
        <v>0.78073868000000002</v>
      </c>
      <c r="T199">
        <f ca="1">IFERROR(IF(0=LEN(ReferenceData!$T$199),"",ReferenceData!$T$199),"")</f>
        <v>0.82057170700000004</v>
      </c>
      <c r="U199">
        <f ca="1">IFERROR(IF(0=LEN(ReferenceData!$U$199),"",ReferenceData!$U$199),"")</f>
        <v>0.72113909899999995</v>
      </c>
      <c r="V199">
        <f ca="1">IFERROR(IF(0=LEN(ReferenceData!$V$199),"",ReferenceData!$V$199),"")</f>
        <v>0.76711708300000003</v>
      </c>
      <c r="W199">
        <f ca="1">IFERROR(IF(0=LEN(ReferenceData!$W$199),"",ReferenceData!$W$199),"")</f>
        <v>0.75226008700000002</v>
      </c>
      <c r="X199">
        <f ca="1">IFERROR(IF(0=LEN(ReferenceData!$X$199),"",ReferenceData!$X$199),"")</f>
        <v>0.63120416599999996</v>
      </c>
      <c r="Y199">
        <f ca="1">IFERROR(IF(0=LEN(ReferenceData!$Y$199),"",ReferenceData!$Y$199),"")</f>
        <v>0.570496793</v>
      </c>
      <c r="Z199">
        <f ca="1">IFERROR(IF(0=LEN(ReferenceData!$Z$199),"",ReferenceData!$Z$199),"")</f>
        <v>0.51776737399999995</v>
      </c>
      <c r="AA199">
        <f ca="1">IFERROR(IF(0=LEN(ReferenceData!$AA$199),"",ReferenceData!$AA$199),"")</f>
        <v>0.46755580600000002</v>
      </c>
      <c r="AB199">
        <f ca="1">IFERROR(IF(0=LEN(ReferenceData!$AB$199),"",ReferenceData!$AB$199),"")</f>
        <v>0.490325866</v>
      </c>
      <c r="AC199">
        <f ca="1">IFERROR(IF(0=LEN(ReferenceData!$AC$199),"",ReferenceData!$AC$199),"")</f>
        <v>0.47112069400000001</v>
      </c>
      <c r="AD199">
        <f ca="1">IFERROR(IF(0=LEN(ReferenceData!$AD$199),"",ReferenceData!$AD$199),"")</f>
        <v>0.44139908500000002</v>
      </c>
      <c r="AE199">
        <f ca="1">IFERROR(IF(0=LEN(ReferenceData!$AE$199),"",ReferenceData!$AE$199),"")</f>
        <v>0.500013241</v>
      </c>
      <c r="AF199">
        <f ca="1">IFERROR(IF(0=LEN(ReferenceData!$AF$199),"",ReferenceData!$AF$199),"")</f>
        <v>0.55268040900000004</v>
      </c>
      <c r="AG199">
        <f ca="1">IFERROR(IF(0=LEN(ReferenceData!$AG$199),"",ReferenceData!$AG$199),"")</f>
        <v>0.46475944299999999</v>
      </c>
      <c r="AH199">
        <f ca="1">IFERROR(IF(0=LEN(ReferenceData!$AH$199),"",ReferenceData!$AH$199),"")</f>
        <v>0.47750580799999998</v>
      </c>
      <c r="AI199">
        <f ca="1">IFERROR(IF(0=LEN(ReferenceData!$AI$199),"",ReferenceData!$AI$199),"")</f>
        <v>0.40333249100000002</v>
      </c>
      <c r="AJ199">
        <f ca="1">IFERROR(IF(0=LEN(ReferenceData!$AJ$199),"",ReferenceData!$AJ$199),"")</f>
        <v>0.429567109</v>
      </c>
      <c r="AK199">
        <f ca="1">IFERROR(IF(0=LEN(ReferenceData!$AK$199),"",ReferenceData!$AK$199),"")</f>
        <v>0.43369547200000003</v>
      </c>
      <c r="AL199">
        <f ca="1">IFERROR(IF(0=LEN(ReferenceData!$AL$199),"",ReferenceData!$AL$199),"")</f>
        <v>0.409432303</v>
      </c>
      <c r="AM199" t="str">
        <f ca="1">IFERROR(IF(0=LEN(ReferenceData!$AM$199),"",ReferenceData!$AM$199),"")</f>
        <v/>
      </c>
      <c r="AN199" t="str">
        <f ca="1">IFERROR(IF(0=LEN(ReferenceData!$AN$199),"",ReferenceData!$AN$199),"")</f>
        <v/>
      </c>
      <c r="AO199" t="str">
        <f ca="1">IFERROR(IF(0=LEN(ReferenceData!$AO$199),"",ReferenceData!$AO$199),"")</f>
        <v/>
      </c>
      <c r="AP199" t="str">
        <f ca="1">IFERROR(IF(0=LEN(ReferenceData!$AP$199),"",ReferenceData!$AP$199),"")</f>
        <v/>
      </c>
      <c r="AQ199" t="str">
        <f ca="1">IFERROR(IF(0=LEN(ReferenceData!$AQ$199),"",ReferenceData!$AQ$199),"")</f>
        <v/>
      </c>
      <c r="AR199" t="str">
        <f ca="1">IFERROR(IF(0=LEN(ReferenceData!$AR$199),"",ReferenceData!$AR$199),"")</f>
        <v/>
      </c>
      <c r="AS199" t="str">
        <f ca="1">IFERROR(IF(0=LEN(ReferenceData!$AS$199),"",ReferenceData!$AS$199),"")</f>
        <v/>
      </c>
      <c r="AT199" t="str">
        <f ca="1">IFERROR(IF(0=LEN(ReferenceData!$AT$199),"",ReferenceData!$AT$199),"")</f>
        <v/>
      </c>
      <c r="AU199" t="str">
        <f ca="1">IFERROR(IF(0=LEN(ReferenceData!$AU$199),"",ReferenceData!$AU$199),"")</f>
        <v/>
      </c>
      <c r="AV199" t="str">
        <f ca="1">IFERROR(IF(0=LEN(ReferenceData!$AV$199),"",ReferenceData!$AV$199),"")</f>
        <v/>
      </c>
      <c r="AW199" t="str">
        <f ca="1">IFERROR(IF(0=LEN(ReferenceData!$AW$199),"",ReferenceData!$AW$199),"")</f>
        <v/>
      </c>
      <c r="AX199" t="str">
        <f ca="1">IFERROR(IF(0=LEN(ReferenceData!$AX$199),"",ReferenceData!$AX$199),"")</f>
        <v/>
      </c>
      <c r="AY199" t="str">
        <f ca="1">IFERROR(IF(0=LEN(ReferenceData!$AY$199),"",ReferenceData!$AY$199),"")</f>
        <v/>
      </c>
      <c r="AZ199" t="str">
        <f ca="1">IFERROR(IF(0=LEN(ReferenceData!$AZ$199),"",ReferenceData!$AZ$199),"")</f>
        <v/>
      </c>
      <c r="BA199" t="str">
        <f ca="1">IFERROR(IF(0=LEN(ReferenceData!$BA$199),"",ReferenceData!$BA$199),"")</f>
        <v/>
      </c>
      <c r="BB199" t="str">
        <f ca="1">IFERROR(IF(0=LEN(ReferenceData!$BB$199),"",ReferenceData!$BB$199),"")</f>
        <v/>
      </c>
      <c r="BC199" t="str">
        <f ca="1">IFERROR(IF(0=LEN(ReferenceData!$BC$199),"",ReferenceData!$BC$199),"")</f>
        <v/>
      </c>
      <c r="BD199" t="str">
        <f ca="1">IFERROR(IF(0=LEN(ReferenceData!$BD$199),"",ReferenceData!$BD$199),"")</f>
        <v/>
      </c>
      <c r="BE199" t="str">
        <f ca="1">IFERROR(IF(0=LEN(ReferenceData!$BE$199),"",ReferenceData!$BE$199),"")</f>
        <v/>
      </c>
      <c r="BF199" t="str">
        <f ca="1">IFERROR(IF(0=LEN(ReferenceData!$BF$199),"",ReferenceData!$BF$199),"")</f>
        <v/>
      </c>
      <c r="BG199" t="str">
        <f ca="1">IFERROR(IF(0=LEN(ReferenceData!$BG$199),"",ReferenceData!$BG$199),"")</f>
        <v/>
      </c>
      <c r="BH199" t="str">
        <f ca="1">IFERROR(IF(0=LEN(ReferenceData!$BH$199),"",ReferenceData!$BH$199),"")</f>
        <v/>
      </c>
      <c r="BI199" t="str">
        <f ca="1">IFERROR(IF(0=LEN(ReferenceData!$BI$199),"",ReferenceData!$BI$199),"")</f>
        <v/>
      </c>
      <c r="BJ199" t="str">
        <f ca="1">IFERROR(IF(0=LEN(ReferenceData!$BJ$199),"",ReferenceData!$BJ$199),"")</f>
        <v/>
      </c>
      <c r="BK199" t="str">
        <f ca="1">IFERROR(IF(0=LEN(ReferenceData!$BK$199),"",ReferenceData!$BK$199),"")</f>
        <v/>
      </c>
      <c r="BL199" t="str">
        <f ca="1">IFERROR(IF(0=LEN(ReferenceData!$BL$199),"",ReferenceData!$BL$199),"")</f>
        <v/>
      </c>
      <c r="BM199" t="str">
        <f ca="1">IFERROR(IF(0=LEN(ReferenceData!$BM$199),"",ReferenceData!$BM$199),"")</f>
        <v/>
      </c>
    </row>
    <row r="200" spans="1:65">
      <c r="A200" t="str">
        <f>IFERROR(IF(0=LEN(ReferenceData!$A$200),"",ReferenceData!$A$200),"")</f>
        <v xml:space="preserve">    SL Green Realty Corp</v>
      </c>
      <c r="B200" t="str">
        <f>IFERROR(IF(0=LEN(ReferenceData!$B$200),"",ReferenceData!$B$200),"")</f>
        <v>SLG US Equity</v>
      </c>
      <c r="C200" t="str">
        <f>IFERROR(IF(0=LEN(ReferenceData!$C$200),"",ReferenceData!$C$200),"")</f>
        <v>RR263</v>
      </c>
      <c r="D200" t="str">
        <f>IFERROR(IF(0=LEN(ReferenceData!$D$200),"",ReferenceData!$D$200),"")</f>
        <v>DEBT_TO_MKT_CAP</v>
      </c>
      <c r="E200" t="str">
        <f>IFERROR(IF(0=LEN(ReferenceData!$E$200),"",ReferenceData!$E$200),"")</f>
        <v>动态</v>
      </c>
      <c r="F200">
        <f ca="1">IFERROR(IF(0=LEN(ReferenceData!$F$200),"",ReferenceData!$F$200),"")</f>
        <v>0.64386429599999995</v>
      </c>
      <c r="G200">
        <f ca="1">IFERROR(IF(0=LEN(ReferenceData!$G$200),"",ReferenceData!$G$200),"")</f>
        <v>0.58575151299999995</v>
      </c>
      <c r="H200">
        <f ca="1">IFERROR(IF(0=LEN(ReferenceData!$H$200),"",ReferenceData!$H$200),"")</f>
        <v>0.63538647699999995</v>
      </c>
      <c r="I200">
        <f ca="1">IFERROR(IF(0=LEN(ReferenceData!$I$200),"",ReferenceData!$I$200),"")</f>
        <v>0.58746517700000001</v>
      </c>
      <c r="J200">
        <f ca="1">IFERROR(IF(0=LEN(ReferenceData!$J$200),"",ReferenceData!$J$200),"")</f>
        <v>0.60842787099999995</v>
      </c>
      <c r="K200">
        <f ca="1">IFERROR(IF(0=LEN(ReferenceData!$K$200),"",ReferenceData!$K$200),"")</f>
        <v>0.58994684500000005</v>
      </c>
      <c r="L200">
        <f ca="1">IFERROR(IF(0=LEN(ReferenceData!$L$200),"",ReferenceData!$L$200),"")</f>
        <v>0.56750393799999999</v>
      </c>
      <c r="M200">
        <f ca="1">IFERROR(IF(0=LEN(ReferenceData!$M$200),"",ReferenceData!$M$200),"")</f>
        <v>0.72119863200000001</v>
      </c>
      <c r="N200">
        <f ca="1">IFERROR(IF(0=LEN(ReferenceData!$N$200),"",ReferenceData!$N$200),"")</f>
        <v>0.85022795399999995</v>
      </c>
      <c r="O200">
        <f ca="1">IFERROR(IF(0=LEN(ReferenceData!$O$200),"",ReferenceData!$O$200),"")</f>
        <v>0.88120744699999998</v>
      </c>
      <c r="P200">
        <f ca="1">IFERROR(IF(0=LEN(ReferenceData!$P$200),"",ReferenceData!$P$200),"")</f>
        <v>0.90762591000000004</v>
      </c>
      <c r="Q200">
        <f ca="1">IFERROR(IF(0=LEN(ReferenceData!$Q$200),"",ReferenceData!$Q$200),"")</f>
        <v>0.72337172800000005</v>
      </c>
      <c r="R200">
        <f ca="1">IFERROR(IF(0=LEN(ReferenceData!$R$200),"",ReferenceData!$R$200),"")</f>
        <v>0.61571655000000003</v>
      </c>
      <c r="S200">
        <f ca="1">IFERROR(IF(0=LEN(ReferenceData!$S$200),"",ReferenceData!$S$200),"")</f>
        <v>0.68719528500000004</v>
      </c>
      <c r="T200">
        <f ca="1">IFERROR(IF(0=LEN(ReferenceData!$T$200),"",ReferenceData!$T$200),"")</f>
        <v>0.82759408199999995</v>
      </c>
      <c r="U200">
        <f ca="1">IFERROR(IF(0=LEN(ReferenceData!$U$200),"",ReferenceData!$U$200),"")</f>
        <v>0.76015322399999996</v>
      </c>
      <c r="V200">
        <f ca="1">IFERROR(IF(0=LEN(ReferenceData!$V$200),"",ReferenceData!$V$200),"")</f>
        <v>0.73215955200000005</v>
      </c>
      <c r="W200">
        <f ca="1">IFERROR(IF(0=LEN(ReferenceData!$W$200),"",ReferenceData!$W$200),"")</f>
        <v>0.77236341500000005</v>
      </c>
      <c r="X200">
        <f ca="1">IFERROR(IF(0=LEN(ReferenceData!$X$200),"",ReferenceData!$X$200),"")</f>
        <v>0.81562610999999996</v>
      </c>
      <c r="Y200">
        <f ca="1">IFERROR(IF(0=LEN(ReferenceData!$Y$200),"",ReferenceData!$Y$200),"")</f>
        <v>0.81358570100000005</v>
      </c>
      <c r="Z200">
        <f ca="1">IFERROR(IF(0=LEN(ReferenceData!$Z$200),"",ReferenceData!$Z$200),"")</f>
        <v>0.83012588700000001</v>
      </c>
      <c r="AA200">
        <f ca="1">IFERROR(IF(0=LEN(ReferenceData!$AA$200),"",ReferenceData!$AA$200),"")</f>
        <v>0.913318819</v>
      </c>
      <c r="AB200">
        <f ca="1">IFERROR(IF(0=LEN(ReferenceData!$AB$200),"",ReferenceData!$AB$200),"")</f>
        <v>0.84594838400000005</v>
      </c>
      <c r="AC200">
        <f ca="1">IFERROR(IF(0=LEN(ReferenceData!$AC$200),"",ReferenceData!$AC$200),"")</f>
        <v>0.83801892200000005</v>
      </c>
      <c r="AD200">
        <f ca="1">IFERROR(IF(0=LEN(ReferenceData!$AD$200),"",ReferenceData!$AD$200),"")</f>
        <v>0.88222418300000005</v>
      </c>
      <c r="AE200">
        <f ca="1">IFERROR(IF(0=LEN(ReferenceData!$AE$200),"",ReferenceData!$AE$200),"")</f>
        <v>1.0313912890000001</v>
      </c>
      <c r="AF200">
        <f ca="1">IFERROR(IF(0=LEN(ReferenceData!$AF$200),"",ReferenceData!$AF$200),"")</f>
        <v>1.117883323</v>
      </c>
      <c r="AG200">
        <f ca="1">IFERROR(IF(0=LEN(ReferenceData!$AG$200),"",ReferenceData!$AG$200),"")</f>
        <v>0.79895717799999999</v>
      </c>
      <c r="AH200">
        <f ca="1">IFERROR(IF(0=LEN(ReferenceData!$AH$200),"",ReferenceData!$AH$200),"")</f>
        <v>0.82169185199999994</v>
      </c>
      <c r="AI200">
        <f ca="1">IFERROR(IF(0=LEN(ReferenceData!$AI$200),"",ReferenceData!$AI$200),"")</f>
        <v>0.98143192700000004</v>
      </c>
      <c r="AJ200">
        <f ca="1">IFERROR(IF(0=LEN(ReferenceData!$AJ$200),"",ReferenceData!$AJ$200),"")</f>
        <v>0.923490704</v>
      </c>
      <c r="AK200">
        <f ca="1">IFERROR(IF(0=LEN(ReferenceData!$AK$200),"",ReferenceData!$AK$200),"")</f>
        <v>1.0474576929999999</v>
      </c>
      <c r="AL200">
        <f ca="1">IFERROR(IF(0=LEN(ReferenceData!$AL$200),"",ReferenceData!$AL$200),"")</f>
        <v>1.05262799</v>
      </c>
      <c r="AM200">
        <f ca="1">IFERROR(IF(0=LEN(ReferenceData!$AM$200),"",ReferenceData!$AM$200),"")</f>
        <v>1.2283874930000001</v>
      </c>
      <c r="AN200">
        <f ca="1">IFERROR(IF(0=LEN(ReferenceData!$AN$200),"",ReferenceData!$AN$200),"")</f>
        <v>1.420812486</v>
      </c>
      <c r="AO200">
        <f ca="1">IFERROR(IF(0=LEN(ReferenceData!$AO$200),"",ReferenceData!$AO$200),"")</f>
        <v>2.8858396059999998</v>
      </c>
      <c r="AP200">
        <f ca="1">IFERROR(IF(0=LEN(ReferenceData!$AP$200),"",ReferenceData!$AP$200),"")</f>
        <v>8.4783376560000008</v>
      </c>
      <c r="AQ200">
        <f ca="1">IFERROR(IF(0=LEN(ReferenceData!$AQ$200),"",ReferenceData!$AQ$200),"")</f>
        <v>3.8127692459999998</v>
      </c>
      <c r="AR200">
        <f ca="1">IFERROR(IF(0=LEN(ReferenceData!$AR$200),"",ReferenceData!$AR$200),"")</f>
        <v>1.563808954</v>
      </c>
      <c r="AS200">
        <f ca="1">IFERROR(IF(0=LEN(ReferenceData!$AS$200),"",ReferenceData!$AS$200),"")</f>
        <v>1.119516532</v>
      </c>
      <c r="AT200">
        <f ca="1">IFERROR(IF(0=LEN(ReferenceData!$AT$200),"",ReferenceData!$AT$200),"")</f>
        <v>1.2039354680000001</v>
      </c>
      <c r="AU200">
        <f ca="1">IFERROR(IF(0=LEN(ReferenceData!$AU$200),"",ReferenceData!$AU$200),"")</f>
        <v>1.036815021</v>
      </c>
      <c r="AV200">
        <f ca="1">IFERROR(IF(0=LEN(ReferenceData!$AV$200),"",ReferenceData!$AV$200),"")</f>
        <v>0.76934296700000004</v>
      </c>
      <c r="AW200">
        <f ca="1">IFERROR(IF(0=LEN(ReferenceData!$AW$200),"",ReferenceData!$AW$200),"")</f>
        <v>0.63442011600000003</v>
      </c>
      <c r="AX200">
        <f ca="1">IFERROR(IF(0=LEN(ReferenceData!$AX$200),"",ReferenceData!$AX$200),"")</f>
        <v>0.61177423799999997</v>
      </c>
      <c r="AY200">
        <f ca="1">IFERROR(IF(0=LEN(ReferenceData!$AY$200),"",ReferenceData!$AY$200),"")</f>
        <v>0.278593274</v>
      </c>
      <c r="AZ200">
        <f ca="1">IFERROR(IF(0=LEN(ReferenceData!$AZ$200),"",ReferenceData!$AZ$200),"")</f>
        <v>0.37098727100000001</v>
      </c>
      <c r="BA200">
        <f ca="1">IFERROR(IF(0=LEN(ReferenceData!$BA$200),"",ReferenceData!$BA$200),"")</f>
        <v>0.375300142</v>
      </c>
      <c r="BB200">
        <f ca="1">IFERROR(IF(0=LEN(ReferenceData!$BB$200),"",ReferenceData!$BB$200),"")</f>
        <v>0.38839926200000002</v>
      </c>
      <c r="BC200">
        <f ca="1">IFERROR(IF(0=LEN(ReferenceData!$BC$200),"",ReferenceData!$BC$200),"")</f>
        <v>0.49599697999999998</v>
      </c>
      <c r="BD200">
        <f ca="1">IFERROR(IF(0=LEN(ReferenceData!$BD$200),"",ReferenceData!$BD$200),"")</f>
        <v>0.56893680700000004</v>
      </c>
      <c r="BE200">
        <f ca="1">IFERROR(IF(0=LEN(ReferenceData!$BE$200),"",ReferenceData!$BE$200),"")</f>
        <v>0.56007036300000002</v>
      </c>
      <c r="BF200">
        <f ca="1">IFERROR(IF(0=LEN(ReferenceData!$BF$200),"",ReferenceData!$BF$200),"")</f>
        <v>0.57236167599999999</v>
      </c>
      <c r="BG200">
        <f ca="1">IFERROR(IF(0=LEN(ReferenceData!$BG$200),"",ReferenceData!$BG$200),"")</f>
        <v>0.47433235899999998</v>
      </c>
      <c r="BH200">
        <f ca="1">IFERROR(IF(0=LEN(ReferenceData!$BH$200),"",ReferenceData!$BH$200),"")</f>
        <v>0.55180553300000001</v>
      </c>
      <c r="BI200">
        <f ca="1">IFERROR(IF(0=LEN(ReferenceData!$BI$200),"",ReferenceData!$BI$200),"")</f>
        <v>0.51755225900000001</v>
      </c>
      <c r="BJ200">
        <f ca="1">IFERROR(IF(0=LEN(ReferenceData!$BJ$200),"",ReferenceData!$BJ$200),"")</f>
        <v>0.58987653299999998</v>
      </c>
      <c r="BK200">
        <f ca="1">IFERROR(IF(0=LEN(ReferenceData!$BK$200),"",ReferenceData!$BK$200),"")</f>
        <v>0.76974249500000003</v>
      </c>
      <c r="BL200">
        <f ca="1">IFERROR(IF(0=LEN(ReferenceData!$BL$200),"",ReferenceData!$BL$200),"")</f>
        <v>0.66871436699999998</v>
      </c>
      <c r="BM200">
        <f ca="1">IFERROR(IF(0=LEN(ReferenceData!$BM$200),"",ReferenceData!$BM$200),"")</f>
        <v>0.71821622399999996</v>
      </c>
    </row>
    <row r="201" spans="1:65">
      <c r="A201" t="str">
        <f>IFERROR(IF(0=LEN(ReferenceData!$A$201),"",ReferenceData!$A$201),"")</f>
        <v xml:space="preserve">    Vornado Realty Trust</v>
      </c>
      <c r="B201" t="str">
        <f>IFERROR(IF(0=LEN(ReferenceData!$B$201),"",ReferenceData!$B$201),"")</f>
        <v>VNO US Equity</v>
      </c>
      <c r="C201" t="str">
        <f>IFERROR(IF(0=LEN(ReferenceData!$C$201),"",ReferenceData!$C$201),"")</f>
        <v>RR263</v>
      </c>
      <c r="D201" t="str">
        <f>IFERROR(IF(0=LEN(ReferenceData!$D$201),"",ReferenceData!$D$201),"")</f>
        <v>DEBT_TO_MKT_CAP</v>
      </c>
      <c r="E201" t="str">
        <f>IFERROR(IF(0=LEN(ReferenceData!$E$201),"",ReferenceData!$E$201),"")</f>
        <v>动态</v>
      </c>
      <c r="F201">
        <f ca="1">IFERROR(IF(0=LEN(ReferenceData!$F$201),"",ReferenceData!$F$201),"")</f>
        <v>0.78583732100000003</v>
      </c>
      <c r="G201">
        <f ca="1">IFERROR(IF(0=LEN(ReferenceData!$G$201),"",ReferenceData!$G$201),"")</f>
        <v>0.68610578899999997</v>
      </c>
      <c r="H201">
        <f ca="1">IFERROR(IF(0=LEN(ReferenceData!$H$201),"",ReferenceData!$H$201),"")</f>
        <v>0.64201259399999999</v>
      </c>
      <c r="I201">
        <f ca="1">IFERROR(IF(0=LEN(ReferenceData!$I$201),"",ReferenceData!$I$201),"")</f>
        <v>0.60956014700000005</v>
      </c>
      <c r="J201">
        <f ca="1">IFERROR(IF(0=LEN(ReferenceData!$J$201),"",ReferenceData!$J$201),"")</f>
        <v>0.55962886499999998</v>
      </c>
      <c r="K201">
        <f ca="1">IFERROR(IF(0=LEN(ReferenceData!$K$201),"",ReferenceData!$K$201),"")</f>
        <v>0.53797254999999999</v>
      </c>
      <c r="L201">
        <f ca="1">IFERROR(IF(0=LEN(ReferenceData!$L$201),"",ReferenceData!$L$201),"")</f>
        <v>0.58606143899999996</v>
      </c>
      <c r="M201">
        <f ca="1">IFERROR(IF(0=LEN(ReferenceData!$M$201),"",ReferenceData!$M$201),"")</f>
        <v>0.58618604799999996</v>
      </c>
      <c r="N201">
        <f ca="1">IFERROR(IF(0=LEN(ReferenceData!$N$201),"",ReferenceData!$N$201),"")</f>
        <v>0.62108371699999998</v>
      </c>
      <c r="O201">
        <f ca="1">IFERROR(IF(0=LEN(ReferenceData!$O$201),"",ReferenceData!$O$201),"")</f>
        <v>0.58849032000000001</v>
      </c>
      <c r="P201">
        <f ca="1">IFERROR(IF(0=LEN(ReferenceData!$P$201),"",ReferenceData!$P$201),"")</f>
        <v>0.58713282600000005</v>
      </c>
      <c r="Q201">
        <f ca="1">IFERROR(IF(0=LEN(ReferenceData!$Q$201),"",ReferenceData!$Q$201),"")</f>
        <v>0.54886847999999999</v>
      </c>
      <c r="R201">
        <f ca="1">IFERROR(IF(0=LEN(ReferenceData!$R$201),"",ReferenceData!$R$201),"")</f>
        <v>0.45449524099999999</v>
      </c>
      <c r="S201">
        <f ca="1">IFERROR(IF(0=LEN(ReferenceData!$S$201),"",ReferenceData!$S$201),"")</f>
        <v>0.431269872</v>
      </c>
      <c r="T201">
        <f ca="1">IFERROR(IF(0=LEN(ReferenceData!$T$201),"",ReferenceData!$T$201),"")</f>
        <v>0.59456020700000001</v>
      </c>
      <c r="U201">
        <f ca="1">IFERROR(IF(0=LEN(ReferenceData!$U$201),"",ReferenceData!$U$201),"")</f>
        <v>0.54337348399999996</v>
      </c>
      <c r="V201">
        <f ca="1">IFERROR(IF(0=LEN(ReferenceData!$V$201),"",ReferenceData!$V$201),"")</f>
        <v>0.56043459600000001</v>
      </c>
      <c r="W201">
        <f ca="1">IFERROR(IF(0=LEN(ReferenceData!$W$201),"",ReferenceData!$W$201),"")</f>
        <v>0.60083796599999995</v>
      </c>
      <c r="X201">
        <f ca="1">IFERROR(IF(0=LEN(ReferenceData!$X$201),"",ReferenceData!$X$201),"")</f>
        <v>0.63627905399999996</v>
      </c>
      <c r="Y201">
        <f ca="1">IFERROR(IF(0=LEN(ReferenceData!$Y$201),"",ReferenceData!$Y$201),"")</f>
        <v>0.64727642200000002</v>
      </c>
      <c r="Z201">
        <f ca="1">IFERROR(IF(0=LEN(ReferenceData!$Z$201),"",ReferenceData!$Z$201),"")</f>
        <v>0.66723345499999998</v>
      </c>
      <c r="AA201">
        <f ca="1">IFERROR(IF(0=LEN(ReferenceData!$AA$201),"",ReferenceData!$AA$201),"")</f>
        <v>0.75781114699999996</v>
      </c>
      <c r="AB201">
        <f ca="1">IFERROR(IF(0=LEN(ReferenceData!$AB$201),"",ReferenceData!$AB$201),"")</f>
        <v>0.65142026399999997</v>
      </c>
      <c r="AC201">
        <f ca="1">IFERROR(IF(0=LEN(ReferenceData!$AC$201),"",ReferenceData!$AC$201),"")</f>
        <v>0.65541245699999995</v>
      </c>
      <c r="AD201">
        <f ca="1">IFERROR(IF(0=LEN(ReferenceData!$AD$201),"",ReferenceData!$AD$201),"")</f>
        <v>0.66111225799999995</v>
      </c>
      <c r="AE201">
        <f ca="1">IFERROR(IF(0=LEN(ReferenceData!$AE$201),"",ReferenceData!$AE$201),"")</f>
        <v>0.710602909</v>
      </c>
      <c r="AF201">
        <f ca="1">IFERROR(IF(0=LEN(ReferenceData!$AF$201),"",ReferenceData!$AF$201),"")</f>
        <v>0.75617994600000005</v>
      </c>
      <c r="AG201">
        <f ca="1">IFERROR(IF(0=LEN(ReferenceData!$AG$201),"",ReferenceData!$AG$201),"")</f>
        <v>0.613955531</v>
      </c>
      <c r="AH201">
        <f ca="1">IFERROR(IF(0=LEN(ReferenceData!$AH$201),"",ReferenceData!$AH$201),"")</f>
        <v>0.677791794</v>
      </c>
      <c r="AI201">
        <f ca="1">IFERROR(IF(0=LEN(ReferenceData!$AI$201),"",ReferenceData!$AI$201),"")</f>
        <v>0.71537642800000001</v>
      </c>
      <c r="AJ201">
        <f ca="1">IFERROR(IF(0=LEN(ReferenceData!$AJ$201),"",ReferenceData!$AJ$201),"")</f>
        <v>0.72925673700000004</v>
      </c>
      <c r="AK201">
        <f ca="1">IFERROR(IF(0=LEN(ReferenceData!$AK$201),"",ReferenceData!$AK$201),"")</f>
        <v>0.82364174099999998</v>
      </c>
      <c r="AL201">
        <f ca="1">IFERROR(IF(0=LEN(ReferenceData!$AL$201),"",ReferenceData!$AL$201),"")</f>
        <v>0.82845737600000002</v>
      </c>
      <c r="AM201">
        <f ca="1">IFERROR(IF(0=LEN(ReferenceData!$AM$201),"",ReferenceData!$AM$201),"")</f>
        <v>0.84772400299999995</v>
      </c>
      <c r="AN201">
        <f ca="1">IFERROR(IF(0=LEN(ReferenceData!$AN$201),"",ReferenceData!$AN$201),"")</f>
        <v>1.1267352580000001</v>
      </c>
      <c r="AO201">
        <f ca="1">IFERROR(IF(0=LEN(ReferenceData!$AO$201),"",ReferenceData!$AO$201),"")</f>
        <v>1.5774368969999999</v>
      </c>
      <c r="AP201">
        <f ca="1">IFERROR(IF(0=LEN(ReferenceData!$AP$201),"",ReferenceData!$AP$201),"")</f>
        <v>2.52095805</v>
      </c>
      <c r="AQ201">
        <f ca="1">IFERROR(IF(0=LEN(ReferenceData!$AQ$201),"",ReferenceData!$AQ$201),"")</f>
        <v>1.335219573</v>
      </c>
      <c r="AR201">
        <f ca="1">IFERROR(IF(0=LEN(ReferenceData!$AR$201),"",ReferenceData!$AR$201),"")</f>
        <v>0.87100566400000001</v>
      </c>
      <c r="AS201">
        <f ca="1">IFERROR(IF(0=LEN(ReferenceData!$AS$201),"",ReferenceData!$AS$201),"")</f>
        <v>0.904030165</v>
      </c>
      <c r="AT201">
        <f ca="1">IFERROR(IF(0=LEN(ReferenceData!$AT$201),"",ReferenceData!$AT$201),"")</f>
        <v>0.92029469900000005</v>
      </c>
      <c r="AU201">
        <f ca="1">IFERROR(IF(0=LEN(ReferenceData!$AU$201),"",ReferenceData!$AU$201),"")</f>
        <v>0.88831843899999996</v>
      </c>
      <c r="AV201">
        <f ca="1">IFERROR(IF(0=LEN(ReferenceData!$AV$201),"",ReferenceData!$AV$201),"")</f>
        <v>0.75661384600000003</v>
      </c>
      <c r="AW201">
        <f ca="1">IFERROR(IF(0=LEN(ReferenceData!$AW$201),"",ReferenceData!$AW$201),"")</f>
        <v>0.75370826099999999</v>
      </c>
      <c r="AX201">
        <f ca="1">IFERROR(IF(0=LEN(ReferenceData!$AX$201),"",ReferenceData!$AX$201),"")</f>
        <v>0.642995757</v>
      </c>
      <c r="AY201">
        <f ca="1">IFERROR(IF(0=LEN(ReferenceData!$AY$201),"",ReferenceData!$AY$201),"")</f>
        <v>0.51883822000000002</v>
      </c>
      <c r="AZ201">
        <f ca="1">IFERROR(IF(0=LEN(ReferenceData!$AZ$201),"",ReferenceData!$AZ$201),"")</f>
        <v>0.47789899400000002</v>
      </c>
      <c r="BA201">
        <f ca="1">IFERROR(IF(0=LEN(ReferenceData!$BA$201),"",ReferenceData!$BA$201),"")</f>
        <v>0.51790914200000004</v>
      </c>
      <c r="BB201">
        <f ca="1">IFERROR(IF(0=LEN(ReferenceData!$BB$201),"",ReferenceData!$BB$201),"")</f>
        <v>0.51089973200000005</v>
      </c>
      <c r="BC201">
        <f ca="1">IFERROR(IF(0=LEN(ReferenceData!$BC$201),"",ReferenceData!$BC$201),"")</f>
        <v>0.53289423899999999</v>
      </c>
      <c r="BD201">
        <f ca="1">IFERROR(IF(0=LEN(ReferenceData!$BD$201),"",ReferenceData!$BD$201),"")</f>
        <v>0.50446707400000002</v>
      </c>
      <c r="BE201">
        <f ca="1">IFERROR(IF(0=LEN(ReferenceData!$BE$201),"",ReferenceData!$BE$201),"")</f>
        <v>0.53968806999999996</v>
      </c>
      <c r="BF201">
        <f ca="1">IFERROR(IF(0=LEN(ReferenceData!$BF$201),"",ReferenceData!$BF$201),"")</f>
        <v>0.62616651099999998</v>
      </c>
      <c r="BG201">
        <f ca="1">IFERROR(IF(0=LEN(ReferenceData!$BG$201),"",ReferenceData!$BG$201),"")</f>
        <v>0.511233041</v>
      </c>
      <c r="BH201">
        <f ca="1">IFERROR(IF(0=LEN(ReferenceData!$BH$201),"",ReferenceData!$BH$201),"")</f>
        <v>0.53567956500000002</v>
      </c>
      <c r="BI201">
        <f ca="1">IFERROR(IF(0=LEN(ReferenceData!$BI$201),"",ReferenceData!$BI$201),"")</f>
        <v>0.57145834100000004</v>
      </c>
      <c r="BJ201">
        <f ca="1">IFERROR(IF(0=LEN(ReferenceData!$BJ$201),"",ReferenceData!$BJ$201),"")</f>
        <v>0.58214343400000002</v>
      </c>
      <c r="BK201">
        <f ca="1">IFERROR(IF(0=LEN(ReferenceData!$BK$201),"",ReferenceData!$BK$201),"")</f>
        <v>0.66379461200000001</v>
      </c>
      <c r="BL201">
        <f ca="1">IFERROR(IF(0=LEN(ReferenceData!$BL$201),"",ReferenceData!$BL$201),"")</f>
        <v>0.73537244000000002</v>
      </c>
      <c r="BM201">
        <f ca="1">IFERROR(IF(0=LEN(ReferenceData!$BM$201),"",ReferenceData!$BM$201),"")</f>
        <v>0.82306897000000001</v>
      </c>
    </row>
    <row r="202" spans="1:65">
      <c r="A202" t="str">
        <f>IFERROR(IF(0=LEN(ReferenceData!$A$202),"",ReferenceData!$A$202),"")</f>
        <v>EBITDA/利息支出</v>
      </c>
      <c r="B202" t="str">
        <f>IFERROR(IF(0=LEN(ReferenceData!$B$202),"",ReferenceData!$B$202),"")</f>
        <v/>
      </c>
      <c r="C202" t="str">
        <f>IFERROR(IF(0=LEN(ReferenceData!$C$202),"",ReferenceData!$C$202),"")</f>
        <v/>
      </c>
      <c r="D202" t="str">
        <f>IFERROR(IF(0=LEN(ReferenceData!$D$202),"",ReferenceData!$D$202),"")</f>
        <v/>
      </c>
      <c r="E202" t="str">
        <f>IFERROR(IF(0=LEN(ReferenceData!$E$202),"",ReferenceData!$E$202),"")</f>
        <v>Median</v>
      </c>
      <c r="F202" t="str">
        <f ca="1">IFERROR(IF(0=LEN(ReferenceData!$F$202),"",ReferenceData!$F$202),"")</f>
        <v/>
      </c>
      <c r="G202">
        <f ca="1">IFERROR(IF(0=LEN(ReferenceData!$G$202),"",ReferenceData!$G$202),"")</f>
        <v>3.1055143935</v>
      </c>
      <c r="H202">
        <f ca="1">IFERROR(IF(0=LEN(ReferenceData!$H$202),"",ReferenceData!$H$202),"")</f>
        <v>3.6946868670000002</v>
      </c>
      <c r="I202">
        <f ca="1">IFERROR(IF(0=LEN(ReferenceData!$I$202),"",ReferenceData!$I$202),"")</f>
        <v>3.5629108949999999</v>
      </c>
      <c r="J202">
        <f ca="1">IFERROR(IF(0=LEN(ReferenceData!$J$202),"",ReferenceData!$J$202),"")</f>
        <v>3.5938644054999997</v>
      </c>
      <c r="K202">
        <f ca="1">IFERROR(IF(0=LEN(ReferenceData!$K$202),"",ReferenceData!$K$202),"")</f>
        <v>3.8068801489999999</v>
      </c>
      <c r="L202">
        <f ca="1">IFERROR(IF(0=LEN(ReferenceData!$L$202),"",ReferenceData!$L$202),"")</f>
        <v>3.4235286094999999</v>
      </c>
      <c r="M202">
        <f ca="1">IFERROR(IF(0=LEN(ReferenceData!$M$202),"",ReferenceData!$M$202),"")</f>
        <v>3.7047364819999999</v>
      </c>
      <c r="N202">
        <f ca="1">IFERROR(IF(0=LEN(ReferenceData!$N$202),"",ReferenceData!$N$202),"")</f>
        <v>3.3578939754999997</v>
      </c>
      <c r="O202">
        <f ca="1">IFERROR(IF(0=LEN(ReferenceData!$O$202),"",ReferenceData!$O$202),"")</f>
        <v>3.3845908299999996</v>
      </c>
      <c r="P202">
        <f ca="1">IFERROR(IF(0=LEN(ReferenceData!$P$202),"",ReferenceData!$P$202),"")</f>
        <v>3.1584004610000003</v>
      </c>
      <c r="Q202">
        <f ca="1">IFERROR(IF(0=LEN(ReferenceData!$Q$202),"",ReferenceData!$Q$202),"")</f>
        <v>3.4646953025</v>
      </c>
      <c r="R202">
        <f ca="1">IFERROR(IF(0=LEN(ReferenceData!$R$202),"",ReferenceData!$R$202),"")</f>
        <v>3.217319866</v>
      </c>
      <c r="S202">
        <f ca="1">IFERROR(IF(0=LEN(ReferenceData!$S$202),"",ReferenceData!$S$202),"")</f>
        <v>3.0564819320000001</v>
      </c>
      <c r="T202">
        <f ca="1">IFERROR(IF(0=LEN(ReferenceData!$T$202),"",ReferenceData!$T$202),"")</f>
        <v>3.1686405625000003</v>
      </c>
      <c r="U202">
        <f ca="1">IFERROR(IF(0=LEN(ReferenceData!$U$202),"",ReferenceData!$U$202),"")</f>
        <v>3.051634033</v>
      </c>
      <c r="V202">
        <f ca="1">IFERROR(IF(0=LEN(ReferenceData!$V$202),"",ReferenceData!$V$202),"")</f>
        <v>3.2166917425000001</v>
      </c>
      <c r="W202">
        <f ca="1">IFERROR(IF(0=LEN(ReferenceData!$W$202),"",ReferenceData!$W$202),"")</f>
        <v>3.0128901519999998</v>
      </c>
      <c r="X202">
        <f ca="1">IFERROR(IF(0=LEN(ReferenceData!$X$202),"",ReferenceData!$X$202),"")</f>
        <v>3.0342382450000001</v>
      </c>
      <c r="Y202">
        <f ca="1">IFERROR(IF(0=LEN(ReferenceData!$Y$202),"",ReferenceData!$Y$202),"")</f>
        <v>3.1187907084999997</v>
      </c>
      <c r="Z202">
        <f ca="1">IFERROR(IF(0=LEN(ReferenceData!$Z$202),"",ReferenceData!$Z$202),"")</f>
        <v>3.0261251554999999</v>
      </c>
      <c r="AA202">
        <f ca="1">IFERROR(IF(0=LEN(ReferenceData!$AA$202),"",ReferenceData!$AA$202),"")</f>
        <v>2.8206709779999999</v>
      </c>
      <c r="AB202">
        <f ca="1">IFERROR(IF(0=LEN(ReferenceData!$AB$202),"",ReferenceData!$AB$202),"")</f>
        <v>2.7541968084999997</v>
      </c>
      <c r="AC202">
        <f ca="1">IFERROR(IF(0=LEN(ReferenceData!$AC$202),"",ReferenceData!$AC$202),"")</f>
        <v>2.893978905</v>
      </c>
      <c r="AD202">
        <f ca="1">IFERROR(IF(0=LEN(ReferenceData!$AD$202),"",ReferenceData!$AD$202),"")</f>
        <v>2.8336907134999998</v>
      </c>
      <c r="AE202">
        <f ca="1">IFERROR(IF(0=LEN(ReferenceData!$AE$202),"",ReferenceData!$AE$202),"")</f>
        <v>2.6476449239999997</v>
      </c>
      <c r="AF202">
        <f ca="1">IFERROR(IF(0=LEN(ReferenceData!$AF$202),"",ReferenceData!$AF$202),"")</f>
        <v>2.622278605</v>
      </c>
      <c r="AG202">
        <f ca="1">IFERROR(IF(0=LEN(ReferenceData!$AG$202),"",ReferenceData!$AG$202),"")</f>
        <v>2.7400812349999999</v>
      </c>
      <c r="AH202">
        <f ca="1">IFERROR(IF(0=LEN(ReferenceData!$AH$202),"",ReferenceData!$AH$202),"")</f>
        <v>2.654259986</v>
      </c>
      <c r="AI202">
        <f ca="1">IFERROR(IF(0=LEN(ReferenceData!$AI$202),"",ReferenceData!$AI$202),"")</f>
        <v>2.6032759025000001</v>
      </c>
      <c r="AJ202">
        <f ca="1">IFERROR(IF(0=LEN(ReferenceData!$AJ$202),"",ReferenceData!$AJ$202),"")</f>
        <v>2.5565889830000001</v>
      </c>
      <c r="AK202">
        <f ca="1">IFERROR(IF(0=LEN(ReferenceData!$AK$202),"",ReferenceData!$AK$202),"")</f>
        <v>2.6508330170000001</v>
      </c>
      <c r="AL202">
        <f ca="1">IFERROR(IF(0=LEN(ReferenceData!$AL$202),"",ReferenceData!$AL$202),"")</f>
        <v>2.661028892</v>
      </c>
      <c r="AM202">
        <f ca="1">IFERROR(IF(0=LEN(ReferenceData!$AM$202),"",ReferenceData!$AM$202),"")</f>
        <v>2.4010546660000003</v>
      </c>
      <c r="AN202">
        <f ca="1">IFERROR(IF(0=LEN(ReferenceData!$AN$202),"",ReferenceData!$AN$202),"")</f>
        <v>2.8855824525</v>
      </c>
      <c r="AO202">
        <f ca="1">IFERROR(IF(0=LEN(ReferenceData!$AO$202),"",ReferenceData!$AO$202),"")</f>
        <v>3.0780460405000003</v>
      </c>
      <c r="AP202">
        <f ca="1">IFERROR(IF(0=LEN(ReferenceData!$AP$202),"",ReferenceData!$AP$202),"")</f>
        <v>2.9834431035</v>
      </c>
      <c r="AQ202">
        <f ca="1">IFERROR(IF(0=LEN(ReferenceData!$AQ$202),"",ReferenceData!$AQ$202),"")</f>
        <v>2.898259516</v>
      </c>
      <c r="AR202">
        <f ca="1">IFERROR(IF(0=LEN(ReferenceData!$AR$202),"",ReferenceData!$AR$202),"")</f>
        <v>2.7483458789999999</v>
      </c>
      <c r="AS202">
        <f ca="1">IFERROR(IF(0=LEN(ReferenceData!$AS$202),"",ReferenceData!$AS$202),"")</f>
        <v>2.780644552</v>
      </c>
      <c r="AT202">
        <f ca="1">IFERROR(IF(0=LEN(ReferenceData!$AT$202),"",ReferenceData!$AT$202),"")</f>
        <v>2.6041524069999999</v>
      </c>
      <c r="AU202">
        <f ca="1">IFERROR(IF(0=LEN(ReferenceData!$AU$202),"",ReferenceData!$AU$202),"")</f>
        <v>2.6198919520000001</v>
      </c>
      <c r="AV202">
        <f ca="1">IFERROR(IF(0=LEN(ReferenceData!$AV$202),"",ReferenceData!$AV$202),"")</f>
        <v>2.6556321629999999</v>
      </c>
      <c r="AW202">
        <f ca="1">IFERROR(IF(0=LEN(ReferenceData!$AW$202),"",ReferenceData!$AW$202),"")</f>
        <v>2.6707556889999999</v>
      </c>
      <c r="AX202">
        <f ca="1">IFERROR(IF(0=LEN(ReferenceData!$AX$202),"",ReferenceData!$AX$202),"")</f>
        <v>2.8621165340000001</v>
      </c>
      <c r="AY202">
        <f ca="1">IFERROR(IF(0=LEN(ReferenceData!$AY$202),"",ReferenceData!$AY$202),"")</f>
        <v>2.7039690900000002</v>
      </c>
      <c r="AZ202">
        <f ca="1">IFERROR(IF(0=LEN(ReferenceData!$AZ$202),"",ReferenceData!$AZ$202),"")</f>
        <v>2.6548821550000001</v>
      </c>
      <c r="BA202">
        <f ca="1">IFERROR(IF(0=LEN(ReferenceData!$BA$202),"",ReferenceData!$BA$202),"")</f>
        <v>2.6360356299999999</v>
      </c>
      <c r="BB202">
        <f ca="1">IFERROR(IF(0=LEN(ReferenceData!$BB$202),"",ReferenceData!$BB$202),"")</f>
        <v>2.8955317639999998</v>
      </c>
      <c r="BC202">
        <f ca="1">IFERROR(IF(0=LEN(ReferenceData!$BC$202),"",ReferenceData!$BC$202),"")</f>
        <v>2.7320172010000001</v>
      </c>
      <c r="BD202">
        <f ca="1">IFERROR(IF(0=LEN(ReferenceData!$BD$202),"",ReferenceData!$BD$202),"")</f>
        <v>2.7785729030000001</v>
      </c>
      <c r="BE202">
        <f ca="1">IFERROR(IF(0=LEN(ReferenceData!$BE$202),"",ReferenceData!$BE$202),"")</f>
        <v>2.954793059</v>
      </c>
      <c r="BF202">
        <f ca="1">IFERROR(IF(0=LEN(ReferenceData!$BF$202),"",ReferenceData!$BF$202),"")</f>
        <v>3.014665393</v>
      </c>
      <c r="BG202">
        <f ca="1">IFERROR(IF(0=LEN(ReferenceData!$BG$202),"",ReferenceData!$BG$202),"")</f>
        <v>2.9604493330000001</v>
      </c>
      <c r="BH202">
        <f ca="1">IFERROR(IF(0=LEN(ReferenceData!$BH$202),"",ReferenceData!$BH$202),"")</f>
        <v>3.0644730990000002</v>
      </c>
      <c r="BI202">
        <f ca="1">IFERROR(IF(0=LEN(ReferenceData!$BI$202),"",ReferenceData!$BI$202),"")</f>
        <v>3.4382288999999999</v>
      </c>
      <c r="BJ202">
        <f ca="1">IFERROR(IF(0=LEN(ReferenceData!$BJ$202),"",ReferenceData!$BJ$202),"")</f>
        <v>3.1250816850000001</v>
      </c>
      <c r="BK202">
        <f ca="1">IFERROR(IF(0=LEN(ReferenceData!$BK$202),"",ReferenceData!$BK$202),"")</f>
        <v>3.137585815</v>
      </c>
      <c r="BL202">
        <f ca="1">IFERROR(IF(0=LEN(ReferenceData!$BL$202),"",ReferenceData!$BL$202),"")</f>
        <v>3.3651588399999999</v>
      </c>
      <c r="BM202">
        <f ca="1">IFERROR(IF(0=LEN(ReferenceData!$BM$202),"",ReferenceData!$BM$202),"")</f>
        <v>3.3017284555000002</v>
      </c>
    </row>
    <row r="203" spans="1:65">
      <c r="A203" t="str">
        <f>IFERROR(IF(0=LEN(ReferenceData!$A$203),"",ReferenceData!$A$203),"")</f>
        <v xml:space="preserve">    Boston Properties Inc</v>
      </c>
      <c r="B203" t="str">
        <f>IFERROR(IF(0=LEN(ReferenceData!$B$203),"",ReferenceData!$B$203),"")</f>
        <v>BXP US Equity</v>
      </c>
      <c r="C203" t="str">
        <f>IFERROR(IF(0=LEN(ReferenceData!$C$203),"",ReferenceData!$C$203),"")</f>
        <v>RX951</v>
      </c>
      <c r="D203" t="str">
        <f>IFERROR(IF(0=LEN(ReferenceData!$D$203),"",ReferenceData!$D$203),"")</f>
        <v>EBITDA_TO_INTEREST_EXPN</v>
      </c>
      <c r="E203" t="str">
        <f>IFERROR(IF(0=LEN(ReferenceData!$E$203),"",ReferenceData!$E$203),"")</f>
        <v>动态</v>
      </c>
      <c r="F203" t="str">
        <f ca="1">IFERROR(IF(0=LEN(ReferenceData!$F$203),"",ReferenceData!$F$203),"")</f>
        <v/>
      </c>
      <c r="G203">
        <f ca="1">IFERROR(IF(0=LEN(ReferenceData!$G$203),"",ReferenceData!$G$203),"")</f>
        <v>4.1812862309999996</v>
      </c>
      <c r="H203">
        <f ca="1">IFERROR(IF(0=LEN(ReferenceData!$H$203),"",ReferenceData!$H$203),"")</f>
        <v>4.1930306850000001</v>
      </c>
      <c r="I203">
        <f ca="1">IFERROR(IF(0=LEN(ReferenceData!$I$203),"",ReferenceData!$I$203),"")</f>
        <v>4.105493836</v>
      </c>
      <c r="J203">
        <f ca="1">IFERROR(IF(0=LEN(ReferenceData!$J$203),"",ReferenceData!$J$203),"")</f>
        <v>3.82513032</v>
      </c>
      <c r="K203">
        <f ca="1">IFERROR(IF(0=LEN(ReferenceData!$K$203),"",ReferenceData!$K$203),"")</f>
        <v>3.8393601369999999</v>
      </c>
      <c r="L203">
        <f ca="1">IFERROR(IF(0=LEN(ReferenceData!$L$203),"",ReferenceData!$L$203),"")</f>
        <v>3.453264017</v>
      </c>
      <c r="M203">
        <f ca="1">IFERROR(IF(0=LEN(ReferenceData!$M$203),"",ReferenceData!$M$203),"")</f>
        <v>3.5360799219999999</v>
      </c>
      <c r="N203">
        <f ca="1">IFERROR(IF(0=LEN(ReferenceData!$N$203),"",ReferenceData!$N$203),"")</f>
        <v>3.8914147890000002</v>
      </c>
      <c r="O203">
        <f ca="1">IFERROR(IF(0=LEN(ReferenceData!$O$203),"",ReferenceData!$O$203),"")</f>
        <v>3.5312399929999998</v>
      </c>
      <c r="P203">
        <f ca="1">IFERROR(IF(0=LEN(ReferenceData!$P$203),"",ReferenceData!$P$203),"")</f>
        <v>3.502028015</v>
      </c>
      <c r="Q203">
        <f ca="1">IFERROR(IF(0=LEN(ReferenceData!$Q$203),"",ReferenceData!$Q$203),"")</f>
        <v>3.4345919249999999</v>
      </c>
      <c r="R203">
        <f ca="1">IFERROR(IF(0=LEN(ReferenceData!$R$203),"",ReferenceData!$R$203),"")</f>
        <v>3.31410392</v>
      </c>
      <c r="S203">
        <f ca="1">IFERROR(IF(0=LEN(ReferenceData!$S$203),"",ReferenceData!$S$203),"")</f>
        <v>3.1489940970000001</v>
      </c>
      <c r="T203">
        <f ca="1">IFERROR(IF(0=LEN(ReferenceData!$T$203),"",ReferenceData!$T$203),"")</f>
        <v>3.2835104319999999</v>
      </c>
      <c r="U203">
        <f ca="1">IFERROR(IF(0=LEN(ReferenceData!$U$203),"",ReferenceData!$U$203),"")</f>
        <v>3.2069798249999999</v>
      </c>
      <c r="V203">
        <f ca="1">IFERROR(IF(0=LEN(ReferenceData!$V$203),"",ReferenceData!$V$203),"")</f>
        <v>2.916383395</v>
      </c>
      <c r="W203">
        <f ca="1">IFERROR(IF(0=LEN(ReferenceData!$W$203),"",ReferenceData!$W$203),"")</f>
        <v>2.8926725769999999</v>
      </c>
      <c r="X203">
        <f ca="1">IFERROR(IF(0=LEN(ReferenceData!$X$203),"",ReferenceData!$X$203),"")</f>
        <v>2.790682066</v>
      </c>
      <c r="Y203">
        <f ca="1">IFERROR(IF(0=LEN(ReferenceData!$Y$203),"",ReferenceData!$Y$203),"")</f>
        <v>2.937531511</v>
      </c>
      <c r="Z203">
        <f ca="1">IFERROR(IF(0=LEN(ReferenceData!$Z$203),"",ReferenceData!$Z$203),"")</f>
        <v>2.4811864629999998</v>
      </c>
      <c r="AA203">
        <f ca="1">IFERROR(IF(0=LEN(ReferenceData!$AA$203),"",ReferenceData!$AA$203),"")</f>
        <v>2.8054415279999998</v>
      </c>
      <c r="AB203">
        <f ca="1">IFERROR(IF(0=LEN(ReferenceData!$AB$203),"",ReferenceData!$AB$203),"")</f>
        <v>2.610511282</v>
      </c>
      <c r="AC203">
        <f ca="1">IFERROR(IF(0=LEN(ReferenceData!$AC$203),"",ReferenceData!$AC$203),"")</f>
        <v>2.856768201</v>
      </c>
      <c r="AD203">
        <f ca="1">IFERROR(IF(0=LEN(ReferenceData!$AD$203),"",ReferenceData!$AD$203),"")</f>
        <v>2.454856302</v>
      </c>
      <c r="AE203">
        <f ca="1">IFERROR(IF(0=LEN(ReferenceData!$AE$203),"",ReferenceData!$AE$203),"")</f>
        <v>2.6038935429999999</v>
      </c>
      <c r="AF203">
        <f ca="1">IFERROR(IF(0=LEN(ReferenceData!$AF$203),"",ReferenceData!$AF$203),"")</f>
        <v>2.8735662390000001</v>
      </c>
      <c r="AG203">
        <f ca="1">IFERROR(IF(0=LEN(ReferenceData!$AG$203),"",ReferenceData!$AG$203),"")</f>
        <v>2.798515589</v>
      </c>
      <c r="AH203">
        <f ca="1">IFERROR(IF(0=LEN(ReferenceData!$AH$203),"",ReferenceData!$AH$203),"")</f>
        <v>2.5102359810000001</v>
      </c>
      <c r="AI203">
        <f ca="1">IFERROR(IF(0=LEN(ReferenceData!$AI$203),"",ReferenceData!$AI$203),"")</f>
        <v>2.621203575</v>
      </c>
      <c r="AJ203">
        <f ca="1">IFERROR(IF(0=LEN(ReferenceData!$AJ$203),"",ReferenceData!$AJ$203),"")</f>
        <v>2.410110913</v>
      </c>
      <c r="AK203">
        <f ca="1">IFERROR(IF(0=LEN(ReferenceData!$AK$203),"",ReferenceData!$AK$203),"")</f>
        <v>2.5728592840000002</v>
      </c>
      <c r="AL203">
        <f ca="1">IFERROR(IF(0=LEN(ReferenceData!$AL$203),"",ReferenceData!$AL$203),"")</f>
        <v>2.4013734800000002</v>
      </c>
      <c r="AM203">
        <f ca="1">IFERROR(IF(0=LEN(ReferenceData!$AM$203),"",ReferenceData!$AM$203),"")</f>
        <v>2.568621002</v>
      </c>
      <c r="AN203">
        <f ca="1">IFERROR(IF(0=LEN(ReferenceData!$AN$203),"",ReferenceData!$AN$203),"")</f>
        <v>2.8911142820000002</v>
      </c>
      <c r="AO203">
        <f ca="1">IFERROR(IF(0=LEN(ReferenceData!$AO$203),"",ReferenceData!$AO$203),"")</f>
        <v>3.0632050159999999</v>
      </c>
      <c r="AP203">
        <f ca="1">IFERROR(IF(0=LEN(ReferenceData!$AP$203),"",ReferenceData!$AP$203),"")</f>
        <v>2.572215887</v>
      </c>
      <c r="AQ203">
        <f ca="1">IFERROR(IF(0=LEN(ReferenceData!$AQ$203),"",ReferenceData!$AQ$203),"")</f>
        <v>3.0613349900000002</v>
      </c>
      <c r="AR203">
        <f ca="1">IFERROR(IF(0=LEN(ReferenceData!$AR$203),"",ReferenceData!$AR$203),"")</f>
        <v>2.7483458789999999</v>
      </c>
      <c r="AS203">
        <f ca="1">IFERROR(IF(0=LEN(ReferenceData!$AS$203),"",ReferenceData!$AS$203),"")</f>
        <v>3.256197512</v>
      </c>
      <c r="AT203">
        <f ca="1">IFERROR(IF(0=LEN(ReferenceData!$AT$203),"",ReferenceData!$AT$203),"")</f>
        <v>3.1479529909999999</v>
      </c>
      <c r="AU203">
        <f ca="1">IFERROR(IF(0=LEN(ReferenceData!$AU$203),"",ReferenceData!$AU$203),"")</f>
        <v>3.4984550950000002</v>
      </c>
      <c r="AV203">
        <f ca="1">IFERROR(IF(0=LEN(ReferenceData!$AV$203),"",ReferenceData!$AV$203),"")</f>
        <v>3.2792403719999998</v>
      </c>
      <c r="AW203">
        <f ca="1">IFERROR(IF(0=LEN(ReferenceData!$AW$203),"",ReferenceData!$AW$203),"")</f>
        <v>3.2166714129999998</v>
      </c>
      <c r="AX203">
        <f ca="1">IFERROR(IF(0=LEN(ReferenceData!$AX$203),"",ReferenceData!$AX$203),"")</f>
        <v>3.0614939259999998</v>
      </c>
      <c r="AY203">
        <f ca="1">IFERROR(IF(0=LEN(ReferenceData!$AY$203),"",ReferenceData!$AY$203),"")</f>
        <v>3.1811321279999998</v>
      </c>
      <c r="AZ203">
        <f ca="1">IFERROR(IF(0=LEN(ReferenceData!$AZ$203),"",ReferenceData!$AZ$203),"")</f>
        <v>3.1293988119999998</v>
      </c>
      <c r="BA203">
        <f ca="1">IFERROR(IF(0=LEN(ReferenceData!$BA$203),"",ReferenceData!$BA$203),"")</f>
        <v>2.9025736470000001</v>
      </c>
      <c r="BB203">
        <f ca="1">IFERROR(IF(0=LEN(ReferenceData!$BB$203),"",ReferenceData!$BB$203),"")</f>
        <v>2.8955317639999998</v>
      </c>
      <c r="BC203">
        <f ca="1">IFERROR(IF(0=LEN(ReferenceData!$BC$203),"",ReferenceData!$BC$203),"")</f>
        <v>3.0058686699999999</v>
      </c>
      <c r="BD203">
        <f ca="1">IFERROR(IF(0=LEN(ReferenceData!$BD$203),"",ReferenceData!$BD$203),"")</f>
        <v>2.9411096429999999</v>
      </c>
      <c r="BE203">
        <f ca="1">IFERROR(IF(0=LEN(ReferenceData!$BE$203),"",ReferenceData!$BE$203),"")</f>
        <v>2.875078292</v>
      </c>
      <c r="BF203">
        <f ca="1">IFERROR(IF(0=LEN(ReferenceData!$BF$203),"",ReferenceData!$BF$203),"")</f>
        <v>2.7791037630000002</v>
      </c>
      <c r="BG203">
        <f ca="1">IFERROR(IF(0=LEN(ReferenceData!$BG$203),"",ReferenceData!$BG$203),"")</f>
        <v>2.8037365520000002</v>
      </c>
      <c r="BH203">
        <f ca="1">IFERROR(IF(0=LEN(ReferenceData!$BH$203),"",ReferenceData!$BH$203),"")</f>
        <v>2.8926355890000002</v>
      </c>
      <c r="BI203">
        <f ca="1">IFERROR(IF(0=LEN(ReferenceData!$BI$203),"",ReferenceData!$BI$203),"")</f>
        <v>2.908395633</v>
      </c>
      <c r="BJ203">
        <f ca="1">IFERROR(IF(0=LEN(ReferenceData!$BJ$203),"",ReferenceData!$BJ$203),"")</f>
        <v>2.808155562</v>
      </c>
      <c r="BK203">
        <f ca="1">IFERROR(IF(0=LEN(ReferenceData!$BK$203),"",ReferenceData!$BK$203),"")</f>
        <v>2.778856266</v>
      </c>
      <c r="BL203">
        <f ca="1">IFERROR(IF(0=LEN(ReferenceData!$BL$203),"",ReferenceData!$BL$203),"")</f>
        <v>2.635082207</v>
      </c>
      <c r="BM203" t="str">
        <f ca="1">IFERROR(IF(0=LEN(ReferenceData!$BM$203),"",ReferenceData!$BM$203),"")</f>
        <v/>
      </c>
    </row>
    <row r="204" spans="1:65">
      <c r="A204" t="str">
        <f>IFERROR(IF(0=LEN(ReferenceData!$A$204),"",ReferenceData!$A$204),"")</f>
        <v xml:space="preserve">    Brandywine Realty Trust</v>
      </c>
      <c r="B204" t="str">
        <f>IFERROR(IF(0=LEN(ReferenceData!$B$204),"",ReferenceData!$B$204),"")</f>
        <v>BDN US Equity</v>
      </c>
      <c r="C204" t="str">
        <f>IFERROR(IF(0=LEN(ReferenceData!$C$204),"",ReferenceData!$C$204),"")</f>
        <v>RX951</v>
      </c>
      <c r="D204" t="str">
        <f>IFERROR(IF(0=LEN(ReferenceData!$D$204),"",ReferenceData!$D$204),"")</f>
        <v>EBITDA_TO_INTEREST_EXPN</v>
      </c>
      <c r="E204" t="str">
        <f>IFERROR(IF(0=LEN(ReferenceData!$E$204),"",ReferenceData!$E$204),"")</f>
        <v>动态</v>
      </c>
      <c r="F204" t="str">
        <f ca="1">IFERROR(IF(0=LEN(ReferenceData!$F$204),"",ReferenceData!$F$204),"")</f>
        <v/>
      </c>
      <c r="G204">
        <f ca="1">IFERROR(IF(0=LEN(ReferenceData!$G$204),"",ReferenceData!$G$204),"")</f>
        <v>3.5375985889999999</v>
      </c>
      <c r="H204">
        <f ca="1">IFERROR(IF(0=LEN(ReferenceData!$H$204),"",ReferenceData!$H$204),"")</f>
        <v>3.6190958850000001</v>
      </c>
      <c r="I204">
        <f ca="1">IFERROR(IF(0=LEN(ReferenceData!$I$204),"",ReferenceData!$I$204),"")</f>
        <v>3.4523246649999999</v>
      </c>
      <c r="J204">
        <f ca="1">IFERROR(IF(0=LEN(ReferenceData!$J$204),"",ReferenceData!$J$204),"")</f>
        <v>3.0949293280000001</v>
      </c>
      <c r="K204">
        <f ca="1">IFERROR(IF(0=LEN(ReferenceData!$K$204),"",ReferenceData!$K$204),"")</f>
        <v>2.1684009030000002</v>
      </c>
      <c r="L204">
        <f ca="1">IFERROR(IF(0=LEN(ReferenceData!$L$204),"",ReferenceData!$L$204),"")</f>
        <v>3.4028135430000002</v>
      </c>
      <c r="M204">
        <f ca="1">IFERROR(IF(0=LEN(ReferenceData!$M$204),"",ReferenceData!$M$204),"")</f>
        <v>3.1813063619999999</v>
      </c>
      <c r="N204">
        <f ca="1">IFERROR(IF(0=LEN(ReferenceData!$N$204),"",ReferenceData!$N$204),"")</f>
        <v>2.6274403469999998</v>
      </c>
      <c r="O204">
        <f ca="1">IFERROR(IF(0=LEN(ReferenceData!$O$204),"",ReferenceData!$O$204),"")</f>
        <v>0.104184363</v>
      </c>
      <c r="P204">
        <f ca="1">IFERROR(IF(0=LEN(ReferenceData!$P$204),"",ReferenceData!$P$204),"")</f>
        <v>2.9688608310000002</v>
      </c>
      <c r="Q204">
        <f ca="1">IFERROR(IF(0=LEN(ReferenceData!$Q$204),"",ReferenceData!$Q$204),"")</f>
        <v>2.876253588</v>
      </c>
      <c r="R204">
        <f ca="1">IFERROR(IF(0=LEN(ReferenceData!$R$204),"",ReferenceData!$R$204),"")</f>
        <v>2.7424636360000001</v>
      </c>
      <c r="S204">
        <f ca="1">IFERROR(IF(0=LEN(ReferenceData!$S$204),"",ReferenceData!$S$204),"")</f>
        <v>2.5951637280000002</v>
      </c>
      <c r="T204">
        <f ca="1">IFERROR(IF(0=LEN(ReferenceData!$T$204),"",ReferenceData!$T$204),"")</f>
        <v>2.458553421</v>
      </c>
      <c r="U204">
        <f ca="1">IFERROR(IF(0=LEN(ReferenceData!$U$204),"",ReferenceData!$U$204),"")</f>
        <v>2.5752308859999999</v>
      </c>
      <c r="V204">
        <f ca="1">IFERROR(IF(0=LEN(ReferenceData!$V$204),"",ReferenceData!$V$204),"")</f>
        <v>2.4910325069999999</v>
      </c>
      <c r="W204">
        <f ca="1">IFERROR(IF(0=LEN(ReferenceData!$W$204),"",ReferenceData!$W$204),"")</f>
        <v>2.2401480660000002</v>
      </c>
      <c r="X204">
        <f ca="1">IFERROR(IF(0=LEN(ReferenceData!$X$204),"",ReferenceData!$X$204),"")</f>
        <v>2.4874999999999998</v>
      </c>
      <c r="Y204">
        <f ca="1">IFERROR(IF(0=LEN(ReferenceData!$Y$204),"",ReferenceData!$Y$204),"")</f>
        <v>2.4336024630000002</v>
      </c>
      <c r="Z204">
        <f ca="1">IFERROR(IF(0=LEN(ReferenceData!$Z$204),"",ReferenceData!$Z$204),"")</f>
        <v>2.4730502379999999</v>
      </c>
      <c r="AA204">
        <f ca="1">IFERROR(IF(0=LEN(ReferenceData!$AA$204),"",ReferenceData!$AA$204),"")</f>
        <v>-2.1866251939999999</v>
      </c>
      <c r="AB204">
        <f ca="1">IFERROR(IF(0=LEN(ReferenceData!$AB$204),"",ReferenceData!$AB$204),"")</f>
        <v>2.2864535770000001</v>
      </c>
      <c r="AC204">
        <f ca="1">IFERROR(IF(0=LEN(ReferenceData!$AC$204),"",ReferenceData!$AC$204),"")</f>
        <v>2.2841426290000002</v>
      </c>
      <c r="AD204">
        <f ca="1">IFERROR(IF(0=LEN(ReferenceData!$AD$204),"",ReferenceData!$AD$204),"")</f>
        <v>2.258725165</v>
      </c>
      <c r="AE204">
        <f ca="1">IFERROR(IF(0=LEN(ReferenceData!$AE$204),"",ReferenceData!$AE$204),"")</f>
        <v>2.4436231519999998</v>
      </c>
      <c r="AF204">
        <f ca="1">IFERROR(IF(0=LEN(ReferenceData!$AF$204),"",ReferenceData!$AF$204),"")</f>
        <v>2.4353552220000001</v>
      </c>
      <c r="AG204">
        <f ca="1">IFERROR(IF(0=LEN(ReferenceData!$AG$204),"",ReferenceData!$AG$204),"")</f>
        <v>2.3000172719999998</v>
      </c>
      <c r="AH204">
        <f ca="1">IFERROR(IF(0=LEN(ReferenceData!$AH$204),"",ReferenceData!$AH$204),"")</f>
        <v>2.4008890809999999</v>
      </c>
      <c r="AI204">
        <f ca="1">IFERROR(IF(0=LEN(ReferenceData!$AI$204),"",ReferenceData!$AI$204),"")</f>
        <v>2.2486871079999999</v>
      </c>
      <c r="AJ204">
        <f ca="1">IFERROR(IF(0=LEN(ReferenceData!$AJ$204),"",ReferenceData!$AJ$204),"")</f>
        <v>2.2693110650000001</v>
      </c>
      <c r="AK204">
        <f ca="1">IFERROR(IF(0=LEN(ReferenceData!$AK$204),"",ReferenceData!$AK$204),"")</f>
        <v>2.3623518099999998</v>
      </c>
      <c r="AL204">
        <f ca="1">IFERROR(IF(0=LEN(ReferenceData!$AL$204),"",ReferenceData!$AL$204),"")</f>
        <v>2.3972528870000001</v>
      </c>
      <c r="AM204">
        <f ca="1">IFERROR(IF(0=LEN(ReferenceData!$AM$204),"",ReferenceData!$AM$204),"")</f>
        <v>1.9505655390000001</v>
      </c>
      <c r="AN204">
        <f ca="1">IFERROR(IF(0=LEN(ReferenceData!$AN$204),"",ReferenceData!$AN$204),"")</f>
        <v>2.3099231100000002</v>
      </c>
      <c r="AO204">
        <f ca="1">IFERROR(IF(0=LEN(ReferenceData!$AO$204),"",ReferenceData!$AO$204),"")</f>
        <v>2.1510396869999999</v>
      </c>
      <c r="AP204">
        <f ca="1">IFERROR(IF(0=LEN(ReferenceData!$AP$204),"",ReferenceData!$AP$204),"")</f>
        <v>2.148347641</v>
      </c>
      <c r="AQ204">
        <f ca="1">IFERROR(IF(0=LEN(ReferenceData!$AQ$204),"",ReferenceData!$AQ$204),"")</f>
        <v>1.6869477079999999</v>
      </c>
      <c r="AR204">
        <f ca="1">IFERROR(IF(0=LEN(ReferenceData!$AR$204),"",ReferenceData!$AR$204),"")</f>
        <v>2.1214414609999999</v>
      </c>
      <c r="AS204">
        <f ca="1">IFERROR(IF(0=LEN(ReferenceData!$AS$204),"",ReferenceData!$AS$204),"")</f>
        <v>2.287849236</v>
      </c>
      <c r="AT204">
        <f ca="1">IFERROR(IF(0=LEN(ReferenceData!$AT$204),"",ReferenceData!$AT$204),"")</f>
        <v>2.345112437</v>
      </c>
      <c r="AU204">
        <f ca="1">IFERROR(IF(0=LEN(ReferenceData!$AU$204),"",ReferenceData!$AU$204),"")</f>
        <v>2.2660744290000001</v>
      </c>
      <c r="AV204">
        <f ca="1">IFERROR(IF(0=LEN(ReferenceData!$AV$204),"",ReferenceData!$AV$204),"")</f>
        <v>2.3399078389999999</v>
      </c>
      <c r="AW204">
        <f ca="1">IFERROR(IF(0=LEN(ReferenceData!$AW$204),"",ReferenceData!$AW$204),"")</f>
        <v>2.1393602719999998</v>
      </c>
      <c r="AX204">
        <f ca="1">IFERROR(IF(0=LEN(ReferenceData!$AX$204),"",ReferenceData!$AX$204),"")</f>
        <v>2.2129469429999999</v>
      </c>
      <c r="AY204">
        <f ca="1">IFERROR(IF(0=LEN(ReferenceData!$AY$204),"",ReferenceData!$AY$204),"")</f>
        <v>2.1863352649999999</v>
      </c>
      <c r="AZ204">
        <f ca="1">IFERROR(IF(0=LEN(ReferenceData!$AZ$204),"",ReferenceData!$AZ$204),"")</f>
        <v>2.1961892569999999</v>
      </c>
      <c r="BA204">
        <f ca="1">IFERROR(IF(0=LEN(ReferenceData!$BA$204),"",ReferenceData!$BA$204),"")</f>
        <v>2.220783204</v>
      </c>
      <c r="BB204">
        <f ca="1">IFERROR(IF(0=LEN(ReferenceData!$BB$204),"",ReferenceData!$BB$204),"")</f>
        <v>2.1448221850000002</v>
      </c>
      <c r="BC204">
        <f ca="1">IFERROR(IF(0=LEN(ReferenceData!$BC$204),"",ReferenceData!$BC$204),"")</f>
        <v>1.586024068</v>
      </c>
      <c r="BD204">
        <f ca="1">IFERROR(IF(0=LEN(ReferenceData!$BD$204),"",ReferenceData!$BD$204),"")</f>
        <v>3.007881995</v>
      </c>
      <c r="BE204">
        <f ca="1">IFERROR(IF(0=LEN(ReferenceData!$BE$204),"",ReferenceData!$BE$204),"")</f>
        <v>2.954793059</v>
      </c>
      <c r="BF204">
        <f ca="1">IFERROR(IF(0=LEN(ReferenceData!$BF$204),"",ReferenceData!$BF$204),"")</f>
        <v>3.014665393</v>
      </c>
      <c r="BG204">
        <f ca="1">IFERROR(IF(0=LEN(ReferenceData!$BG$204),"",ReferenceData!$BG$204),"")</f>
        <v>2.9088303049999999</v>
      </c>
      <c r="BH204">
        <f ca="1">IFERROR(IF(0=LEN(ReferenceData!$BH$204),"",ReferenceData!$BH$204),"")</f>
        <v>1.3521875539999999</v>
      </c>
      <c r="BI204">
        <f ca="1">IFERROR(IF(0=LEN(ReferenceData!$BI$204),"",ReferenceData!$BI$204),"")</f>
        <v>3.783059926</v>
      </c>
      <c r="BJ204">
        <f ca="1">IFERROR(IF(0=LEN(ReferenceData!$BJ$204),"",ReferenceData!$BJ$204),"")</f>
        <v>3.2362029080000001</v>
      </c>
      <c r="BK204" t="str">
        <f ca="1">IFERROR(IF(0=LEN(ReferenceData!$BK$204),"",ReferenceData!$BK$204),"")</f>
        <v/>
      </c>
      <c r="BL204">
        <f ca="1">IFERROR(IF(0=LEN(ReferenceData!$BL$204),"",ReferenceData!$BL$204),"")</f>
        <v>3.294267423</v>
      </c>
      <c r="BM204">
        <f ca="1">IFERROR(IF(0=LEN(ReferenceData!$BM$204),"",ReferenceData!$BM$204),"")</f>
        <v>2.8425300180000002</v>
      </c>
    </row>
    <row r="205" spans="1:65">
      <c r="A205" t="str">
        <f>IFERROR(IF(0=LEN(ReferenceData!$A$205),"",ReferenceData!$A$205),"")</f>
        <v xml:space="preserve">    Columbia Property Trust Inc</v>
      </c>
      <c r="B205" t="str">
        <f>IFERROR(IF(0=LEN(ReferenceData!$B$205),"",ReferenceData!$B$205),"")</f>
        <v>CXP US Equity</v>
      </c>
      <c r="C205" t="str">
        <f>IFERROR(IF(0=LEN(ReferenceData!$C$205),"",ReferenceData!$C$205),"")</f>
        <v>RX951</v>
      </c>
      <c r="D205" t="str">
        <f>IFERROR(IF(0=LEN(ReferenceData!$D$205),"",ReferenceData!$D$205),"")</f>
        <v>EBITDA_TO_INTEREST_EXPN</v>
      </c>
      <c r="E205" t="str">
        <f>IFERROR(IF(0=LEN(ReferenceData!$E$205),"",ReferenceData!$E$205),"")</f>
        <v>动态</v>
      </c>
      <c r="F205" t="str">
        <f ca="1">IFERROR(IF(0=LEN(ReferenceData!$F$205),"",ReferenceData!$F$205),"")</f>
        <v/>
      </c>
      <c r="G205">
        <f ca="1">IFERROR(IF(0=LEN(ReferenceData!$G$205),"",ReferenceData!$G$205),"")</f>
        <v>2.5902970569999999</v>
      </c>
      <c r="H205">
        <f ca="1">IFERROR(IF(0=LEN(ReferenceData!$H$205),"",ReferenceData!$H$205),"")</f>
        <v>2.3295091979999998</v>
      </c>
      <c r="I205">
        <f ca="1">IFERROR(IF(0=LEN(ReferenceData!$I$205),"",ReferenceData!$I$205),"")</f>
        <v>2.9930161800000001</v>
      </c>
      <c r="J205">
        <f ca="1">IFERROR(IF(0=LEN(ReferenceData!$J$205),"",ReferenceData!$J$205),"")</f>
        <v>3.0664902409999999</v>
      </c>
      <c r="K205">
        <f ca="1">IFERROR(IF(0=LEN(ReferenceData!$K$205),"",ReferenceData!$K$205),"")</f>
        <v>3.8159141769999998</v>
      </c>
      <c r="L205">
        <f ca="1">IFERROR(IF(0=LEN(ReferenceData!$L$205),"",ReferenceData!$L$205),"")</f>
        <v>3.540903256</v>
      </c>
      <c r="M205">
        <f ca="1">IFERROR(IF(0=LEN(ReferenceData!$M$205),"",ReferenceData!$M$205),"")</f>
        <v>4.1956271579999997</v>
      </c>
      <c r="N205">
        <f ca="1">IFERROR(IF(0=LEN(ReferenceData!$N$205),"",ReferenceData!$N$205),"")</f>
        <v>3.8425434429999998</v>
      </c>
      <c r="O205">
        <f ca="1">IFERROR(IF(0=LEN(ReferenceData!$O$205),"",ReferenceData!$O$205),"")</f>
        <v>3.9111636459999999</v>
      </c>
      <c r="P205">
        <f ca="1">IFERROR(IF(0=LEN(ReferenceData!$P$205),"",ReferenceData!$P$205),"")</f>
        <v>3.3845175360000002</v>
      </c>
      <c r="Q205">
        <f ca="1">IFERROR(IF(0=LEN(ReferenceData!$Q$205),"",ReferenceData!$Q$205),"")</f>
        <v>3.7382385239999998</v>
      </c>
      <c r="R205">
        <f ca="1">IFERROR(IF(0=LEN(ReferenceData!$R$205),"",ReferenceData!$R$205),"")</f>
        <v>3.7246322840000001</v>
      </c>
      <c r="S205">
        <f ca="1">IFERROR(IF(0=LEN(ReferenceData!$S$205),"",ReferenceData!$S$205),"")</f>
        <v>3.3972442549999999</v>
      </c>
      <c r="T205">
        <f ca="1">IFERROR(IF(0=LEN(ReferenceData!$T$205),"",ReferenceData!$T$205),"")</f>
        <v>3.8059980279999999</v>
      </c>
      <c r="U205">
        <f ca="1">IFERROR(IF(0=LEN(ReferenceData!$U$205),"",ReferenceData!$U$205),"")</f>
        <v>4.0133085900000003</v>
      </c>
      <c r="V205">
        <f ca="1">IFERROR(IF(0=LEN(ReferenceData!$V$205),"",ReferenceData!$V$205),"")</f>
        <v>3.6284757120000002</v>
      </c>
      <c r="W205">
        <f ca="1">IFERROR(IF(0=LEN(ReferenceData!$W$205),"",ReferenceData!$W$205),"")</f>
        <v>3.3673407790000001</v>
      </c>
      <c r="X205">
        <f ca="1">IFERROR(IF(0=LEN(ReferenceData!$X$205),"",ReferenceData!$X$205),"")</f>
        <v>3.1926073700000002</v>
      </c>
      <c r="Y205">
        <f ca="1">IFERROR(IF(0=LEN(ReferenceData!$Y$205),"",ReferenceData!$Y$205),"")</f>
        <v>3.3000499059999999</v>
      </c>
      <c r="Z205">
        <f ca="1">IFERROR(IF(0=LEN(ReferenceData!$Z$205),"",ReferenceData!$Z$205),"")</f>
        <v>1.9195683779999999</v>
      </c>
      <c r="AA205">
        <f ca="1">IFERROR(IF(0=LEN(ReferenceData!$AA$205),"",ReferenceData!$AA$205),"")</f>
        <v>2.835900428</v>
      </c>
      <c r="AB205">
        <f ca="1">IFERROR(IF(0=LEN(ReferenceData!$AB$205),"",ReferenceData!$AB$205),"")</f>
        <v>3.1072189610000001</v>
      </c>
      <c r="AC205">
        <f ca="1">IFERROR(IF(0=LEN(ReferenceData!$AC$205),"",ReferenceData!$AC$205),"")</f>
        <v>3.0933046819999999</v>
      </c>
      <c r="AD205">
        <f ca="1">IFERROR(IF(0=LEN(ReferenceData!$AD$205),"",ReferenceData!$AD$205),"")</f>
        <v>3.23149804</v>
      </c>
      <c r="AE205">
        <f ca="1">IFERROR(IF(0=LEN(ReferenceData!$AE$205),"",ReferenceData!$AE$205),"")</f>
        <v>2.4176909129999999</v>
      </c>
      <c r="AF205">
        <f ca="1">IFERROR(IF(0=LEN(ReferenceData!$AF$205),"",ReferenceData!$AF$205),"")</f>
        <v>3.2119330079999999</v>
      </c>
      <c r="AG205">
        <f ca="1">IFERROR(IF(0=LEN(ReferenceData!$AG$205),"",ReferenceData!$AG$205),"")</f>
        <v>2.8739931520000002</v>
      </c>
      <c r="AH205">
        <f ca="1">IFERROR(IF(0=LEN(ReferenceData!$AH$205),"",ReferenceData!$AH$205),"")</f>
        <v>3.3678321680000001</v>
      </c>
      <c r="AI205">
        <f ca="1">IFERROR(IF(0=LEN(ReferenceData!$AI$205),"",ReferenceData!$AI$205),"")</f>
        <v>4.6591104239999996</v>
      </c>
      <c r="AJ205">
        <f ca="1">IFERROR(IF(0=LEN(ReferenceData!$AJ$205),"",ReferenceData!$AJ$205),"")</f>
        <v>3.8045025890000002</v>
      </c>
      <c r="AK205">
        <f ca="1">IFERROR(IF(0=LEN(ReferenceData!$AK$205),"",ReferenceData!$AK$205),"")</f>
        <v>3.3040027909999998</v>
      </c>
      <c r="AL205">
        <f ca="1">IFERROR(IF(0=LEN(ReferenceData!$AL$205),"",ReferenceData!$AL$205),"")</f>
        <v>3.2792664469999999</v>
      </c>
      <c r="AM205">
        <f ca="1">IFERROR(IF(0=LEN(ReferenceData!$AM$205),"",ReferenceData!$AM$205),"")</f>
        <v>4.2001426190000002</v>
      </c>
      <c r="AN205">
        <f ca="1">IFERROR(IF(0=LEN(ReferenceData!$AN$205),"",ReferenceData!$AN$205),"")</f>
        <v>3.1974644639999998</v>
      </c>
      <c r="AO205">
        <f ca="1">IFERROR(IF(0=LEN(ReferenceData!$AO$205),"",ReferenceData!$AO$205),"")</f>
        <v>3.0928870650000002</v>
      </c>
      <c r="AP205">
        <f ca="1">IFERROR(IF(0=LEN(ReferenceData!$AP$205),"",ReferenceData!$AP$205),"")</f>
        <v>3.0933461640000002</v>
      </c>
      <c r="AQ205" t="str">
        <f ca="1">IFERROR(IF(0=LEN(ReferenceData!$AQ$205),"",ReferenceData!$AQ$205),"")</f>
        <v/>
      </c>
      <c r="AR205" t="str">
        <f ca="1">IFERROR(IF(0=LEN(ReferenceData!$AR$205),"",ReferenceData!$AR$205),"")</f>
        <v/>
      </c>
      <c r="AS205" t="str">
        <f ca="1">IFERROR(IF(0=LEN(ReferenceData!$AS$205),"",ReferenceData!$AS$205),"")</f>
        <v/>
      </c>
      <c r="AT205" t="str">
        <f ca="1">IFERROR(IF(0=LEN(ReferenceData!$AT$205),"",ReferenceData!$AT$205),"")</f>
        <v/>
      </c>
      <c r="AU205" t="str">
        <f ca="1">IFERROR(IF(0=LEN(ReferenceData!$AU$205),"",ReferenceData!$AU$205),"")</f>
        <v/>
      </c>
      <c r="AV205" t="str">
        <f ca="1">IFERROR(IF(0=LEN(ReferenceData!$AV$205),"",ReferenceData!$AV$205),"")</f>
        <v/>
      </c>
      <c r="AW205" t="str">
        <f ca="1">IFERROR(IF(0=LEN(ReferenceData!$AW$205),"",ReferenceData!$AW$205),"")</f>
        <v/>
      </c>
      <c r="AX205" t="str">
        <f ca="1">IFERROR(IF(0=LEN(ReferenceData!$AX$205),"",ReferenceData!$AX$205),"")</f>
        <v/>
      </c>
      <c r="AY205" t="str">
        <f ca="1">IFERROR(IF(0=LEN(ReferenceData!$AY$205),"",ReferenceData!$AY$205),"")</f>
        <v/>
      </c>
      <c r="AZ205" t="str">
        <f ca="1">IFERROR(IF(0=LEN(ReferenceData!$AZ$205),"",ReferenceData!$AZ$205),"")</f>
        <v/>
      </c>
      <c r="BA205" t="str">
        <f ca="1">IFERROR(IF(0=LEN(ReferenceData!$BA$205),"",ReferenceData!$BA$205),"")</f>
        <v/>
      </c>
      <c r="BB205" t="str">
        <f ca="1">IFERROR(IF(0=LEN(ReferenceData!$BB$205),"",ReferenceData!$BB$205),"")</f>
        <v/>
      </c>
      <c r="BC205" t="str">
        <f ca="1">IFERROR(IF(0=LEN(ReferenceData!$BC$205),"",ReferenceData!$BC$205),"")</f>
        <v/>
      </c>
      <c r="BD205" t="str">
        <f ca="1">IFERROR(IF(0=LEN(ReferenceData!$BD$205),"",ReferenceData!$BD$205),"")</f>
        <v/>
      </c>
      <c r="BE205" t="str">
        <f ca="1">IFERROR(IF(0=LEN(ReferenceData!$BE$205),"",ReferenceData!$BE$205),"")</f>
        <v/>
      </c>
      <c r="BF205" t="str">
        <f ca="1">IFERROR(IF(0=LEN(ReferenceData!$BF$205),"",ReferenceData!$BF$205),"")</f>
        <v/>
      </c>
      <c r="BG205" t="str">
        <f ca="1">IFERROR(IF(0=LEN(ReferenceData!$BG$205),"",ReferenceData!$BG$205),"")</f>
        <v/>
      </c>
      <c r="BH205" t="str">
        <f ca="1">IFERROR(IF(0=LEN(ReferenceData!$BH$205),"",ReferenceData!$BH$205),"")</f>
        <v/>
      </c>
      <c r="BI205" t="str">
        <f ca="1">IFERROR(IF(0=LEN(ReferenceData!$BI$205),"",ReferenceData!$BI$205),"")</f>
        <v/>
      </c>
      <c r="BJ205" t="str">
        <f ca="1">IFERROR(IF(0=LEN(ReferenceData!$BJ$205),"",ReferenceData!$BJ$205),"")</f>
        <v/>
      </c>
      <c r="BK205" t="str">
        <f ca="1">IFERROR(IF(0=LEN(ReferenceData!$BK$205),"",ReferenceData!$BK$205),"")</f>
        <v/>
      </c>
      <c r="BL205" t="str">
        <f ca="1">IFERROR(IF(0=LEN(ReferenceData!$BL$205),"",ReferenceData!$BL$205),"")</f>
        <v/>
      </c>
      <c r="BM205" t="str">
        <f ca="1">IFERROR(IF(0=LEN(ReferenceData!$BM$205),"",ReferenceData!$BM$205),"")</f>
        <v/>
      </c>
    </row>
    <row r="206" spans="1:65">
      <c r="A206" t="str">
        <f>IFERROR(IF(0=LEN(ReferenceData!$A$206),"",ReferenceData!$A$206),"")</f>
        <v xml:space="preserve">    Corporate Office Properties Tr</v>
      </c>
      <c r="B206" t="str">
        <f>IFERROR(IF(0=LEN(ReferenceData!$B$206),"",ReferenceData!$B$206),"")</f>
        <v>OFC US Equity</v>
      </c>
      <c r="C206" t="str">
        <f>IFERROR(IF(0=LEN(ReferenceData!$C$206),"",ReferenceData!$C$206),"")</f>
        <v>RX951</v>
      </c>
      <c r="D206" t="str">
        <f>IFERROR(IF(0=LEN(ReferenceData!$D$206),"",ReferenceData!$D$206),"")</f>
        <v>EBITDA_TO_INTEREST_EXPN</v>
      </c>
      <c r="E206" t="str">
        <f>IFERROR(IF(0=LEN(ReferenceData!$E$206),"",ReferenceData!$E$206),"")</f>
        <v>动态</v>
      </c>
      <c r="F206" t="str">
        <f ca="1">IFERROR(IF(0=LEN(ReferenceData!$F$206),"",ReferenceData!$F$206),"")</f>
        <v/>
      </c>
      <c r="G206">
        <f ca="1">IFERROR(IF(0=LEN(ReferenceData!$G$206),"",ReferenceData!$G$206),"")</f>
        <v>3.0911977510000002</v>
      </c>
      <c r="H206">
        <f ca="1">IFERROR(IF(0=LEN(ReferenceData!$H$206),"",ReferenceData!$H$206),"")</f>
        <v>3.7702778490000002</v>
      </c>
      <c r="I206">
        <f ca="1">IFERROR(IF(0=LEN(ReferenceData!$I$206),"",ReferenceData!$I$206),"")</f>
        <v>3.652663988</v>
      </c>
      <c r="J206">
        <f ca="1">IFERROR(IF(0=LEN(ReferenceData!$J$206),"",ReferenceData!$J$206),"")</f>
        <v>3.6328840690000002</v>
      </c>
      <c r="K206">
        <f ca="1">IFERROR(IF(0=LEN(ReferenceData!$K$206),"",ReferenceData!$K$206),"")</f>
        <v>3.7978461210000001</v>
      </c>
      <c r="L206">
        <f ca="1">IFERROR(IF(0=LEN(ReferenceData!$L$206),"",ReferenceData!$L$206),"")</f>
        <v>2.4071362220000001</v>
      </c>
      <c r="M206">
        <f ca="1">IFERROR(IF(0=LEN(ReferenceData!$M$206),"",ReferenceData!$M$206),"")</f>
        <v>0.29820221699999999</v>
      </c>
      <c r="N206">
        <f ca="1">IFERROR(IF(0=LEN(ReferenceData!$N$206),"",ReferenceData!$N$206),"")</f>
        <v>2.7842013670000001</v>
      </c>
      <c r="O206">
        <f ca="1">IFERROR(IF(0=LEN(ReferenceData!$O$206),"",ReferenceData!$O$206),"")</f>
        <v>2.5457108339999999</v>
      </c>
      <c r="P206">
        <f ca="1">IFERROR(IF(0=LEN(ReferenceData!$P$206),"",ReferenceData!$P$206),"")</f>
        <v>2.9429128150000001</v>
      </c>
      <c r="Q206">
        <f ca="1">IFERROR(IF(0=LEN(ReferenceData!$Q$206),"",ReferenceData!$Q$206),"")</f>
        <v>3.2976846750000002</v>
      </c>
      <c r="R206">
        <f ca="1">IFERROR(IF(0=LEN(ReferenceData!$R$206),"",ReferenceData!$R$206),"")</f>
        <v>3.007294366</v>
      </c>
      <c r="S206">
        <f ca="1">IFERROR(IF(0=LEN(ReferenceData!$S$206),"",ReferenceData!$S$206),"")</f>
        <v>2.963969767</v>
      </c>
      <c r="T206">
        <f ca="1">IFERROR(IF(0=LEN(ReferenceData!$T$206),"",ReferenceData!$T$206),"")</f>
        <v>2.7498588819999998</v>
      </c>
      <c r="U206">
        <f ca="1">IFERROR(IF(0=LEN(ReferenceData!$U$206),"",ReferenceData!$U$206),"")</f>
        <v>2.7078115679999999</v>
      </c>
      <c r="V206">
        <f ca="1">IFERROR(IF(0=LEN(ReferenceData!$V$206),"",ReferenceData!$V$206),"")</f>
        <v>3.3277476350000001</v>
      </c>
      <c r="W206">
        <f ca="1">IFERROR(IF(0=LEN(ReferenceData!$W$206),"",ReferenceData!$W$206),"")</f>
        <v>3.1331077270000001</v>
      </c>
      <c r="X206">
        <f ca="1">IFERROR(IF(0=LEN(ReferenceData!$X$206),"",ReferenceData!$X$206),"")</f>
        <v>3.1219625689999999</v>
      </c>
      <c r="Y206">
        <f ca="1">IFERROR(IF(0=LEN(ReferenceData!$Y$206),"",ReferenceData!$Y$206),"")</f>
        <v>3.3025779549999998</v>
      </c>
      <c r="Z206">
        <f ca="1">IFERROR(IF(0=LEN(ReferenceData!$Z$206),"",ReferenceData!$Z$206),"")</f>
        <v>3.2009364219999998</v>
      </c>
      <c r="AA206">
        <f ca="1">IFERROR(IF(0=LEN(ReferenceData!$AA$206),"",ReferenceData!$AA$206),"")</f>
        <v>3.0226358389999999</v>
      </c>
      <c r="AB206">
        <f ca="1">IFERROR(IF(0=LEN(ReferenceData!$AB$206),"",ReferenceData!$AB$206),"")</f>
        <v>0.97663410699999997</v>
      </c>
      <c r="AC206">
        <f ca="1">IFERROR(IF(0=LEN(ReferenceData!$AC$206),"",ReferenceData!$AC$206),"")</f>
        <v>2.7141796280000001</v>
      </c>
      <c r="AD206">
        <f ca="1">IFERROR(IF(0=LEN(ReferenceData!$AD$206),"",ReferenceData!$AD$206),"")</f>
        <v>2.7791330689999998</v>
      </c>
      <c r="AE206">
        <f ca="1">IFERROR(IF(0=LEN(ReferenceData!$AE$206),"",ReferenceData!$AE$206),"")</f>
        <v>1.054064466</v>
      </c>
      <c r="AF206">
        <f ca="1">IFERROR(IF(0=LEN(ReferenceData!$AF$206),"",ReferenceData!$AF$206),"")</f>
        <v>2.6612756449999999</v>
      </c>
      <c r="AG206">
        <f ca="1">IFERROR(IF(0=LEN(ReferenceData!$AG$206),"",ReferenceData!$AG$206),"")</f>
        <v>1.8130884940000001</v>
      </c>
      <c r="AH206">
        <f ca="1">IFERROR(IF(0=LEN(ReferenceData!$AH$206),"",ReferenceData!$AH$206),"")</f>
        <v>1.441776757</v>
      </c>
      <c r="AI206">
        <f ca="1">IFERROR(IF(0=LEN(ReferenceData!$AI$206),"",ReferenceData!$AI$206),"")</f>
        <v>2.634776617</v>
      </c>
      <c r="AJ206">
        <f ca="1">IFERROR(IF(0=LEN(ReferenceData!$AJ$206),"",ReferenceData!$AJ$206),"")</f>
        <v>2.34014671</v>
      </c>
      <c r="AK206">
        <f ca="1">IFERROR(IF(0=LEN(ReferenceData!$AK$206),"",ReferenceData!$AK$206),"")</f>
        <v>2.4711057240000001</v>
      </c>
      <c r="AL206">
        <f ca="1">IFERROR(IF(0=LEN(ReferenceData!$AL$206),"",ReferenceData!$AL$206),"")</f>
        <v>2.6354359930000002</v>
      </c>
      <c r="AM206">
        <f ca="1">IFERROR(IF(0=LEN(ReferenceData!$AM$206),"",ReferenceData!$AM$206),"")</f>
        <v>1.4282215439999999</v>
      </c>
      <c r="AN206">
        <f ca="1">IFERROR(IF(0=LEN(ReferenceData!$AN$206),"",ReferenceData!$AN$206),"")</f>
        <v>4.2353447040000001</v>
      </c>
      <c r="AO206">
        <f ca="1">IFERROR(IF(0=LEN(ReferenceData!$AO$206),"",ReferenceData!$AO$206),"")</f>
        <v>3.4682062299999998</v>
      </c>
      <c r="AP206">
        <f ca="1">IFERROR(IF(0=LEN(ReferenceData!$AP$206),"",ReferenceData!$AP$206),"")</f>
        <v>3.267778753</v>
      </c>
      <c r="AQ206">
        <f ca="1">IFERROR(IF(0=LEN(ReferenceData!$AQ$206),"",ReferenceData!$AQ$206),"")</f>
        <v>2.898259516</v>
      </c>
      <c r="AR206">
        <f ca="1">IFERROR(IF(0=LEN(ReferenceData!$AR$206),"",ReferenceData!$AR$206),"")</f>
        <v>2.7495889440000001</v>
      </c>
      <c r="AS206">
        <f ca="1">IFERROR(IF(0=LEN(ReferenceData!$AS$206),"",ReferenceData!$AS$206),"")</f>
        <v>2.780644552</v>
      </c>
      <c r="AT206">
        <f ca="1">IFERROR(IF(0=LEN(ReferenceData!$AT$206),"",ReferenceData!$AT$206),"")</f>
        <v>2.6041524069999999</v>
      </c>
      <c r="AU206">
        <f ca="1">IFERROR(IF(0=LEN(ReferenceData!$AU$206),"",ReferenceData!$AU$206),"")</f>
        <v>2.6198919520000001</v>
      </c>
      <c r="AV206">
        <f ca="1">IFERROR(IF(0=LEN(ReferenceData!$AV$206),"",ReferenceData!$AV$206),"")</f>
        <v>2.6556321629999999</v>
      </c>
      <c r="AW206">
        <f ca="1">IFERROR(IF(0=LEN(ReferenceData!$AW$206),"",ReferenceData!$AW$206),"")</f>
        <v>2.6707556889999999</v>
      </c>
      <c r="AX206">
        <f ca="1">IFERROR(IF(0=LEN(ReferenceData!$AX$206),"",ReferenceData!$AX$206),"")</f>
        <v>2.5831074539999999</v>
      </c>
      <c r="AY206">
        <f ca="1">IFERROR(IF(0=LEN(ReferenceData!$AY$206),"",ReferenceData!$AY$206),"")</f>
        <v>2.4461022200000002</v>
      </c>
      <c r="AZ206">
        <f ca="1">IFERROR(IF(0=LEN(ReferenceData!$AZ$206),"",ReferenceData!$AZ$206),"")</f>
        <v>2.6548821550000001</v>
      </c>
      <c r="BA206">
        <f ca="1">IFERROR(IF(0=LEN(ReferenceData!$BA$206),"",ReferenceData!$BA$206),"")</f>
        <v>2.6360356299999999</v>
      </c>
      <c r="BB206">
        <f ca="1">IFERROR(IF(0=LEN(ReferenceData!$BB$206),"",ReferenceData!$BB$206),"")</f>
        <v>2.585612738</v>
      </c>
      <c r="BC206">
        <f ca="1">IFERROR(IF(0=LEN(ReferenceData!$BC$206),"",ReferenceData!$BC$206),"")</f>
        <v>2.7320172010000001</v>
      </c>
      <c r="BD206">
        <f ca="1">IFERROR(IF(0=LEN(ReferenceData!$BD$206),"",ReferenceData!$BD$206),"")</f>
        <v>2.7785729030000001</v>
      </c>
      <c r="BE206">
        <f ca="1">IFERROR(IF(0=LEN(ReferenceData!$BE$206),"",ReferenceData!$BE$206),"")</f>
        <v>2.8522579709999998</v>
      </c>
      <c r="BF206">
        <f ca="1">IFERROR(IF(0=LEN(ReferenceData!$BF$206),"",ReferenceData!$BF$206),"")</f>
        <v>2.9112891150000002</v>
      </c>
      <c r="BG206">
        <f ca="1">IFERROR(IF(0=LEN(ReferenceData!$BG$206),"",ReferenceData!$BG$206),"")</f>
        <v>2.9604493330000001</v>
      </c>
      <c r="BH206">
        <f ca="1">IFERROR(IF(0=LEN(ReferenceData!$BH$206),"",ReferenceData!$BH$206),"")</f>
        <v>3.0644730990000002</v>
      </c>
      <c r="BI206">
        <f ca="1">IFERROR(IF(0=LEN(ReferenceData!$BI$206),"",ReferenceData!$BI$206),"")</f>
        <v>3.3562738329999999</v>
      </c>
      <c r="BJ206">
        <f ca="1">IFERROR(IF(0=LEN(ReferenceData!$BJ$206),"",ReferenceData!$BJ$206),"")</f>
        <v>2.894344034</v>
      </c>
      <c r="BK206">
        <f ca="1">IFERROR(IF(0=LEN(ReferenceData!$BK$206),"",ReferenceData!$BK$206),"")</f>
        <v>2.8615223140000001</v>
      </c>
      <c r="BL206">
        <f ca="1">IFERROR(IF(0=LEN(ReferenceData!$BL$206),"",ReferenceData!$BL$206),"")</f>
        <v>2.781604068</v>
      </c>
      <c r="BM206">
        <f ca="1">IFERROR(IF(0=LEN(ReferenceData!$BM$206),"",ReferenceData!$BM$206),"")</f>
        <v>2.6268811140000001</v>
      </c>
    </row>
    <row r="207" spans="1:65">
      <c r="A207" t="str">
        <f>IFERROR(IF(0=LEN(ReferenceData!$A$207),"",ReferenceData!$A$207),"")</f>
        <v xml:space="preserve">    Highwoods Properties Inc</v>
      </c>
      <c r="B207" t="str">
        <f>IFERROR(IF(0=LEN(ReferenceData!$B$207),"",ReferenceData!$B$207),"")</f>
        <v>HIW US Equity</v>
      </c>
      <c r="C207" t="str">
        <f>IFERROR(IF(0=LEN(ReferenceData!$C$207),"",ReferenceData!$C$207),"")</f>
        <v>RX951</v>
      </c>
      <c r="D207" t="str">
        <f>IFERROR(IF(0=LEN(ReferenceData!$D$207),"",ReferenceData!$D$207),"")</f>
        <v>EBITDA_TO_INTEREST_EXPN</v>
      </c>
      <c r="E207" t="str">
        <f>IFERROR(IF(0=LEN(ReferenceData!$E$207),"",ReferenceData!$E$207),"")</f>
        <v>动态</v>
      </c>
      <c r="F207" t="str">
        <f ca="1">IFERROR(IF(0=LEN(ReferenceData!$F$207),"",ReferenceData!$F$207),"")</f>
        <v/>
      </c>
      <c r="G207">
        <f ca="1">IFERROR(IF(0=LEN(ReferenceData!$G$207),"",ReferenceData!$G$207),"")</f>
        <v>5.9560820249999997</v>
      </c>
      <c r="H207">
        <f ca="1">IFERROR(IF(0=LEN(ReferenceData!$H$207),"",ReferenceData!$H$207),"")</f>
        <v>6.2974230699999998</v>
      </c>
      <c r="I207">
        <f ca="1">IFERROR(IF(0=LEN(ReferenceData!$I$207),"",ReferenceData!$I$207),"")</f>
        <v>6.7710164669999999</v>
      </c>
      <c r="J207">
        <f ca="1">IFERROR(IF(0=LEN(ReferenceData!$J$207),"",ReferenceData!$J$207),"")</f>
        <v>5.6273862169999997</v>
      </c>
      <c r="K207">
        <f ca="1">IFERROR(IF(0=LEN(ReferenceData!$K$207),"",ReferenceData!$K$207),"")</f>
        <v>5.6701319029999997</v>
      </c>
      <c r="L207">
        <f ca="1">IFERROR(IF(0=LEN(ReferenceData!$L$207),"",ReferenceData!$L$207),"")</f>
        <v>5.2669395669999997</v>
      </c>
      <c r="M207">
        <f ca="1">IFERROR(IF(0=LEN(ReferenceData!$M$207),"",ReferenceData!$M$207),"")</f>
        <v>5.1843982549999996</v>
      </c>
      <c r="N207">
        <f ca="1">IFERROR(IF(0=LEN(ReferenceData!$N$207),"",ReferenceData!$N$207),"")</f>
        <v>4.6434194639999999</v>
      </c>
      <c r="O207">
        <f ca="1">IFERROR(IF(0=LEN(ReferenceData!$O$207),"",ReferenceData!$O$207),"")</f>
        <v>4.5520688700000003</v>
      </c>
      <c r="P207">
        <f ca="1">IFERROR(IF(0=LEN(ReferenceData!$P$207),"",ReferenceData!$P$207),"")</f>
        <v>4.4066567499999998</v>
      </c>
      <c r="Q207">
        <f ca="1">IFERROR(IF(0=LEN(ReferenceData!$Q$207),"",ReferenceData!$Q$207),"")</f>
        <v>4.1570925069999998</v>
      </c>
      <c r="R207">
        <f ca="1">IFERROR(IF(0=LEN(ReferenceData!$R$207),"",ReferenceData!$R$207),"")</f>
        <v>4.1245390469999998</v>
      </c>
      <c r="S207">
        <f ca="1">IFERROR(IF(0=LEN(ReferenceData!$S$207),"",ReferenceData!$S$207),"")</f>
        <v>4.0439581630000001</v>
      </c>
      <c r="T207">
        <f ca="1">IFERROR(IF(0=LEN(ReferenceData!$T$207),"",ReferenceData!$T$207),"")</f>
        <v>3.9251834620000001</v>
      </c>
      <c r="U207">
        <f ca="1">IFERROR(IF(0=LEN(ReferenceData!$U$207),"",ReferenceData!$U$207),"")</f>
        <v>4.1543393200000001</v>
      </c>
      <c r="V207">
        <f ca="1">IFERROR(IF(0=LEN(ReferenceData!$V$207),"",ReferenceData!$V$207),"")</f>
        <v>3.8081172169999999</v>
      </c>
      <c r="W207">
        <f ca="1">IFERROR(IF(0=LEN(ReferenceData!$W$207),"",ReferenceData!$W$207),"")</f>
        <v>3.8697719070000001</v>
      </c>
      <c r="X207">
        <f ca="1">IFERROR(IF(0=LEN(ReferenceData!$X$207),"",ReferenceData!$X$207),"")</f>
        <v>3.5149966199999998</v>
      </c>
      <c r="Y207">
        <f ca="1">IFERROR(IF(0=LEN(ReferenceData!$Y$207),"",ReferenceData!$Y$207),"")</f>
        <v>3.3820750670000002</v>
      </c>
      <c r="Z207">
        <f ca="1">IFERROR(IF(0=LEN(ReferenceData!$Z$207),"",ReferenceData!$Z$207),"")</f>
        <v>3.1592508800000001</v>
      </c>
      <c r="AA207">
        <f ca="1">IFERROR(IF(0=LEN(ReferenceData!$AA$207),"",ReferenceData!$AA$207),"")</f>
        <v>3.121860743</v>
      </c>
      <c r="AB207">
        <f ca="1">IFERROR(IF(0=LEN(ReferenceData!$AB$207),"",ReferenceData!$AB$207),"")</f>
        <v>2.9138430529999999</v>
      </c>
      <c r="AC207">
        <f ca="1">IFERROR(IF(0=LEN(ReferenceData!$AC$207),"",ReferenceData!$AC$207),"")</f>
        <v>3.017848351</v>
      </c>
      <c r="AD207">
        <f ca="1">IFERROR(IF(0=LEN(ReferenceData!$AD$207),"",ReferenceData!$AD$207),"")</f>
        <v>2.9238880140000001</v>
      </c>
      <c r="AE207">
        <f ca="1">IFERROR(IF(0=LEN(ReferenceData!$AE$207),"",ReferenceData!$AE$207),"")</f>
        <v>2.9969626360000001</v>
      </c>
      <c r="AF207">
        <f ca="1">IFERROR(IF(0=LEN(ReferenceData!$AF$207),"",ReferenceData!$AF$207),"")</f>
        <v>2.4664002310000002</v>
      </c>
      <c r="AG207">
        <f ca="1">IFERROR(IF(0=LEN(ReferenceData!$AG$207),"",ReferenceData!$AG$207),"")</f>
        <v>2.8242774079999999</v>
      </c>
      <c r="AH207">
        <f ca="1">IFERROR(IF(0=LEN(ReferenceData!$AH$207),"",ReferenceData!$AH$207),"")</f>
        <v>2.7982839909999999</v>
      </c>
      <c r="AI207">
        <f ca="1">IFERROR(IF(0=LEN(ReferenceData!$AI$207),"",ReferenceData!$AI$207),"")</f>
        <v>1.832659357</v>
      </c>
      <c r="AJ207">
        <f ca="1">IFERROR(IF(0=LEN(ReferenceData!$AJ$207),"",ReferenceData!$AJ$207),"")</f>
        <v>2.7168137799999998</v>
      </c>
      <c r="AK207">
        <f ca="1">IFERROR(IF(0=LEN(ReferenceData!$AK$207),"",ReferenceData!$AK$207),"")</f>
        <v>3.0050143889999998</v>
      </c>
      <c r="AL207">
        <f ca="1">IFERROR(IF(0=LEN(ReferenceData!$AL$207),"",ReferenceData!$AL$207),"")</f>
        <v>2.8129191360000001</v>
      </c>
      <c r="AM207">
        <f ca="1">IFERROR(IF(0=LEN(ReferenceData!$AM$207),"",ReferenceData!$AM$207),"")</f>
        <v>2.2334883300000001</v>
      </c>
      <c r="AN207">
        <f ca="1">IFERROR(IF(0=LEN(ReferenceData!$AN$207),"",ReferenceData!$AN$207),"")</f>
        <v>2.8800506229999998</v>
      </c>
      <c r="AO207">
        <f ca="1">IFERROR(IF(0=LEN(ReferenceData!$AO$207),"",ReferenceData!$AO$207),"")</f>
        <v>2.9168384559999998</v>
      </c>
      <c r="AP207">
        <f ca="1">IFERROR(IF(0=LEN(ReferenceData!$AP$207),"",ReferenceData!$AP$207),"")</f>
        <v>2.9466690940000002</v>
      </c>
      <c r="AQ207">
        <f ca="1">IFERROR(IF(0=LEN(ReferenceData!$AQ$207),"",ReferenceData!$AQ$207),"")</f>
        <v>2.2818092270000001</v>
      </c>
      <c r="AR207">
        <f ca="1">IFERROR(IF(0=LEN(ReferenceData!$AR$207),"",ReferenceData!$AR$207),"")</f>
        <v>2.6022782950000001</v>
      </c>
      <c r="AS207">
        <f ca="1">IFERROR(IF(0=LEN(ReferenceData!$AS$207),"",ReferenceData!$AS$207),"")</f>
        <v>2.3161524500000001</v>
      </c>
      <c r="AT207">
        <f ca="1">IFERROR(IF(0=LEN(ReferenceData!$AT$207),"",ReferenceData!$AT$207),"")</f>
        <v>2.485930518</v>
      </c>
      <c r="AU207">
        <f ca="1">IFERROR(IF(0=LEN(ReferenceData!$AU$207),"",ReferenceData!$AU$207),"")</f>
        <v>2.4712394799999999</v>
      </c>
      <c r="AV207">
        <f ca="1">IFERROR(IF(0=LEN(ReferenceData!$AV$207),"",ReferenceData!$AV$207),"")</f>
        <v>2.3470088850000002</v>
      </c>
      <c r="AW207">
        <f ca="1">IFERROR(IF(0=LEN(ReferenceData!$AW$207),"",ReferenceData!$AW$207),"")</f>
        <v>2.2646046719999999</v>
      </c>
      <c r="AX207">
        <f ca="1">IFERROR(IF(0=LEN(ReferenceData!$AX$207),"",ReferenceData!$AX$207),"")</f>
        <v>2.3541469049999999</v>
      </c>
      <c r="AY207">
        <f ca="1">IFERROR(IF(0=LEN(ReferenceData!$AY$207),"",ReferenceData!$AY$207),"")</f>
        <v>1.533392063</v>
      </c>
      <c r="AZ207">
        <f ca="1">IFERROR(IF(0=LEN(ReferenceData!$AZ$207),"",ReferenceData!$AZ$207),"")</f>
        <v>2.373255076</v>
      </c>
      <c r="BA207">
        <f ca="1">IFERROR(IF(0=LEN(ReferenceData!$BA$207),"",ReferenceData!$BA$207),"")</f>
        <v>2.270331096</v>
      </c>
      <c r="BB207">
        <f ca="1">IFERROR(IF(0=LEN(ReferenceData!$BB$207),"",ReferenceData!$BB$207),"")</f>
        <v>2.3610762470000002</v>
      </c>
      <c r="BC207">
        <f ca="1">IFERROR(IF(0=LEN(ReferenceData!$BC$207),"",ReferenceData!$BC$207),"")</f>
        <v>1.5393800230000001</v>
      </c>
      <c r="BD207">
        <f ca="1">IFERROR(IF(0=LEN(ReferenceData!$BD$207),"",ReferenceData!$BD$207),"")</f>
        <v>2.3146355459999999</v>
      </c>
      <c r="BE207">
        <f ca="1">IFERROR(IF(0=LEN(ReferenceData!$BE$207),"",ReferenceData!$BE$207),"")</f>
        <v>2.4301470589999998</v>
      </c>
      <c r="BF207">
        <f ca="1">IFERROR(IF(0=LEN(ReferenceData!$BF$207),"",ReferenceData!$BF$207),"")</f>
        <v>2.4012478490000002</v>
      </c>
      <c r="BG207">
        <f ca="1">IFERROR(IF(0=LEN(ReferenceData!$BG$207),"",ReferenceData!$BG$207),"")</f>
        <v>1.365925614</v>
      </c>
      <c r="BH207">
        <f ca="1">IFERROR(IF(0=LEN(ReferenceData!$BH$207),"",ReferenceData!$BH$207),"")</f>
        <v>2.1817262909999999</v>
      </c>
      <c r="BI207">
        <f ca="1">IFERROR(IF(0=LEN(ReferenceData!$BI$207),"",ReferenceData!$BI$207),"")</f>
        <v>2.2715521590000001</v>
      </c>
      <c r="BJ207">
        <f ca="1">IFERROR(IF(0=LEN(ReferenceData!$BJ$207),"",ReferenceData!$BJ$207),"")</f>
        <v>2.0024619449999999</v>
      </c>
      <c r="BK207" t="str">
        <f ca="1">IFERROR(IF(0=LEN(ReferenceData!$BK$207),"",ReferenceData!$BK$207),"")</f>
        <v/>
      </c>
      <c r="BL207">
        <f ca="1">IFERROR(IF(0=LEN(ReferenceData!$BL$207),"",ReferenceData!$BL$207),"")</f>
        <v>5.007078527</v>
      </c>
      <c r="BM207">
        <f ca="1">IFERROR(IF(0=LEN(ReferenceData!$BM$207),"",ReferenceData!$BM$207),"")</f>
        <v>2.4972111809999999</v>
      </c>
    </row>
    <row r="208" spans="1:65">
      <c r="A208" t="str">
        <f>IFERROR(IF(0=LEN(ReferenceData!$A$208),"",ReferenceData!$A$208),"")</f>
        <v xml:space="preserve">    Kilroy Realty Corp</v>
      </c>
      <c r="B208" t="str">
        <f>IFERROR(IF(0=LEN(ReferenceData!$B$208),"",ReferenceData!$B$208),"")</f>
        <v>KRC US Equity</v>
      </c>
      <c r="C208" t="str">
        <f>IFERROR(IF(0=LEN(ReferenceData!$C$208),"",ReferenceData!$C$208),"")</f>
        <v>RX951</v>
      </c>
      <c r="D208" t="str">
        <f>IFERROR(IF(0=LEN(ReferenceData!$D$208),"",ReferenceData!$D$208),"")</f>
        <v>EBITDA_TO_INTEREST_EXPN</v>
      </c>
      <c r="E208" t="str">
        <f>IFERROR(IF(0=LEN(ReferenceData!$E$208),"",ReferenceData!$E$208),"")</f>
        <v>动态</v>
      </c>
      <c r="F208" t="str">
        <f ca="1">IFERROR(IF(0=LEN(ReferenceData!$F$208),"",ReferenceData!$F$208),"")</f>
        <v/>
      </c>
      <c r="G208">
        <f ca="1">IFERROR(IF(0=LEN(ReferenceData!$G$208),"",ReferenceData!$G$208),"")</f>
        <v>7.6003158470000001</v>
      </c>
      <c r="H208">
        <f ca="1">IFERROR(IF(0=LEN(ReferenceData!$H$208),"",ReferenceData!$H$208),"")</f>
        <v>7.1191257510000003</v>
      </c>
      <c r="I208">
        <f ca="1">IFERROR(IF(0=LEN(ReferenceData!$I$208),"",ReferenceData!$I$208),"")</f>
        <v>6.3702220000000001</v>
      </c>
      <c r="J208">
        <f ca="1">IFERROR(IF(0=LEN(ReferenceData!$J$208),"",ReferenceData!$J$208),"")</f>
        <v>6.4678423240000003</v>
      </c>
      <c r="K208">
        <f ca="1">IFERROR(IF(0=LEN(ReferenceData!$K$208),"",ReferenceData!$K$208),"")</f>
        <v>7.2649514159999997</v>
      </c>
      <c r="L208">
        <f ca="1">IFERROR(IF(0=LEN(ReferenceData!$L$208),"",ReferenceData!$L$208),"")</f>
        <v>7.2894631409999997</v>
      </c>
      <c r="M208">
        <f ca="1">IFERROR(IF(0=LEN(ReferenceData!$M$208),"",ReferenceData!$M$208),"")</f>
        <v>7.0638209119999997</v>
      </c>
      <c r="N208">
        <f ca="1">IFERROR(IF(0=LEN(ReferenceData!$N$208),"",ReferenceData!$N$208),"")</f>
        <v>7.9568010820000001</v>
      </c>
      <c r="O208">
        <f ca="1">IFERROR(IF(0=LEN(ReferenceData!$O$208),"",ReferenceData!$O$208),"")</f>
        <v>7.1825318190000003</v>
      </c>
      <c r="P208">
        <f ca="1">IFERROR(IF(0=LEN(ReferenceData!$P$208),"",ReferenceData!$P$208),"")</f>
        <v>7.1079647399999999</v>
      </c>
      <c r="Q208">
        <f ca="1">IFERROR(IF(0=LEN(ReferenceData!$Q$208),"",ReferenceData!$Q$208),"")</f>
        <v>6.2861948329999997</v>
      </c>
      <c r="R208">
        <f ca="1">IFERROR(IF(0=LEN(ReferenceData!$R$208),"",ReferenceData!$R$208),"")</f>
        <v>5.620748904</v>
      </c>
      <c r="S208">
        <f ca="1">IFERROR(IF(0=LEN(ReferenceData!$S$208),"",ReferenceData!$S$208),"")</f>
        <v>5.144028037</v>
      </c>
      <c r="T208">
        <f ca="1">IFERROR(IF(0=LEN(ReferenceData!$T$208),"",ReferenceData!$T$208),"")</f>
        <v>4.8684971099999999</v>
      </c>
      <c r="U208">
        <f ca="1">IFERROR(IF(0=LEN(ReferenceData!$U$208),"",ReferenceData!$U$208),"")</f>
        <v>4.952621723</v>
      </c>
      <c r="V208">
        <f ca="1">IFERROR(IF(0=LEN(ReferenceData!$V$208),"",ReferenceData!$V$208),"")</f>
        <v>4.4852191049999997</v>
      </c>
      <c r="W208">
        <f ca="1">IFERROR(IF(0=LEN(ReferenceData!$W$208),"",ReferenceData!$W$208),"")</f>
        <v>4.1166451899999998</v>
      </c>
      <c r="X208">
        <f ca="1">IFERROR(IF(0=LEN(ReferenceData!$X$208),"",ReferenceData!$X$208),"")</f>
        <v>3.8496260539999998</v>
      </c>
      <c r="Y208">
        <f ca="1">IFERROR(IF(0=LEN(ReferenceData!$Y$208),"",ReferenceData!$Y$208),"")</f>
        <v>3.9271380059999998</v>
      </c>
      <c r="Z208">
        <f ca="1">IFERROR(IF(0=LEN(ReferenceData!$Z$208),"",ReferenceData!$Z$208),"")</f>
        <v>3.576264315</v>
      </c>
      <c r="AA208">
        <f ca="1">IFERROR(IF(0=LEN(ReferenceData!$AA$208),"",ReferenceData!$AA$208),"")</f>
        <v>5.6356245380000001</v>
      </c>
      <c r="AB208">
        <f ca="1">IFERROR(IF(0=LEN(ReferenceData!$AB$208),"",ReferenceData!$AB$208),"")</f>
        <v>3.3399818680000002</v>
      </c>
      <c r="AC208">
        <f ca="1">IFERROR(IF(0=LEN(ReferenceData!$AC$208),"",ReferenceData!$AC$208),"")</f>
        <v>3.3153386970000001</v>
      </c>
      <c r="AD208">
        <f ca="1">IFERROR(IF(0=LEN(ReferenceData!$AD$208),"",ReferenceData!$AD$208),"")</f>
        <v>2.8882483579999998</v>
      </c>
      <c r="AE208">
        <f ca="1">IFERROR(IF(0=LEN(ReferenceData!$AE$208),"",ReferenceData!$AE$208),"")</f>
        <v>2.765650011</v>
      </c>
      <c r="AF208">
        <f ca="1">IFERROR(IF(0=LEN(ReferenceData!$AF$208),"",ReferenceData!$AF$208),"")</f>
        <v>2.5338487070000002</v>
      </c>
      <c r="AG208">
        <f ca="1">IFERROR(IF(0=LEN(ReferenceData!$AG$208),"",ReferenceData!$AG$208),"")</f>
        <v>2.6816468809999998</v>
      </c>
      <c r="AH208">
        <f ca="1">IFERROR(IF(0=LEN(ReferenceData!$AH$208),"",ReferenceData!$AH$208),"")</f>
        <v>2.5061793450000001</v>
      </c>
      <c r="AI208">
        <f ca="1">IFERROR(IF(0=LEN(ReferenceData!$AI$208),"",ReferenceData!$AI$208),"")</f>
        <v>3.7452741020000002</v>
      </c>
      <c r="AJ208">
        <f ca="1">IFERROR(IF(0=LEN(ReferenceData!$AJ$208),"",ReferenceData!$AJ$208),"")</f>
        <v>1.7854664730000001</v>
      </c>
      <c r="AK208">
        <f ca="1">IFERROR(IF(0=LEN(ReferenceData!$AK$208),"",ReferenceData!$AK$208),"")</f>
        <v>3.3851619799999999</v>
      </c>
      <c r="AL208">
        <f ca="1">IFERROR(IF(0=LEN(ReferenceData!$AL$208),"",ReferenceData!$AL$208),"")</f>
        <v>3.4877885580000001</v>
      </c>
      <c r="AM208">
        <f ca="1">IFERROR(IF(0=LEN(ReferenceData!$AM$208),"",ReferenceData!$AM$208),"")</f>
        <v>4.7198050189999998</v>
      </c>
      <c r="AN208">
        <f ca="1">IFERROR(IF(0=LEN(ReferenceData!$AN$208),"",ReferenceData!$AN$208),"")</f>
        <v>3.983708585</v>
      </c>
      <c r="AO208">
        <f ca="1">IFERROR(IF(0=LEN(ReferenceData!$AO$208),"",ReferenceData!$AO$208),"")</f>
        <v>3.8553416829999998</v>
      </c>
      <c r="AP208">
        <f ca="1">IFERROR(IF(0=LEN(ReferenceData!$AP$208),"",ReferenceData!$AP$208),"")</f>
        <v>3.6990505809999998</v>
      </c>
      <c r="AQ208">
        <f ca="1">IFERROR(IF(0=LEN(ReferenceData!$AQ$208),"",ReferenceData!$AQ$208),"")</f>
        <v>3.6355335449999999</v>
      </c>
      <c r="AR208">
        <f ca="1">IFERROR(IF(0=LEN(ReferenceData!$AR$208),"",ReferenceData!$AR$208),"")</f>
        <v>4.744995887</v>
      </c>
      <c r="AS208">
        <f ca="1">IFERROR(IF(0=LEN(ReferenceData!$AS$208),"",ReferenceData!$AS$208),"")</f>
        <v>4.1198191409999998</v>
      </c>
      <c r="AT208">
        <f ca="1">IFERROR(IF(0=LEN(ReferenceData!$AT$208),"",ReferenceData!$AT$208),"")</f>
        <v>4.3478140820000002</v>
      </c>
      <c r="AU208">
        <f ca="1">IFERROR(IF(0=LEN(ReferenceData!$AU$208),"",ReferenceData!$AU$208),"")</f>
        <v>2.6928936370000001</v>
      </c>
      <c r="AV208">
        <f ca="1">IFERROR(IF(0=LEN(ReferenceData!$AV$208),"",ReferenceData!$AV$208),"")</f>
        <v>4.7391497390000001</v>
      </c>
      <c r="AW208">
        <f ca="1">IFERROR(IF(0=LEN(ReferenceData!$AW$208),"",ReferenceData!$AW$208),"")</f>
        <v>5.1245044599999998</v>
      </c>
      <c r="AX208">
        <f ca="1">IFERROR(IF(0=LEN(ReferenceData!$AX$208),"",ReferenceData!$AX$208),"")</f>
        <v>4.297949461</v>
      </c>
      <c r="AY208">
        <f ca="1">IFERROR(IF(0=LEN(ReferenceData!$AY$208),"",ReferenceData!$AY$208),"")</f>
        <v>3.392139303</v>
      </c>
      <c r="AZ208">
        <f ca="1">IFERROR(IF(0=LEN(ReferenceData!$AZ$208),"",ReferenceData!$AZ$208),"")</f>
        <v>3.901377036</v>
      </c>
      <c r="BA208">
        <f ca="1">IFERROR(IF(0=LEN(ReferenceData!$BA$208),"",ReferenceData!$BA$208),"")</f>
        <v>3.8259279089999998</v>
      </c>
      <c r="BB208">
        <f ca="1">IFERROR(IF(0=LEN(ReferenceData!$BB$208),"",ReferenceData!$BB$208),"")</f>
        <v>3.5683735689999998</v>
      </c>
      <c r="BC208">
        <f ca="1">IFERROR(IF(0=LEN(ReferenceData!$BC$208),"",ReferenceData!$BC$208),"")</f>
        <v>1.8862982150000001</v>
      </c>
      <c r="BD208">
        <f ca="1">IFERROR(IF(0=LEN(ReferenceData!$BD$208),"",ReferenceData!$BD$208),"")</f>
        <v>2.6694879829999998</v>
      </c>
      <c r="BE208">
        <f ca="1">IFERROR(IF(0=LEN(ReferenceData!$BE$208),"",ReferenceData!$BE$208),"")</f>
        <v>3.0455923870000001</v>
      </c>
      <c r="BF208">
        <f ca="1">IFERROR(IF(0=LEN(ReferenceData!$BF$208),"",ReferenceData!$BF$208),"")</f>
        <v>4.1738112970000003</v>
      </c>
      <c r="BG208">
        <f ca="1">IFERROR(IF(0=LEN(ReferenceData!$BG$208),"",ReferenceData!$BG$208),"")</f>
        <v>3.3395220019999998</v>
      </c>
      <c r="BH208">
        <f ca="1">IFERROR(IF(0=LEN(ReferenceData!$BH$208),"",ReferenceData!$BH$208),"")</f>
        <v>3.9744685770000001</v>
      </c>
      <c r="BI208">
        <f ca="1">IFERROR(IF(0=LEN(ReferenceData!$BI$208),"",ReferenceData!$BI$208),"")</f>
        <v>3.9256668119999998</v>
      </c>
      <c r="BJ208">
        <f ca="1">IFERROR(IF(0=LEN(ReferenceData!$BJ$208),"",ReferenceData!$BJ$208),"")</f>
        <v>3.671661238</v>
      </c>
      <c r="BK208">
        <f ca="1">IFERROR(IF(0=LEN(ReferenceData!$BK$208),"",ReferenceData!$BK$208),"")</f>
        <v>3.5856958749999999</v>
      </c>
      <c r="BL208">
        <f ca="1">IFERROR(IF(0=LEN(ReferenceData!$BL$208),"",ReferenceData!$BL$208),"")</f>
        <v>5.5602660950000002</v>
      </c>
      <c r="BM208">
        <f ca="1">IFERROR(IF(0=LEN(ReferenceData!$BM$208),"",ReferenceData!$BM$208),"")</f>
        <v>4.6613052079999999</v>
      </c>
    </row>
    <row r="209" spans="1:65">
      <c r="A209" t="str">
        <f>IFERROR(IF(0=LEN(ReferenceData!$A$209),"",ReferenceData!$A$209),"")</f>
        <v xml:space="preserve">    Mack-Cali Realty Corp</v>
      </c>
      <c r="B209" t="str">
        <f>IFERROR(IF(0=LEN(ReferenceData!$B$209),"",ReferenceData!$B$209),"")</f>
        <v>CLI US Equity</v>
      </c>
      <c r="C209" t="str">
        <f>IFERROR(IF(0=LEN(ReferenceData!$C$209),"",ReferenceData!$C$209),"")</f>
        <v>RX951</v>
      </c>
      <c r="D209" t="str">
        <f>IFERROR(IF(0=LEN(ReferenceData!$D$209),"",ReferenceData!$D$209),"")</f>
        <v>EBITDA_TO_INTEREST_EXPN</v>
      </c>
      <c r="E209" t="str">
        <f>IFERROR(IF(0=LEN(ReferenceData!$E$209),"",ReferenceData!$E$209),"")</f>
        <v>动态</v>
      </c>
      <c r="F209" t="str">
        <f ca="1">IFERROR(IF(0=LEN(ReferenceData!$F$209),"",ReferenceData!$F$209),"")</f>
        <v/>
      </c>
      <c r="G209">
        <f ca="1">IFERROR(IF(0=LEN(ReferenceData!$G$209),"",ReferenceData!$G$209),"")</f>
        <v>3.1198310359999999</v>
      </c>
      <c r="H209">
        <f ca="1">IFERROR(IF(0=LEN(ReferenceData!$H$209),"",ReferenceData!$H$209),"")</f>
        <v>3.1620504020000002</v>
      </c>
      <c r="I209">
        <f ca="1">IFERROR(IF(0=LEN(ReferenceData!$I$209),"",ReferenceData!$I$209),"")</f>
        <v>3.4147456200000001</v>
      </c>
      <c r="J209">
        <f ca="1">IFERROR(IF(0=LEN(ReferenceData!$J$209),"",ReferenceData!$J$209),"")</f>
        <v>3.5548447419999998</v>
      </c>
      <c r="K209">
        <f ca="1">IFERROR(IF(0=LEN(ReferenceData!$K$209),"",ReferenceData!$K$209),"")</f>
        <v>3.2951475960000001</v>
      </c>
      <c r="L209">
        <f ca="1">IFERROR(IF(0=LEN(ReferenceData!$L$209),"",ReferenceData!$L$209),"")</f>
        <v>3.1672925350000001</v>
      </c>
      <c r="M209">
        <f ca="1">IFERROR(IF(0=LEN(ReferenceData!$M$209),"",ReferenceData!$M$209),"")</f>
        <v>3.152930403</v>
      </c>
      <c r="N209">
        <f ca="1">IFERROR(IF(0=LEN(ReferenceData!$N$209),"",ReferenceData!$N$209),"")</f>
        <v>2.873244508</v>
      </c>
      <c r="O209">
        <f ca="1">IFERROR(IF(0=LEN(ReferenceData!$O$209),"",ReferenceData!$O$209),"")</f>
        <v>1.3253056540000001</v>
      </c>
      <c r="P209">
        <f ca="1">IFERROR(IF(0=LEN(ReferenceData!$P$209),"",ReferenceData!$P$209),"")</f>
        <v>-3.8731013810000001</v>
      </c>
      <c r="Q209">
        <f ca="1">IFERROR(IF(0=LEN(ReferenceData!$Q$209),"",ReferenceData!$Q$209),"")</f>
        <v>2.6446419900000002</v>
      </c>
      <c r="R209">
        <f ca="1">IFERROR(IF(0=LEN(ReferenceData!$R$209),"",ReferenceData!$R$209),"")</f>
        <v>2.509314716</v>
      </c>
      <c r="S209">
        <f ca="1">IFERROR(IF(0=LEN(ReferenceData!$S$209),"",ReferenceData!$S$209),"")</f>
        <v>2.1192560180000002</v>
      </c>
      <c r="T209">
        <f ca="1">IFERROR(IF(0=LEN(ReferenceData!$T$209),"",ReferenceData!$T$209),"")</f>
        <v>2.4205388810000001</v>
      </c>
      <c r="U209">
        <f ca="1">IFERROR(IF(0=LEN(ReferenceData!$U$209),"",ReferenceData!$U$209),"")</f>
        <v>2.8452359810000001</v>
      </c>
      <c r="V209">
        <f ca="1">IFERROR(IF(0=LEN(ReferenceData!$V$209),"",ReferenceData!$V$209),"")</f>
        <v>1.9577906899999999</v>
      </c>
      <c r="W209">
        <f ca="1">IFERROR(IF(0=LEN(ReferenceData!$W$209),"",ReferenceData!$W$209),"")</f>
        <v>0.33396572400000002</v>
      </c>
      <c r="X209">
        <f ca="1">IFERROR(IF(0=LEN(ReferenceData!$X$209),"",ReferenceData!$X$209),"")</f>
        <v>1.0084367729999999</v>
      </c>
      <c r="Y209">
        <f ca="1">IFERROR(IF(0=LEN(ReferenceData!$Y$209),"",ReferenceData!$Y$209),"")</f>
        <v>2.8491205630000001</v>
      </c>
      <c r="Z209">
        <f ca="1">IFERROR(IF(0=LEN(ReferenceData!$Z$209),"",ReferenceData!$Z$209),"")</f>
        <v>2.8929994309999998</v>
      </c>
      <c r="AA209">
        <f ca="1">IFERROR(IF(0=LEN(ReferenceData!$AA$209),"",ReferenceData!$AA$209),"")</f>
        <v>2.472349919</v>
      </c>
      <c r="AB209">
        <f ca="1">IFERROR(IF(0=LEN(ReferenceData!$AB$209),"",ReferenceData!$AB$209),"")</f>
        <v>2.8309780469999999</v>
      </c>
      <c r="AC209">
        <f ca="1">IFERROR(IF(0=LEN(ReferenceData!$AC$209),"",ReferenceData!$AC$209),"")</f>
        <v>2.931189609</v>
      </c>
      <c r="AD209">
        <f ca="1">IFERROR(IF(0=LEN(ReferenceData!$AD$209),"",ReferenceData!$AD$209),"")</f>
        <v>3.3018200860000002</v>
      </c>
      <c r="AE209">
        <f ca="1">IFERROR(IF(0=LEN(ReferenceData!$AE$209),"",ReferenceData!$AE$209),"")</f>
        <v>3.1400261669999998</v>
      </c>
      <c r="AF209">
        <f ca="1">IFERROR(IF(0=LEN(ReferenceData!$AF$209),"",ReferenceData!$AF$209),"")</f>
        <v>3.3955735960000002</v>
      </c>
      <c r="AG209">
        <f ca="1">IFERROR(IF(0=LEN(ReferenceData!$AG$209),"",ReferenceData!$AG$209),"")</f>
        <v>3.1959503169999999</v>
      </c>
      <c r="AH209">
        <f ca="1">IFERROR(IF(0=LEN(ReferenceData!$AH$209),"",ReferenceData!$AH$209),"")</f>
        <v>3.1411368639999999</v>
      </c>
      <c r="AI209">
        <f ca="1">IFERROR(IF(0=LEN(ReferenceData!$AI$209),"",ReferenceData!$AI$209),"")</f>
        <v>2.5853482300000001</v>
      </c>
      <c r="AJ209">
        <f ca="1">IFERROR(IF(0=LEN(ReferenceData!$AJ$209),"",ReferenceData!$AJ$209),"")</f>
        <v>2.7030670529999998</v>
      </c>
      <c r="AK209">
        <f ca="1">IFERROR(IF(0=LEN(ReferenceData!$AK$209),"",ReferenceData!$AK$209),"")</f>
        <v>2.7288067499999999</v>
      </c>
      <c r="AL209">
        <f ca="1">IFERROR(IF(0=LEN(ReferenceData!$AL$209),"",ReferenceData!$AL$209),"")</f>
        <v>2.6866217909999999</v>
      </c>
      <c r="AM209">
        <f ca="1">IFERROR(IF(0=LEN(ReferenceData!$AM$209),"",ReferenceData!$AM$209),"")</f>
        <v>2.8114024789999998</v>
      </c>
      <c r="AN209">
        <f ca="1">IFERROR(IF(0=LEN(ReferenceData!$AN$209),"",ReferenceData!$AN$209),"")</f>
        <v>3.0002238139999999</v>
      </c>
      <c r="AO209">
        <f ca="1">IFERROR(IF(0=LEN(ReferenceData!$AO$209),"",ReferenceData!$AO$209),"")</f>
        <v>3.1994579129999998</v>
      </c>
      <c r="AP209">
        <f ca="1">IFERROR(IF(0=LEN(ReferenceData!$AP$209),"",ReferenceData!$AP$209),"")</f>
        <v>3.0202171130000002</v>
      </c>
      <c r="AQ209">
        <f ca="1">IFERROR(IF(0=LEN(ReferenceData!$AQ$209),"",ReferenceData!$AQ$209),"")</f>
        <v>3.2391356760000001</v>
      </c>
      <c r="AR209">
        <f ca="1">IFERROR(IF(0=LEN(ReferenceData!$AR$209),"",ReferenceData!$AR$209),"")</f>
        <v>3.4720341430000001</v>
      </c>
      <c r="AS209">
        <f ca="1">IFERROR(IF(0=LEN(ReferenceData!$AS$209),"",ReferenceData!$AS$209),"")</f>
        <v>3.1826419910000001</v>
      </c>
      <c r="AT209">
        <f ca="1">IFERROR(IF(0=LEN(ReferenceData!$AT$209),"",ReferenceData!$AT$209),"")</f>
        <v>3.0569316080000002</v>
      </c>
      <c r="AU209">
        <f ca="1">IFERROR(IF(0=LEN(ReferenceData!$AU$209),"",ReferenceData!$AU$209),"")</f>
        <v>3.0380583130000001</v>
      </c>
      <c r="AV209">
        <f ca="1">IFERROR(IF(0=LEN(ReferenceData!$AV$209),"",ReferenceData!$AV$209),"")</f>
        <v>3.3082423900000002</v>
      </c>
      <c r="AW209">
        <f ca="1">IFERROR(IF(0=LEN(ReferenceData!$AW$209),"",ReferenceData!$AW$209),"")</f>
        <v>3.2221619380000002</v>
      </c>
      <c r="AX209">
        <f ca="1">IFERROR(IF(0=LEN(ReferenceData!$AX$209),"",ReferenceData!$AX$209),"")</f>
        <v>3.1847362299999999</v>
      </c>
      <c r="AY209">
        <f ca="1">IFERROR(IF(0=LEN(ReferenceData!$AY$209),"",ReferenceData!$AY$209),"")</f>
        <v>2.7965973640000001</v>
      </c>
      <c r="AZ209">
        <f ca="1">IFERROR(IF(0=LEN(ReferenceData!$AZ$209),"",ReferenceData!$AZ$209),"")</f>
        <v>2.7863185819999998</v>
      </c>
      <c r="BA209">
        <f ca="1">IFERROR(IF(0=LEN(ReferenceData!$BA$209),"",ReferenceData!$BA$209),"")</f>
        <v>3.1043167650000001</v>
      </c>
      <c r="BB209">
        <f ca="1">IFERROR(IF(0=LEN(ReferenceData!$BB$209),"",ReferenceData!$BB$209),"")</f>
        <v>2.9972003219999999</v>
      </c>
      <c r="BC209">
        <f ca="1">IFERROR(IF(0=LEN(ReferenceData!$BC$209),"",ReferenceData!$BC$209),"")</f>
        <v>2.8357497450000002</v>
      </c>
      <c r="BD209">
        <f ca="1">IFERROR(IF(0=LEN(ReferenceData!$BD$209),"",ReferenceData!$BD$209),"")</f>
        <v>3.1450976490000002</v>
      </c>
      <c r="BE209">
        <f ca="1">IFERROR(IF(0=LEN(ReferenceData!$BE$209),"",ReferenceData!$BE$209),"")</f>
        <v>3.3134407010000002</v>
      </c>
      <c r="BF209">
        <f ca="1">IFERROR(IF(0=LEN(ReferenceData!$BF$209),"",ReferenceData!$BF$209),"")</f>
        <v>3.2934009440000001</v>
      </c>
      <c r="BG209">
        <f ca="1">IFERROR(IF(0=LEN(ReferenceData!$BG$209),"",ReferenceData!$BG$209),"")</f>
        <v>3.3581404030000002</v>
      </c>
      <c r="BH209">
        <f ca="1">IFERROR(IF(0=LEN(ReferenceData!$BH$209),"",ReferenceData!$BH$209),"")</f>
        <v>3.5814787699999999</v>
      </c>
      <c r="BI209">
        <f ca="1">IFERROR(IF(0=LEN(ReferenceData!$BI$209),"",ReferenceData!$BI$209),"")</f>
        <v>3.4382288999999999</v>
      </c>
      <c r="BJ209">
        <f ca="1">IFERROR(IF(0=LEN(ReferenceData!$BJ$209),"",ReferenceData!$BJ$209),"")</f>
        <v>3.1250816850000001</v>
      </c>
      <c r="BK209">
        <f ca="1">IFERROR(IF(0=LEN(ReferenceData!$BK$209),"",ReferenceData!$BK$209),"")</f>
        <v>3.1134717859999999</v>
      </c>
      <c r="BL209">
        <f ca="1">IFERROR(IF(0=LEN(ReferenceData!$BL$209),"",ReferenceData!$BL$209),"")</f>
        <v>3.1880003889999999</v>
      </c>
      <c r="BM209">
        <f ca="1">IFERROR(IF(0=LEN(ReferenceData!$BM$209),"",ReferenceData!$BM$209),"")</f>
        <v>3.2912053129999999</v>
      </c>
    </row>
    <row r="210" spans="1:65">
      <c r="A210" t="str">
        <f>IFERROR(IF(0=LEN(ReferenceData!$A$210),"",ReferenceData!$A$210),"")</f>
        <v xml:space="preserve">    Piedmont Office Realty Trust I</v>
      </c>
      <c r="B210" t="str">
        <f>IFERROR(IF(0=LEN(ReferenceData!$B$210),"",ReferenceData!$B$210),"")</f>
        <v>PDM US Equity</v>
      </c>
      <c r="C210" t="str">
        <f>IFERROR(IF(0=LEN(ReferenceData!$C$210),"",ReferenceData!$C$210),"")</f>
        <v>RX951</v>
      </c>
      <c r="D210" t="str">
        <f>IFERROR(IF(0=LEN(ReferenceData!$D$210),"",ReferenceData!$D$210),"")</f>
        <v>EBITDA_TO_INTEREST_EXPN</v>
      </c>
      <c r="E210" t="str">
        <f>IFERROR(IF(0=LEN(ReferenceData!$E$210),"",ReferenceData!$E$210),"")</f>
        <v>动态</v>
      </c>
      <c r="F210" t="str">
        <f ca="1">IFERROR(IF(0=LEN(ReferenceData!$F$210),"",ReferenceData!$F$210),"")</f>
        <v/>
      </c>
      <c r="G210">
        <f ca="1">IFERROR(IF(0=LEN(ReferenceData!$G$210),"",ReferenceData!$G$210),"")</f>
        <v>1.9223953949999999</v>
      </c>
      <c r="H210">
        <f ca="1">IFERROR(IF(0=LEN(ReferenceData!$H$210),"",ReferenceData!$H$210),"")</f>
        <v>4.7499227580000003</v>
      </c>
      <c r="I210">
        <f ca="1">IFERROR(IF(0=LEN(ReferenceData!$I$210),"",ReferenceData!$I$210),"")</f>
        <v>4.584713099</v>
      </c>
      <c r="J210">
        <f ca="1">IFERROR(IF(0=LEN(ReferenceData!$J$210),"",ReferenceData!$J$210),"")</f>
        <v>4.6628454340000003</v>
      </c>
      <c r="K210">
        <f ca="1">IFERROR(IF(0=LEN(ReferenceData!$K$210),"",ReferenceData!$K$210),"")</f>
        <v>4.8572980799999996</v>
      </c>
      <c r="L210">
        <f ca="1">IFERROR(IF(0=LEN(ReferenceData!$L$210),"",ReferenceData!$L$210),"")</f>
        <v>3.4442436760000001</v>
      </c>
      <c r="M210">
        <f ca="1">IFERROR(IF(0=LEN(ReferenceData!$M$210),"",ReferenceData!$M$210),"")</f>
        <v>3.873393042</v>
      </c>
      <c r="N210">
        <f ca="1">IFERROR(IF(0=LEN(ReferenceData!$N$210),"",ReferenceData!$N$210),"")</f>
        <v>4.6285627099999997</v>
      </c>
      <c r="O210">
        <f ca="1">IFERROR(IF(0=LEN(ReferenceData!$O$210),"",ReferenceData!$O$210),"")</f>
        <v>4.288519301</v>
      </c>
      <c r="P210">
        <f ca="1">IFERROR(IF(0=LEN(ReferenceData!$P$210),"",ReferenceData!$P$210),"")</f>
        <v>2.3506265929999999</v>
      </c>
      <c r="Q210">
        <f ca="1">IFERROR(IF(0=LEN(ReferenceData!$Q$210),"",ReferenceData!$Q$210),"")</f>
        <v>3.9592229799999998</v>
      </c>
      <c r="R210">
        <f ca="1">IFERROR(IF(0=LEN(ReferenceData!$R$210),"",ReferenceData!$R$210),"")</f>
        <v>4.1676482960000003</v>
      </c>
      <c r="S210">
        <f ca="1">IFERROR(IF(0=LEN(ReferenceData!$S$210),"",ReferenceData!$S$210),"")</f>
        <v>4.1662777130000004</v>
      </c>
      <c r="T210">
        <f ca="1">IFERROR(IF(0=LEN(ReferenceData!$T$210),"",ReferenceData!$T$210),"")</f>
        <v>4.1236732070000004</v>
      </c>
      <c r="U210">
        <f ca="1">IFERROR(IF(0=LEN(ReferenceData!$U$210),"",ReferenceData!$U$210),"")</f>
        <v>4.1085387520000003</v>
      </c>
      <c r="V210">
        <f ca="1">IFERROR(IF(0=LEN(ReferenceData!$V$210),"",ReferenceData!$V$210),"")</f>
        <v>3.8756208390000002</v>
      </c>
      <c r="W210">
        <f ca="1">IFERROR(IF(0=LEN(ReferenceData!$W$210),"",ReferenceData!$W$210),"")</f>
        <v>3.9946058720000002</v>
      </c>
      <c r="X210">
        <f ca="1">IFERROR(IF(0=LEN(ReferenceData!$X$210),"",ReferenceData!$X$210),"")</f>
        <v>4.1042884490000002</v>
      </c>
      <c r="Y210">
        <f ca="1">IFERROR(IF(0=LEN(ReferenceData!$Y$210),"",ReferenceData!$Y$210),"")</f>
        <v>4.0593442619999998</v>
      </c>
      <c r="Z210">
        <f ca="1">IFERROR(IF(0=LEN(ReferenceData!$Z$210),"",ReferenceData!$Z$210),"")</f>
        <v>4.3207932009999999</v>
      </c>
      <c r="AA210">
        <f ca="1">IFERROR(IF(0=LEN(ReferenceData!$AA$210),"",ReferenceData!$AA$210),"")</f>
        <v>4.0997790869999999</v>
      </c>
      <c r="AB210">
        <f ca="1">IFERROR(IF(0=LEN(ReferenceData!$AB$210),"",ReferenceData!$AB$210),"")</f>
        <v>4.769680556</v>
      </c>
      <c r="AC210">
        <f ca="1">IFERROR(IF(0=LEN(ReferenceData!$AC$210),"",ReferenceData!$AC$210),"")</f>
        <v>4.6809257979999996</v>
      </c>
      <c r="AD210">
        <f ca="1">IFERROR(IF(0=LEN(ReferenceData!$AD$210),"",ReferenceData!$AD$210),"")</f>
        <v>4.5209530139999998</v>
      </c>
      <c r="AE210">
        <f ca="1">IFERROR(IF(0=LEN(ReferenceData!$AE$210),"",ReferenceData!$AE$210),"")</f>
        <v>4.4842162549999998</v>
      </c>
      <c r="AF210">
        <f ca="1">IFERROR(IF(0=LEN(ReferenceData!$AF$210),"",ReferenceData!$AF$210),"")</f>
        <v>4.9120475289999996</v>
      </c>
      <c r="AG210">
        <f ca="1">IFERROR(IF(0=LEN(ReferenceData!$AG$210),"",ReferenceData!$AG$210),"")</f>
        <v>4.371055556</v>
      </c>
      <c r="AH210">
        <f ca="1">IFERROR(IF(0=LEN(ReferenceData!$AH$210),"",ReferenceData!$AH$210),"")</f>
        <v>5.0898976979999997</v>
      </c>
      <c r="AI210">
        <f ca="1">IFERROR(IF(0=LEN(ReferenceData!$AI$210),"",ReferenceData!$AI$210),"")</f>
        <v>4.9012025320000001</v>
      </c>
      <c r="AJ210">
        <f ca="1">IFERROR(IF(0=LEN(ReferenceData!$AJ$210),"",ReferenceData!$AJ$210),"")</f>
        <v>5.4262534069999999</v>
      </c>
      <c r="AK210">
        <f ca="1">IFERROR(IF(0=LEN(ReferenceData!$AK$210),"",ReferenceData!$AK$210),"")</f>
        <v>4.288913537</v>
      </c>
      <c r="AL210">
        <f ca="1">IFERROR(IF(0=LEN(ReferenceData!$AL$210),"",ReferenceData!$AL$210),"")</f>
        <v>4.4510502330000001</v>
      </c>
      <c r="AM210">
        <f ca="1">IFERROR(IF(0=LEN(ReferenceData!$AM$210),"",ReferenceData!$AM$210),"")</f>
        <v>4.4020935960000003</v>
      </c>
      <c r="AN210">
        <f ca="1">IFERROR(IF(0=LEN(ReferenceData!$AN$210),"",ReferenceData!$AN$210),"")</f>
        <v>2.6014448200000002</v>
      </c>
      <c r="AO210">
        <f ca="1">IFERROR(IF(0=LEN(ReferenceData!$AO$210),"",ReferenceData!$AO$210),"")</f>
        <v>4.3581520060000001</v>
      </c>
      <c r="AP210">
        <f ca="1">IFERROR(IF(0=LEN(ReferenceData!$AP$210),"",ReferenceData!$AP$210),"")</f>
        <v>4.9245661260000002</v>
      </c>
      <c r="AQ210">
        <f ca="1">IFERROR(IF(0=LEN(ReferenceData!$AQ$210),"",ReferenceData!$AQ$210),"")</f>
        <v>4.5808024380000001</v>
      </c>
      <c r="AR210">
        <f ca="1">IFERROR(IF(0=LEN(ReferenceData!$AR$210),"",ReferenceData!$AR$210),"")</f>
        <v>4.7527528029999999</v>
      </c>
      <c r="AS210">
        <f ca="1">IFERROR(IF(0=LEN(ReferenceData!$AS$210),"",ReferenceData!$AS$210),"")</f>
        <v>4.8258196719999997</v>
      </c>
      <c r="AT210">
        <f ca="1">IFERROR(IF(0=LEN(ReferenceData!$AT$210),"",ReferenceData!$AT$210),"")</f>
        <v>5.4442068770000001</v>
      </c>
      <c r="AU210">
        <f ca="1">IFERROR(IF(0=LEN(ReferenceData!$AU$210),"",ReferenceData!$AU$210),"")</f>
        <v>5.3712098380000004</v>
      </c>
      <c r="AV210">
        <f ca="1">IFERROR(IF(0=LEN(ReferenceData!$AV$210),"",ReferenceData!$AV$210),"")</f>
        <v>5.5202996930000001</v>
      </c>
      <c r="AW210">
        <f ca="1">IFERROR(IF(0=LEN(ReferenceData!$AW$210),"",ReferenceData!$AW$210),"")</f>
        <v>5.2770175210000003</v>
      </c>
      <c r="AX210">
        <f ca="1">IFERROR(IF(0=LEN(ReferenceData!$AX$210),"",ReferenceData!$AX$210),"")</f>
        <v>5.1700667539999996</v>
      </c>
      <c r="AY210">
        <f ca="1">IFERROR(IF(0=LEN(ReferenceData!$AY$210),"",ReferenceData!$AY$210),"")</f>
        <v>4.7780725569999998</v>
      </c>
      <c r="AZ210">
        <f ca="1">IFERROR(IF(0=LEN(ReferenceData!$AZ$210),"",ReferenceData!$AZ$210),"")</f>
        <v>5.7004235660000004</v>
      </c>
      <c r="BA210">
        <f ca="1">IFERROR(IF(0=LEN(ReferenceData!$BA$210),"",ReferenceData!$BA$210),"")</f>
        <v>5.2404460679999998</v>
      </c>
      <c r="BB210">
        <f ca="1">IFERROR(IF(0=LEN(ReferenceData!$BB$210),"",ReferenceData!$BB$210),"")</f>
        <v>5.8275255189999999</v>
      </c>
      <c r="BC210">
        <f ca="1">IFERROR(IF(0=LEN(ReferenceData!$BC$210),"",ReferenceData!$BC$210),"")</f>
        <v>5.8664342029999998</v>
      </c>
      <c r="BD210">
        <f ca="1">IFERROR(IF(0=LEN(ReferenceData!$BD$210),"",ReferenceData!$BD$210),"")</f>
        <v>6.4038137539999997</v>
      </c>
      <c r="BE210">
        <f ca="1">IFERROR(IF(0=LEN(ReferenceData!$BE$210),"",ReferenceData!$BE$210),"")</f>
        <v>8.7426197769999998</v>
      </c>
      <c r="BF210">
        <f ca="1">IFERROR(IF(0=LEN(ReferenceData!$BF$210),"",ReferenceData!$BF$210),"")</f>
        <v>6.9000187410000002</v>
      </c>
      <c r="BG210">
        <f ca="1">IFERROR(IF(0=LEN(ReferenceData!$BG$210),"",ReferenceData!$BG$210),"")</f>
        <v>9.9602303019999994</v>
      </c>
      <c r="BH210">
        <f ca="1">IFERROR(IF(0=LEN(ReferenceData!$BH$210),"",ReferenceData!$BH$210),"")</f>
        <v>6.8080382779999997</v>
      </c>
      <c r="BI210">
        <f ca="1">IFERROR(IF(0=LEN(ReferenceData!$BI$210),"",ReferenceData!$BI$210),"")</f>
        <v>10.68148914</v>
      </c>
      <c r="BJ210">
        <f ca="1">IFERROR(IF(0=LEN(ReferenceData!$BJ$210),"",ReferenceData!$BJ$210),"")</f>
        <v>12.868317340000001</v>
      </c>
      <c r="BK210">
        <f ca="1">IFERROR(IF(0=LEN(ReferenceData!$BK$210),"",ReferenceData!$BK$210),"")</f>
        <v>12.56936091</v>
      </c>
      <c r="BL210">
        <f ca="1">IFERROR(IF(0=LEN(ReferenceData!$BL$210),"",ReferenceData!$BL$210),"")</f>
        <v>17.118635579999999</v>
      </c>
      <c r="BM210">
        <f ca="1">IFERROR(IF(0=LEN(ReferenceData!$BM$210),"",ReferenceData!$BM$210),"")</f>
        <v>13.208850440000001</v>
      </c>
    </row>
    <row r="211" spans="1:65">
      <c r="A211" t="str">
        <f>IFERROR(IF(0=LEN(ReferenceData!$A$211),"",ReferenceData!$A$211),"")</f>
        <v xml:space="preserve">    SL Green Realty Corp</v>
      </c>
      <c r="B211" t="str">
        <f>IFERROR(IF(0=LEN(ReferenceData!$B$211),"",ReferenceData!$B$211),"")</f>
        <v>SLG US Equity</v>
      </c>
      <c r="C211" t="str">
        <f>IFERROR(IF(0=LEN(ReferenceData!$C$211),"",ReferenceData!$C$211),"")</f>
        <v>RX951</v>
      </c>
      <c r="D211" t="str">
        <f>IFERROR(IF(0=LEN(ReferenceData!$D$211),"",ReferenceData!$D$211),"")</f>
        <v>EBITDA_TO_INTEREST_EXPN</v>
      </c>
      <c r="E211" t="str">
        <f>IFERROR(IF(0=LEN(ReferenceData!$E$211),"",ReferenceData!$E$211),"")</f>
        <v>动态</v>
      </c>
      <c r="F211" t="str">
        <f ca="1">IFERROR(IF(0=LEN(ReferenceData!$F$211),"",ReferenceData!$F$211),"")</f>
        <v/>
      </c>
      <c r="G211">
        <f ca="1">IFERROR(IF(0=LEN(ReferenceData!$G$211),"",ReferenceData!$G$211),"")</f>
        <v>3.083933773</v>
      </c>
      <c r="H211">
        <f ca="1">IFERROR(IF(0=LEN(ReferenceData!$H$211),"",ReferenceData!$H$211),"")</f>
        <v>2.9589184689999999</v>
      </c>
      <c r="I211">
        <f ca="1">IFERROR(IF(0=LEN(ReferenceData!$I$211),"",ReferenceData!$I$211),"")</f>
        <v>3.4731578019999998</v>
      </c>
      <c r="J211">
        <f ca="1">IFERROR(IF(0=LEN(ReferenceData!$J$211),"",ReferenceData!$J$211),"")</f>
        <v>3.040279613</v>
      </c>
      <c r="K211">
        <f ca="1">IFERROR(IF(0=LEN(ReferenceData!$K$211),"",ReferenceData!$K$211),"")</f>
        <v>2.9447564869999998</v>
      </c>
      <c r="L211">
        <f ca="1">IFERROR(IF(0=LEN(ReferenceData!$L$211),"",ReferenceData!$L$211),"")</f>
        <v>3.1215947270000002</v>
      </c>
      <c r="M211">
        <f ca="1">IFERROR(IF(0=LEN(ReferenceData!$M$211),"",ReferenceData!$M$211),"")</f>
        <v>4.6900499370000004</v>
      </c>
      <c r="N211">
        <f ca="1">IFERROR(IF(0=LEN(ReferenceData!$N$211),"",ReferenceData!$N$211),"")</f>
        <v>2.8123952280000002</v>
      </c>
      <c r="O211">
        <f ca="1">IFERROR(IF(0=LEN(ReferenceData!$O$211),"",ReferenceData!$O$211),"")</f>
        <v>2.7642723679999999</v>
      </c>
      <c r="P211">
        <f ca="1">IFERROR(IF(0=LEN(ReferenceData!$P$211),"",ReferenceData!$P$211),"")</f>
        <v>2.8697714150000002</v>
      </c>
      <c r="Q211">
        <f ca="1">IFERROR(IF(0=LEN(ReferenceData!$Q$211),"",ReferenceData!$Q$211),"")</f>
        <v>3.1123528120000001</v>
      </c>
      <c r="R211">
        <f ca="1">IFERROR(IF(0=LEN(ReferenceData!$R$211),"",ReferenceData!$R$211),"")</f>
        <v>2.8587270390000001</v>
      </c>
      <c r="S211">
        <f ca="1">IFERROR(IF(0=LEN(ReferenceData!$S$211),"",ReferenceData!$S$211),"")</f>
        <v>2.6383651389999998</v>
      </c>
      <c r="T211">
        <f ca="1">IFERROR(IF(0=LEN(ReferenceData!$T$211),"",ReferenceData!$T$211),"")</f>
        <v>2.6601538379999998</v>
      </c>
      <c r="U211">
        <f ca="1">IFERROR(IF(0=LEN(ReferenceData!$U$211),"",ReferenceData!$U$211),"")</f>
        <v>2.7991857910000002</v>
      </c>
      <c r="V211">
        <f ca="1">IFERROR(IF(0=LEN(ReferenceData!$V$211),"",ReferenceData!$V$211),"")</f>
        <v>2.6753554209999999</v>
      </c>
      <c r="W211">
        <f ca="1">IFERROR(IF(0=LEN(ReferenceData!$W$211),"",ReferenceData!$W$211),"")</f>
        <v>2.4491366299999999</v>
      </c>
      <c r="X211">
        <f ca="1">IFERROR(IF(0=LEN(ReferenceData!$X$211),"",ReferenceData!$X$211),"")</f>
        <v>2.347529357</v>
      </c>
      <c r="Y211">
        <f ca="1">IFERROR(IF(0=LEN(ReferenceData!$Y$211),"",ReferenceData!$Y$211),"")</f>
        <v>2.4915254240000002</v>
      </c>
      <c r="Z211">
        <f ca="1">IFERROR(IF(0=LEN(ReferenceData!$Z$211),"",ReferenceData!$Z$211),"")</f>
        <v>2.4907787610000001</v>
      </c>
      <c r="AA211">
        <f ca="1">IFERROR(IF(0=LEN(ReferenceData!$AA$211),"",ReferenceData!$AA$211),"")</f>
        <v>2.210703643</v>
      </c>
      <c r="AB211">
        <f ca="1">IFERROR(IF(0=LEN(ReferenceData!$AB$211),"",ReferenceData!$AB$211),"")</f>
        <v>2.1814823849999998</v>
      </c>
      <c r="AC211">
        <f ca="1">IFERROR(IF(0=LEN(ReferenceData!$AC$211),"",ReferenceData!$AC$211),"")</f>
        <v>2.3149850660000002</v>
      </c>
      <c r="AD211">
        <f ca="1">IFERROR(IF(0=LEN(ReferenceData!$AD$211),"",ReferenceData!$AD$211),"")</f>
        <v>2.2381475690000001</v>
      </c>
      <c r="AE211">
        <f ca="1">IFERROR(IF(0=LEN(ReferenceData!$AE$211),"",ReferenceData!$AE$211),"")</f>
        <v>2.1358515410000001</v>
      </c>
      <c r="AF211">
        <f ca="1">IFERROR(IF(0=LEN(ReferenceData!$AF$211),"",ReferenceData!$AF$211),"")</f>
        <v>2.1643274180000001</v>
      </c>
      <c r="AG211">
        <f ca="1">IFERROR(IF(0=LEN(ReferenceData!$AG$211),"",ReferenceData!$AG$211),"")</f>
        <v>2.2920530079999999</v>
      </c>
      <c r="AH211">
        <f ca="1">IFERROR(IF(0=LEN(ReferenceData!$AH$211),"",ReferenceData!$AH$211),"")</f>
        <v>2.9831193250000001</v>
      </c>
      <c r="AI211">
        <f ca="1">IFERROR(IF(0=LEN(ReferenceData!$AI$211),"",ReferenceData!$AI$211),"")</f>
        <v>2.1594000699999998</v>
      </c>
      <c r="AJ211">
        <f ca="1">IFERROR(IF(0=LEN(ReferenceData!$AJ$211),"",ReferenceData!$AJ$211),"")</f>
        <v>3.3627399489999998</v>
      </c>
      <c r="AK211">
        <f ca="1">IFERROR(IF(0=LEN(ReferenceData!$AK$211),"",ReferenceData!$AK$211),"")</f>
        <v>2.2184680069999998</v>
      </c>
      <c r="AL211">
        <f ca="1">IFERROR(IF(0=LEN(ReferenceData!$AL$211),"",ReferenceData!$AL$211),"")</f>
        <v>2.1646017400000002</v>
      </c>
      <c r="AM211">
        <f ca="1">IFERROR(IF(0=LEN(ReferenceData!$AM$211),"",ReferenceData!$AM$211),"")</f>
        <v>1.8561635299999999</v>
      </c>
      <c r="AN211">
        <f ca="1">IFERROR(IF(0=LEN(ReferenceData!$AN$211),"",ReferenceData!$AN$211),"")</f>
        <v>1.725564404</v>
      </c>
      <c r="AO211">
        <f ca="1">IFERROR(IF(0=LEN(ReferenceData!$AO$211),"",ReferenceData!$AO$211),"")</f>
        <v>1.5956646459999999</v>
      </c>
      <c r="AP211">
        <f ca="1">IFERROR(IF(0=LEN(ReferenceData!$AP$211),"",ReferenceData!$AP$211),"")</f>
        <v>1.384907135</v>
      </c>
      <c r="AQ211">
        <f ca="1">IFERROR(IF(0=LEN(ReferenceData!$AQ$211),"",ReferenceData!$AQ$211),"")</f>
        <v>0.52212560399999997</v>
      </c>
      <c r="AR211">
        <f ca="1">IFERROR(IF(0=LEN(ReferenceData!$AR$211),"",ReferenceData!$AR$211),"")</f>
        <v>1.9371697729999999</v>
      </c>
      <c r="AS211">
        <f ca="1">IFERROR(IF(0=LEN(ReferenceData!$AS$211),"",ReferenceData!$AS$211),"")</f>
        <v>2.2354741690000002</v>
      </c>
      <c r="AT211">
        <f ca="1">IFERROR(IF(0=LEN(ReferenceData!$AT$211),"",ReferenceData!$AT$211),"")</f>
        <v>1.784379103</v>
      </c>
      <c r="AU211">
        <f ca="1">IFERROR(IF(0=LEN(ReferenceData!$AU$211),"",ReferenceData!$AU$211),"")</f>
        <v>1.94386014</v>
      </c>
      <c r="AV211">
        <f ca="1">IFERROR(IF(0=LEN(ReferenceData!$AV$211),"",ReferenceData!$AV$211),"")</f>
        <v>1.9352227319999999</v>
      </c>
      <c r="AW211">
        <f ca="1">IFERROR(IF(0=LEN(ReferenceData!$AW$211),"",ReferenceData!$AW$211),"")</f>
        <v>2.0028815230000001</v>
      </c>
      <c r="AX211">
        <f ca="1">IFERROR(IF(0=LEN(ReferenceData!$AX$211),"",ReferenceData!$AX$211),"")</f>
        <v>2.8621165340000001</v>
      </c>
      <c r="AY211">
        <f ca="1">IFERROR(IF(0=LEN(ReferenceData!$AY$211),"",ReferenceData!$AY$211),"")</f>
        <v>2.7039690900000002</v>
      </c>
      <c r="AZ211">
        <f ca="1">IFERROR(IF(0=LEN(ReferenceData!$AZ$211),"",ReferenceData!$AZ$211),"")</f>
        <v>2.6294544559999999</v>
      </c>
      <c r="BA211">
        <f ca="1">IFERROR(IF(0=LEN(ReferenceData!$BA$211),"",ReferenceData!$BA$211),"")</f>
        <v>2.6270531400000001</v>
      </c>
      <c r="BB211">
        <f ca="1">IFERROR(IF(0=LEN(ReferenceData!$BB$211),"",ReferenceData!$BB$211),"")</f>
        <v>2.9719307879999999</v>
      </c>
      <c r="BC211">
        <f ca="1">IFERROR(IF(0=LEN(ReferenceData!$BC$211),"",ReferenceData!$BC$211),"")</f>
        <v>2.4661485650000001</v>
      </c>
      <c r="BD211">
        <f ca="1">IFERROR(IF(0=LEN(ReferenceData!$BD$211),"",ReferenceData!$BD$211),"")</f>
        <v>2.5977211019999999</v>
      </c>
      <c r="BE211">
        <f ca="1">IFERROR(IF(0=LEN(ReferenceData!$BE$211),"",ReferenceData!$BE$211),"")</f>
        <v>2.3676052190000001</v>
      </c>
      <c r="BF211">
        <f ca="1">IFERROR(IF(0=LEN(ReferenceData!$BF$211),"",ReferenceData!$BF$211),"")</f>
        <v>2.7707788959999999</v>
      </c>
      <c r="BG211">
        <f ca="1">IFERROR(IF(0=LEN(ReferenceData!$BG$211),"",ReferenceData!$BG$211),"")</f>
        <v>2.2458729079999999</v>
      </c>
      <c r="BH211">
        <f ca="1">IFERROR(IF(0=LEN(ReferenceData!$BH$211),"",ReferenceData!$BH$211),"")</f>
        <v>2.536476924</v>
      </c>
      <c r="BI211">
        <f ca="1">IFERROR(IF(0=LEN(ReferenceData!$BI$211),"",ReferenceData!$BI$211),"")</f>
        <v>3.231924818</v>
      </c>
      <c r="BJ211">
        <f ca="1">IFERROR(IF(0=LEN(ReferenceData!$BJ$211),"",ReferenceData!$BJ$211),"")</f>
        <v>2.840525961</v>
      </c>
      <c r="BK211">
        <f ca="1">IFERROR(IF(0=LEN(ReferenceData!$BK$211),"",ReferenceData!$BK$211),"")</f>
        <v>3.137585815</v>
      </c>
      <c r="BL211">
        <f ca="1">IFERROR(IF(0=LEN(ReferenceData!$BL$211),"",ReferenceData!$BL$211),"")</f>
        <v>3.3651588399999999</v>
      </c>
      <c r="BM211">
        <f ca="1">IFERROR(IF(0=LEN(ReferenceData!$BM$211),"",ReferenceData!$BM$211),"")</f>
        <v>3.312251598</v>
      </c>
    </row>
    <row r="212" spans="1:65">
      <c r="A212" t="str">
        <f>IFERROR(IF(0=LEN(ReferenceData!$A$212),"",ReferenceData!$A$212),"")</f>
        <v xml:space="preserve">    Vornado Realty Trust</v>
      </c>
      <c r="B212" t="str">
        <f>IFERROR(IF(0=LEN(ReferenceData!$B$212),"",ReferenceData!$B$212),"")</f>
        <v>VNO US Equity</v>
      </c>
      <c r="C212" t="str">
        <f>IFERROR(IF(0=LEN(ReferenceData!$C$212),"",ReferenceData!$C$212),"")</f>
        <v>RX951</v>
      </c>
      <c r="D212" t="str">
        <f>IFERROR(IF(0=LEN(ReferenceData!$D$212),"",ReferenceData!$D$212),"")</f>
        <v>EBITDA_TO_INTEREST_EXPN</v>
      </c>
      <c r="E212" t="str">
        <f>IFERROR(IF(0=LEN(ReferenceData!$E$212),"",ReferenceData!$E$212),"")</f>
        <v>动态</v>
      </c>
      <c r="F212" t="str">
        <f ca="1">IFERROR(IF(0=LEN(ReferenceData!$F$212),"",ReferenceData!$F$212),"")</f>
        <v/>
      </c>
      <c r="G212">
        <f ca="1">IFERROR(IF(0=LEN(ReferenceData!$G$212),"",ReferenceData!$G$212),"")</f>
        <v>2.9057943759999998</v>
      </c>
      <c r="H212">
        <f ca="1">IFERROR(IF(0=LEN(ReferenceData!$H$212),"",ReferenceData!$H$212),"")</f>
        <v>3.1600719420000001</v>
      </c>
      <c r="I212">
        <f ca="1">IFERROR(IF(0=LEN(ReferenceData!$I$212),"",ReferenceData!$I$212),"")</f>
        <v>3.2488196949999999</v>
      </c>
      <c r="J212">
        <f ca="1">IFERROR(IF(0=LEN(ReferenceData!$J$212),"",ReferenceData!$J$212),"")</f>
        <v>3.0852627670000001</v>
      </c>
      <c r="K212">
        <f ca="1">IFERROR(IF(0=LEN(ReferenceData!$K$212),"",ReferenceData!$K$212),"")</f>
        <v>3.1839908800000001</v>
      </c>
      <c r="L212">
        <f ca="1">IFERROR(IF(0=LEN(ReferenceData!$L$212),"",ReferenceData!$L$212),"")</f>
        <v>3.2916891170000002</v>
      </c>
      <c r="M212">
        <f ca="1">IFERROR(IF(0=LEN(ReferenceData!$M$212),"",ReferenceData!$M$212),"")</f>
        <v>3.063224596</v>
      </c>
      <c r="N212">
        <f ca="1">IFERROR(IF(0=LEN(ReferenceData!$N$212),"",ReferenceData!$N$212),"")</f>
        <v>1.3221447120000001</v>
      </c>
      <c r="O212">
        <f ca="1">IFERROR(IF(0=LEN(ReferenceData!$O$212),"",ReferenceData!$O$212),"")</f>
        <v>3.2379416669999999</v>
      </c>
      <c r="P212">
        <f ca="1">IFERROR(IF(0=LEN(ReferenceData!$P$212),"",ReferenceData!$P$212),"")</f>
        <v>3.3479400909999999</v>
      </c>
      <c r="Q212">
        <f ca="1">IFERROR(IF(0=LEN(ReferenceData!$Q$212),"",ReferenceData!$Q$212),"")</f>
        <v>3.4947986800000002</v>
      </c>
      <c r="R212">
        <f ca="1">IFERROR(IF(0=LEN(ReferenceData!$R$212),"",ReferenceData!$R$212),"")</f>
        <v>3.120535812</v>
      </c>
      <c r="S212">
        <f ca="1">IFERROR(IF(0=LEN(ReferenceData!$S$212),"",ReferenceData!$S$212),"")</f>
        <v>2.8516913879999999</v>
      </c>
      <c r="T212">
        <f ca="1">IFERROR(IF(0=LEN(ReferenceData!$T$212),"",ReferenceData!$T$212),"")</f>
        <v>3.0537706930000001</v>
      </c>
      <c r="U212">
        <f ca="1">IFERROR(IF(0=LEN(ReferenceData!$U$212),"",ReferenceData!$U$212),"")</f>
        <v>2.8962882410000002</v>
      </c>
      <c r="V212">
        <f ca="1">IFERROR(IF(0=LEN(ReferenceData!$V$212),"",ReferenceData!$V$212),"")</f>
        <v>3.1056358500000001</v>
      </c>
      <c r="W212">
        <f ca="1">IFERROR(IF(0=LEN(ReferenceData!$W$212),"",ReferenceData!$W$212),"")</f>
        <v>2.5216248700000001</v>
      </c>
      <c r="X212">
        <f ca="1">IFERROR(IF(0=LEN(ReferenceData!$X$212),"",ReferenceData!$X$212),"")</f>
        <v>2.9465139210000002</v>
      </c>
      <c r="Y212">
        <f ca="1">IFERROR(IF(0=LEN(ReferenceData!$Y$212),"",ReferenceData!$Y$212),"")</f>
        <v>2.671009556</v>
      </c>
      <c r="Z212">
        <f ca="1">IFERROR(IF(0=LEN(ReferenceData!$Z$212),"",ReferenceData!$Z$212),"")</f>
        <v>3.3172020670000002</v>
      </c>
      <c r="AA212">
        <f ca="1">IFERROR(IF(0=LEN(ReferenceData!$AA$212),"",ReferenceData!$AA$212),"")</f>
        <v>1.6961726239999999</v>
      </c>
      <c r="AB212">
        <f ca="1">IFERROR(IF(0=LEN(ReferenceData!$AB$212),"",ReferenceData!$AB$212),"")</f>
        <v>2.67741557</v>
      </c>
      <c r="AC212">
        <f ca="1">IFERROR(IF(0=LEN(ReferenceData!$AC$212),"",ReferenceData!$AC$212),"")</f>
        <v>2.6582126769999999</v>
      </c>
      <c r="AD212">
        <f ca="1">IFERROR(IF(0=LEN(ReferenceData!$AD$212),"",ReferenceData!$AD$212),"")</f>
        <v>2.4120514540000002</v>
      </c>
      <c r="AE212">
        <f ca="1">IFERROR(IF(0=LEN(ReferenceData!$AE$212),"",ReferenceData!$AE$212),"")</f>
        <v>2.691396305</v>
      </c>
      <c r="AF212">
        <f ca="1">IFERROR(IF(0=LEN(ReferenceData!$AF$212),"",ReferenceData!$AF$212),"")</f>
        <v>2.5832815650000001</v>
      </c>
      <c r="AG212">
        <f ca="1">IFERROR(IF(0=LEN(ReferenceData!$AG$212),"",ReferenceData!$AG$212),"")</f>
        <v>2.5981191039999998</v>
      </c>
      <c r="AH212">
        <f ca="1">IFERROR(IF(0=LEN(ReferenceData!$AH$212),"",ReferenceData!$AH$212),"")</f>
        <v>2.3395590529999999</v>
      </c>
      <c r="AI212">
        <f ca="1">IFERROR(IF(0=LEN(ReferenceData!$AI$212),"",ReferenceData!$AI$212),"")</f>
        <v>1.5456515529999999</v>
      </c>
      <c r="AJ212">
        <f ca="1">IFERROR(IF(0=LEN(ReferenceData!$AJ$212),"",ReferenceData!$AJ$212),"")</f>
        <v>2.3905647800000001</v>
      </c>
      <c r="AK212">
        <f ca="1">IFERROR(IF(0=LEN(ReferenceData!$AK$212),"",ReferenceData!$AK$212),"")</f>
        <v>2.538442061</v>
      </c>
      <c r="AL212">
        <f ca="1">IFERROR(IF(0=LEN(ReferenceData!$AL$212),"",ReferenceData!$AL$212),"")</f>
        <v>2.5974271880000002</v>
      </c>
      <c r="AM212">
        <f ca="1">IFERROR(IF(0=LEN(ReferenceData!$AM$212),"",ReferenceData!$AM$212),"")</f>
        <v>1.948669692</v>
      </c>
      <c r="AN212">
        <f ca="1">IFERROR(IF(0=LEN(ReferenceData!$AN$212),"",ReferenceData!$AN$212),"")</f>
        <v>2.1506463130000002</v>
      </c>
      <c r="AO212">
        <f ca="1">IFERROR(IF(0=LEN(ReferenceData!$AO$212),"",ReferenceData!$AO$212),"")</f>
        <v>2.1364427930000001</v>
      </c>
      <c r="AP212">
        <f ca="1">IFERROR(IF(0=LEN(ReferenceData!$AP$212),"",ReferenceData!$AP$212),"")</f>
        <v>1.9469003549999999</v>
      </c>
      <c r="AQ212">
        <f ca="1">IFERROR(IF(0=LEN(ReferenceData!$AQ$212),"",ReferenceData!$AQ$212),"")</f>
        <v>2.1911762879999999</v>
      </c>
      <c r="AR212">
        <f ca="1">IFERROR(IF(0=LEN(ReferenceData!$AR$212),"",ReferenceData!$AR$212),"")</f>
        <v>2.0949532500000001</v>
      </c>
      <c r="AS212">
        <f ca="1">IFERROR(IF(0=LEN(ReferenceData!$AS$212),"",ReferenceData!$AS$212),"")</f>
        <v>2.1589832179999999</v>
      </c>
      <c r="AT212">
        <f ca="1">IFERROR(IF(0=LEN(ReferenceData!$AT$212),"",ReferenceData!$AT$212),"")</f>
        <v>2.1557885639999999</v>
      </c>
      <c r="AU212">
        <f ca="1">IFERROR(IF(0=LEN(ReferenceData!$AU$212),"",ReferenceData!$AU$212),"")</f>
        <v>2.4090991640000001</v>
      </c>
      <c r="AV212">
        <f ca="1">IFERROR(IF(0=LEN(ReferenceData!$AV$212),"",ReferenceData!$AV$212),"")</f>
        <v>2.2042652380000001</v>
      </c>
      <c r="AW212">
        <f ca="1">IFERROR(IF(0=LEN(ReferenceData!$AW$212),"",ReferenceData!$AW$212),"")</f>
        <v>2.219904058</v>
      </c>
      <c r="AX212">
        <f ca="1">IFERROR(IF(0=LEN(ReferenceData!$AX$212),"",ReferenceData!$AX$212),"")</f>
        <v>2.1741801710000002</v>
      </c>
      <c r="AY212">
        <f ca="1">IFERROR(IF(0=LEN(ReferenceData!$AY$212),"",ReferenceData!$AY$212),"")</f>
        <v>2.0532753760000002</v>
      </c>
      <c r="AZ212">
        <f ca="1">IFERROR(IF(0=LEN(ReferenceData!$AZ$212),"",ReferenceData!$AZ$212),"")</f>
        <v>2.3499306039999999</v>
      </c>
      <c r="BA212">
        <f ca="1">IFERROR(IF(0=LEN(ReferenceData!$BA$212),"",ReferenceData!$BA$212),"")</f>
        <v>2.435376008</v>
      </c>
      <c r="BB212">
        <f ca="1">IFERROR(IF(0=LEN(ReferenceData!$BB$212),"",ReferenceData!$BB$212),"")</f>
        <v>2.8019038639999998</v>
      </c>
      <c r="BC212">
        <f ca="1">IFERROR(IF(0=LEN(ReferenceData!$BC$212),"",ReferenceData!$BC$212),"")</f>
        <v>3.4089665220000001</v>
      </c>
      <c r="BD212">
        <f ca="1">IFERROR(IF(0=LEN(ReferenceData!$BD$212),"",ReferenceData!$BD$212),"")</f>
        <v>2.4644213439999998</v>
      </c>
      <c r="BE212">
        <f ca="1">IFERROR(IF(0=LEN(ReferenceData!$BE$212),"",ReferenceData!$BE$212),"")</f>
        <v>3.1482604840000001</v>
      </c>
      <c r="BF212">
        <f ca="1">IFERROR(IF(0=LEN(ReferenceData!$BF$212),"",ReferenceData!$BF$212),"")</f>
        <v>3.357868184</v>
      </c>
      <c r="BG212">
        <f ca="1">IFERROR(IF(0=LEN(ReferenceData!$BG$212),"",ReferenceData!$BG$212),"")</f>
        <v>5.796836817</v>
      </c>
      <c r="BH212">
        <f ca="1">IFERROR(IF(0=LEN(ReferenceData!$BH$212),"",ReferenceData!$BH$212),"")</f>
        <v>3.827842425</v>
      </c>
      <c r="BI212">
        <f ca="1">IFERROR(IF(0=LEN(ReferenceData!$BI$212),"",ReferenceData!$BI$212),"")</f>
        <v>4.16286076</v>
      </c>
      <c r="BJ212">
        <f ca="1">IFERROR(IF(0=LEN(ReferenceData!$BJ$212),"",ReferenceData!$BJ$212),"")</f>
        <v>3.7293075130000002</v>
      </c>
      <c r="BK212">
        <f ca="1">IFERROR(IF(0=LEN(ReferenceData!$BK$212),"",ReferenceData!$BK$212),"")</f>
        <v>3.6555185379999999</v>
      </c>
      <c r="BL212">
        <f ca="1">IFERROR(IF(0=LEN(ReferenceData!$BL$212),"",ReferenceData!$BL$212),"")</f>
        <v>3.6084854480000002</v>
      </c>
      <c r="BM212">
        <f ca="1">IFERROR(IF(0=LEN(ReferenceData!$BM$212),"",ReferenceData!$BM$212),"")</f>
        <v>3.6038134080000002</v>
      </c>
    </row>
    <row r="213" spans="1:65">
      <c r="A213" t="str">
        <f>IFERROR(IF(0=LEN(ReferenceData!$A$213),"",ReferenceData!$A$213),"")</f>
        <v>EBITDA/利息支出+资本化利息</v>
      </c>
      <c r="B213" t="str">
        <f>IFERROR(IF(0=LEN(ReferenceData!$B$213),"",ReferenceData!$B$213),"")</f>
        <v/>
      </c>
      <c r="C213" t="str">
        <f>IFERROR(IF(0=LEN(ReferenceData!$C$213),"",ReferenceData!$C$213),"")</f>
        <v/>
      </c>
      <c r="D213" t="str">
        <f>IFERROR(IF(0=LEN(ReferenceData!$D$213),"",ReferenceData!$D$213),"")</f>
        <v/>
      </c>
      <c r="E213" t="str">
        <f>IFERROR(IF(0=LEN(ReferenceData!$E$213),"",ReferenceData!$E$213),"")</f>
        <v>Median</v>
      </c>
      <c r="F213" t="str">
        <f ca="1">IFERROR(IF(0=LEN(ReferenceData!$F$213),"",ReferenceData!$F$213),"")</f>
        <v/>
      </c>
      <c r="G213">
        <f ca="1">IFERROR(IF(0=LEN(ReferenceData!$G$213),"",ReferenceData!$G$213),"")</f>
        <v>2.8763312194999999</v>
      </c>
      <c r="H213">
        <f ca="1">IFERROR(IF(0=LEN(ReferenceData!$H$213),"",ReferenceData!$H$213),"")</f>
        <v>3.544225081</v>
      </c>
      <c r="I213">
        <f ca="1">IFERROR(IF(0=LEN(ReferenceData!$I$213),"",ReferenceData!$I$213),"")</f>
        <v>3.3442503055000001</v>
      </c>
      <c r="J213">
        <f ca="1">IFERROR(IF(0=LEN(ReferenceData!$J$213),"",ReferenceData!$J$213),"")</f>
        <v>3.2141951815000001</v>
      </c>
      <c r="K213">
        <f ca="1">IFERROR(IF(0=LEN(ReferenceData!$K$213),"",ReferenceData!$K$213),"")</f>
        <v>3.5019874780000002</v>
      </c>
      <c r="L213">
        <f ca="1">IFERROR(IF(0=LEN(ReferenceData!$L$213),"",ReferenceData!$L$213),"")</f>
        <v>3.0888475035000003</v>
      </c>
      <c r="M213">
        <f ca="1">IFERROR(IF(0=LEN(ReferenceData!$M$213),"",ReferenceData!$M$213),"")</f>
        <v>3.473197125</v>
      </c>
      <c r="N213">
        <f ca="1">IFERROR(IF(0=LEN(ReferenceData!$N$213),"",ReferenceData!$N$213),"")</f>
        <v>3.1092988065</v>
      </c>
      <c r="O213">
        <f ca="1">IFERROR(IF(0=LEN(ReferenceData!$O$213),"",ReferenceData!$O$213),"")</f>
        <v>3.1014028265000002</v>
      </c>
      <c r="P213">
        <f ca="1">IFERROR(IF(0=LEN(ReferenceData!$P$213),"",ReferenceData!$P$213),"")</f>
        <v>2.7177677420000004</v>
      </c>
      <c r="Q213">
        <f ca="1">IFERROR(IF(0=LEN(ReferenceData!$Q$213),"",ReferenceData!$Q$213),"")</f>
        <v>3.1382159585</v>
      </c>
      <c r="R213">
        <f ca="1">IFERROR(IF(0=LEN(ReferenceData!$R$213),"",ReferenceData!$R$213),"")</f>
        <v>2.9355936580000002</v>
      </c>
      <c r="S213">
        <f ca="1">IFERROR(IF(0=LEN(ReferenceData!$S$213),"",ReferenceData!$S$213),"")</f>
        <v>2.8559325960000002</v>
      </c>
      <c r="T213">
        <f ca="1">IFERROR(IF(0=LEN(ReferenceData!$T$213),"",ReferenceData!$T$213),"")</f>
        <v>2.6644662759999997</v>
      </c>
      <c r="U213">
        <f ca="1">IFERROR(IF(0=LEN(ReferenceData!$U$213),"",ReferenceData!$U$213),"")</f>
        <v>2.7162883569999998</v>
      </c>
      <c r="V213">
        <f ca="1">IFERROR(IF(0=LEN(ReferenceData!$V$213),"",ReferenceData!$V$213),"")</f>
        <v>2.7404991845</v>
      </c>
      <c r="W213">
        <f ca="1">IFERROR(IF(0=LEN(ReferenceData!$W$213),"",ReferenceData!$W$213),"")</f>
        <v>2.4513061235000002</v>
      </c>
      <c r="X213">
        <f ca="1">IFERROR(IF(0=LEN(ReferenceData!$X$213),"",ReferenceData!$X$213),"")</f>
        <v>2.6527991845000001</v>
      </c>
      <c r="Y213">
        <f ca="1">IFERROR(IF(0=LEN(ReferenceData!$Y$213),"",ReferenceData!$Y$213),"")</f>
        <v>2.6563384675000004</v>
      </c>
      <c r="Z213">
        <f ca="1">IFERROR(IF(0=LEN(ReferenceData!$Z$213),"",ReferenceData!$Z$213),"")</f>
        <v>2.5808133719999997</v>
      </c>
      <c r="AA213">
        <f ca="1">IFERROR(IF(0=LEN(ReferenceData!$AA$213),"",ReferenceData!$AA$213),"")</f>
        <v>2.5603879305000001</v>
      </c>
      <c r="AB213">
        <f ca="1">IFERROR(IF(0=LEN(ReferenceData!$AB$213),"",ReferenceData!$AB$213),"")</f>
        <v>2.6733292075000001</v>
      </c>
      <c r="AC213">
        <f ca="1">IFERROR(IF(0=LEN(ReferenceData!$AC$213),"",ReferenceData!$AC$213),"")</f>
        <v>2.6786634540000001</v>
      </c>
      <c r="AD213">
        <f ca="1">IFERROR(IF(0=LEN(ReferenceData!$AD$213),"",ReferenceData!$AD$213),"")</f>
        <v>2.4577001030000001</v>
      </c>
      <c r="AE213">
        <f ca="1">IFERROR(IF(0=LEN(ReferenceData!$AE$213),"",ReferenceData!$AE$213),"")</f>
        <v>2.4100771729999999</v>
      </c>
      <c r="AF213">
        <f ca="1">IFERROR(IF(0=LEN(ReferenceData!$AF$213),"",ReferenceData!$AF$213),"")</f>
        <v>2.4886968270000001</v>
      </c>
      <c r="AG213">
        <f ca="1">IFERROR(IF(0=LEN(ReferenceData!$AG$213),"",ReferenceData!$AG$213),"")</f>
        <v>2.5407772744999999</v>
      </c>
      <c r="AH213">
        <f ca="1">IFERROR(IF(0=LEN(ReferenceData!$AH$213),"",ReferenceData!$AH$213),"")</f>
        <v>2.573472862</v>
      </c>
      <c r="AI213">
        <f ca="1">IFERROR(IF(0=LEN(ReferenceData!$AI$213),"",ReferenceData!$AI$213),"")</f>
        <v>2.4034175764999999</v>
      </c>
      <c r="AJ213">
        <f ca="1">IFERROR(IF(0=LEN(ReferenceData!$AJ$213),"",ReferenceData!$AJ$213),"")</f>
        <v>2.5269176285000001</v>
      </c>
      <c r="AK213">
        <f ca="1">IFERROR(IF(0=LEN(ReferenceData!$AK$213),"",ReferenceData!$AK$213),"")</f>
        <v>2.6303796454999997</v>
      </c>
      <c r="AL213">
        <f ca="1">IFERROR(IF(0=LEN(ReferenceData!$AL$213),"",ReferenceData!$AL$213),"")</f>
        <v>2.6303343379999999</v>
      </c>
      <c r="AM213">
        <f ca="1">IFERROR(IF(0=LEN(ReferenceData!$AM$213),"",ReferenceData!$AM$213),"")</f>
        <v>2.2232515314999999</v>
      </c>
      <c r="AN213">
        <f ca="1">IFERROR(IF(0=LEN(ReferenceData!$AN$213),"",ReferenceData!$AN$213),"")</f>
        <v>2.6668510120000004</v>
      </c>
      <c r="AO213">
        <f ca="1">IFERROR(IF(0=LEN(ReferenceData!$AO$213),"",ReferenceData!$AO$213),"")</f>
        <v>2.8020603880000001</v>
      </c>
      <c r="AP213">
        <f ca="1">IFERROR(IF(0=LEN(ReferenceData!$AP$213),"",ReferenceData!$AP$213),"")</f>
        <v>2.7047926840000001</v>
      </c>
      <c r="AQ213">
        <f ca="1">IFERROR(IF(0=LEN(ReferenceData!$AQ$213),"",ReferenceData!$AQ$213),"")</f>
        <v>2.6281052009999999</v>
      </c>
      <c r="AR213">
        <f ca="1">IFERROR(IF(0=LEN(ReferenceData!$AR$213),"",ReferenceData!$AR$213),"")</f>
        <v>2.3569065720000002</v>
      </c>
      <c r="AS213">
        <f ca="1">IFERROR(IF(0=LEN(ReferenceData!$AS$213),"",ReferenceData!$AS$213),"")</f>
        <v>2.290095349</v>
      </c>
      <c r="AT213">
        <f ca="1">IFERROR(IF(0=LEN(ReferenceData!$AT$213),"",ReferenceData!$AT$213),"")</f>
        <v>2.2516225479999998</v>
      </c>
      <c r="AU213">
        <f ca="1">IFERROR(IF(0=LEN(ReferenceData!$AU$213),"",ReferenceData!$AU$213),"")</f>
        <v>2.2140838619999998</v>
      </c>
      <c r="AV213">
        <f ca="1">IFERROR(IF(0=LEN(ReferenceData!$AV$213),"",ReferenceData!$AV$213),"")</f>
        <v>2.1579474620000001</v>
      </c>
      <c r="AW213">
        <f ca="1">IFERROR(IF(0=LEN(ReferenceData!$AW$213),"",ReferenceData!$AW$213),"")</f>
        <v>2.1828409610000001</v>
      </c>
      <c r="AX213">
        <f ca="1">IFERROR(IF(0=LEN(ReferenceData!$AX$213),"",ReferenceData!$AX$213),"")</f>
        <v>2.8621165340000001</v>
      </c>
      <c r="AY213">
        <f ca="1">IFERROR(IF(0=LEN(ReferenceData!$AY$213),"",ReferenceData!$AY$213),"")</f>
        <v>2.5243243240000002</v>
      </c>
      <c r="AZ213">
        <f ca="1">IFERROR(IF(0=LEN(ReferenceData!$AZ$213),"",ReferenceData!$AZ$213),"")</f>
        <v>2.2232789689999999</v>
      </c>
      <c r="BA213">
        <f ca="1">IFERROR(IF(0=LEN(ReferenceData!$BA$213),"",ReferenceData!$BA$213),"")</f>
        <v>2.3184389680000002</v>
      </c>
      <c r="BB213">
        <f ca="1">IFERROR(IF(0=LEN(ReferenceData!$BB$213),"",ReferenceData!$BB$213),"")</f>
        <v>2.8314969479999998</v>
      </c>
      <c r="BC213">
        <f ca="1">IFERROR(IF(0=LEN(ReferenceData!$BC$213),"",ReferenceData!$BC$213),"")</f>
        <v>2.4858781489999999</v>
      </c>
      <c r="BD213">
        <f ca="1">IFERROR(IF(0=LEN(ReferenceData!$BD$213),"",ReferenceData!$BD$213),"")</f>
        <v>2.7785729030000001</v>
      </c>
      <c r="BE213">
        <f ca="1">IFERROR(IF(0=LEN(ReferenceData!$BE$213),"",ReferenceData!$BE$213),"")</f>
        <v>2.8522579709999998</v>
      </c>
      <c r="BF213">
        <f ca="1">IFERROR(IF(0=LEN(ReferenceData!$BF$213),"",ReferenceData!$BF$213),"")</f>
        <v>2.7707788959999999</v>
      </c>
      <c r="BG213">
        <f ca="1">IFERROR(IF(0=LEN(ReferenceData!$BG$213),"",ReferenceData!$BG$213),"")</f>
        <v>2.778499107</v>
      </c>
      <c r="BH213">
        <f ca="1">IFERROR(IF(0=LEN(ReferenceData!$BH$213),"",ReferenceData!$BH$213),"")</f>
        <v>3.0644730990000002</v>
      </c>
      <c r="BI213">
        <f ca="1">IFERROR(IF(0=LEN(ReferenceData!$BI$213),"",ReferenceData!$BI$213),"")</f>
        <v>3.322379733</v>
      </c>
      <c r="BJ213">
        <f ca="1">IFERROR(IF(0=LEN(ReferenceData!$BJ$213),"",ReferenceData!$BJ$213),"")</f>
        <v>3.0297151000000002</v>
      </c>
      <c r="BK213">
        <f ca="1">IFERROR(IF(0=LEN(ReferenceData!$BK$213),"",ReferenceData!$BK$213),"")</f>
        <v>3.137585815</v>
      </c>
      <c r="BL213">
        <f ca="1">IFERROR(IF(0=LEN(ReferenceData!$BL$213),"",ReferenceData!$BL$213),"")</f>
        <v>3.3651588399999999</v>
      </c>
      <c r="BM213">
        <f ca="1">IFERROR(IF(0=LEN(ReferenceData!$BM$213),"",ReferenceData!$BM$213),"")</f>
        <v>3.1207809040000001</v>
      </c>
    </row>
    <row r="214" spans="1:65">
      <c r="A214" t="str">
        <f>IFERROR(IF(0=LEN(ReferenceData!$A$214),"",ReferenceData!$A$214),"")</f>
        <v xml:space="preserve">    Boston Properties Inc</v>
      </c>
      <c r="B214" t="str">
        <f>IFERROR(IF(0=LEN(ReferenceData!$B$214),"",ReferenceData!$B$214),"")</f>
        <v>BXP US Equity</v>
      </c>
      <c r="C214" t="str">
        <f>IFERROR(IF(0=LEN(ReferenceData!$C$214),"",ReferenceData!$C$214),"")</f>
        <v>RR059</v>
      </c>
      <c r="D214" t="str">
        <f>IFERROR(IF(0=LEN(ReferenceData!$D$214),"",ReferenceData!$D$214),"")</f>
        <v>EBITDA_TO_TOT_INT_EXP</v>
      </c>
      <c r="E214" t="str">
        <f>IFERROR(IF(0=LEN(ReferenceData!$E$214),"",ReferenceData!$E$214),"")</f>
        <v>动态</v>
      </c>
      <c r="F214" t="str">
        <f ca="1">IFERROR(IF(0=LEN(ReferenceData!$F$214),"",ReferenceData!$F$214),"")</f>
        <v/>
      </c>
      <c r="G214">
        <f ca="1">IFERROR(IF(0=LEN(ReferenceData!$G$214),"",ReferenceData!$G$214),"")</f>
        <v>3.5025466430000001</v>
      </c>
      <c r="H214">
        <f ca="1">IFERROR(IF(0=LEN(ReferenceData!$H$214),"",ReferenceData!$H$214),"")</f>
        <v>3.5504002209999999</v>
      </c>
      <c r="I214">
        <f ca="1">IFERROR(IF(0=LEN(ReferenceData!$I$214),"",ReferenceData!$I$214),"")</f>
        <v>3.5696178239999998</v>
      </c>
      <c r="J214">
        <f ca="1">IFERROR(IF(0=LEN(ReferenceData!$J$214),"",ReferenceData!$J$214),"")</f>
        <v>3.3874062610000002</v>
      </c>
      <c r="K214">
        <f ca="1">IFERROR(IF(0=LEN(ReferenceData!$K$214),"",ReferenceData!$K$214),"")</f>
        <v>3.474472392</v>
      </c>
      <c r="L214">
        <f ca="1">IFERROR(IF(0=LEN(ReferenceData!$L$214),"",ReferenceData!$L$214),"")</f>
        <v>3.1578795589999999</v>
      </c>
      <c r="M214">
        <f ca="1">IFERROR(IF(0=LEN(ReferenceData!$M$214),"",ReferenceData!$M$214),"")</f>
        <v>3.2314407059999999</v>
      </c>
      <c r="N214">
        <f ca="1">IFERROR(IF(0=LEN(ReferenceData!$N$214),"",ReferenceData!$N$214),"")</f>
        <v>3.576611566</v>
      </c>
      <c r="O214">
        <f ca="1">IFERROR(IF(0=LEN(ReferenceData!$O$214),"",ReferenceData!$O$214),"")</f>
        <v>3.2752716730000002</v>
      </c>
      <c r="P214">
        <f ca="1">IFERROR(IF(0=LEN(ReferenceData!$P$214),"",ReferenceData!$P$214),"")</f>
        <v>3.2315598290000001</v>
      </c>
      <c r="Q214">
        <f ca="1">IFERROR(IF(0=LEN(ReferenceData!$Q$214),"",ReferenceData!$Q$214),"")</f>
        <v>3.1756457440000001</v>
      </c>
      <c r="R214">
        <f ca="1">IFERROR(IF(0=LEN(ReferenceData!$R$214),"",ReferenceData!$R$214),"")</f>
        <v>3.0879525710000002</v>
      </c>
      <c r="S214">
        <f ca="1">IFERROR(IF(0=LEN(ReferenceData!$S$214),"",ReferenceData!$S$214),"")</f>
        <v>2.9567256770000001</v>
      </c>
      <c r="T214">
        <f ca="1">IFERROR(IF(0=LEN(ReferenceData!$T$214),"",ReferenceData!$T$214),"")</f>
        <v>2.9637938039999998</v>
      </c>
      <c r="U214">
        <f ca="1">IFERROR(IF(0=LEN(ReferenceData!$U$214),"",ReferenceData!$U$214),"")</f>
        <v>2.8278878700000001</v>
      </c>
      <c r="V214">
        <f ca="1">IFERROR(IF(0=LEN(ReferenceData!$V$214),"",ReferenceData!$V$214),"")</f>
        <v>2.5229272530000002</v>
      </c>
      <c r="W214">
        <f ca="1">IFERROR(IF(0=LEN(ReferenceData!$W$214),"",ReferenceData!$W$214),"")</f>
        <v>2.5202540390000001</v>
      </c>
      <c r="X214">
        <f ca="1">IFERROR(IF(0=LEN(ReferenceData!$X$214),"",ReferenceData!$X$214),"")</f>
        <v>2.4428140520000001</v>
      </c>
      <c r="Y214">
        <f ca="1">IFERROR(IF(0=LEN(ReferenceData!$Y$214),"",ReferenceData!$Y$214),"")</f>
        <v>2.577255482</v>
      </c>
      <c r="Z214">
        <f ca="1">IFERROR(IF(0=LEN(ReferenceData!$Z$214),"",ReferenceData!$Z$214),"")</f>
        <v>2.1697068380000002</v>
      </c>
      <c r="AA214">
        <f ca="1">IFERROR(IF(0=LEN(ReferenceData!$AA$214),"",ReferenceData!$AA$214),"")</f>
        <v>2.493321576</v>
      </c>
      <c r="AB214">
        <f ca="1">IFERROR(IF(0=LEN(ReferenceData!$AB$214),"",ReferenceData!$AB$214),"")</f>
        <v>2.3814991750000001</v>
      </c>
      <c r="AC214">
        <f ca="1">IFERROR(IF(0=LEN(ReferenceData!$AC$214),"",ReferenceData!$AC$214),"")</f>
        <v>2.5944673229999999</v>
      </c>
      <c r="AD214">
        <f ca="1">IFERROR(IF(0=LEN(ReferenceData!$AD$214),"",ReferenceData!$AD$214),"")</f>
        <v>2.2145984250000001</v>
      </c>
      <c r="AE214">
        <f ca="1">IFERROR(IF(0=LEN(ReferenceData!$AE$214),"",ReferenceData!$AE$214),"")</f>
        <v>2.3344485929999998</v>
      </c>
      <c r="AF214">
        <f ca="1">IFERROR(IF(0=LEN(ReferenceData!$AF$214),"",ReferenceData!$AF$214),"")</f>
        <v>2.5280483180000002</v>
      </c>
      <c r="AG214">
        <f ca="1">IFERROR(IF(0=LEN(ReferenceData!$AG$214),"",ReferenceData!$AG$214),"")</f>
        <v>2.483435445</v>
      </c>
      <c r="AH214">
        <f ca="1">IFERROR(IF(0=LEN(ReferenceData!$AH$214),"",ReferenceData!$AH$214),"")</f>
        <v>2.2540077470000002</v>
      </c>
      <c r="AI214">
        <f ca="1">IFERROR(IF(0=LEN(ReferenceData!$AI$214),"",ReferenceData!$AI$214),"")</f>
        <v>2.262847404</v>
      </c>
      <c r="AJ214">
        <f ca="1">IFERROR(IF(0=LEN(ReferenceData!$AJ$214),"",ReferenceData!$AJ$214),"")</f>
        <v>2.1994586620000001</v>
      </c>
      <c r="AK214">
        <f ca="1">IFERROR(IF(0=LEN(ReferenceData!$AK$214),"",ReferenceData!$AK$214),"")</f>
        <v>2.353902889</v>
      </c>
      <c r="AL214">
        <f ca="1">IFERROR(IF(0=LEN(ReferenceData!$AL$214),"",ReferenceData!$AL$214),"")</f>
        <v>2.2071128240000002</v>
      </c>
      <c r="AM214">
        <f ca="1">IFERROR(IF(0=LEN(ReferenceData!$AM$214),"",ReferenceData!$AM$214),"")</f>
        <v>2.270004009</v>
      </c>
      <c r="AN214">
        <f ca="1">IFERROR(IF(0=LEN(ReferenceData!$AN$214),"",ReferenceData!$AN$214),"")</f>
        <v>2.474420464</v>
      </c>
      <c r="AO214">
        <f ca="1">IFERROR(IF(0=LEN(ReferenceData!$AO$214),"",ReferenceData!$AO$214),"")</f>
        <v>2.6547011559999998</v>
      </c>
      <c r="AP214">
        <f ca="1">IFERROR(IF(0=LEN(ReferenceData!$AP$214),"",ReferenceData!$AP$214),"")</f>
        <v>2.2303086890000001</v>
      </c>
      <c r="AQ214">
        <f ca="1">IFERROR(IF(0=LEN(ReferenceData!$AQ$214),"",ReferenceData!$AQ$214),"")</f>
        <v>2.6281052009999999</v>
      </c>
      <c r="AR214">
        <f ca="1">IFERROR(IF(0=LEN(ReferenceData!$AR$214),"",ReferenceData!$AR$214),"")</f>
        <v>2.3569065720000002</v>
      </c>
      <c r="AS214">
        <f ca="1">IFERROR(IF(0=LEN(ReferenceData!$AS$214),"",ReferenceData!$AS$214),"")</f>
        <v>2.8242221719999998</v>
      </c>
      <c r="AT214">
        <f ca="1">IFERROR(IF(0=LEN(ReferenceData!$AT$214),"",ReferenceData!$AT$214),"")</f>
        <v>2.7563408859999998</v>
      </c>
      <c r="AU214">
        <f ca="1">IFERROR(IF(0=LEN(ReferenceData!$AU$214),"",ReferenceData!$AU$214),"")</f>
        <v>3.0360787400000002</v>
      </c>
      <c r="AV214">
        <f ca="1">IFERROR(IF(0=LEN(ReferenceData!$AV$214),"",ReferenceData!$AV$214),"")</f>
        <v>2.9275747170000002</v>
      </c>
      <c r="AW214">
        <f ca="1">IFERROR(IF(0=LEN(ReferenceData!$AW$214),"",ReferenceData!$AW$214),"")</f>
        <v>2.9054174879999999</v>
      </c>
      <c r="AX214">
        <f ca="1">IFERROR(IF(0=LEN(ReferenceData!$AX$214),"",ReferenceData!$AX$214),"")</f>
        <v>2.893206862</v>
      </c>
      <c r="AY214">
        <f ca="1">IFERROR(IF(0=LEN(ReferenceData!$AY$214),"",ReferenceData!$AY$214),"")</f>
        <v>3.1238364980000002</v>
      </c>
      <c r="AZ214">
        <f ca="1">IFERROR(IF(0=LEN(ReferenceData!$AZ$214),"",ReferenceData!$AZ$214),"")</f>
        <v>3.0627901720000001</v>
      </c>
      <c r="BA214">
        <f ca="1">IFERROR(IF(0=LEN(ReferenceData!$BA$214),"",ReferenceData!$BA$214),"")</f>
        <v>2.8552583729999998</v>
      </c>
      <c r="BB214">
        <f ca="1">IFERROR(IF(0=LEN(ReferenceData!$BB$214),"",ReferenceData!$BB$214),"")</f>
        <v>2.8314969479999998</v>
      </c>
      <c r="BC214">
        <f ca="1">IFERROR(IF(0=LEN(ReferenceData!$BC$214),"",ReferenceData!$BC$214),"")</f>
        <v>2.9114840279999998</v>
      </c>
      <c r="BD214">
        <f ca="1">IFERROR(IF(0=LEN(ReferenceData!$BD$214),"",ReferenceData!$BD$214),"")</f>
        <v>2.8185029049999999</v>
      </c>
      <c r="BE214">
        <f ca="1">IFERROR(IF(0=LEN(ReferenceData!$BE$214),"",ReferenceData!$BE$214),"")</f>
        <v>2.8423792859999999</v>
      </c>
      <c r="BF214">
        <f ca="1">IFERROR(IF(0=LEN(ReferenceData!$BF$214),"",ReferenceData!$BF$214),"")</f>
        <v>2.7548030080000001</v>
      </c>
      <c r="BG214">
        <f ca="1">IFERROR(IF(0=LEN(ReferenceData!$BG$214),"",ReferenceData!$BG$214),"")</f>
        <v>2.778499107</v>
      </c>
      <c r="BH214">
        <f ca="1">IFERROR(IF(0=LEN(ReferenceData!$BH$214),"",ReferenceData!$BH$214),"")</f>
        <v>2.5590599589999998</v>
      </c>
      <c r="BI214">
        <f ca="1">IFERROR(IF(0=LEN(ReferenceData!$BI$214),"",ReferenceData!$BI$214),"")</f>
        <v>2.615663981</v>
      </c>
      <c r="BJ214">
        <f ca="1">IFERROR(IF(0=LEN(ReferenceData!$BJ$214),"",ReferenceData!$BJ$214),"")</f>
        <v>2.636726635</v>
      </c>
      <c r="BK214">
        <f ca="1">IFERROR(IF(0=LEN(ReferenceData!$BK$214),"",ReferenceData!$BK$214),"")</f>
        <v>2.5989425339999999</v>
      </c>
      <c r="BL214">
        <f ca="1">IFERROR(IF(0=LEN(ReferenceData!$BL$214),"",ReferenceData!$BL$214),"")</f>
        <v>2.472508301</v>
      </c>
      <c r="BM214" t="str">
        <f ca="1">IFERROR(IF(0=LEN(ReferenceData!$BM$214),"",ReferenceData!$BM$214),"")</f>
        <v/>
      </c>
    </row>
    <row r="215" spans="1:65">
      <c r="A215" t="str">
        <f>IFERROR(IF(0=LEN(ReferenceData!$A$215),"",ReferenceData!$A$215),"")</f>
        <v xml:space="preserve">    Brandywine Realty Trust</v>
      </c>
      <c r="B215" t="str">
        <f>IFERROR(IF(0=LEN(ReferenceData!$B$215),"",ReferenceData!$B$215),"")</f>
        <v>BDN US Equity</v>
      </c>
      <c r="C215" t="str">
        <f>IFERROR(IF(0=LEN(ReferenceData!$C$215),"",ReferenceData!$C$215),"")</f>
        <v>RR059</v>
      </c>
      <c r="D215" t="str">
        <f>IFERROR(IF(0=LEN(ReferenceData!$D$215),"",ReferenceData!$D$215),"")</f>
        <v>EBITDA_TO_TOT_INT_EXP</v>
      </c>
      <c r="E215" t="str">
        <f>IFERROR(IF(0=LEN(ReferenceData!$E$215),"",ReferenceData!$E$215),"")</f>
        <v>动态</v>
      </c>
      <c r="F215" t="str">
        <f ca="1">IFERROR(IF(0=LEN(ReferenceData!$F$215),"",ReferenceData!$F$215),"")</f>
        <v/>
      </c>
      <c r="G215">
        <f ca="1">IFERROR(IF(0=LEN(ReferenceData!$G$215),"",ReferenceData!$G$215),"")</f>
        <v>3.4444550440000001</v>
      </c>
      <c r="H215">
        <f ca="1">IFERROR(IF(0=LEN(ReferenceData!$H$215),"",ReferenceData!$H$215),"")</f>
        <v>3.5380499410000001</v>
      </c>
      <c r="I215">
        <f ca="1">IFERROR(IF(0=LEN(ReferenceData!$I$215),"",ReferenceData!$I$215),"")</f>
        <v>3.3190965480000001</v>
      </c>
      <c r="J215">
        <f ca="1">IFERROR(IF(0=LEN(ReferenceData!$J$215),"",ReferenceData!$J$215),"")</f>
        <v>2.866413203</v>
      </c>
      <c r="K215">
        <f ca="1">IFERROR(IF(0=LEN(ReferenceData!$K$215),"",ReferenceData!$K$215),"")</f>
        <v>1.9054170619999999</v>
      </c>
      <c r="L215">
        <f ca="1">IFERROR(IF(0=LEN(ReferenceData!$L$215),"",ReferenceData!$L$215),"")</f>
        <v>3.022833178</v>
      </c>
      <c r="M215">
        <f ca="1">IFERROR(IF(0=LEN(ReferenceData!$M$215),"",ReferenceData!$M$215),"")</f>
        <v>2.68432337</v>
      </c>
      <c r="N215">
        <f ca="1">IFERROR(IF(0=LEN(ReferenceData!$N$215),"",ReferenceData!$N$215),"")</f>
        <v>2.2785153569999999</v>
      </c>
      <c r="O215">
        <f ca="1">IFERROR(IF(0=LEN(ReferenceData!$O$215),"",ReferenceData!$O$215),"")</f>
        <v>9.2604143E-2</v>
      </c>
      <c r="P215">
        <f ca="1">IFERROR(IF(0=LEN(ReferenceData!$P$215),"",ReferenceData!$P$215),"")</f>
        <v>2.6712831480000001</v>
      </c>
      <c r="Q215">
        <f ca="1">IFERROR(IF(0=LEN(ReferenceData!$Q$215),"",ReferenceData!$Q$215),"")</f>
        <v>2.606538424</v>
      </c>
      <c r="R215">
        <f ca="1">IFERROR(IF(0=LEN(ReferenceData!$R$215),"",ReferenceData!$R$215),"")</f>
        <v>2.5046045239999999</v>
      </c>
      <c r="S215">
        <f ca="1">IFERROR(IF(0=LEN(ReferenceData!$S$215),"",ReferenceData!$S$215),"")</f>
        <v>2.4063716479999999</v>
      </c>
      <c r="T215">
        <f ca="1">IFERROR(IF(0=LEN(ReferenceData!$T$215),"",ReferenceData!$T$215),"")</f>
        <v>2.3365373649999999</v>
      </c>
      <c r="U215">
        <f ca="1">IFERROR(IF(0=LEN(ReferenceData!$U$215),"",ReferenceData!$U$215),"")</f>
        <v>2.4636308329999999</v>
      </c>
      <c r="V215">
        <f ca="1">IFERROR(IF(0=LEN(ReferenceData!$V$215),"",ReferenceData!$V$215),"")</f>
        <v>2.399148324</v>
      </c>
      <c r="W215">
        <f ca="1">IFERROR(IF(0=LEN(ReferenceData!$W$215),"",ReferenceData!$W$215),"")</f>
        <v>2.1605269809999998</v>
      </c>
      <c r="X215">
        <f ca="1">IFERROR(IF(0=LEN(ReferenceData!$X$215),"",ReferenceData!$X$215),"")</f>
        <v>2.4333323070000001</v>
      </c>
      <c r="Y215">
        <f ca="1">IFERROR(IF(0=LEN(ReferenceData!$Y$215),"",ReferenceData!$Y$215),"")</f>
        <v>2.3827012399999998</v>
      </c>
      <c r="Z215">
        <f ca="1">IFERROR(IF(0=LEN(ReferenceData!$Z$215),"",ReferenceData!$Z$215),"")</f>
        <v>2.4243788770000001</v>
      </c>
      <c r="AA215">
        <f ca="1">IFERROR(IF(0=LEN(ReferenceData!$AA$215),"",ReferenceData!$AA$215),"")</f>
        <v>-2.1492151210000001</v>
      </c>
      <c r="AB215">
        <f ca="1">IFERROR(IF(0=LEN(ReferenceData!$AB$215),"",ReferenceData!$AB$215),"")</f>
        <v>2.2340204039999998</v>
      </c>
      <c r="AC215">
        <f ca="1">IFERROR(IF(0=LEN(ReferenceData!$AC$215),"",ReferenceData!$AC$215),"")</f>
        <v>2.2343072799999999</v>
      </c>
      <c r="AD215">
        <f ca="1">IFERROR(IF(0=LEN(ReferenceData!$AD$215),"",ReferenceData!$AD$215),"")</f>
        <v>2.2284080130000001</v>
      </c>
      <c r="AE215">
        <f ca="1">IFERROR(IF(0=LEN(ReferenceData!$AE$215),"",ReferenceData!$AE$215),"")</f>
        <v>2.4024634329999999</v>
      </c>
      <c r="AF215">
        <f ca="1">IFERROR(IF(0=LEN(ReferenceData!$AF$215),"",ReferenceData!$AF$215),"")</f>
        <v>2.3916567990000002</v>
      </c>
      <c r="AG215">
        <f ca="1">IFERROR(IF(0=LEN(ReferenceData!$AG$215),"",ReferenceData!$AG$215),"")</f>
        <v>2.2738345949999998</v>
      </c>
      <c r="AH215">
        <f ca="1">IFERROR(IF(0=LEN(ReferenceData!$AH$215),"",ReferenceData!$AH$215),"")</f>
        <v>2.3730509870000001</v>
      </c>
      <c r="AI215">
        <f ca="1">IFERROR(IF(0=LEN(ReferenceData!$AI$215),"",ReferenceData!$AI$215),"")</f>
        <v>2.1919361500000001</v>
      </c>
      <c r="AJ215">
        <f ca="1">IFERROR(IF(0=LEN(ReferenceData!$AJ$215),"",ReferenceData!$AJ$215),"")</f>
        <v>2.2693110650000001</v>
      </c>
      <c r="AK215">
        <f ca="1">IFERROR(IF(0=LEN(ReferenceData!$AK$215),"",ReferenceData!$AK$215),"")</f>
        <v>2.1213315690000001</v>
      </c>
      <c r="AL215">
        <f ca="1">IFERROR(IF(0=LEN(ReferenceData!$AL$215),"",ReferenceData!$AL$215),"")</f>
        <v>2.3972528870000001</v>
      </c>
      <c r="AM215">
        <f ca="1">IFERROR(IF(0=LEN(ReferenceData!$AM$215),"",ReferenceData!$AM$215),"")</f>
        <v>1.8000370889999999</v>
      </c>
      <c r="AN215">
        <f ca="1">IFERROR(IF(0=LEN(ReferenceData!$AN$215),"",ReferenceData!$AN$215),"")</f>
        <v>2.3099231100000002</v>
      </c>
      <c r="AO215">
        <f ca="1">IFERROR(IF(0=LEN(ReferenceData!$AO$215),"",ReferenceData!$AO$215),"")</f>
        <v>2.0463290550000002</v>
      </c>
      <c r="AP215">
        <f ca="1">IFERROR(IF(0=LEN(ReferenceData!$AP$215),"",ReferenceData!$AP$215),"")</f>
        <v>2.148347641</v>
      </c>
      <c r="AQ215">
        <f ca="1">IFERROR(IF(0=LEN(ReferenceData!$AQ$215),"",ReferenceData!$AQ$215),"")</f>
        <v>1.497554335</v>
      </c>
      <c r="AR215">
        <f ca="1">IFERROR(IF(0=LEN(ReferenceData!$AR$215),"",ReferenceData!$AR$215),"")</f>
        <v>1.8834768049999999</v>
      </c>
      <c r="AS215">
        <f ca="1">IFERROR(IF(0=LEN(ReferenceData!$AS$215),"",ReferenceData!$AS$215),"")</f>
        <v>2.0352888760000001</v>
      </c>
      <c r="AT215">
        <f ca="1">IFERROR(IF(0=LEN(ReferenceData!$AT$215),"",ReferenceData!$AT$215),"")</f>
        <v>2.2034242229999998</v>
      </c>
      <c r="AU215">
        <f ca="1">IFERROR(IF(0=LEN(ReferenceData!$AU$215),"",ReferenceData!$AU$215),"")</f>
        <v>2.0230655610000001</v>
      </c>
      <c r="AV215">
        <f ca="1">IFERROR(IF(0=LEN(ReferenceData!$AV$215),"",ReferenceData!$AV$215),"")</f>
        <v>2.0986692709999999</v>
      </c>
      <c r="AW215">
        <f ca="1">IFERROR(IF(0=LEN(ReferenceData!$AW$215),"",ReferenceData!$AW$215),"")</f>
        <v>1.7703610409999999</v>
      </c>
      <c r="AX215">
        <f ca="1">IFERROR(IF(0=LEN(ReferenceData!$AX$215),"",ReferenceData!$AX$215),"")</f>
        <v>2.0293962099999998</v>
      </c>
      <c r="AY215">
        <f ca="1">IFERROR(IF(0=LEN(ReferenceData!$AY$215),"",ReferenceData!$AY$215),"")</f>
        <v>2.0781482580000001</v>
      </c>
      <c r="AZ215">
        <f ca="1">IFERROR(IF(0=LEN(ReferenceData!$AZ$215),"",ReferenceData!$AZ$215),"")</f>
        <v>1.8945964989999999</v>
      </c>
      <c r="BA215">
        <f ca="1">IFERROR(IF(0=LEN(ReferenceData!$BA$215),"",ReferenceData!$BA$215),"")</f>
        <v>1.9900012680000001</v>
      </c>
      <c r="BB215">
        <f ca="1">IFERROR(IF(0=LEN(ReferenceData!$BB$215),"",ReferenceData!$BB$215),"")</f>
        <v>2.0190544209999999</v>
      </c>
      <c r="BC215">
        <f ca="1">IFERROR(IF(0=LEN(ReferenceData!$BC$215),"",ReferenceData!$BC$215),"")</f>
        <v>1.586024068</v>
      </c>
      <c r="BD215">
        <f ca="1">IFERROR(IF(0=LEN(ReferenceData!$BD$215),"",ReferenceData!$BD$215),"")</f>
        <v>3.007881995</v>
      </c>
      <c r="BE215">
        <f ca="1">IFERROR(IF(0=LEN(ReferenceData!$BE$215),"",ReferenceData!$BE$215),"")</f>
        <v>2.954793059</v>
      </c>
      <c r="BF215">
        <f ca="1">IFERROR(IF(0=LEN(ReferenceData!$BF$215),"",ReferenceData!$BF$215),"")</f>
        <v>2.7416832750000002</v>
      </c>
      <c r="BG215">
        <f ca="1">IFERROR(IF(0=LEN(ReferenceData!$BG$215),"",ReferenceData!$BG$215),"")</f>
        <v>2.7353422549999999</v>
      </c>
      <c r="BH215">
        <f ca="1">IFERROR(IF(0=LEN(ReferenceData!$BH$215),"",ReferenceData!$BH$215),"")</f>
        <v>1.3521875539999999</v>
      </c>
      <c r="BI215">
        <f ca="1">IFERROR(IF(0=LEN(ReferenceData!$BI$215),"",ReferenceData!$BI$215),"")</f>
        <v>3.783059926</v>
      </c>
      <c r="BJ215">
        <f ca="1">IFERROR(IF(0=LEN(ReferenceData!$BJ$215),"",ReferenceData!$BJ$215),"")</f>
        <v>3.13368</v>
      </c>
      <c r="BK215" t="str">
        <f ca="1">IFERROR(IF(0=LEN(ReferenceData!$BK$215),"",ReferenceData!$BK$215),"")</f>
        <v/>
      </c>
      <c r="BL215">
        <f ca="1">IFERROR(IF(0=LEN(ReferenceData!$BL$215),"",ReferenceData!$BL$215),"")</f>
        <v>3.294267423</v>
      </c>
      <c r="BM215">
        <f ca="1">IFERROR(IF(0=LEN(ReferenceData!$BM$215),"",ReferenceData!$BM$215),"")</f>
        <v>2.8425300180000002</v>
      </c>
    </row>
    <row r="216" spans="1:65">
      <c r="A216" t="str">
        <f>IFERROR(IF(0=LEN(ReferenceData!$A$216),"",ReferenceData!$A$216),"")</f>
        <v xml:space="preserve">    Columbia Property Trust Inc</v>
      </c>
      <c r="B216" t="str">
        <f>IFERROR(IF(0=LEN(ReferenceData!$B$216),"",ReferenceData!$B$216),"")</f>
        <v>CXP US Equity</v>
      </c>
      <c r="C216" t="str">
        <f>IFERROR(IF(0=LEN(ReferenceData!$C$216),"",ReferenceData!$C$216),"")</f>
        <v>RR059</v>
      </c>
      <c r="D216" t="str">
        <f>IFERROR(IF(0=LEN(ReferenceData!$D$216),"",ReferenceData!$D$216),"")</f>
        <v>EBITDA_TO_TOT_INT_EXP</v>
      </c>
      <c r="E216" t="str">
        <f>IFERROR(IF(0=LEN(ReferenceData!$E$216),"",ReferenceData!$E$216),"")</f>
        <v>动态</v>
      </c>
      <c r="F216" t="str">
        <f ca="1">IFERROR(IF(0=LEN(ReferenceData!$F$216),"",ReferenceData!$F$216),"")</f>
        <v/>
      </c>
      <c r="G216">
        <f ca="1">IFERROR(IF(0=LEN(ReferenceData!$G$216),"",ReferenceData!$G$216),"")</f>
        <v>2.5902970569999999</v>
      </c>
      <c r="H216">
        <f ca="1">IFERROR(IF(0=LEN(ReferenceData!$H$216),"",ReferenceData!$H$216),"")</f>
        <v>2.3295091979999998</v>
      </c>
      <c r="I216">
        <f ca="1">IFERROR(IF(0=LEN(ReferenceData!$I$216),"",ReferenceData!$I$216),"")</f>
        <v>2.9930161800000001</v>
      </c>
      <c r="J216">
        <f ca="1">IFERROR(IF(0=LEN(ReferenceData!$J$216),"",ReferenceData!$J$216),"")</f>
        <v>3.0664902409999999</v>
      </c>
      <c r="K216">
        <f ca="1">IFERROR(IF(0=LEN(ReferenceData!$K$216),"",ReferenceData!$K$216),"")</f>
        <v>3.8159141769999998</v>
      </c>
      <c r="L216">
        <f ca="1">IFERROR(IF(0=LEN(ReferenceData!$L$216),"",ReferenceData!$L$216),"")</f>
        <v>3.540903256</v>
      </c>
      <c r="M216">
        <f ca="1">IFERROR(IF(0=LEN(ReferenceData!$M$216),"",ReferenceData!$M$216),"")</f>
        <v>4.1956271579999997</v>
      </c>
      <c r="N216">
        <f ca="1">IFERROR(IF(0=LEN(ReferenceData!$N$216),"",ReferenceData!$N$216),"")</f>
        <v>3.8425434429999998</v>
      </c>
      <c r="O216">
        <f ca="1">IFERROR(IF(0=LEN(ReferenceData!$O$216),"",ReferenceData!$O$216),"")</f>
        <v>3.9111636459999999</v>
      </c>
      <c r="P216">
        <f ca="1">IFERROR(IF(0=LEN(ReferenceData!$P$216),"",ReferenceData!$P$216),"")</f>
        <v>3.3845175360000002</v>
      </c>
      <c r="Q216">
        <f ca="1">IFERROR(IF(0=LEN(ReferenceData!$Q$216),"",ReferenceData!$Q$216),"")</f>
        <v>3.7382385239999998</v>
      </c>
      <c r="R216">
        <f ca="1">IFERROR(IF(0=LEN(ReferenceData!$R$216),"",ReferenceData!$R$216),"")</f>
        <v>3.7246322840000001</v>
      </c>
      <c r="S216">
        <f ca="1">IFERROR(IF(0=LEN(ReferenceData!$S$216),"",ReferenceData!$S$216),"")</f>
        <v>3.3972442549999999</v>
      </c>
      <c r="T216">
        <f ca="1">IFERROR(IF(0=LEN(ReferenceData!$T$216),"",ReferenceData!$T$216),"")</f>
        <v>3.8059980279999999</v>
      </c>
      <c r="U216">
        <f ca="1">IFERROR(IF(0=LEN(ReferenceData!$U$216),"",ReferenceData!$U$216),"")</f>
        <v>4.0133085900000003</v>
      </c>
      <c r="V216">
        <f ca="1">IFERROR(IF(0=LEN(ReferenceData!$V$216),"",ReferenceData!$V$216),"")</f>
        <v>3.6284757120000002</v>
      </c>
      <c r="W216">
        <f ca="1">IFERROR(IF(0=LEN(ReferenceData!$W$216),"",ReferenceData!$W$216),"")</f>
        <v>3.3673407790000001</v>
      </c>
      <c r="X216">
        <f ca="1">IFERROR(IF(0=LEN(ReferenceData!$X$216),"",ReferenceData!$X$216),"")</f>
        <v>3.1926073700000002</v>
      </c>
      <c r="Y216">
        <f ca="1">IFERROR(IF(0=LEN(ReferenceData!$Y$216),"",ReferenceData!$Y$216),"")</f>
        <v>3.3000499059999999</v>
      </c>
      <c r="Z216">
        <f ca="1">IFERROR(IF(0=LEN(ReferenceData!$Z$216),"",ReferenceData!$Z$216),"")</f>
        <v>1.9195683779999999</v>
      </c>
      <c r="AA216">
        <f ca="1">IFERROR(IF(0=LEN(ReferenceData!$AA$216),"",ReferenceData!$AA$216),"")</f>
        <v>2.835900428</v>
      </c>
      <c r="AB216">
        <f ca="1">IFERROR(IF(0=LEN(ReferenceData!$AB$216),"",ReferenceData!$AB$216),"")</f>
        <v>3.1072189610000001</v>
      </c>
      <c r="AC216">
        <f ca="1">IFERROR(IF(0=LEN(ReferenceData!$AC$216),"",ReferenceData!$AC$216),"")</f>
        <v>3.0933046819999999</v>
      </c>
      <c r="AD216">
        <f ca="1">IFERROR(IF(0=LEN(ReferenceData!$AD$216),"",ReferenceData!$AD$216),"")</f>
        <v>3.23149804</v>
      </c>
      <c r="AE216">
        <f ca="1">IFERROR(IF(0=LEN(ReferenceData!$AE$216),"",ReferenceData!$AE$216),"")</f>
        <v>2.4176909129999999</v>
      </c>
      <c r="AF216">
        <f ca="1">IFERROR(IF(0=LEN(ReferenceData!$AF$216),"",ReferenceData!$AF$216),"")</f>
        <v>3.2119330079999999</v>
      </c>
      <c r="AG216">
        <f ca="1">IFERROR(IF(0=LEN(ReferenceData!$AG$216),"",ReferenceData!$AG$216),"")</f>
        <v>2.8739931520000002</v>
      </c>
      <c r="AH216">
        <f ca="1">IFERROR(IF(0=LEN(ReferenceData!$AH$216),"",ReferenceData!$AH$216),"")</f>
        <v>3.3678321680000001</v>
      </c>
      <c r="AI216">
        <f ca="1">IFERROR(IF(0=LEN(ReferenceData!$AI$216),"",ReferenceData!$AI$216),"")</f>
        <v>4.6591104239999996</v>
      </c>
      <c r="AJ216">
        <f ca="1">IFERROR(IF(0=LEN(ReferenceData!$AJ$216),"",ReferenceData!$AJ$216),"")</f>
        <v>3.8045025890000002</v>
      </c>
      <c r="AK216">
        <f ca="1">IFERROR(IF(0=LEN(ReferenceData!$AK$216),"",ReferenceData!$AK$216),"")</f>
        <v>3.3040027909999998</v>
      </c>
      <c r="AL216">
        <f ca="1">IFERROR(IF(0=LEN(ReferenceData!$AL$216),"",ReferenceData!$AL$216),"")</f>
        <v>3.2792664469999999</v>
      </c>
      <c r="AM216">
        <f ca="1">IFERROR(IF(0=LEN(ReferenceData!$AM$216),"",ReferenceData!$AM$216),"")</f>
        <v>4.2001426190000002</v>
      </c>
      <c r="AN216">
        <f ca="1">IFERROR(IF(0=LEN(ReferenceData!$AN$216),"",ReferenceData!$AN$216),"")</f>
        <v>3.1974644639999998</v>
      </c>
      <c r="AO216">
        <f ca="1">IFERROR(IF(0=LEN(ReferenceData!$AO$216),"",ReferenceData!$AO$216),"")</f>
        <v>3.0928870650000002</v>
      </c>
      <c r="AP216">
        <f ca="1">IFERROR(IF(0=LEN(ReferenceData!$AP$216),"",ReferenceData!$AP$216),"")</f>
        <v>3.0933461640000002</v>
      </c>
      <c r="AQ216" t="str">
        <f ca="1">IFERROR(IF(0=LEN(ReferenceData!$AQ$216),"",ReferenceData!$AQ$216),"")</f>
        <v/>
      </c>
      <c r="AR216" t="str">
        <f ca="1">IFERROR(IF(0=LEN(ReferenceData!$AR$216),"",ReferenceData!$AR$216),"")</f>
        <v/>
      </c>
      <c r="AS216" t="str">
        <f ca="1">IFERROR(IF(0=LEN(ReferenceData!$AS$216),"",ReferenceData!$AS$216),"")</f>
        <v/>
      </c>
      <c r="AT216" t="str">
        <f ca="1">IFERROR(IF(0=LEN(ReferenceData!$AT$216),"",ReferenceData!$AT$216),"")</f>
        <v/>
      </c>
      <c r="AU216" t="str">
        <f ca="1">IFERROR(IF(0=LEN(ReferenceData!$AU$216),"",ReferenceData!$AU$216),"")</f>
        <v/>
      </c>
      <c r="AV216" t="str">
        <f ca="1">IFERROR(IF(0=LEN(ReferenceData!$AV$216),"",ReferenceData!$AV$216),"")</f>
        <v/>
      </c>
      <c r="AW216" t="str">
        <f ca="1">IFERROR(IF(0=LEN(ReferenceData!$AW$216),"",ReferenceData!$AW$216),"")</f>
        <v/>
      </c>
      <c r="AX216" t="str">
        <f ca="1">IFERROR(IF(0=LEN(ReferenceData!$AX$216),"",ReferenceData!$AX$216),"")</f>
        <v/>
      </c>
      <c r="AY216" t="str">
        <f ca="1">IFERROR(IF(0=LEN(ReferenceData!$AY$216),"",ReferenceData!$AY$216),"")</f>
        <v/>
      </c>
      <c r="AZ216" t="str">
        <f ca="1">IFERROR(IF(0=LEN(ReferenceData!$AZ$216),"",ReferenceData!$AZ$216),"")</f>
        <v/>
      </c>
      <c r="BA216" t="str">
        <f ca="1">IFERROR(IF(0=LEN(ReferenceData!$BA$216),"",ReferenceData!$BA$216),"")</f>
        <v/>
      </c>
      <c r="BB216" t="str">
        <f ca="1">IFERROR(IF(0=LEN(ReferenceData!$BB$216),"",ReferenceData!$BB$216),"")</f>
        <v/>
      </c>
      <c r="BC216" t="str">
        <f ca="1">IFERROR(IF(0=LEN(ReferenceData!$BC$216),"",ReferenceData!$BC$216),"")</f>
        <v/>
      </c>
      <c r="BD216" t="str">
        <f ca="1">IFERROR(IF(0=LEN(ReferenceData!$BD$216),"",ReferenceData!$BD$216),"")</f>
        <v/>
      </c>
      <c r="BE216" t="str">
        <f ca="1">IFERROR(IF(0=LEN(ReferenceData!$BE$216),"",ReferenceData!$BE$216),"")</f>
        <v/>
      </c>
      <c r="BF216" t="str">
        <f ca="1">IFERROR(IF(0=LEN(ReferenceData!$BF$216),"",ReferenceData!$BF$216),"")</f>
        <v/>
      </c>
      <c r="BG216" t="str">
        <f ca="1">IFERROR(IF(0=LEN(ReferenceData!$BG$216),"",ReferenceData!$BG$216),"")</f>
        <v/>
      </c>
      <c r="BH216" t="str">
        <f ca="1">IFERROR(IF(0=LEN(ReferenceData!$BH$216),"",ReferenceData!$BH$216),"")</f>
        <v/>
      </c>
      <c r="BI216" t="str">
        <f ca="1">IFERROR(IF(0=LEN(ReferenceData!$BI$216),"",ReferenceData!$BI$216),"")</f>
        <v/>
      </c>
      <c r="BJ216" t="str">
        <f ca="1">IFERROR(IF(0=LEN(ReferenceData!$BJ$216),"",ReferenceData!$BJ$216),"")</f>
        <v/>
      </c>
      <c r="BK216" t="str">
        <f ca="1">IFERROR(IF(0=LEN(ReferenceData!$BK$216),"",ReferenceData!$BK$216),"")</f>
        <v/>
      </c>
      <c r="BL216" t="str">
        <f ca="1">IFERROR(IF(0=LEN(ReferenceData!$BL$216),"",ReferenceData!$BL$216),"")</f>
        <v/>
      </c>
      <c r="BM216" t="str">
        <f ca="1">IFERROR(IF(0=LEN(ReferenceData!$BM$216),"",ReferenceData!$BM$216),"")</f>
        <v/>
      </c>
    </row>
    <row r="217" spans="1:65">
      <c r="A217" t="str">
        <f>IFERROR(IF(0=LEN(ReferenceData!$A$217),"",ReferenceData!$A$217),"")</f>
        <v xml:space="preserve">    Corporate Office Properties Tr</v>
      </c>
      <c r="B217" t="str">
        <f>IFERROR(IF(0=LEN(ReferenceData!$B$217),"",ReferenceData!$B$217),"")</f>
        <v>OFC US Equity</v>
      </c>
      <c r="C217" t="str">
        <f>IFERROR(IF(0=LEN(ReferenceData!$C$217),"",ReferenceData!$C$217),"")</f>
        <v>RR059</v>
      </c>
      <c r="D217" t="str">
        <f>IFERROR(IF(0=LEN(ReferenceData!$D$217),"",ReferenceData!$D$217),"")</f>
        <v>EBITDA_TO_TOT_INT_EXP</v>
      </c>
      <c r="E217" t="str">
        <f>IFERROR(IF(0=LEN(ReferenceData!$E$217),"",ReferenceData!$E$217),"")</f>
        <v>动态</v>
      </c>
      <c r="F217" t="str">
        <f ca="1">IFERROR(IF(0=LEN(ReferenceData!$F$217),"",ReferenceData!$F$217),"")</f>
        <v/>
      </c>
      <c r="G217">
        <f ca="1">IFERROR(IF(0=LEN(ReferenceData!$G$217),"",ReferenceData!$G$217),"")</f>
        <v>2.9336066789999999</v>
      </c>
      <c r="H217">
        <f ca="1">IFERROR(IF(0=LEN(ReferenceData!$H$217),"",ReferenceData!$H$217),"")</f>
        <v>3.5700699980000001</v>
      </c>
      <c r="I217">
        <f ca="1">IFERROR(IF(0=LEN(ReferenceData!$I$217),"",ReferenceData!$I$217),"")</f>
        <v>3.3694040630000002</v>
      </c>
      <c r="J217">
        <f ca="1">IFERROR(IF(0=LEN(ReferenceData!$J$217),"",ReferenceData!$J$217),"")</f>
        <v>3.3619001220000002</v>
      </c>
      <c r="K217">
        <f ca="1">IFERROR(IF(0=LEN(ReferenceData!$K$217),"",ReferenceData!$K$217),"")</f>
        <v>3.529502564</v>
      </c>
      <c r="L217">
        <f ca="1">IFERROR(IF(0=LEN(ReferenceData!$L$217),"",ReferenceData!$L$217),"")</f>
        <v>2.2590123580000001</v>
      </c>
      <c r="M217">
        <f ca="1">IFERROR(IF(0=LEN(ReferenceData!$M$217),"",ReferenceData!$M$217),"")</f>
        <v>0.28200843799999997</v>
      </c>
      <c r="N217">
        <f ca="1">IFERROR(IF(0=LEN(ReferenceData!$N$217),"",ReferenceData!$N$217),"")</f>
        <v>2.5865767580000001</v>
      </c>
      <c r="O217">
        <f ca="1">IFERROR(IF(0=LEN(ReferenceData!$O$217),"",ReferenceData!$O$217),"")</f>
        <v>2.3845831409999998</v>
      </c>
      <c r="P217">
        <f ca="1">IFERROR(IF(0=LEN(ReferenceData!$P$217),"",ReferenceData!$P$217),"")</f>
        <v>2.7642523360000002</v>
      </c>
      <c r="Q217">
        <f ca="1">IFERROR(IF(0=LEN(ReferenceData!$Q$217),"",ReferenceData!$Q$217),"")</f>
        <v>3.026562105</v>
      </c>
      <c r="R217">
        <f ca="1">IFERROR(IF(0=LEN(ReferenceData!$R$217),"",ReferenceData!$R$217),"")</f>
        <v>2.7281671749999998</v>
      </c>
      <c r="S217">
        <f ca="1">IFERROR(IF(0=LEN(ReferenceData!$S$217),"",ReferenceData!$S$217),"")</f>
        <v>2.7551395150000002</v>
      </c>
      <c r="T217">
        <f ca="1">IFERROR(IF(0=LEN(ReferenceData!$T$217),"",ReferenceData!$T$217),"")</f>
        <v>2.6129032259999998</v>
      </c>
      <c r="U217">
        <f ca="1">IFERROR(IF(0=LEN(ReferenceData!$U$217),"",ReferenceData!$U$217),"")</f>
        <v>2.555430501</v>
      </c>
      <c r="V217">
        <f ca="1">IFERROR(IF(0=LEN(ReferenceData!$V$217),"",ReferenceData!$V$217),"")</f>
        <v>3.0903375400000002</v>
      </c>
      <c r="W217">
        <f ca="1">IFERROR(IF(0=LEN(ReferenceData!$W$217),"",ReferenceData!$W$217),"")</f>
        <v>2.8534737379999999</v>
      </c>
      <c r="X217">
        <f ca="1">IFERROR(IF(0=LEN(ReferenceData!$X$217),"",ReferenceData!$X$217),"")</f>
        <v>2.803128772</v>
      </c>
      <c r="Y217">
        <f ca="1">IFERROR(IF(0=LEN(ReferenceData!$Y$217),"",ReferenceData!$Y$217),"")</f>
        <v>3.0036634769999999</v>
      </c>
      <c r="Z217">
        <f ca="1">IFERROR(IF(0=LEN(ReferenceData!$Z$217),"",ReferenceData!$Z$217),"")</f>
        <v>2.8623622740000001</v>
      </c>
      <c r="AA217">
        <f ca="1">IFERROR(IF(0=LEN(ReferenceData!$AA$217),"",ReferenceData!$AA$217),"")</f>
        <v>2.6274542849999998</v>
      </c>
      <c r="AB217">
        <f ca="1">IFERROR(IF(0=LEN(ReferenceData!$AB$217),"",ReferenceData!$AB$217),"")</f>
        <v>0.85198393299999997</v>
      </c>
      <c r="AC217">
        <f ca="1">IFERROR(IF(0=LEN(ReferenceData!$AC$217),"",ReferenceData!$AC$217),"")</f>
        <v>2.3631955169999999</v>
      </c>
      <c r="AD217">
        <f ca="1">IFERROR(IF(0=LEN(ReferenceData!$AD$217),"",ReferenceData!$AD$217),"")</f>
        <v>2.405051185</v>
      </c>
      <c r="AE217">
        <f ca="1">IFERROR(IF(0=LEN(ReferenceData!$AE$217),"",ReferenceData!$AE$217),"")</f>
        <v>0.89020642800000005</v>
      </c>
      <c r="AF217">
        <f ca="1">IFERROR(IF(0=LEN(ReferenceData!$AF$217),"",ReferenceData!$AF$217),"")</f>
        <v>2.243653229</v>
      </c>
      <c r="AG217">
        <f ca="1">IFERROR(IF(0=LEN(ReferenceData!$AG$217),"",ReferenceData!$AG$217),"")</f>
        <v>1.5522997160000001</v>
      </c>
      <c r="AH217">
        <f ca="1">IFERROR(IF(0=LEN(ReferenceData!$AH$217),"",ReferenceData!$AH$217),"")</f>
        <v>1.237941805</v>
      </c>
      <c r="AI217">
        <f ca="1">IFERROR(IF(0=LEN(ReferenceData!$AI$217),"",ReferenceData!$AI$217),"")</f>
        <v>2.634776617</v>
      </c>
      <c r="AJ217">
        <f ca="1">IFERROR(IF(0=LEN(ReferenceData!$AJ$217),"",ReferenceData!$AJ$217),"")</f>
        <v>2.036676199</v>
      </c>
      <c r="AK217">
        <f ca="1">IFERROR(IF(0=LEN(ReferenceData!$AK$217),"",ReferenceData!$AK$217),"")</f>
        <v>2.1225483610000002</v>
      </c>
      <c r="AL217">
        <f ca="1">IFERROR(IF(0=LEN(ReferenceData!$AL$217),"",ReferenceData!$AL$217),"")</f>
        <v>2.2450891849999999</v>
      </c>
      <c r="AM217">
        <f ca="1">IFERROR(IF(0=LEN(ReferenceData!$AM$217),"",ReferenceData!$AM$217),"")</f>
        <v>1.0720183190000001</v>
      </c>
      <c r="AN217">
        <f ca="1">IFERROR(IF(0=LEN(ReferenceData!$AN$217),"",ReferenceData!$AN$217),"")</f>
        <v>3.6889850609999999</v>
      </c>
      <c r="AO217">
        <f ca="1">IFERROR(IF(0=LEN(ReferenceData!$AO$217),"",ReferenceData!$AO$217),"")</f>
        <v>2.8568015930000001</v>
      </c>
      <c r="AP217">
        <f ca="1">IFERROR(IF(0=LEN(ReferenceData!$AP$217),"",ReferenceData!$AP$217),"")</f>
        <v>2.6516637329999999</v>
      </c>
      <c r="AQ217">
        <f ca="1">IFERROR(IF(0=LEN(ReferenceData!$AQ$217),"",ReferenceData!$AQ$217),"")</f>
        <v>2.898259516</v>
      </c>
      <c r="AR217">
        <f ca="1">IFERROR(IF(0=LEN(ReferenceData!$AR$217),"",ReferenceData!$AR$217),"")</f>
        <v>2.2790526350000002</v>
      </c>
      <c r="AS217">
        <f ca="1">IFERROR(IF(0=LEN(ReferenceData!$AS$217),"",ReferenceData!$AS$217),"")</f>
        <v>2.290095349</v>
      </c>
      <c r="AT217">
        <f ca="1">IFERROR(IF(0=LEN(ReferenceData!$AT$217),"",ReferenceData!$AT$217),"")</f>
        <v>2.1390554719999999</v>
      </c>
      <c r="AU217">
        <f ca="1">IFERROR(IF(0=LEN(ReferenceData!$AU$217),"",ReferenceData!$AU$217),"")</f>
        <v>1.7717096020000001</v>
      </c>
      <c r="AV217">
        <f ca="1">IFERROR(IF(0=LEN(ReferenceData!$AV$217),"",ReferenceData!$AV$217),"")</f>
        <v>2.1579474620000001</v>
      </c>
      <c r="AW217">
        <f ca="1">IFERROR(IF(0=LEN(ReferenceData!$AW$217),"",ReferenceData!$AW$217),"")</f>
        <v>2.1828409610000001</v>
      </c>
      <c r="AX217">
        <f ca="1">IFERROR(IF(0=LEN(ReferenceData!$AX$217),"",ReferenceData!$AX$217),"")</f>
        <v>2.1525895450000001</v>
      </c>
      <c r="AY217">
        <f ca="1">IFERROR(IF(0=LEN(ReferenceData!$AY$217),"",ReferenceData!$AY$217),"")</f>
        <v>2.095577086</v>
      </c>
      <c r="AZ217">
        <f ca="1">IFERROR(IF(0=LEN(ReferenceData!$AZ$217),"",ReferenceData!$AZ$217),"")</f>
        <v>2.119256112</v>
      </c>
      <c r="BA217">
        <f ca="1">IFERROR(IF(0=LEN(ReferenceData!$BA$217),"",ReferenceData!$BA$217),"")</f>
        <v>2.197997462</v>
      </c>
      <c r="BB217">
        <f ca="1">IFERROR(IF(0=LEN(ReferenceData!$BB$217),"",ReferenceData!$BB$217),"")</f>
        <v>2.1949312089999999</v>
      </c>
      <c r="BC217">
        <f ca="1">IFERROR(IF(0=LEN(ReferenceData!$BC$217),"",ReferenceData!$BC$217),"")</f>
        <v>2.7320172010000001</v>
      </c>
      <c r="BD217">
        <f ca="1">IFERROR(IF(0=LEN(ReferenceData!$BD$217),"",ReferenceData!$BD$217),"")</f>
        <v>2.7785729030000001</v>
      </c>
      <c r="BE217">
        <f ca="1">IFERROR(IF(0=LEN(ReferenceData!$BE$217),"",ReferenceData!$BE$217),"")</f>
        <v>2.8522579709999998</v>
      </c>
      <c r="BF217">
        <f ca="1">IFERROR(IF(0=LEN(ReferenceData!$BF$217),"",ReferenceData!$BF$217),"")</f>
        <v>2.9112891150000002</v>
      </c>
      <c r="BG217">
        <f ca="1">IFERROR(IF(0=LEN(ReferenceData!$BG$217),"",ReferenceData!$BG$217),"")</f>
        <v>2.9604493330000001</v>
      </c>
      <c r="BH217">
        <f ca="1">IFERROR(IF(0=LEN(ReferenceData!$BH$217),"",ReferenceData!$BH$217),"")</f>
        <v>3.0644730990000002</v>
      </c>
      <c r="BI217">
        <f ca="1">IFERROR(IF(0=LEN(ReferenceData!$BI$217),"",ReferenceData!$BI$217),"")</f>
        <v>3.3562738329999999</v>
      </c>
      <c r="BJ217">
        <f ca="1">IFERROR(IF(0=LEN(ReferenceData!$BJ$217),"",ReferenceData!$BJ$217),"")</f>
        <v>2.894344034</v>
      </c>
      <c r="BK217">
        <f ca="1">IFERROR(IF(0=LEN(ReferenceData!$BK$217),"",ReferenceData!$BK$217),"")</f>
        <v>2.8615223140000001</v>
      </c>
      <c r="BL217">
        <f ca="1">IFERROR(IF(0=LEN(ReferenceData!$BL$217),"",ReferenceData!$BL$217),"")</f>
        <v>2.781604068</v>
      </c>
      <c r="BM217">
        <f ca="1">IFERROR(IF(0=LEN(ReferenceData!$BM$217),"",ReferenceData!$BM$217),"")</f>
        <v>2.6268811140000001</v>
      </c>
    </row>
    <row r="218" spans="1:65">
      <c r="A218" t="str">
        <f>IFERROR(IF(0=LEN(ReferenceData!$A$218),"",ReferenceData!$A$218),"")</f>
        <v xml:space="preserve">    Highwoods Properties Inc</v>
      </c>
      <c r="B218" t="str">
        <f>IFERROR(IF(0=LEN(ReferenceData!$B$218),"",ReferenceData!$B$218),"")</f>
        <v>HIW US Equity</v>
      </c>
      <c r="C218" t="str">
        <f>IFERROR(IF(0=LEN(ReferenceData!$C$218),"",ReferenceData!$C$218),"")</f>
        <v>RR059</v>
      </c>
      <c r="D218" t="str">
        <f>IFERROR(IF(0=LEN(ReferenceData!$D$218),"",ReferenceData!$D$218),"")</f>
        <v>EBITDA_TO_TOT_INT_EXP</v>
      </c>
      <c r="E218" t="str">
        <f>IFERROR(IF(0=LEN(ReferenceData!$E$218),"",ReferenceData!$E$218),"")</f>
        <v>动态</v>
      </c>
      <c r="F218" t="str">
        <f ca="1">IFERROR(IF(0=LEN(ReferenceData!$F$218),"",ReferenceData!$F$218),"")</f>
        <v/>
      </c>
      <c r="G218">
        <f ca="1">IFERROR(IF(0=LEN(ReferenceData!$G$218),"",ReferenceData!$G$218),"")</f>
        <v>5.6456755469999997</v>
      </c>
      <c r="H218">
        <f ca="1">IFERROR(IF(0=LEN(ReferenceData!$H$218),"",ReferenceData!$H$218),"")</f>
        <v>5.7216320490000001</v>
      </c>
      <c r="I218">
        <f ca="1">IFERROR(IF(0=LEN(ReferenceData!$I$218),"",ReferenceData!$I$218),"")</f>
        <v>5.7704563440000003</v>
      </c>
      <c r="J218">
        <f ca="1">IFERROR(IF(0=LEN(ReferenceData!$J$218),"",ReferenceData!$J$218),"")</f>
        <v>4.7629471690000003</v>
      </c>
      <c r="K218">
        <f ca="1">IFERROR(IF(0=LEN(ReferenceData!$K$218),"",ReferenceData!$K$218),"")</f>
        <v>4.9820753330000001</v>
      </c>
      <c r="L218">
        <f ca="1">IFERROR(IF(0=LEN(ReferenceData!$L$218),"",ReferenceData!$L$218),"")</f>
        <v>4.7540473529999998</v>
      </c>
      <c r="M218">
        <f ca="1">IFERROR(IF(0=LEN(ReferenceData!$M$218),"",ReferenceData!$M$218),"")</f>
        <v>4.7470864659999998</v>
      </c>
      <c r="N218">
        <f ca="1">IFERROR(IF(0=LEN(ReferenceData!$N$218),"",ReferenceData!$N$218),"")</f>
        <v>4.2469299410000003</v>
      </c>
      <c r="O218">
        <f ca="1">IFERROR(IF(0=LEN(ReferenceData!$O$218),"",ReferenceData!$O$218),"")</f>
        <v>4.1768378139999998</v>
      </c>
      <c r="P218">
        <f ca="1">IFERROR(IF(0=LEN(ReferenceData!$P$218),"",ReferenceData!$P$218),"")</f>
        <v>4.1167325310000003</v>
      </c>
      <c r="Q218">
        <f ca="1">IFERROR(IF(0=LEN(ReferenceData!$Q$218),"",ReferenceData!$Q$218),"")</f>
        <v>3.8960147570000001</v>
      </c>
      <c r="R218">
        <f ca="1">IFERROR(IF(0=LEN(ReferenceData!$R$218),"",ReferenceData!$R$218),"")</f>
        <v>3.7775212690000002</v>
      </c>
      <c r="S218">
        <f ca="1">IFERROR(IF(0=LEN(ReferenceData!$S$218),"",ReferenceData!$S$218),"")</f>
        <v>3.6293636720000002</v>
      </c>
      <c r="T218">
        <f ca="1">IFERROR(IF(0=LEN(ReferenceData!$T$218),"",ReferenceData!$T$218),"")</f>
        <v>3.68803868</v>
      </c>
      <c r="U218">
        <f ca="1">IFERROR(IF(0=LEN(ReferenceData!$U$218),"",ReferenceData!$U$218),"")</f>
        <v>3.9786004510000001</v>
      </c>
      <c r="V218">
        <f ca="1">IFERROR(IF(0=LEN(ReferenceData!$V$218),"",ReferenceData!$V$218),"")</f>
        <v>3.7098230569999999</v>
      </c>
      <c r="W218">
        <f ca="1">IFERROR(IF(0=LEN(ReferenceData!$W$218),"",ReferenceData!$W$218),"")</f>
        <v>3.7347361920000002</v>
      </c>
      <c r="X218">
        <f ca="1">IFERROR(IF(0=LEN(ReferenceData!$X$218),"",ReferenceData!$X$218),"")</f>
        <v>3.3995342380000002</v>
      </c>
      <c r="Y218">
        <f ca="1">IFERROR(IF(0=LEN(ReferenceData!$Y$218),"",ReferenceData!$Y$218),"")</f>
        <v>3.282415705</v>
      </c>
      <c r="Z218">
        <f ca="1">IFERROR(IF(0=LEN(ReferenceData!$Z$218),"",ReferenceData!$Z$218),"")</f>
        <v>3.1034695640000001</v>
      </c>
      <c r="AA218">
        <f ca="1">IFERROR(IF(0=LEN(ReferenceData!$AA$218),"",ReferenceData!$AA$218),"")</f>
        <v>3.0740196489999998</v>
      </c>
      <c r="AB218">
        <f ca="1">IFERROR(IF(0=LEN(ReferenceData!$AB$218),"",ReferenceData!$AB$218),"")</f>
        <v>2.9000835770000002</v>
      </c>
      <c r="AC218">
        <f ca="1">IFERROR(IF(0=LEN(ReferenceData!$AC$218),"",ReferenceData!$AC$218),"")</f>
        <v>2.9901211480000001</v>
      </c>
      <c r="AD218">
        <f ca="1">IFERROR(IF(0=LEN(ReferenceData!$AD$218),"",ReferenceData!$AD$218),"")</f>
        <v>2.9120061160000001</v>
      </c>
      <c r="AE218">
        <f ca="1">IFERROR(IF(0=LEN(ReferenceData!$AE$218),"",ReferenceData!$AE$218),"")</f>
        <v>2.9875155539999998</v>
      </c>
      <c r="AF218">
        <f ca="1">IFERROR(IF(0=LEN(ReferenceData!$AF$218),"",ReferenceData!$AF$218),"")</f>
        <v>2.4493453359999999</v>
      </c>
      <c r="AG218">
        <f ca="1">IFERROR(IF(0=LEN(ReferenceData!$AG$218),"",ReferenceData!$AG$218),"")</f>
        <v>2.785133853</v>
      </c>
      <c r="AH218">
        <f ca="1">IFERROR(IF(0=LEN(ReferenceData!$AH$218),"",ReferenceData!$AH$218),"")</f>
        <v>2.773894737</v>
      </c>
      <c r="AI218">
        <f ca="1">IFERROR(IF(0=LEN(ReferenceData!$AI$218),"",ReferenceData!$AI$218),"")</f>
        <v>1.8111404090000001</v>
      </c>
      <c r="AJ218">
        <f ca="1">IFERROR(IF(0=LEN(ReferenceData!$AJ$218),"",ReferenceData!$AJ$218),"")</f>
        <v>2.67193426</v>
      </c>
      <c r="AK218">
        <f ca="1">IFERROR(IF(0=LEN(ReferenceData!$AK$218),"",ReferenceData!$AK$218),"")</f>
        <v>2.957303467</v>
      </c>
      <c r="AL218">
        <f ca="1">IFERROR(IF(0=LEN(ReferenceData!$AL$218),"",ReferenceData!$AL$218),"")</f>
        <v>2.7706042790000001</v>
      </c>
      <c r="AM218">
        <f ca="1">IFERROR(IF(0=LEN(ReferenceData!$AM$218),"",ReferenceData!$AM$218),"")</f>
        <v>2.1764990540000002</v>
      </c>
      <c r="AN218">
        <f ca="1">IFERROR(IF(0=LEN(ReferenceData!$AN$218),"",ReferenceData!$AN$218),"")</f>
        <v>2.7322572040000002</v>
      </c>
      <c r="AO218">
        <f ca="1">IFERROR(IF(0=LEN(ReferenceData!$AO$218),"",ReferenceData!$AO$218),"")</f>
        <v>2.7473191830000001</v>
      </c>
      <c r="AP218">
        <f ca="1">IFERROR(IF(0=LEN(ReferenceData!$AP$218),"",ReferenceData!$AP$218),"")</f>
        <v>2.7579216350000002</v>
      </c>
      <c r="AQ218">
        <f ca="1">IFERROR(IF(0=LEN(ReferenceData!$AQ$218),"",ReferenceData!$AQ$218),"")</f>
        <v>2.1579008659999999</v>
      </c>
      <c r="AR218">
        <f ca="1">IFERROR(IF(0=LEN(ReferenceData!$AR$218),"",ReferenceData!$AR$218),"")</f>
        <v>2.3962327989999999</v>
      </c>
      <c r="AS218">
        <f ca="1">IFERROR(IF(0=LEN(ReferenceData!$AS$218),"",ReferenceData!$AS$218),"")</f>
        <v>2.1257403020000001</v>
      </c>
      <c r="AT218">
        <f ca="1">IFERROR(IF(0=LEN(ReferenceData!$AT$218),"",ReferenceData!$AT$218),"")</f>
        <v>2.2516225479999998</v>
      </c>
      <c r="AU218">
        <f ca="1">IFERROR(IF(0=LEN(ReferenceData!$AU$218),"",ReferenceData!$AU$218),"")</f>
        <v>2.243149034</v>
      </c>
      <c r="AV218">
        <f ca="1">IFERROR(IF(0=LEN(ReferenceData!$AV$218),"",ReferenceData!$AV$218),"")</f>
        <v>2.117718317</v>
      </c>
      <c r="AW218">
        <f ca="1">IFERROR(IF(0=LEN(ReferenceData!$AW$218),"",ReferenceData!$AW$218),"")</f>
        <v>2.0667257810000002</v>
      </c>
      <c r="AX218">
        <f ca="1">IFERROR(IF(0=LEN(ReferenceData!$AX$218),"",ReferenceData!$AX$218),"")</f>
        <v>2.1626506019999998</v>
      </c>
      <c r="AY218">
        <f ca="1">IFERROR(IF(0=LEN(ReferenceData!$AY$218),"",ReferenceData!$AY$218),"")</f>
        <v>1.4274054979999999</v>
      </c>
      <c r="AZ218">
        <f ca="1">IFERROR(IF(0=LEN(ReferenceData!$AZ$218),"",ReferenceData!$AZ$218),"")</f>
        <v>2.2232789689999999</v>
      </c>
      <c r="BA218">
        <f ca="1">IFERROR(IF(0=LEN(ReferenceData!$BA$218),"",ReferenceData!$BA$218),"")</f>
        <v>2.1925513890000001</v>
      </c>
      <c r="BB218">
        <f ca="1">IFERROR(IF(0=LEN(ReferenceData!$BB$218),"",ReferenceData!$BB$218),"")</f>
        <v>2.3067019200000001</v>
      </c>
      <c r="BC218">
        <f ca="1">IFERROR(IF(0=LEN(ReferenceData!$BC$218),"",ReferenceData!$BC$218),"")</f>
        <v>1.5393800230000001</v>
      </c>
      <c r="BD218">
        <f ca="1">IFERROR(IF(0=LEN(ReferenceData!$BD$218),"",ReferenceData!$BD$218),"")</f>
        <v>2.3146355459999999</v>
      </c>
      <c r="BE218">
        <f ca="1">IFERROR(IF(0=LEN(ReferenceData!$BE$218),"",ReferenceData!$BE$218),"")</f>
        <v>2.4301470589999998</v>
      </c>
      <c r="BF218">
        <f ca="1">IFERROR(IF(0=LEN(ReferenceData!$BF$218),"",ReferenceData!$BF$218),"")</f>
        <v>2.4012478490000002</v>
      </c>
      <c r="BG218">
        <f ca="1">IFERROR(IF(0=LEN(ReferenceData!$BG$218),"",ReferenceData!$BG$218),"")</f>
        <v>1.365925614</v>
      </c>
      <c r="BH218">
        <f ca="1">IFERROR(IF(0=LEN(ReferenceData!$BH$218),"",ReferenceData!$BH$218),"")</f>
        <v>2.1817262909999999</v>
      </c>
      <c r="BI218">
        <f ca="1">IFERROR(IF(0=LEN(ReferenceData!$BI$218),"",ReferenceData!$BI$218),"")</f>
        <v>2.2715521590000001</v>
      </c>
      <c r="BJ218">
        <f ca="1">IFERROR(IF(0=LEN(ReferenceData!$BJ$218),"",ReferenceData!$BJ$218),"")</f>
        <v>2.0024619449999999</v>
      </c>
      <c r="BK218" t="str">
        <f ca="1">IFERROR(IF(0=LEN(ReferenceData!$BK$218),"",ReferenceData!$BK$218),"")</f>
        <v/>
      </c>
      <c r="BL218">
        <f ca="1">IFERROR(IF(0=LEN(ReferenceData!$BL$218),"",ReferenceData!$BL$218),"")</f>
        <v>5.007078527</v>
      </c>
      <c r="BM218">
        <f ca="1">IFERROR(IF(0=LEN(ReferenceData!$BM$218),"",ReferenceData!$BM$218),"")</f>
        <v>2.4972111809999999</v>
      </c>
    </row>
    <row r="219" spans="1:65">
      <c r="A219" t="str">
        <f>IFERROR(IF(0=LEN(ReferenceData!$A$219),"",ReferenceData!$A$219),"")</f>
        <v xml:space="preserve">    Kilroy Realty Corp</v>
      </c>
      <c r="B219" t="str">
        <f>IFERROR(IF(0=LEN(ReferenceData!$B$219),"",ReferenceData!$B$219),"")</f>
        <v>KRC US Equity</v>
      </c>
      <c r="C219" t="str">
        <f>IFERROR(IF(0=LEN(ReferenceData!$C$219),"",ReferenceData!$C$219),"")</f>
        <v>RR059</v>
      </c>
      <c r="D219" t="str">
        <f>IFERROR(IF(0=LEN(ReferenceData!$D$219),"",ReferenceData!$D$219),"")</f>
        <v>EBITDA_TO_TOT_INT_EXP</v>
      </c>
      <c r="E219" t="str">
        <f>IFERROR(IF(0=LEN(ReferenceData!$E$219),"",ReferenceData!$E$219),"")</f>
        <v>动态</v>
      </c>
      <c r="F219" t="str">
        <f ca="1">IFERROR(IF(0=LEN(ReferenceData!$F$219),"",ReferenceData!$F$219),"")</f>
        <v/>
      </c>
      <c r="G219">
        <f ca="1">IFERROR(IF(0=LEN(ReferenceData!$G$219),"",ReferenceData!$G$219),"")</f>
        <v>3.9532500000000002</v>
      </c>
      <c r="H219">
        <f ca="1">IFERROR(IF(0=LEN(ReferenceData!$H$219),"",ReferenceData!$H$219),"")</f>
        <v>4.0584871700000003</v>
      </c>
      <c r="I219">
        <f ca="1">IFERROR(IF(0=LEN(ReferenceData!$I$219),"",ReferenceData!$I$219),"")</f>
        <v>3.984963976</v>
      </c>
      <c r="J219">
        <f ca="1">IFERROR(IF(0=LEN(ReferenceData!$J$219),"",ReferenceData!$J$219),"")</f>
        <v>4.0788660730000004</v>
      </c>
      <c r="K219">
        <f ca="1">IFERROR(IF(0=LEN(ReferenceData!$K$219),"",ReferenceData!$K$219),"")</f>
        <v>4.0467296839999998</v>
      </c>
      <c r="L219">
        <f ca="1">IFERROR(IF(0=LEN(ReferenceData!$L$219),"",ReferenceData!$L$219),"")</f>
        <v>4.1692254809999998</v>
      </c>
      <c r="M219">
        <f ca="1">IFERROR(IF(0=LEN(ReferenceData!$M$219),"",ReferenceData!$M$219),"")</f>
        <v>3.8100344979999998</v>
      </c>
      <c r="N219">
        <f ca="1">IFERROR(IF(0=LEN(ReferenceData!$N$219),"",ReferenceData!$N$219),"")</f>
        <v>3.5958357209999998</v>
      </c>
      <c r="O219">
        <f ca="1">IFERROR(IF(0=LEN(ReferenceData!$O$219),"",ReferenceData!$O$219),"")</f>
        <v>3.4489295520000001</v>
      </c>
      <c r="P219">
        <f ca="1">IFERROR(IF(0=LEN(ReferenceData!$P$219),"",ReferenceData!$P$219),"")</f>
        <v>3.3271379539999999</v>
      </c>
      <c r="Q219">
        <f ca="1">IFERROR(IF(0=LEN(ReferenceData!$Q$219),"",ReferenceData!$Q$219),"")</f>
        <v>3.436863207</v>
      </c>
      <c r="R219">
        <f ca="1">IFERROR(IF(0=LEN(ReferenceData!$R$219),"",ReferenceData!$R$219),"")</f>
        <v>3.4187538289999999</v>
      </c>
      <c r="S219">
        <f ca="1">IFERROR(IF(0=LEN(ReferenceData!$S$219),"",ReferenceData!$S$219),"")</f>
        <v>3.146715076</v>
      </c>
      <c r="T219">
        <f ca="1">IFERROR(IF(0=LEN(ReferenceData!$T$219),"",ReferenceData!$T$219),"")</f>
        <v>2.7009620519999999</v>
      </c>
      <c r="U219">
        <f ca="1">IFERROR(IF(0=LEN(ReferenceData!$U$219),"",ReferenceData!$U$219),"")</f>
        <v>2.8570759809999999</v>
      </c>
      <c r="V219">
        <f ca="1">IFERROR(IF(0=LEN(ReferenceData!$V$219),"",ReferenceData!$V$219),"")</f>
        <v>2.760184062</v>
      </c>
      <c r="W219">
        <f ca="1">IFERROR(IF(0=LEN(ReferenceData!$W$219),"",ReferenceData!$W$219),"")</f>
        <v>2.632110618</v>
      </c>
      <c r="X219">
        <f ca="1">IFERROR(IF(0=LEN(ReferenceData!$X$219),"",ReferenceData!$X$219),"")</f>
        <v>2.597416076</v>
      </c>
      <c r="Y219">
        <f ca="1">IFERROR(IF(0=LEN(ReferenceData!$Y$219),"",ReferenceData!$Y$219),"")</f>
        <v>2.7341119150000002</v>
      </c>
      <c r="Z219">
        <f ca="1">IFERROR(IF(0=LEN(ReferenceData!$Z$219),"",ReferenceData!$Z$219),"")</f>
        <v>2.5695041139999999</v>
      </c>
      <c r="AA219">
        <f ca="1">IFERROR(IF(0=LEN(ReferenceData!$AA$219),"",ReferenceData!$AA$219),"")</f>
        <v>4.1731821739999999</v>
      </c>
      <c r="AB219">
        <f ca="1">IFERROR(IF(0=LEN(ReferenceData!$AB$219),"",ReferenceData!$AB$219),"")</f>
        <v>2.6692428449999999</v>
      </c>
      <c r="AC219">
        <f ca="1">IFERROR(IF(0=LEN(ReferenceData!$AC$219),"",ReferenceData!$AC$219),"")</f>
        <v>2.706470613</v>
      </c>
      <c r="AD219">
        <f ca="1">IFERROR(IF(0=LEN(ReferenceData!$AD$219),"",ReferenceData!$AD$219),"")</f>
        <v>2.503645449</v>
      </c>
      <c r="AE219">
        <f ca="1">IFERROR(IF(0=LEN(ReferenceData!$AE$219),"",ReferenceData!$AE$219),"")</f>
        <v>2.2746939940000002</v>
      </c>
      <c r="AF219">
        <f ca="1">IFERROR(IF(0=LEN(ReferenceData!$AF$219),"",ReferenceData!$AF$219),"")</f>
        <v>2.2936269469999999</v>
      </c>
      <c r="AG219">
        <f ca="1">IFERROR(IF(0=LEN(ReferenceData!$AG$219),"",ReferenceData!$AG$219),"")</f>
        <v>2.4439101879999998</v>
      </c>
      <c r="AH219">
        <f ca="1">IFERROR(IF(0=LEN(ReferenceData!$AH$219),"",ReferenceData!$AH$219),"")</f>
        <v>2.325702347</v>
      </c>
      <c r="AI219">
        <f ca="1">IFERROR(IF(0=LEN(ReferenceData!$AI$219),"",ReferenceData!$AI$219),"")</f>
        <v>3.7452741020000002</v>
      </c>
      <c r="AJ219">
        <f ca="1">IFERROR(IF(0=LEN(ReferenceData!$AJ$219),"",ReferenceData!$AJ$219),"")</f>
        <v>1.52645203</v>
      </c>
      <c r="AK219">
        <f ca="1">IFERROR(IF(0=LEN(ReferenceData!$AK$219),"",ReferenceData!$AK$219),"")</f>
        <v>2.7870038369999999</v>
      </c>
      <c r="AL219">
        <f ca="1">IFERROR(IF(0=LEN(ReferenceData!$AL$219),"",ReferenceData!$AL$219),"")</f>
        <v>2.8679504809999998</v>
      </c>
      <c r="AM219">
        <f ca="1">IFERROR(IF(0=LEN(ReferenceData!$AM$219),"",ReferenceData!$AM$219),"")</f>
        <v>3.7858228949999999</v>
      </c>
      <c r="AN219">
        <f ca="1">IFERROR(IF(0=LEN(ReferenceData!$AN$219),"",ReferenceData!$AN$219),"")</f>
        <v>3.214623338</v>
      </c>
      <c r="AO219">
        <f ca="1">IFERROR(IF(0=LEN(ReferenceData!$AO$219),"",ReferenceData!$AO$219),"")</f>
        <v>3.2369089629999999</v>
      </c>
      <c r="AP219">
        <f ca="1">IFERROR(IF(0=LEN(ReferenceData!$AP$219),"",ReferenceData!$AP$219),"")</f>
        <v>3.1646943489999999</v>
      </c>
      <c r="AQ219">
        <f ca="1">IFERROR(IF(0=LEN(ReferenceData!$AQ$219),"",ReferenceData!$AQ$219),"")</f>
        <v>2.9290523689999999</v>
      </c>
      <c r="AR219">
        <f ca="1">IFERROR(IF(0=LEN(ReferenceData!$AR$219),"",ReferenceData!$AR$219),"")</f>
        <v>3.3079520840000001</v>
      </c>
      <c r="AS219">
        <f ca="1">IFERROR(IF(0=LEN(ReferenceData!$AS$219),"",ReferenceData!$AS$219),"")</f>
        <v>2.7674006580000001</v>
      </c>
      <c r="AT219">
        <f ca="1">IFERROR(IF(0=LEN(ReferenceData!$AT$219),"",ReferenceData!$AT$219),"")</f>
        <v>2.9635508160000001</v>
      </c>
      <c r="AU219">
        <f ca="1">IFERROR(IF(0=LEN(ReferenceData!$AU$219),"",ReferenceData!$AU$219),"")</f>
        <v>2.2140838619999998</v>
      </c>
      <c r="AV219">
        <f ca="1">IFERROR(IF(0=LEN(ReferenceData!$AV$219),"",ReferenceData!$AV$219),"")</f>
        <v>2.369706388</v>
      </c>
      <c r="AW219">
        <f ca="1">IFERROR(IF(0=LEN(ReferenceData!$AW$219),"",ReferenceData!$AW$219),"")</f>
        <v>2.562410952</v>
      </c>
      <c r="AX219">
        <f ca="1">IFERROR(IF(0=LEN(ReferenceData!$AX$219),"",ReferenceData!$AX$219),"")</f>
        <v>2.8794144180000001</v>
      </c>
      <c r="AY219">
        <f ca="1">IFERROR(IF(0=LEN(ReferenceData!$AY$219),"",ReferenceData!$AY$219),"")</f>
        <v>2.5243243240000002</v>
      </c>
      <c r="AZ219">
        <f ca="1">IFERROR(IF(0=LEN(ReferenceData!$AZ$219),"",ReferenceData!$AZ$219),"")</f>
        <v>1.950783106</v>
      </c>
      <c r="BA219">
        <f ca="1">IFERROR(IF(0=LEN(ReferenceData!$BA$219),"",ReferenceData!$BA$219),"")</f>
        <v>1.9130492969999999</v>
      </c>
      <c r="BB219">
        <f ca="1">IFERROR(IF(0=LEN(ReferenceData!$BB$219),"",ReferenceData!$BB$219),"")</f>
        <v>3.044255986</v>
      </c>
      <c r="BC219">
        <f ca="1">IFERROR(IF(0=LEN(ReferenceData!$BC$219),"",ReferenceData!$BC$219),"")</f>
        <v>1.615365653</v>
      </c>
      <c r="BD219">
        <f ca="1">IFERROR(IF(0=LEN(ReferenceData!$BD$219),"",ReferenceData!$BD$219),"")</f>
        <v>1.3348137309999999</v>
      </c>
      <c r="BE219">
        <f ca="1">IFERROR(IF(0=LEN(ReferenceData!$BE$219),"",ReferenceData!$BE$219),"")</f>
        <v>1.5228758170000001</v>
      </c>
      <c r="BF219">
        <f ca="1">IFERROR(IF(0=LEN(ReferenceData!$BF$219),"",ReferenceData!$BF$219),"")</f>
        <v>2.0869056480000001</v>
      </c>
      <c r="BG219">
        <f ca="1">IFERROR(IF(0=LEN(ReferenceData!$BG$219),"",ReferenceData!$BG$219),"")</f>
        <v>2.729231285</v>
      </c>
      <c r="BH219">
        <f ca="1">IFERROR(IF(0=LEN(ReferenceData!$BH$219),"",ReferenceData!$BH$219),"")</f>
        <v>3.198493864</v>
      </c>
      <c r="BI219">
        <f ca="1">IFERROR(IF(0=LEN(ReferenceData!$BI$219),"",ReferenceData!$BI$219),"")</f>
        <v>3.2585064880000001</v>
      </c>
      <c r="BJ219">
        <f ca="1">IFERROR(IF(0=LEN(ReferenceData!$BJ$219),"",ReferenceData!$BJ$219),"")</f>
        <v>3.0669327050000001</v>
      </c>
      <c r="BK219">
        <f ca="1">IFERROR(IF(0=LEN(ReferenceData!$BK$219),"",ReferenceData!$BK$219),"")</f>
        <v>3.5856958749999999</v>
      </c>
      <c r="BL219">
        <f ca="1">IFERROR(IF(0=LEN(ReferenceData!$BL$219),"",ReferenceData!$BL$219),"")</f>
        <v>5.5602660950000002</v>
      </c>
      <c r="BM219">
        <f ca="1">IFERROR(IF(0=LEN(ReferenceData!$BM$219),"",ReferenceData!$BM$219),"")</f>
        <v>3.197901592</v>
      </c>
    </row>
    <row r="220" spans="1:65">
      <c r="A220" t="str">
        <f>IFERROR(IF(0=LEN(ReferenceData!$A$220),"",ReferenceData!$A$220),"")</f>
        <v xml:space="preserve">    Mack-Cali Realty Corp</v>
      </c>
      <c r="B220" t="str">
        <f>IFERROR(IF(0=LEN(ReferenceData!$B$220),"",ReferenceData!$B$220),"")</f>
        <v>CLI US Equity</v>
      </c>
      <c r="C220" t="str">
        <f>IFERROR(IF(0=LEN(ReferenceData!$C$220),"",ReferenceData!$C$220),"")</f>
        <v>RR059</v>
      </c>
      <c r="D220" t="str">
        <f>IFERROR(IF(0=LEN(ReferenceData!$D$220),"",ReferenceData!$D$220),"")</f>
        <v>EBITDA_TO_TOT_INT_EXP</v>
      </c>
      <c r="E220" t="str">
        <f>IFERROR(IF(0=LEN(ReferenceData!$E$220),"",ReferenceData!$E$220),"")</f>
        <v>动态</v>
      </c>
      <c r="F220" t="str">
        <f ca="1">IFERROR(IF(0=LEN(ReferenceData!$F$220),"",ReferenceData!$F$220),"")</f>
        <v/>
      </c>
      <c r="G220">
        <f ca="1">IFERROR(IF(0=LEN(ReferenceData!$G$220),"",ReferenceData!$G$220),"")</f>
        <v>0.56114043499999999</v>
      </c>
      <c r="H220">
        <f ca="1">IFERROR(IF(0=LEN(ReferenceData!$H$220),"",ReferenceData!$H$220),"")</f>
        <v>1.6622780029999999</v>
      </c>
      <c r="I220">
        <f ca="1">IFERROR(IF(0=LEN(ReferenceData!$I$220),"",ReferenceData!$I$220),"")</f>
        <v>2.925031766</v>
      </c>
      <c r="J220">
        <f ca="1">IFERROR(IF(0=LEN(ReferenceData!$J$220),"",ReferenceData!$J$220),"")</f>
        <v>2.8664735530000001</v>
      </c>
      <c r="K220">
        <f ca="1">IFERROR(IF(0=LEN(ReferenceData!$K$220),"",ReferenceData!$K$220),"")</f>
        <v>2.7127594070000001</v>
      </c>
      <c r="L220">
        <f ca="1">IFERROR(IF(0=LEN(ReferenceData!$L$220),"",ReferenceData!$L$220),"")</f>
        <v>2.6175016200000001</v>
      </c>
      <c r="M220">
        <f ca="1">IFERROR(IF(0=LEN(ReferenceData!$M$220),"",ReferenceData!$M$220),"")</f>
        <v>2.608615651</v>
      </c>
      <c r="N220">
        <f ca="1">IFERROR(IF(0=LEN(ReferenceData!$N$220),"",ReferenceData!$N$220),"")</f>
        <v>2.4298233740000001</v>
      </c>
      <c r="O220">
        <f ca="1">IFERROR(IF(0=LEN(ReferenceData!$O$220),"",ReferenceData!$O$220),"")</f>
        <v>1.119804486</v>
      </c>
      <c r="P220">
        <f ca="1">IFERROR(IF(0=LEN(ReferenceData!$P$220),"",ReferenceData!$P$220),"")</f>
        <v>-3.2922361850000001</v>
      </c>
      <c r="Q220">
        <f ca="1">IFERROR(IF(0=LEN(ReferenceData!$Q$220),"",ReferenceData!$Q$220),"")</f>
        <v>2.3173725209999998</v>
      </c>
      <c r="R220">
        <f ca="1">IFERROR(IF(0=LEN(ReferenceData!$R$220),"",ReferenceData!$R$220),"")</f>
        <v>2.215657647</v>
      </c>
      <c r="S220">
        <f ca="1">IFERROR(IF(0=LEN(ReferenceData!$S$220),"",ReferenceData!$S$220),"")</f>
        <v>1.8024193550000001</v>
      </c>
      <c r="T220">
        <f ca="1">IFERROR(IF(0=LEN(ReferenceData!$T$220),"",ReferenceData!$T$220),"")</f>
        <v>2.1011392849999999</v>
      </c>
      <c r="U220">
        <f ca="1">IFERROR(IF(0=LEN(ReferenceData!$U$220),"",ReferenceData!$U$220),"")</f>
        <v>2.5425724349999999</v>
      </c>
      <c r="V220">
        <f ca="1">IFERROR(IF(0=LEN(ReferenceData!$V$220),"",ReferenceData!$V$220),"")</f>
        <v>1.771934597</v>
      </c>
      <c r="W220">
        <f ca="1">IFERROR(IF(0=LEN(ReferenceData!$W$220),"",ReferenceData!$W$220),"")</f>
        <v>0.30838856599999998</v>
      </c>
      <c r="X220">
        <f ca="1">IFERROR(IF(0=LEN(ReferenceData!$X$220),"",ReferenceData!$X$220),"")</f>
        <v>0.90557329499999994</v>
      </c>
      <c r="Y220">
        <f ca="1">IFERROR(IF(0=LEN(ReferenceData!$Y$220),"",ReferenceData!$Y$220),"")</f>
        <v>2.5785650200000001</v>
      </c>
      <c r="Z220">
        <f ca="1">IFERROR(IF(0=LEN(ReferenceData!$Z$220),"",ReferenceData!$Z$220),"")</f>
        <v>2.59212263</v>
      </c>
      <c r="AA220">
        <f ca="1">IFERROR(IF(0=LEN(ReferenceData!$AA$220),"",ReferenceData!$AA$220),"")</f>
        <v>2.250523077</v>
      </c>
      <c r="AB220">
        <f ca="1">IFERROR(IF(0=LEN(ReferenceData!$AB$220),"",ReferenceData!$AB$220),"")</f>
        <v>2.750439031</v>
      </c>
      <c r="AC220">
        <f ca="1">IFERROR(IF(0=LEN(ReferenceData!$AC$220),"",ReferenceData!$AC$220),"")</f>
        <v>2.9031377470000002</v>
      </c>
      <c r="AD220">
        <f ca="1">IFERROR(IF(0=LEN(ReferenceData!$AD$220),"",ReferenceData!$AD$220),"")</f>
        <v>3.2771460129999999</v>
      </c>
      <c r="AE220">
        <f ca="1">IFERROR(IF(0=LEN(ReferenceData!$AE$220),"",ReferenceData!$AE$220),"")</f>
        <v>3.1196182870000002</v>
      </c>
      <c r="AF220">
        <f ca="1">IFERROR(IF(0=LEN(ReferenceData!$AF$220),"",ReferenceData!$AF$220),"")</f>
        <v>3.381911289</v>
      </c>
      <c r="AG220">
        <f ca="1">IFERROR(IF(0=LEN(ReferenceData!$AG$220),"",ReferenceData!$AG$220),"")</f>
        <v>3.17540815</v>
      </c>
      <c r="AH220">
        <f ca="1">IFERROR(IF(0=LEN(ReferenceData!$AH$220),"",ReferenceData!$AH$220),"")</f>
        <v>3.0861904459999998</v>
      </c>
      <c r="AI220">
        <f ca="1">IFERROR(IF(0=LEN(ReferenceData!$AI$220),"",ReferenceData!$AI$220),"")</f>
        <v>2.5439877489999998</v>
      </c>
      <c r="AJ220">
        <f ca="1">IFERROR(IF(0=LEN(ReferenceData!$AJ$220),"",ReferenceData!$AJ$220),"")</f>
        <v>2.6632704770000002</v>
      </c>
      <c r="AK220">
        <f ca="1">IFERROR(IF(0=LEN(ReferenceData!$AK$220),"",ReferenceData!$AK$220),"")</f>
        <v>2.7223172299999998</v>
      </c>
      <c r="AL220">
        <f ca="1">IFERROR(IF(0=LEN(ReferenceData!$AL$220),"",ReferenceData!$AL$220),"")</f>
        <v>2.6632414880000002</v>
      </c>
      <c r="AM220">
        <f ca="1">IFERROR(IF(0=LEN(ReferenceData!$AM$220),"",ReferenceData!$AM$220),"")</f>
        <v>2.7898552599999999</v>
      </c>
      <c r="AN220">
        <f ca="1">IFERROR(IF(0=LEN(ReferenceData!$AN$220),"",ReferenceData!$AN$220),"")</f>
        <v>2.9786406689999998</v>
      </c>
      <c r="AO220">
        <f ca="1">IFERROR(IF(0=LEN(ReferenceData!$AO$220),"",ReferenceData!$AO$220),"")</f>
        <v>3.1816357700000002</v>
      </c>
      <c r="AP220">
        <f ca="1">IFERROR(IF(0=LEN(ReferenceData!$AP$220),"",ReferenceData!$AP$220),"")</f>
        <v>2.9606325099999999</v>
      </c>
      <c r="AQ220">
        <f ca="1">IFERROR(IF(0=LEN(ReferenceData!$AQ$220),"",ReferenceData!$AQ$220),"")</f>
        <v>3.1361169470000001</v>
      </c>
      <c r="AR220">
        <f ca="1">IFERROR(IF(0=LEN(ReferenceData!$AR$220),"",ReferenceData!$AR$220),"")</f>
        <v>3.2891232979999998</v>
      </c>
      <c r="AS220">
        <f ca="1">IFERROR(IF(0=LEN(ReferenceData!$AS$220),"",ReferenceData!$AS$220),"")</f>
        <v>3.0279590779999999</v>
      </c>
      <c r="AT220">
        <f ca="1">IFERROR(IF(0=LEN(ReferenceData!$AT$220),"",ReferenceData!$AT$220),"")</f>
        <v>2.9326161480000001</v>
      </c>
      <c r="AU220">
        <f ca="1">IFERROR(IF(0=LEN(ReferenceData!$AU$220),"",ReferenceData!$AU$220),"")</f>
        <v>2.9130952030000001</v>
      </c>
      <c r="AV220">
        <f ca="1">IFERROR(IF(0=LEN(ReferenceData!$AV$220),"",ReferenceData!$AV$220),"")</f>
        <v>3.1884870099999998</v>
      </c>
      <c r="AW220">
        <f ca="1">IFERROR(IF(0=LEN(ReferenceData!$AW$220),"",ReferenceData!$AW$220),"")</f>
        <v>3.1046465140000001</v>
      </c>
      <c r="AX220">
        <f ca="1">IFERROR(IF(0=LEN(ReferenceData!$AX$220),"",ReferenceData!$AX$220),"")</f>
        <v>3.054029758</v>
      </c>
      <c r="AY220">
        <f ca="1">IFERROR(IF(0=LEN(ReferenceData!$AY$220),"",ReferenceData!$AY$220),"")</f>
        <v>2.699821708</v>
      </c>
      <c r="AZ220">
        <f ca="1">IFERROR(IF(0=LEN(ReferenceData!$AZ$220),"",ReferenceData!$AZ$220),"")</f>
        <v>2.6587094370000002</v>
      </c>
      <c r="BA220">
        <f ca="1">IFERROR(IF(0=LEN(ReferenceData!$BA$220),"",ReferenceData!$BA$220),"")</f>
        <v>2.9633867939999998</v>
      </c>
      <c r="BB220">
        <f ca="1">IFERROR(IF(0=LEN(ReferenceData!$BB$220),"",ReferenceData!$BB$220),"")</f>
        <v>2.86032799</v>
      </c>
      <c r="BC220">
        <f ca="1">IFERROR(IF(0=LEN(ReferenceData!$BC$220),"",ReferenceData!$BC$220),"")</f>
        <v>2.4858781489999999</v>
      </c>
      <c r="BD220">
        <f ca="1">IFERROR(IF(0=LEN(ReferenceData!$BD$220),"",ReferenceData!$BD$220),"")</f>
        <v>3.1450976490000002</v>
      </c>
      <c r="BE220">
        <f ca="1">IFERROR(IF(0=LEN(ReferenceData!$BE$220),"",ReferenceData!$BE$220),"")</f>
        <v>3.3134407010000002</v>
      </c>
      <c r="BF220">
        <f ca="1">IFERROR(IF(0=LEN(ReferenceData!$BF$220),"",ReferenceData!$BF$220),"")</f>
        <v>3.1559304880000001</v>
      </c>
      <c r="BG220">
        <f ca="1">IFERROR(IF(0=LEN(ReferenceData!$BG$220),"",ReferenceData!$BG$220),"")</f>
        <v>3.3581404030000002</v>
      </c>
      <c r="BH220">
        <f ca="1">IFERROR(IF(0=LEN(ReferenceData!$BH$220),"",ReferenceData!$BH$220),"")</f>
        <v>3.2471376900000002</v>
      </c>
      <c r="BI220">
        <f ca="1">IFERROR(IF(0=LEN(ReferenceData!$BI$220),"",ReferenceData!$BI$220),"")</f>
        <v>3.322379733</v>
      </c>
      <c r="BJ220">
        <f ca="1">IFERROR(IF(0=LEN(ReferenceData!$BJ$220),"",ReferenceData!$BJ$220),"")</f>
        <v>3.0297151000000002</v>
      </c>
      <c r="BK220">
        <f ca="1">IFERROR(IF(0=LEN(ReferenceData!$BK$220),"",ReferenceData!$BK$220),"")</f>
        <v>3.019231446</v>
      </c>
      <c r="BL220">
        <f ca="1">IFERROR(IF(0=LEN(ReferenceData!$BL$220),"",ReferenceData!$BL$220),"")</f>
        <v>3.0082428490000002</v>
      </c>
      <c r="BM220">
        <f ca="1">IFERROR(IF(0=LEN(ReferenceData!$BM$220),"",ReferenceData!$BM$220),"")</f>
        <v>3.0436602160000001</v>
      </c>
    </row>
    <row r="221" spans="1:65">
      <c r="A221" t="str">
        <f>IFERROR(IF(0=LEN(ReferenceData!$A$221),"",ReferenceData!$A$221),"")</f>
        <v xml:space="preserve">    Piedmont Office Realty Trust I</v>
      </c>
      <c r="B221" t="str">
        <f>IFERROR(IF(0=LEN(ReferenceData!$B$221),"",ReferenceData!$B$221),"")</f>
        <v>PDM US Equity</v>
      </c>
      <c r="C221" t="str">
        <f>IFERROR(IF(0=LEN(ReferenceData!$C$221),"",ReferenceData!$C$221),"")</f>
        <v>RR059</v>
      </c>
      <c r="D221" t="str">
        <f>IFERROR(IF(0=LEN(ReferenceData!$D$221),"",ReferenceData!$D$221),"")</f>
        <v>EBITDA_TO_TOT_INT_EXP</v>
      </c>
      <c r="E221" t="str">
        <f>IFERROR(IF(0=LEN(ReferenceData!$E$221),"",ReferenceData!$E$221),"")</f>
        <v>动态</v>
      </c>
      <c r="F221" t="str">
        <f ca="1">IFERROR(IF(0=LEN(ReferenceData!$F$221),"",ReferenceData!$F$221),"")</f>
        <v/>
      </c>
      <c r="G221">
        <f ca="1">IFERROR(IF(0=LEN(ReferenceData!$G$221),"",ReferenceData!$G$221),"")</f>
        <v>1.917694112</v>
      </c>
      <c r="H221">
        <f ca="1">IFERROR(IF(0=LEN(ReferenceData!$H$221),"",ReferenceData!$H$221),"")</f>
        <v>4.739011874</v>
      </c>
      <c r="I221">
        <f ca="1">IFERROR(IF(0=LEN(ReferenceData!$I$221),"",ReferenceData!$I$221),"")</f>
        <v>4.5759254150000004</v>
      </c>
      <c r="J221">
        <f ca="1">IFERROR(IF(0=LEN(ReferenceData!$J$221),"",ReferenceData!$J$221),"")</f>
        <v>4.6425498010000004</v>
      </c>
      <c r="K221">
        <f ca="1">IFERROR(IF(0=LEN(ReferenceData!$K$221),"",ReferenceData!$K$221),"")</f>
        <v>4.5340431890000001</v>
      </c>
      <c r="L221">
        <f ca="1">IFERROR(IF(0=LEN(ReferenceData!$L$221),"",ReferenceData!$L$221),"")</f>
        <v>3.1445331040000002</v>
      </c>
      <c r="M221">
        <f ca="1">IFERROR(IF(0=LEN(ReferenceData!$M$221),"",ReferenceData!$M$221),"")</f>
        <v>3.7149535440000001</v>
      </c>
      <c r="N221">
        <f ca="1">IFERROR(IF(0=LEN(ReferenceData!$N$221),"",ReferenceData!$N$221),"")</f>
        <v>4.3220020620000001</v>
      </c>
      <c r="O221">
        <f ca="1">IFERROR(IF(0=LEN(ReferenceData!$O$221),"",ReferenceData!$O$221),"")</f>
        <v>4.0407183910000004</v>
      </c>
      <c r="P221">
        <f ca="1">IFERROR(IF(0=LEN(ReferenceData!$P$221),"",ReferenceData!$P$221),"")</f>
        <v>2.237279268</v>
      </c>
      <c r="Q221">
        <f ca="1">IFERROR(IF(0=LEN(ReferenceData!$Q$221),"",ReferenceData!$Q$221),"")</f>
        <v>3.7723888419999998</v>
      </c>
      <c r="R221">
        <f ca="1">IFERROR(IF(0=LEN(ReferenceData!$R$221),"",ReferenceData!$R$221),"")</f>
        <v>3.9946027599999998</v>
      </c>
      <c r="S221">
        <f ca="1">IFERROR(IF(0=LEN(ReferenceData!$S$221),"",ReferenceData!$S$221),"")</f>
        <v>4.0195624060000004</v>
      </c>
      <c r="T221">
        <f ca="1">IFERROR(IF(0=LEN(ReferenceData!$T$221),"",ReferenceData!$T$221),"")</f>
        <v>4.0073769950000004</v>
      </c>
      <c r="U221">
        <f ca="1">IFERROR(IF(0=LEN(ReferenceData!$U$221),"",ReferenceData!$U$221),"")</f>
        <v>4.006171202</v>
      </c>
      <c r="V221">
        <f ca="1">IFERROR(IF(0=LEN(ReferenceData!$V$221),"",ReferenceData!$V$221),"")</f>
        <v>3.798384151</v>
      </c>
      <c r="W221">
        <f ca="1">IFERROR(IF(0=LEN(ReferenceData!$W$221),"",ReferenceData!$W$221),"")</f>
        <v>1.5350528969999999</v>
      </c>
      <c r="X221">
        <f ca="1">IFERROR(IF(0=LEN(ReferenceData!$X$221),"",ReferenceData!$X$221),"")</f>
        <v>4.1042884490000002</v>
      </c>
      <c r="Y221">
        <f ca="1">IFERROR(IF(0=LEN(ReferenceData!$Y$221),"",ReferenceData!$Y$221),"")</f>
        <v>4.0593442619999998</v>
      </c>
      <c r="Z221">
        <f ca="1">IFERROR(IF(0=LEN(ReferenceData!$Z$221),"",ReferenceData!$Z$221),"")</f>
        <v>4.3207932009999999</v>
      </c>
      <c r="AA221">
        <f ca="1">IFERROR(IF(0=LEN(ReferenceData!$AA$221),"",ReferenceData!$AA$221),"")</f>
        <v>4.0997790869999999</v>
      </c>
      <c r="AB221">
        <f ca="1">IFERROR(IF(0=LEN(ReferenceData!$AB$221),"",ReferenceData!$AB$221),"")</f>
        <v>4.769680556</v>
      </c>
      <c r="AC221">
        <f ca="1">IFERROR(IF(0=LEN(ReferenceData!$AC$221),"",ReferenceData!$AC$221),"")</f>
        <v>4.6809257979999996</v>
      </c>
      <c r="AD221">
        <f ca="1">IFERROR(IF(0=LEN(ReferenceData!$AD$221),"",ReferenceData!$AD$221),"")</f>
        <v>4.5209530139999998</v>
      </c>
      <c r="AE221">
        <f ca="1">IFERROR(IF(0=LEN(ReferenceData!$AE$221),"",ReferenceData!$AE$221),"")</f>
        <v>4.4842162549999998</v>
      </c>
      <c r="AF221">
        <f ca="1">IFERROR(IF(0=LEN(ReferenceData!$AF$221),"",ReferenceData!$AF$221),"")</f>
        <v>4.9120475289999996</v>
      </c>
      <c r="AG221">
        <f ca="1">IFERROR(IF(0=LEN(ReferenceData!$AG$221),"",ReferenceData!$AG$221),"")</f>
        <v>4.371055556</v>
      </c>
      <c r="AH221">
        <f ca="1">IFERROR(IF(0=LEN(ReferenceData!$AH$221),"",ReferenceData!$AH$221),"")</f>
        <v>5.0898976979999997</v>
      </c>
      <c r="AI221">
        <f ca="1">IFERROR(IF(0=LEN(ReferenceData!$AI$221),"",ReferenceData!$AI$221),"")</f>
        <v>4.9012025320000001</v>
      </c>
      <c r="AJ221">
        <f ca="1">IFERROR(IF(0=LEN(ReferenceData!$AJ$221),"",ReferenceData!$AJ$221),"")</f>
        <v>5.4262534069999999</v>
      </c>
      <c r="AK221">
        <f ca="1">IFERROR(IF(0=LEN(ReferenceData!$AK$221),"",ReferenceData!$AK$221),"")</f>
        <v>4.288913537</v>
      </c>
      <c r="AL221">
        <f ca="1">IFERROR(IF(0=LEN(ReferenceData!$AL$221),"",ReferenceData!$AL$221),"")</f>
        <v>4.4510502330000001</v>
      </c>
      <c r="AM221">
        <f ca="1">IFERROR(IF(0=LEN(ReferenceData!$AM$221),"",ReferenceData!$AM$221),"")</f>
        <v>4.4020935960000003</v>
      </c>
      <c r="AN221">
        <f ca="1">IFERROR(IF(0=LEN(ReferenceData!$AN$221),"",ReferenceData!$AN$221),"")</f>
        <v>2.6014448200000002</v>
      </c>
      <c r="AO221">
        <f ca="1">IFERROR(IF(0=LEN(ReferenceData!$AO$221),"",ReferenceData!$AO$221),"")</f>
        <v>4.3581520060000001</v>
      </c>
      <c r="AP221">
        <f ca="1">IFERROR(IF(0=LEN(ReferenceData!$AP$221),"",ReferenceData!$AP$221),"")</f>
        <v>4.9245661260000002</v>
      </c>
      <c r="AQ221">
        <f ca="1">IFERROR(IF(0=LEN(ReferenceData!$AQ$221),"",ReferenceData!$AQ$221),"")</f>
        <v>4.5808024380000001</v>
      </c>
      <c r="AR221">
        <f ca="1">IFERROR(IF(0=LEN(ReferenceData!$AR$221),"",ReferenceData!$AR$221),"")</f>
        <v>4.7527528029999999</v>
      </c>
      <c r="AS221">
        <f ca="1">IFERROR(IF(0=LEN(ReferenceData!$AS$221),"",ReferenceData!$AS$221),"")</f>
        <v>4.8258196719999997</v>
      </c>
      <c r="AT221">
        <f ca="1">IFERROR(IF(0=LEN(ReferenceData!$AT$221),"",ReferenceData!$AT$221),"")</f>
        <v>5.4442068770000001</v>
      </c>
      <c r="AU221">
        <f ca="1">IFERROR(IF(0=LEN(ReferenceData!$AU$221),"",ReferenceData!$AU$221),"")</f>
        <v>5.3712098380000004</v>
      </c>
      <c r="AV221">
        <f ca="1">IFERROR(IF(0=LEN(ReferenceData!$AV$221),"",ReferenceData!$AV$221),"")</f>
        <v>5.5202996930000001</v>
      </c>
      <c r="AW221">
        <f ca="1">IFERROR(IF(0=LEN(ReferenceData!$AW$221),"",ReferenceData!$AW$221),"")</f>
        <v>5.2770175210000003</v>
      </c>
      <c r="AX221">
        <f ca="1">IFERROR(IF(0=LEN(ReferenceData!$AX$221),"",ReferenceData!$AX$221),"")</f>
        <v>5.1700667539999996</v>
      </c>
      <c r="AY221">
        <f ca="1">IFERROR(IF(0=LEN(ReferenceData!$AY$221),"",ReferenceData!$AY$221),"")</f>
        <v>4.7780725569999998</v>
      </c>
      <c r="AZ221">
        <f ca="1">IFERROR(IF(0=LEN(ReferenceData!$AZ$221),"",ReferenceData!$AZ$221),"")</f>
        <v>5.7004235660000004</v>
      </c>
      <c r="BA221">
        <f ca="1">IFERROR(IF(0=LEN(ReferenceData!$BA$221),"",ReferenceData!$BA$221),"")</f>
        <v>5.2404460679999998</v>
      </c>
      <c r="BB221">
        <f ca="1">IFERROR(IF(0=LEN(ReferenceData!$BB$221),"",ReferenceData!$BB$221),"")</f>
        <v>5.8275255189999999</v>
      </c>
      <c r="BC221">
        <f ca="1">IFERROR(IF(0=LEN(ReferenceData!$BC$221),"",ReferenceData!$BC$221),"")</f>
        <v>5.8664342029999998</v>
      </c>
      <c r="BD221">
        <f ca="1">IFERROR(IF(0=LEN(ReferenceData!$BD$221),"",ReferenceData!$BD$221),"")</f>
        <v>6.4038137539999997</v>
      </c>
      <c r="BE221">
        <f ca="1">IFERROR(IF(0=LEN(ReferenceData!$BE$221),"",ReferenceData!$BE$221),"")</f>
        <v>8.7426197769999998</v>
      </c>
      <c r="BF221">
        <f ca="1">IFERROR(IF(0=LEN(ReferenceData!$BF$221),"",ReferenceData!$BF$221),"")</f>
        <v>6.9000187410000002</v>
      </c>
      <c r="BG221">
        <f ca="1">IFERROR(IF(0=LEN(ReferenceData!$BG$221),"",ReferenceData!$BG$221),"")</f>
        <v>9.9602303019999994</v>
      </c>
      <c r="BH221">
        <f ca="1">IFERROR(IF(0=LEN(ReferenceData!$BH$221),"",ReferenceData!$BH$221),"")</f>
        <v>6.8080382779999997</v>
      </c>
      <c r="BI221">
        <f ca="1">IFERROR(IF(0=LEN(ReferenceData!$BI$221),"",ReferenceData!$BI$221),"")</f>
        <v>10.68148914</v>
      </c>
      <c r="BJ221">
        <f ca="1">IFERROR(IF(0=LEN(ReferenceData!$BJ$221),"",ReferenceData!$BJ$221),"")</f>
        <v>12.868317340000001</v>
      </c>
      <c r="BK221">
        <f ca="1">IFERROR(IF(0=LEN(ReferenceData!$BK$221),"",ReferenceData!$BK$221),"")</f>
        <v>12.56936091</v>
      </c>
      <c r="BL221">
        <f ca="1">IFERROR(IF(0=LEN(ReferenceData!$BL$221),"",ReferenceData!$BL$221),"")</f>
        <v>17.118635579999999</v>
      </c>
      <c r="BM221">
        <f ca="1">IFERROR(IF(0=LEN(ReferenceData!$BM$221),"",ReferenceData!$BM$221),"")</f>
        <v>13.208850440000001</v>
      </c>
    </row>
    <row r="222" spans="1:65">
      <c r="A222" t="str">
        <f>IFERROR(IF(0=LEN(ReferenceData!$A$222),"",ReferenceData!$A$222),"")</f>
        <v xml:space="preserve">    SL Green Realty Corp</v>
      </c>
      <c r="B222" t="str">
        <f>IFERROR(IF(0=LEN(ReferenceData!$B$222),"",ReferenceData!$B$222),"")</f>
        <v>SLG US Equity</v>
      </c>
      <c r="C222" t="str">
        <f>IFERROR(IF(0=LEN(ReferenceData!$C$222),"",ReferenceData!$C$222),"")</f>
        <v>RR059</v>
      </c>
      <c r="D222" t="str">
        <f>IFERROR(IF(0=LEN(ReferenceData!$D$222),"",ReferenceData!$D$222),"")</f>
        <v>EBITDA_TO_TOT_INT_EXP</v>
      </c>
      <c r="E222" t="str">
        <f>IFERROR(IF(0=LEN(ReferenceData!$E$222),"",ReferenceData!$E$222),"")</f>
        <v>动态</v>
      </c>
      <c r="F222" t="str">
        <f ca="1">IFERROR(IF(0=LEN(ReferenceData!$F$222),"",ReferenceData!$F$222),"")</f>
        <v/>
      </c>
      <c r="G222">
        <f ca="1">IFERROR(IF(0=LEN(ReferenceData!$G$222),"",ReferenceData!$G$222),"")</f>
        <v>2.8190557599999999</v>
      </c>
      <c r="H222">
        <f ca="1">IFERROR(IF(0=LEN(ReferenceData!$H$222),"",ReferenceData!$H$222),"")</f>
        <v>2.6932728629999998</v>
      </c>
      <c r="I222">
        <f ca="1">IFERROR(IF(0=LEN(ReferenceData!$I$222),"",ReferenceData!$I$222),"")</f>
        <v>3.1610267759999999</v>
      </c>
      <c r="J222">
        <f ca="1">IFERROR(IF(0=LEN(ReferenceData!$J$222),"",ReferenceData!$J$222),"")</f>
        <v>2.7912655549999998</v>
      </c>
      <c r="K222">
        <f ca="1">IFERROR(IF(0=LEN(ReferenceData!$K$222),"",ReferenceData!$K$222),"")</f>
        <v>2.7124674149999999</v>
      </c>
      <c r="L222">
        <f ca="1">IFERROR(IF(0=LEN(ReferenceData!$L$222),"",ReferenceData!$L$222),"")</f>
        <v>2.894050129</v>
      </c>
      <c r="M222">
        <f ca="1">IFERROR(IF(0=LEN(ReferenceData!$M$222),"",ReferenceData!$M$222),"")</f>
        <v>4.440125546</v>
      </c>
      <c r="N222">
        <f ca="1">IFERROR(IF(0=LEN(ReferenceData!$N$222),"",ReferenceData!$N$222),"")</f>
        <v>2.6419860470000001</v>
      </c>
      <c r="O222">
        <f ca="1">IFERROR(IF(0=LEN(ReferenceData!$O$222),"",ReferenceData!$O$222),"")</f>
        <v>2.5607925809999998</v>
      </c>
      <c r="P222">
        <f ca="1">IFERROR(IF(0=LEN(ReferenceData!$P$222),"",ReferenceData!$P$222),"")</f>
        <v>2.6565782539999998</v>
      </c>
      <c r="Q222">
        <f ca="1">IFERROR(IF(0=LEN(ReferenceData!$Q$222),"",ReferenceData!$Q$222),"")</f>
        <v>2.8471150719999998</v>
      </c>
      <c r="R222">
        <f ca="1">IFERROR(IF(0=LEN(ReferenceData!$R$222),"",ReferenceData!$R$222),"")</f>
        <v>2.5898219390000001</v>
      </c>
      <c r="S222">
        <f ca="1">IFERROR(IF(0=LEN(ReferenceData!$S$222),"",ReferenceData!$S$222),"")</f>
        <v>2.5214939410000001</v>
      </c>
      <c r="T222">
        <f ca="1">IFERROR(IF(0=LEN(ReferenceData!$T$222),"",ReferenceData!$T$222),"")</f>
        <v>2.4415884239999999</v>
      </c>
      <c r="U222">
        <f ca="1">IFERROR(IF(0=LEN(ReferenceData!$U$222),"",ReferenceData!$U$222),"")</f>
        <v>2.604688844</v>
      </c>
      <c r="V222">
        <f ca="1">IFERROR(IF(0=LEN(ReferenceData!$V$222),"",ReferenceData!$V$222),"")</f>
        <v>2.5394977769999998</v>
      </c>
      <c r="W222">
        <f ca="1">IFERROR(IF(0=LEN(ReferenceData!$W$222),"",ReferenceData!$W$222),"")</f>
        <v>2.3823582079999999</v>
      </c>
      <c r="X222">
        <f ca="1">IFERROR(IF(0=LEN(ReferenceData!$X$222),"",ReferenceData!$X$222),"")</f>
        <v>2.2625997799999999</v>
      </c>
      <c r="Y222">
        <f ca="1">IFERROR(IF(0=LEN(ReferenceData!$Y$222),"",ReferenceData!$Y$222),"")</f>
        <v>2.3970785819999998</v>
      </c>
      <c r="Z222">
        <f ca="1">IFERROR(IF(0=LEN(ReferenceData!$Z$222),"",ReferenceData!$Z$222),"")</f>
        <v>2.4044054359999998</v>
      </c>
      <c r="AA222">
        <f ca="1">IFERROR(IF(0=LEN(ReferenceData!$AA$222),"",ReferenceData!$AA$222),"")</f>
        <v>2.1318600010000002</v>
      </c>
      <c r="AB222">
        <f ca="1">IFERROR(IF(0=LEN(ReferenceData!$AB$222),"",ReferenceData!$AB$222),"")</f>
        <v>2.103099067</v>
      </c>
      <c r="AC222">
        <f ca="1">IFERROR(IF(0=LEN(ReferenceData!$AC$222),"",ReferenceData!$AC$222),"")</f>
        <v>2.236799387</v>
      </c>
      <c r="AD222">
        <f ca="1">IFERROR(IF(0=LEN(ReferenceData!$AD$222),"",ReferenceData!$AD$222),"")</f>
        <v>2.1723418319999999</v>
      </c>
      <c r="AE222">
        <f ca="1">IFERROR(IF(0=LEN(ReferenceData!$AE$222),"",ReferenceData!$AE$222),"")</f>
        <v>2.0983191990000001</v>
      </c>
      <c r="AF222">
        <f ca="1">IFERROR(IF(0=LEN(ReferenceData!$AF$222),"",ReferenceData!$AF$222),"")</f>
        <v>2.1256439789999999</v>
      </c>
      <c r="AG222">
        <f ca="1">IFERROR(IF(0=LEN(ReferenceData!$AG$222),"",ReferenceData!$AG$222),"")</f>
        <v>2.2626116270000001</v>
      </c>
      <c r="AH222">
        <f ca="1">IFERROR(IF(0=LEN(ReferenceData!$AH$222),"",ReferenceData!$AH$222),"")</f>
        <v>2.927423192</v>
      </c>
      <c r="AI222">
        <f ca="1">IFERROR(IF(0=LEN(ReferenceData!$AI$222),"",ReferenceData!$AI$222),"")</f>
        <v>2.1594000699999998</v>
      </c>
      <c r="AJ222">
        <f ca="1">IFERROR(IF(0=LEN(ReferenceData!$AJ$222),"",ReferenceData!$AJ$222),"")</f>
        <v>3.3627399489999998</v>
      </c>
      <c r="AK222">
        <f ca="1">IFERROR(IF(0=LEN(ReferenceData!$AK$222),"",ReferenceData!$AK$222),"")</f>
        <v>2.2184680069999998</v>
      </c>
      <c r="AL222">
        <f ca="1">IFERROR(IF(0=LEN(ReferenceData!$AL$222),"",ReferenceData!$AL$222),"")</f>
        <v>2.1646017400000002</v>
      </c>
      <c r="AM222">
        <f ca="1">IFERROR(IF(0=LEN(ReferenceData!$AM$222),"",ReferenceData!$AM$222),"")</f>
        <v>1.855568807</v>
      </c>
      <c r="AN222">
        <f ca="1">IFERROR(IF(0=LEN(ReferenceData!$AN$222),"",ReferenceData!$AN$222),"")</f>
        <v>1.7246067789999999</v>
      </c>
      <c r="AO222">
        <f ca="1">IFERROR(IF(0=LEN(ReferenceData!$AO$222),"",ReferenceData!$AO$222),"")</f>
        <v>1.594514341</v>
      </c>
      <c r="AP222">
        <f ca="1">IFERROR(IF(0=LEN(ReferenceData!$AP$222),"",ReferenceData!$AP$222),"")</f>
        <v>1.384907135</v>
      </c>
      <c r="AQ222">
        <f ca="1">IFERROR(IF(0=LEN(ReferenceData!$AQ$222),"",ReferenceData!$AQ$222),"")</f>
        <v>0.52212560399999997</v>
      </c>
      <c r="AR222">
        <f ca="1">IFERROR(IF(0=LEN(ReferenceData!$AR$222),"",ReferenceData!$AR$222),"")</f>
        <v>1.9100234229999999</v>
      </c>
      <c r="AS222">
        <f ca="1">IFERROR(IF(0=LEN(ReferenceData!$AS$222),"",ReferenceData!$AS$222),"")</f>
        <v>2.2122161930000002</v>
      </c>
      <c r="AT222">
        <f ca="1">IFERROR(IF(0=LEN(ReferenceData!$AT$222),"",ReferenceData!$AT$222),"")</f>
        <v>1.748763563</v>
      </c>
      <c r="AU222">
        <f ca="1">IFERROR(IF(0=LEN(ReferenceData!$AU$222),"",ReferenceData!$AU$222),"")</f>
        <v>1.94386014</v>
      </c>
      <c r="AV222">
        <f ca="1">IFERROR(IF(0=LEN(ReferenceData!$AV$222),"",ReferenceData!$AV$222),"")</f>
        <v>1.9352227319999999</v>
      </c>
      <c r="AW222">
        <f ca="1">IFERROR(IF(0=LEN(ReferenceData!$AW$222),"",ReferenceData!$AW$222),"")</f>
        <v>2.0028815230000001</v>
      </c>
      <c r="AX222">
        <f ca="1">IFERROR(IF(0=LEN(ReferenceData!$AX$222),"",ReferenceData!$AX$222),"")</f>
        <v>2.8621165340000001</v>
      </c>
      <c r="AY222">
        <f ca="1">IFERROR(IF(0=LEN(ReferenceData!$AY$222),"",ReferenceData!$AY$222),"")</f>
        <v>2.7039690900000002</v>
      </c>
      <c r="AZ222">
        <f ca="1">IFERROR(IF(0=LEN(ReferenceData!$AZ$222),"",ReferenceData!$AZ$222),"")</f>
        <v>2.6294544559999999</v>
      </c>
      <c r="BA222">
        <f ca="1">IFERROR(IF(0=LEN(ReferenceData!$BA$222),"",ReferenceData!$BA$222),"")</f>
        <v>2.6270531400000001</v>
      </c>
      <c r="BB222">
        <f ca="1">IFERROR(IF(0=LEN(ReferenceData!$BB$222),"",ReferenceData!$BB$222),"")</f>
        <v>2.9719307879999999</v>
      </c>
      <c r="BC222">
        <f ca="1">IFERROR(IF(0=LEN(ReferenceData!$BC$222),"",ReferenceData!$BC$222),"")</f>
        <v>2.4661485650000001</v>
      </c>
      <c r="BD222">
        <f ca="1">IFERROR(IF(0=LEN(ReferenceData!$BD$222),"",ReferenceData!$BD$222),"")</f>
        <v>2.5977211019999999</v>
      </c>
      <c r="BE222">
        <f ca="1">IFERROR(IF(0=LEN(ReferenceData!$BE$222),"",ReferenceData!$BE$222),"")</f>
        <v>2.3676052190000001</v>
      </c>
      <c r="BF222">
        <f ca="1">IFERROR(IF(0=LEN(ReferenceData!$BF$222),"",ReferenceData!$BF$222),"")</f>
        <v>2.7707788959999999</v>
      </c>
      <c r="BG222">
        <f ca="1">IFERROR(IF(0=LEN(ReferenceData!$BG$222),"",ReferenceData!$BG$222),"")</f>
        <v>2.2458729079999999</v>
      </c>
      <c r="BH222">
        <f ca="1">IFERROR(IF(0=LEN(ReferenceData!$BH$222),"",ReferenceData!$BH$222),"")</f>
        <v>2.536476924</v>
      </c>
      <c r="BI222">
        <f ca="1">IFERROR(IF(0=LEN(ReferenceData!$BI$222),"",ReferenceData!$BI$222),"")</f>
        <v>3.231924818</v>
      </c>
      <c r="BJ222">
        <f ca="1">IFERROR(IF(0=LEN(ReferenceData!$BJ$222),"",ReferenceData!$BJ$222),"")</f>
        <v>2.840525961</v>
      </c>
      <c r="BK222">
        <f ca="1">IFERROR(IF(0=LEN(ReferenceData!$BK$222),"",ReferenceData!$BK$222),"")</f>
        <v>3.137585815</v>
      </c>
      <c r="BL222">
        <f ca="1">IFERROR(IF(0=LEN(ReferenceData!$BL$222),"",ReferenceData!$BL$222),"")</f>
        <v>3.3651588399999999</v>
      </c>
      <c r="BM222">
        <f ca="1">IFERROR(IF(0=LEN(ReferenceData!$BM$222),"",ReferenceData!$BM$222),"")</f>
        <v>3.312251598</v>
      </c>
    </row>
    <row r="223" spans="1:65">
      <c r="A223" t="str">
        <f>IFERROR(IF(0=LEN(ReferenceData!$A$223),"",ReferenceData!$A$223),"")</f>
        <v xml:space="preserve">    Vornado Realty Trust</v>
      </c>
      <c r="B223" t="str">
        <f>IFERROR(IF(0=LEN(ReferenceData!$B$223),"",ReferenceData!$B$223),"")</f>
        <v>VNO US Equity</v>
      </c>
      <c r="C223" t="str">
        <f>IFERROR(IF(0=LEN(ReferenceData!$C$223),"",ReferenceData!$C$223),"")</f>
        <v>RR059</v>
      </c>
      <c r="D223" t="str">
        <f>IFERROR(IF(0=LEN(ReferenceData!$D$223),"",ReferenceData!$D$223),"")</f>
        <v>EBITDA_TO_TOT_INT_EXP</v>
      </c>
      <c r="E223" t="str">
        <f>IFERROR(IF(0=LEN(ReferenceData!$E$223),"",ReferenceData!$E$223),"")</f>
        <v>动态</v>
      </c>
      <c r="F223" t="str">
        <f ca="1">IFERROR(IF(0=LEN(ReferenceData!$F$223),"",ReferenceData!$F$223),"")</f>
        <v/>
      </c>
      <c r="G223">
        <f ca="1">IFERROR(IF(0=LEN(ReferenceData!$G$223),"",ReferenceData!$G$223),"")</f>
        <v>2.5436495990000001</v>
      </c>
      <c r="H223">
        <f ca="1">IFERROR(IF(0=LEN(ReferenceData!$H$223),"",ReferenceData!$H$223),"")</f>
        <v>2.752846844</v>
      </c>
      <c r="I223">
        <f ca="1">IFERROR(IF(0=LEN(ReferenceData!$I$223),"",ReferenceData!$I$223),"")</f>
        <v>2.889368701</v>
      </c>
      <c r="J223">
        <f ca="1">IFERROR(IF(0=LEN(ReferenceData!$J$223),"",ReferenceData!$J$223),"")</f>
        <v>2.7558523990000001</v>
      </c>
      <c r="K223">
        <f ca="1">IFERROR(IF(0=LEN(ReferenceData!$K$223),"",ReferenceData!$K$223),"")</f>
        <v>2.9093276540000002</v>
      </c>
      <c r="L223">
        <f ca="1">IFERROR(IF(0=LEN(ReferenceData!$L$223),"",ReferenceData!$L$223),"")</f>
        <v>3.0331619029999999</v>
      </c>
      <c r="M223">
        <f ca="1">IFERROR(IF(0=LEN(ReferenceData!$M$223),"",ReferenceData!$M$223),"")</f>
        <v>2.8634178299999999</v>
      </c>
      <c r="N223">
        <f ca="1">IFERROR(IF(0=LEN(ReferenceData!$N$223),"",ReferenceData!$N$223),"")</f>
        <v>1.212677985</v>
      </c>
      <c r="O223">
        <f ca="1">IFERROR(IF(0=LEN(ReferenceData!$O$223),"",ReferenceData!$O$223),"")</f>
        <v>2.9275339800000002</v>
      </c>
      <c r="P223">
        <f ca="1">IFERROR(IF(0=LEN(ReferenceData!$P$223),"",ReferenceData!$P$223),"")</f>
        <v>2.6304790320000002</v>
      </c>
      <c r="Q223">
        <f ca="1">IFERROR(IF(0=LEN(ReferenceData!$Q$223),"",ReferenceData!$Q$223),"")</f>
        <v>3.1007861729999999</v>
      </c>
      <c r="R223">
        <f ca="1">IFERROR(IF(0=LEN(ReferenceData!$R$223),"",ReferenceData!$R$223),"")</f>
        <v>2.7832347450000001</v>
      </c>
      <c r="S223">
        <f ca="1">IFERROR(IF(0=LEN(ReferenceData!$S$223),"",ReferenceData!$S$223),"")</f>
        <v>2.4891859790000002</v>
      </c>
      <c r="T223">
        <f ca="1">IFERROR(IF(0=LEN(ReferenceData!$T$223),"",ReferenceData!$T$223),"")</f>
        <v>2.6279705</v>
      </c>
      <c r="U223">
        <f ca="1">IFERROR(IF(0=LEN(ReferenceData!$U$223),"",ReferenceData!$U$223),"")</f>
        <v>2.4981697139999999</v>
      </c>
      <c r="V223">
        <f ca="1">IFERROR(IF(0=LEN(ReferenceData!$V$223),"",ReferenceData!$V$223),"")</f>
        <v>2.7208143069999999</v>
      </c>
      <c r="W223">
        <f ca="1">IFERROR(IF(0=LEN(ReferenceData!$W$223),"",ReferenceData!$W$223),"")</f>
        <v>2.2547218760000001</v>
      </c>
      <c r="X223">
        <f ca="1">IFERROR(IF(0=LEN(ReferenceData!$X$223),"",ReferenceData!$X$223),"")</f>
        <v>2.7081822930000001</v>
      </c>
      <c r="Y223">
        <f ca="1">IFERROR(IF(0=LEN(ReferenceData!$Y$223),"",ReferenceData!$Y$223),"")</f>
        <v>2.4811646870000001</v>
      </c>
      <c r="Z223">
        <f ca="1">IFERROR(IF(0=LEN(ReferenceData!$Z$223),"",ReferenceData!$Z$223),"")</f>
        <v>3.1041475510000001</v>
      </c>
      <c r="AA223">
        <f ca="1">IFERROR(IF(0=LEN(ReferenceData!$AA$223),"",ReferenceData!$AA$223),"")</f>
        <v>1.579797793</v>
      </c>
      <c r="AB223">
        <f ca="1">IFERROR(IF(0=LEN(ReferenceData!$AB$223),"",ReferenceData!$AB$223),"")</f>
        <v>2.67741557</v>
      </c>
      <c r="AC223">
        <f ca="1">IFERROR(IF(0=LEN(ReferenceData!$AC$223),"",ReferenceData!$AC$223),"")</f>
        <v>2.6508562950000001</v>
      </c>
      <c r="AD223">
        <f ca="1">IFERROR(IF(0=LEN(ReferenceData!$AD$223),"",ReferenceData!$AD$223),"")</f>
        <v>2.4117547570000002</v>
      </c>
      <c r="AE223">
        <f ca="1">IFERROR(IF(0=LEN(ReferenceData!$AE$223),"",ReferenceData!$AE$223),"")</f>
        <v>2.667133604</v>
      </c>
      <c r="AF223">
        <f ca="1">IFERROR(IF(0=LEN(ReferenceData!$AF$223),"",ReferenceData!$AF$223),"")</f>
        <v>2.5832815650000001</v>
      </c>
      <c r="AG223">
        <f ca="1">IFERROR(IF(0=LEN(ReferenceData!$AG$223),"",ReferenceData!$AG$223),"")</f>
        <v>2.5981191039999998</v>
      </c>
      <c r="AH223">
        <f ca="1">IFERROR(IF(0=LEN(ReferenceData!$AH$223),"",ReferenceData!$AH$223),"")</f>
        <v>2.3395590529999999</v>
      </c>
      <c r="AI223">
        <f ca="1">IFERROR(IF(0=LEN(ReferenceData!$AI$223),"",ReferenceData!$AI$223),"")</f>
        <v>1.53593592</v>
      </c>
      <c r="AJ223">
        <f ca="1">IFERROR(IF(0=LEN(ReferenceData!$AJ$223),"",ReferenceData!$AJ$223),"")</f>
        <v>2.3905647800000001</v>
      </c>
      <c r="AK223">
        <f ca="1">IFERROR(IF(0=LEN(ReferenceData!$AK$223),"",ReferenceData!$AK$223),"")</f>
        <v>2.538442061</v>
      </c>
      <c r="AL223">
        <f ca="1">IFERROR(IF(0=LEN(ReferenceData!$AL$223),"",ReferenceData!$AL$223),"")</f>
        <v>2.5974271880000002</v>
      </c>
      <c r="AM223">
        <f ca="1">IFERROR(IF(0=LEN(ReferenceData!$AM$223),"",ReferenceData!$AM$223),"")</f>
        <v>1.9092665799999999</v>
      </c>
      <c r="AN223">
        <f ca="1">IFERROR(IF(0=LEN(ReferenceData!$AN$223),"",ReferenceData!$AN$223),"")</f>
        <v>2.1506463130000002</v>
      </c>
      <c r="AO223">
        <f ca="1">IFERROR(IF(0=LEN(ReferenceData!$AO$223),"",ReferenceData!$AO$223),"")</f>
        <v>2.1364427930000001</v>
      </c>
      <c r="AP223">
        <f ca="1">IFERROR(IF(0=LEN(ReferenceData!$AP$223),"",ReferenceData!$AP$223),"")</f>
        <v>1.9469003549999999</v>
      </c>
      <c r="AQ223">
        <f ca="1">IFERROR(IF(0=LEN(ReferenceData!$AQ$223),"",ReferenceData!$AQ$223),"")</f>
        <v>2.0326338310000001</v>
      </c>
      <c r="AR223">
        <f ca="1">IFERROR(IF(0=LEN(ReferenceData!$AR$223),"",ReferenceData!$AR$223),"")</f>
        <v>2.0949532500000001</v>
      </c>
      <c r="AS223">
        <f ca="1">IFERROR(IF(0=LEN(ReferenceData!$AS$223),"",ReferenceData!$AS$223),"")</f>
        <v>2.1589832179999999</v>
      </c>
      <c r="AT223">
        <f ca="1">IFERROR(IF(0=LEN(ReferenceData!$AT$223),"",ReferenceData!$AT$223),"")</f>
        <v>2.1557885639999999</v>
      </c>
      <c r="AU223">
        <f ca="1">IFERROR(IF(0=LEN(ReferenceData!$AU$223),"",ReferenceData!$AU$223),"")</f>
        <v>2.1798573409999999</v>
      </c>
      <c r="AV223">
        <f ca="1">IFERROR(IF(0=LEN(ReferenceData!$AV$223),"",ReferenceData!$AV$223),"")</f>
        <v>1.746091456</v>
      </c>
      <c r="AW223">
        <f ca="1">IFERROR(IF(0=LEN(ReferenceData!$AW$223),"",ReferenceData!$AW$223),"")</f>
        <v>1.9114421269999999</v>
      </c>
      <c r="AX223">
        <f ca="1">IFERROR(IF(0=LEN(ReferenceData!$AX$223),"",ReferenceData!$AX$223),"")</f>
        <v>2.014383338</v>
      </c>
      <c r="AY223">
        <f ca="1">IFERROR(IF(0=LEN(ReferenceData!$AY$223),"",ReferenceData!$AY$223),"")</f>
        <v>1.921092968</v>
      </c>
      <c r="AZ223">
        <f ca="1">IFERROR(IF(0=LEN(ReferenceData!$AZ$223),"",ReferenceData!$AZ$223),"")</f>
        <v>2.0633083000000001</v>
      </c>
      <c r="BA223">
        <f ca="1">IFERROR(IF(0=LEN(ReferenceData!$BA$223),"",ReferenceData!$BA$223),"")</f>
        <v>2.3184389680000002</v>
      </c>
      <c r="BB223">
        <f ca="1">IFERROR(IF(0=LEN(ReferenceData!$BB$223),"",ReferenceData!$BB$223),"")</f>
        <v>2.7056007879999999</v>
      </c>
      <c r="BC223">
        <f ca="1">IFERROR(IF(0=LEN(ReferenceData!$BC$223),"",ReferenceData!$BC$223),"")</f>
        <v>3.2661408829999998</v>
      </c>
      <c r="BD223">
        <f ca="1">IFERROR(IF(0=LEN(ReferenceData!$BD$223),"",ReferenceData!$BD$223),"")</f>
        <v>2.177729249</v>
      </c>
      <c r="BE223">
        <f ca="1">IFERROR(IF(0=LEN(ReferenceData!$BE$223),"",ReferenceData!$BE$223),"")</f>
        <v>2.8981062529999999</v>
      </c>
      <c r="BF223">
        <f ca="1">IFERROR(IF(0=LEN(ReferenceData!$BF$223),"",ReferenceData!$BF$223),"")</f>
        <v>3.2311169460000002</v>
      </c>
      <c r="BG223">
        <f ca="1">IFERROR(IF(0=LEN(ReferenceData!$BG$223),"",ReferenceData!$BG$223),"")</f>
        <v>5.4679294450000002</v>
      </c>
      <c r="BH223">
        <f ca="1">IFERROR(IF(0=LEN(ReferenceData!$BH$223),"",ReferenceData!$BH$223),"")</f>
        <v>3.4729378569999998</v>
      </c>
      <c r="BI223">
        <f ca="1">IFERROR(IF(0=LEN(ReferenceData!$BI$223),"",ReferenceData!$BI$223),"")</f>
        <v>4.0148907779999998</v>
      </c>
      <c r="BJ223">
        <f ca="1">IFERROR(IF(0=LEN(ReferenceData!$BJ$223),"",ReferenceData!$BJ$223),"")</f>
        <v>3.6268139580000001</v>
      </c>
      <c r="BK223">
        <f ca="1">IFERROR(IF(0=LEN(ReferenceData!$BK$223),"",ReferenceData!$BK$223),"")</f>
        <v>3.553479238</v>
      </c>
      <c r="BL223">
        <f ca="1">IFERROR(IF(0=LEN(ReferenceData!$BL$223),"",ReferenceData!$BL$223),"")</f>
        <v>3.5227659199999999</v>
      </c>
      <c r="BM223">
        <f ca="1">IFERROR(IF(0=LEN(ReferenceData!$BM$223),"",ReferenceData!$BM$223),"")</f>
        <v>3.5638081370000001</v>
      </c>
    </row>
    <row r="224" spans="1:65">
      <c r="A224" t="str">
        <f>IFERROR(IF(0=LEN(ReferenceData!$A$224),"",ReferenceData!$A$224),"")</f>
        <v>固定费用偿付比率</v>
      </c>
      <c r="B224" t="str">
        <f>IFERROR(IF(0=LEN(ReferenceData!$B$224),"",ReferenceData!$B$224),"")</f>
        <v/>
      </c>
      <c r="C224" t="str">
        <f>IFERROR(IF(0=LEN(ReferenceData!$C$224),"",ReferenceData!$C$224),"")</f>
        <v/>
      </c>
      <c r="D224" t="str">
        <f>IFERROR(IF(0=LEN(ReferenceData!$D$224),"",ReferenceData!$D$224),"")</f>
        <v/>
      </c>
      <c r="E224" t="str">
        <f>IFERROR(IF(0=LEN(ReferenceData!$E$224),"",ReferenceData!$E$224),"")</f>
        <v>Median</v>
      </c>
      <c r="F224" t="str">
        <f ca="1">IFERROR(IF(0=LEN(ReferenceData!$F$224),"",ReferenceData!$F$224),"")</f>
        <v/>
      </c>
      <c r="G224">
        <f ca="1">IFERROR(IF(0=LEN(ReferenceData!$G$224),"",ReferenceData!$G$224),"")</f>
        <v>3.061714013</v>
      </c>
      <c r="H224">
        <f ca="1">IFERROR(IF(0=LEN(ReferenceData!$H$224),"",ReferenceData!$H$224),"")</f>
        <v>3.0936862625000003</v>
      </c>
      <c r="I224">
        <f ca="1">IFERROR(IF(0=LEN(ReferenceData!$I$224),"",ReferenceData!$I$224),"")</f>
        <v>3</v>
      </c>
      <c r="J224">
        <f ca="1">IFERROR(IF(0=LEN(ReferenceData!$J$224),"",ReferenceData!$J$224),"")</f>
        <v>2.9249999999999998</v>
      </c>
      <c r="K224">
        <f ca="1">IFERROR(IF(0=LEN(ReferenceData!$K$224),"",ReferenceData!$K$224),"")</f>
        <v>2.95</v>
      </c>
      <c r="L224">
        <f ca="1">IFERROR(IF(0=LEN(ReferenceData!$L$224),"",ReferenceData!$L$224),"")</f>
        <v>2.895</v>
      </c>
      <c r="M224">
        <f ca="1">IFERROR(IF(0=LEN(ReferenceData!$M$224),"",ReferenceData!$M$224),"")</f>
        <v>2.835</v>
      </c>
      <c r="N224">
        <f ca="1">IFERROR(IF(0=LEN(ReferenceData!$N$224),"",ReferenceData!$N$224),"")</f>
        <v>2.5599999999999996</v>
      </c>
      <c r="O224">
        <f ca="1">IFERROR(IF(0=LEN(ReferenceData!$O$224),"",ReferenceData!$O$224),"")</f>
        <v>2.6900000000000004</v>
      </c>
      <c r="P224">
        <f ca="1">IFERROR(IF(0=LEN(ReferenceData!$P$224),"",ReferenceData!$P$224),"")</f>
        <v>2.62</v>
      </c>
      <c r="Q224">
        <f ca="1">IFERROR(IF(0=LEN(ReferenceData!$Q$224),"",ReferenceData!$Q$224),"")</f>
        <v>2.65</v>
      </c>
      <c r="R224">
        <f ca="1">IFERROR(IF(0=LEN(ReferenceData!$R$224),"",ReferenceData!$R$224),"")</f>
        <v>2.5949999999999998</v>
      </c>
      <c r="S224">
        <f ca="1">IFERROR(IF(0=LEN(ReferenceData!$S$224),"",ReferenceData!$S$224),"")</f>
        <v>2.3200000000000003</v>
      </c>
      <c r="T224">
        <f ca="1">IFERROR(IF(0=LEN(ReferenceData!$T$224),"",ReferenceData!$T$224),"")</f>
        <v>2.41</v>
      </c>
      <c r="U224">
        <f ca="1">IFERROR(IF(0=LEN(ReferenceData!$U$224),"",ReferenceData!$U$224),"")</f>
        <v>2.42</v>
      </c>
      <c r="V224">
        <f ca="1">IFERROR(IF(0=LEN(ReferenceData!$V$224),"",ReferenceData!$V$224),"")</f>
        <v>2.625</v>
      </c>
      <c r="W224">
        <f ca="1">IFERROR(IF(0=LEN(ReferenceData!$W$224),"",ReferenceData!$W$224),"")</f>
        <v>2.4924237360000001</v>
      </c>
      <c r="X224">
        <f ca="1">IFERROR(IF(0=LEN(ReferenceData!$X$224),"",ReferenceData!$X$224),"")</f>
        <v>2.4900000000000002</v>
      </c>
      <c r="Y224">
        <f ca="1">IFERROR(IF(0=LEN(ReferenceData!$Y$224),"",ReferenceData!$Y$224),"")</f>
        <v>2.5</v>
      </c>
      <c r="Z224">
        <f ca="1">IFERROR(IF(0=LEN(ReferenceData!$Z$224),"",ReferenceData!$Z$224),"")</f>
        <v>2.4</v>
      </c>
      <c r="AA224">
        <f ca="1">IFERROR(IF(0=LEN(ReferenceData!$AA$224),"",ReferenceData!$AA$224),"")</f>
        <v>2.35</v>
      </c>
      <c r="AB224">
        <f ca="1">IFERROR(IF(0=LEN(ReferenceData!$AB$224),"",ReferenceData!$AB$224),"")</f>
        <v>2.59</v>
      </c>
      <c r="AC224">
        <f ca="1">IFERROR(IF(0=LEN(ReferenceData!$AC$224),"",ReferenceData!$AC$224),"")</f>
        <v>2.5690772505000004</v>
      </c>
      <c r="AD224">
        <f ca="1">IFERROR(IF(0=LEN(ReferenceData!$AD$224),"",ReferenceData!$AD$224),"")</f>
        <v>2.5619163315</v>
      </c>
      <c r="AE224">
        <f ca="1">IFERROR(IF(0=LEN(ReferenceData!$AE$224),"",ReferenceData!$AE$224),"")</f>
        <v>2.4550000000000001</v>
      </c>
      <c r="AF224">
        <f ca="1">IFERROR(IF(0=LEN(ReferenceData!$AF$224),"",ReferenceData!$AF$224),"")</f>
        <v>2.25</v>
      </c>
      <c r="AG224">
        <f ca="1">IFERROR(IF(0=LEN(ReferenceData!$AG$224),"",ReferenceData!$AG$224),"")</f>
        <v>2.2587525545</v>
      </c>
      <c r="AH224">
        <f ca="1">IFERROR(IF(0=LEN(ReferenceData!$AH$224),"",ReferenceData!$AH$224),"")</f>
        <v>2.44</v>
      </c>
      <c r="AI224">
        <f ca="1">IFERROR(IF(0=LEN(ReferenceData!$AI$224),"",ReferenceData!$AI$224),"")</f>
        <v>2.2000000000000002</v>
      </c>
      <c r="AJ224">
        <f ca="1">IFERROR(IF(0=LEN(ReferenceData!$AJ$224),"",ReferenceData!$AJ$224),"")</f>
        <v>2.58</v>
      </c>
      <c r="AK224">
        <f ca="1">IFERROR(IF(0=LEN(ReferenceData!$AK$224),"",ReferenceData!$AK$224),"")</f>
        <v>2.5300000000000002</v>
      </c>
      <c r="AL224">
        <f ca="1">IFERROR(IF(0=LEN(ReferenceData!$AL$224),"",ReferenceData!$AL$224),"")</f>
        <v>2.335</v>
      </c>
      <c r="AM224">
        <f ca="1">IFERROR(IF(0=LEN(ReferenceData!$AM$224),"",ReferenceData!$AM$224),"")</f>
        <v>2.2450000000000001</v>
      </c>
      <c r="AN224">
        <f ca="1">IFERROR(IF(0=LEN(ReferenceData!$AN$224),"",ReferenceData!$AN$224),"")</f>
        <v>2.586300692</v>
      </c>
      <c r="AO224">
        <f ca="1">IFERROR(IF(0=LEN(ReferenceData!$AO$224),"",ReferenceData!$AO$224),"")</f>
        <v>2.7</v>
      </c>
      <c r="AP224">
        <f ca="1">IFERROR(IF(0=LEN(ReferenceData!$AP$224),"",ReferenceData!$AP$224),"")</f>
        <v>2.71</v>
      </c>
      <c r="AQ224">
        <f ca="1">IFERROR(IF(0=LEN(ReferenceData!$AQ$224),"",ReferenceData!$AQ$224),"")</f>
        <v>2.5</v>
      </c>
      <c r="AR224">
        <f ca="1">IFERROR(IF(0=LEN(ReferenceData!$AR$224),"",ReferenceData!$AR$224),"")</f>
        <v>2.3420400670000001</v>
      </c>
      <c r="AS224">
        <f ca="1">IFERROR(IF(0=LEN(ReferenceData!$AS$224),"",ReferenceData!$AS$224),"")</f>
        <v>2.3296475870000002</v>
      </c>
      <c r="AT224">
        <f ca="1">IFERROR(IF(0=LEN(ReferenceData!$AT$224),"",ReferenceData!$AT$224),"")</f>
        <v>2.4</v>
      </c>
      <c r="AU224">
        <f ca="1">IFERROR(IF(0=LEN(ReferenceData!$AU$224),"",ReferenceData!$AU$224),"")</f>
        <v>2.1615183115000001</v>
      </c>
      <c r="AV224">
        <f ca="1">IFERROR(IF(0=LEN(ReferenceData!$AV$224),"",ReferenceData!$AV$224),"")</f>
        <v>2.44</v>
      </c>
      <c r="AW224">
        <f ca="1">IFERROR(IF(0=LEN(ReferenceData!$AW$224),"",ReferenceData!$AW$224),"")</f>
        <v>2.31</v>
      </c>
      <c r="AX224">
        <f ca="1">IFERROR(IF(0=LEN(ReferenceData!$AX$224),"",ReferenceData!$AX$224),"")</f>
        <v>2.65</v>
      </c>
      <c r="AY224">
        <f ca="1">IFERROR(IF(0=LEN(ReferenceData!$AY$224),"",ReferenceData!$AY$224),"")</f>
        <v>2.41</v>
      </c>
      <c r="AZ224">
        <f ca="1">IFERROR(IF(0=LEN(ReferenceData!$AZ$224),"",ReferenceData!$AZ$224),"")</f>
        <v>2.46</v>
      </c>
      <c r="BA224">
        <f ca="1">IFERROR(IF(0=LEN(ReferenceData!$BA$224),"",ReferenceData!$BA$224),"")</f>
        <v>2.59</v>
      </c>
      <c r="BB224">
        <f ca="1">IFERROR(IF(0=LEN(ReferenceData!$BB$224),"",ReferenceData!$BB$224),"")</f>
        <v>2.29</v>
      </c>
      <c r="BC224">
        <f ca="1">IFERROR(IF(0=LEN(ReferenceData!$BC$224),"",ReferenceData!$BC$224),"")</f>
        <v>2.4135467240000001</v>
      </c>
      <c r="BD224">
        <f ca="1">IFERROR(IF(0=LEN(ReferenceData!$BD$224),"",ReferenceData!$BD$224),"")</f>
        <v>2.658378237</v>
      </c>
      <c r="BE224">
        <f ca="1">IFERROR(IF(0=LEN(ReferenceData!$BE$224),"",ReferenceData!$BE$224),"")</f>
        <v>2.3070710535000001</v>
      </c>
      <c r="BF224">
        <f ca="1">IFERROR(IF(0=LEN(ReferenceData!$BF$224),"",ReferenceData!$BF$224),"")</f>
        <v>2.3892637919999999</v>
      </c>
      <c r="BG224">
        <f ca="1">IFERROR(IF(0=LEN(ReferenceData!$BG$224),"",ReferenceData!$BG$224),"")</f>
        <v>2.5370456094999998</v>
      </c>
      <c r="BH224">
        <f ca="1">IFERROR(IF(0=LEN(ReferenceData!$BH$224),"",ReferenceData!$BH$224),"")</f>
        <v>3.0486044620000001</v>
      </c>
      <c r="BI224">
        <f ca="1">IFERROR(IF(0=LEN(ReferenceData!$BI$224),"",ReferenceData!$BI$224),"")</f>
        <v>3.4334530915000001</v>
      </c>
      <c r="BJ224">
        <f ca="1">IFERROR(IF(0=LEN(ReferenceData!$BJ$224),"",ReferenceData!$BJ$224),"")</f>
        <v>3.3607141375</v>
      </c>
      <c r="BK224">
        <f ca="1">IFERROR(IF(0=LEN(ReferenceData!$BK$224),"",ReferenceData!$BK$224),"")</f>
        <v>3.3936150874999997</v>
      </c>
      <c r="BL224">
        <f ca="1">IFERROR(IF(0=LEN(ReferenceData!$BL$224),"",ReferenceData!$BL$224),"")</f>
        <v>3.3058393129999999</v>
      </c>
      <c r="BM224">
        <f ca="1">IFERROR(IF(0=LEN(ReferenceData!$BM$224),"",ReferenceData!$BM$224),"")</f>
        <v>3.2616620704999999</v>
      </c>
    </row>
    <row r="225" spans="1:65">
      <c r="A225" t="str">
        <f>IFERROR(IF(0=LEN(ReferenceData!$A$225),"",ReferenceData!$A$225),"")</f>
        <v xml:space="preserve">    Boston Properties Inc</v>
      </c>
      <c r="B225" t="str">
        <f>IFERROR(IF(0=LEN(ReferenceData!$B$225),"",ReferenceData!$B$225),"")</f>
        <v>BXP US Equity</v>
      </c>
      <c r="C225" t="str">
        <f>IFERROR(IF(0=LEN(ReferenceData!$C$225),"",ReferenceData!$C$225),"")</f>
        <v>F1023</v>
      </c>
      <c r="D225" t="str">
        <f>IFERROR(IF(0=LEN(ReferenceData!$D$225),"",ReferenceData!$D$225),"")</f>
        <v>FIXED_CHARGE_COVERAGE_RATIO</v>
      </c>
      <c r="E225" t="str">
        <f>IFERROR(IF(0=LEN(ReferenceData!$E$225),"",ReferenceData!$E$225),"")</f>
        <v>动态</v>
      </c>
      <c r="F225" t="str">
        <f ca="1">IFERROR(IF(0=LEN(ReferenceData!$F$225),"",ReferenceData!$F$225),"")</f>
        <v/>
      </c>
      <c r="G225">
        <f ca="1">IFERROR(IF(0=LEN(ReferenceData!$G$225),"",ReferenceData!$G$225),"")</f>
        <v>2.11</v>
      </c>
      <c r="H225">
        <f ca="1">IFERROR(IF(0=LEN(ReferenceData!$H$225),"",ReferenceData!$H$225),"")</f>
        <v>2.12</v>
      </c>
      <c r="I225">
        <f ca="1">IFERROR(IF(0=LEN(ReferenceData!$I$225),"",ReferenceData!$I$225),"")</f>
        <v>2.09</v>
      </c>
      <c r="J225">
        <f ca="1">IFERROR(IF(0=LEN(ReferenceData!$J$225),"",ReferenceData!$J$225),"")</f>
        <v>1.88</v>
      </c>
      <c r="K225">
        <f ca="1">IFERROR(IF(0=LEN(ReferenceData!$K$225),"",ReferenceData!$K$225),"")</f>
        <v>2.0099999999999998</v>
      </c>
      <c r="L225">
        <f ca="1">IFERROR(IF(0=LEN(ReferenceData!$L$225),"",ReferenceData!$L$225),"")</f>
        <v>2.04</v>
      </c>
      <c r="M225">
        <f ca="1">IFERROR(IF(0=LEN(ReferenceData!$M$225),"",ReferenceData!$M$225),"")</f>
        <v>2.33</v>
      </c>
      <c r="N225">
        <f ca="1">IFERROR(IF(0=LEN(ReferenceData!$N$225),"",ReferenceData!$N$225),"")</f>
        <v>2.8</v>
      </c>
      <c r="O225">
        <f ca="1">IFERROR(IF(0=LEN(ReferenceData!$O$225),"",ReferenceData!$O$225),"")</f>
        <v>2.5299999999999998</v>
      </c>
      <c r="P225">
        <f ca="1">IFERROR(IF(0=LEN(ReferenceData!$P$225),"",ReferenceData!$P$225),"")</f>
        <v>2.6</v>
      </c>
      <c r="Q225">
        <f ca="1">IFERROR(IF(0=LEN(ReferenceData!$Q$225),"",ReferenceData!$Q$225),"")</f>
        <v>2.12</v>
      </c>
      <c r="R225">
        <f ca="1">IFERROR(IF(0=LEN(ReferenceData!$R$225),"",ReferenceData!$R$225),"")</f>
        <v>2.52</v>
      </c>
      <c r="S225">
        <f ca="1">IFERROR(IF(0=LEN(ReferenceData!$S$225),"",ReferenceData!$S$225),"")</f>
        <v>1.87</v>
      </c>
      <c r="T225">
        <f ca="1">IFERROR(IF(0=LEN(ReferenceData!$T$225),"",ReferenceData!$T$225),"")</f>
        <v>1.6</v>
      </c>
      <c r="U225">
        <f ca="1">IFERROR(IF(0=LEN(ReferenceData!$U$225),"",ReferenceData!$U$225),"")</f>
        <v>0.13</v>
      </c>
      <c r="V225">
        <f ca="1">IFERROR(IF(0=LEN(ReferenceData!$V$225),"",ReferenceData!$V$225),"")</f>
        <v>1.32</v>
      </c>
      <c r="W225">
        <f ca="1">IFERROR(IF(0=LEN(ReferenceData!$W$225),"",ReferenceData!$W$225),"")</f>
        <v>1.35</v>
      </c>
      <c r="X225">
        <f ca="1">IFERROR(IF(0=LEN(ReferenceData!$X$225),"",ReferenceData!$X$225),"")</f>
        <v>1.33</v>
      </c>
      <c r="Y225">
        <f ca="1">IFERROR(IF(0=LEN(ReferenceData!$Y$225),"",ReferenceData!$Y$225),"")</f>
        <v>1.33</v>
      </c>
      <c r="Z225">
        <f ca="1">IFERROR(IF(0=LEN(ReferenceData!$Z$225),"",ReferenceData!$Z$225),"")</f>
        <v>1.2</v>
      </c>
      <c r="AA225">
        <f ca="1">IFERROR(IF(0=LEN(ReferenceData!$AA$225),"",ReferenceData!$AA$225),"")</f>
        <v>1.48</v>
      </c>
      <c r="AB225">
        <f ca="1">IFERROR(IF(0=LEN(ReferenceData!$AB$225),"",ReferenceData!$AB$225),"")</f>
        <v>1.47</v>
      </c>
      <c r="AC225">
        <f ca="1">IFERROR(IF(0=LEN(ReferenceData!$AC$225),"",ReferenceData!$AC$225),"")</f>
        <v>1.48</v>
      </c>
      <c r="AD225">
        <f ca="1">IFERROR(IF(0=LEN(ReferenceData!$AD$225),"",ReferenceData!$AD$225),"")</f>
        <v>1.33</v>
      </c>
      <c r="AE225">
        <f ca="1">IFERROR(IF(0=LEN(ReferenceData!$AE$225),"",ReferenceData!$AE$225),"")</f>
        <v>1.46</v>
      </c>
      <c r="AF225">
        <f ca="1">IFERROR(IF(0=LEN(ReferenceData!$AF$225),"",ReferenceData!$AF$225),"")</f>
        <v>1.45</v>
      </c>
      <c r="AG225">
        <f ca="1">IFERROR(IF(0=LEN(ReferenceData!$AG$225),"",ReferenceData!$AG$225),"")</f>
        <v>1.4</v>
      </c>
      <c r="AH225">
        <f ca="1">IFERROR(IF(0=LEN(ReferenceData!$AH$225),"",ReferenceData!$AH$225),"")</f>
        <v>1.3</v>
      </c>
      <c r="AI225">
        <f ca="1">IFERROR(IF(0=LEN(ReferenceData!$AI$225),"",ReferenceData!$AI$225),"")</f>
        <v>1.29</v>
      </c>
      <c r="AJ225">
        <f ca="1">IFERROR(IF(0=LEN(ReferenceData!$AJ$225),"",ReferenceData!$AJ$225),"")</f>
        <v>1.49</v>
      </c>
      <c r="AK225">
        <f ca="1">IFERROR(IF(0=LEN(ReferenceData!$AK$225),"",ReferenceData!$AK$225),"")</f>
        <v>1.51</v>
      </c>
      <c r="AL225">
        <f ca="1">IFERROR(IF(0=LEN(ReferenceData!$AL$225),"",ReferenceData!$AL$225),"")</f>
        <v>1.47</v>
      </c>
      <c r="AM225">
        <f ca="1">IFERROR(IF(0=LEN(ReferenceData!$AM$225),"",ReferenceData!$AM$225),"")</f>
        <v>1.51</v>
      </c>
      <c r="AN225">
        <f ca="1">IFERROR(IF(0=LEN(ReferenceData!$AN$225),"",ReferenceData!$AN$225),"")</f>
        <v>1.66</v>
      </c>
      <c r="AO225">
        <f ca="1">IFERROR(IF(0=LEN(ReferenceData!$AO$225),"",ReferenceData!$AO$225),"")</f>
        <v>1.75</v>
      </c>
      <c r="AP225">
        <f ca="1">IFERROR(IF(0=LEN(ReferenceData!$AP$225),"",ReferenceData!$AP$225),"")</f>
        <v>1.42</v>
      </c>
      <c r="AQ225">
        <f ca="1">IFERROR(IF(0=LEN(ReferenceData!$AQ$225),"",ReferenceData!$AQ$225),"")</f>
        <v>1.86</v>
      </c>
      <c r="AR225">
        <f ca="1">IFERROR(IF(0=LEN(ReferenceData!$AR$225),"",ReferenceData!$AR$225),"")</f>
        <v>1.57</v>
      </c>
      <c r="AS225">
        <f ca="1">IFERROR(IF(0=LEN(ReferenceData!$AS$225),"",ReferenceData!$AS$225),"")</f>
        <v>2.11</v>
      </c>
      <c r="AT225">
        <f ca="1">IFERROR(IF(0=LEN(ReferenceData!$AT$225),"",ReferenceData!$AT$225),"")</f>
        <v>2.23</v>
      </c>
      <c r="AU225">
        <f ca="1">IFERROR(IF(0=LEN(ReferenceData!$AU$225),"",ReferenceData!$AU$225),"")</f>
        <v>1.85</v>
      </c>
      <c r="AV225">
        <f ca="1">IFERROR(IF(0=LEN(ReferenceData!$AV$225),"",ReferenceData!$AV$225),"")</f>
        <v>4.5</v>
      </c>
      <c r="AW225">
        <f ca="1">IFERROR(IF(0=LEN(ReferenceData!$AW$225),"",ReferenceData!$AW$225),"")</f>
        <v>2.0099999999999998</v>
      </c>
      <c r="AX225">
        <f ca="1">IFERROR(IF(0=LEN(ReferenceData!$AX$225),"",ReferenceData!$AX$225),"")</f>
        <v>11.65</v>
      </c>
      <c r="AY225">
        <f ca="1">IFERROR(IF(0=LEN(ReferenceData!$AY$225),"",ReferenceData!$AY$225),"")</f>
        <v>1.98</v>
      </c>
      <c r="AZ225">
        <f ca="1">IFERROR(IF(0=LEN(ReferenceData!$AZ$225),"",ReferenceData!$AZ$225),"")</f>
        <v>2.42</v>
      </c>
      <c r="BA225">
        <f ca="1">IFERROR(IF(0=LEN(ReferenceData!$BA$225),"",ReferenceData!$BA$225),"")</f>
        <v>4.785762289</v>
      </c>
      <c r="BB225">
        <f ca="1">IFERROR(IF(0=LEN(ReferenceData!$BB$225),"",ReferenceData!$BB$225),"")</f>
        <v>1.98</v>
      </c>
      <c r="BC225">
        <f ca="1">IFERROR(IF(0=LEN(ReferenceData!$BC$225),"",ReferenceData!$BC$225),"")</f>
        <v>3.2699003520000001</v>
      </c>
      <c r="BD225">
        <f ca="1">IFERROR(IF(0=LEN(ReferenceData!$BD$225),"",ReferenceData!$BD$225),"")</f>
        <v>3.091272123</v>
      </c>
      <c r="BE225" t="str">
        <f ca="1">IFERROR(IF(0=LEN(ReferenceData!$BE$225),"",ReferenceData!$BE$225),"")</f>
        <v/>
      </c>
      <c r="BF225" t="str">
        <f ca="1">IFERROR(IF(0=LEN(ReferenceData!$BF$225),"",ReferenceData!$BF$225),"")</f>
        <v/>
      </c>
      <c r="BG225" t="str">
        <f ca="1">IFERROR(IF(0=LEN(ReferenceData!$BG$225),"",ReferenceData!$BG$225),"")</f>
        <v/>
      </c>
      <c r="BH225" t="str">
        <f ca="1">IFERROR(IF(0=LEN(ReferenceData!$BH$225),"",ReferenceData!$BH$225),"")</f>
        <v/>
      </c>
      <c r="BI225" t="str">
        <f ca="1">IFERROR(IF(0=LEN(ReferenceData!$BI$225),"",ReferenceData!$BI$225),"")</f>
        <v/>
      </c>
      <c r="BJ225" t="str">
        <f ca="1">IFERROR(IF(0=LEN(ReferenceData!$BJ$225),"",ReferenceData!$BJ$225),"")</f>
        <v/>
      </c>
      <c r="BK225" t="str">
        <f ca="1">IFERROR(IF(0=LEN(ReferenceData!$BK$225),"",ReferenceData!$BK$225),"")</f>
        <v/>
      </c>
      <c r="BL225" t="str">
        <f ca="1">IFERROR(IF(0=LEN(ReferenceData!$BL$225),"",ReferenceData!$BL$225),"")</f>
        <v/>
      </c>
      <c r="BM225" t="str">
        <f ca="1">IFERROR(IF(0=LEN(ReferenceData!$BM$225),"",ReferenceData!$BM$225),"")</f>
        <v/>
      </c>
    </row>
    <row r="226" spans="1:65">
      <c r="A226" t="str">
        <f>IFERROR(IF(0=LEN(ReferenceData!$A$226),"",ReferenceData!$A$226),"")</f>
        <v xml:space="preserve">    Brandywine Realty Trust</v>
      </c>
      <c r="B226" t="str">
        <f>IFERROR(IF(0=LEN(ReferenceData!$B$226),"",ReferenceData!$B$226),"")</f>
        <v>BDN US Equity</v>
      </c>
      <c r="C226" t="str">
        <f>IFERROR(IF(0=LEN(ReferenceData!$C$226),"",ReferenceData!$C$226),"")</f>
        <v>F1023</v>
      </c>
      <c r="D226" t="str">
        <f>IFERROR(IF(0=LEN(ReferenceData!$D$226),"",ReferenceData!$D$226),"")</f>
        <v>FIXED_CHARGE_COVERAGE_RATIO</v>
      </c>
      <c r="E226" t="str">
        <f>IFERROR(IF(0=LEN(ReferenceData!$E$226),"",ReferenceData!$E$226),"")</f>
        <v>动态</v>
      </c>
      <c r="F226" t="str">
        <f ca="1">IFERROR(IF(0=LEN(ReferenceData!$F$226),"",ReferenceData!$F$226),"")</f>
        <v/>
      </c>
      <c r="G226">
        <f ca="1">IFERROR(IF(0=LEN(ReferenceData!$G$226),"",ReferenceData!$G$226),"")</f>
        <v>3.2</v>
      </c>
      <c r="H226">
        <f ca="1">IFERROR(IF(0=LEN(ReferenceData!$H$226),"",ReferenceData!$H$226),"")</f>
        <v>3.2</v>
      </c>
      <c r="I226">
        <f ca="1">IFERROR(IF(0=LEN(ReferenceData!$I$226),"",ReferenceData!$I$226),"")</f>
        <v>3.2</v>
      </c>
      <c r="J226">
        <f ca="1">IFERROR(IF(0=LEN(ReferenceData!$J$226),"",ReferenceData!$J$226),"")</f>
        <v>2.9</v>
      </c>
      <c r="K226">
        <f ca="1">IFERROR(IF(0=LEN(ReferenceData!$K$226),"",ReferenceData!$K$226),"")</f>
        <v>2.9</v>
      </c>
      <c r="L226">
        <f ca="1">IFERROR(IF(0=LEN(ReferenceData!$L$226),"",ReferenceData!$L$226),"")</f>
        <v>2.9</v>
      </c>
      <c r="M226">
        <f ca="1">IFERROR(IF(0=LEN(ReferenceData!$M$226),"",ReferenceData!$M$226),"")</f>
        <v>3</v>
      </c>
      <c r="N226">
        <f ca="1">IFERROR(IF(0=LEN(ReferenceData!$N$226),"",ReferenceData!$N$226),"")</f>
        <v>2.7</v>
      </c>
      <c r="O226">
        <f ca="1">IFERROR(IF(0=LEN(ReferenceData!$O$226),"",ReferenceData!$O$226),"")</f>
        <v>2.7</v>
      </c>
      <c r="P226">
        <f ca="1">IFERROR(IF(0=LEN(ReferenceData!$P$226),"",ReferenceData!$P$226),"")</f>
        <v>2.6</v>
      </c>
      <c r="Q226">
        <f ca="1">IFERROR(IF(0=LEN(ReferenceData!$Q$226),"",ReferenceData!$Q$226),"")</f>
        <v>2.5</v>
      </c>
      <c r="R226">
        <f ca="1">IFERROR(IF(0=LEN(ReferenceData!$R$226),"",ReferenceData!$R$226),"")</f>
        <v>2.5</v>
      </c>
      <c r="S226">
        <f ca="1">IFERROR(IF(0=LEN(ReferenceData!$S$226),"",ReferenceData!$S$226),"")</f>
        <v>2.4</v>
      </c>
      <c r="T226">
        <f ca="1">IFERROR(IF(0=LEN(ReferenceData!$T$226),"",ReferenceData!$T$226),"")</f>
        <v>2.2999999999999998</v>
      </c>
      <c r="U226">
        <f ca="1">IFERROR(IF(0=LEN(ReferenceData!$U$226),"",ReferenceData!$U$226),"")</f>
        <v>2.4</v>
      </c>
      <c r="V226">
        <f ca="1">IFERROR(IF(0=LEN(ReferenceData!$V$226),"",ReferenceData!$V$226),"")</f>
        <v>2.2999999999999998</v>
      </c>
      <c r="W226">
        <f ca="1">IFERROR(IF(0=LEN(ReferenceData!$W$226),"",ReferenceData!$W$226),"")</f>
        <v>2.6048474719999999</v>
      </c>
      <c r="X226">
        <f ca="1">IFERROR(IF(0=LEN(ReferenceData!$X$226),"",ReferenceData!$X$226),"")</f>
        <v>2.4</v>
      </c>
      <c r="Y226">
        <f ca="1">IFERROR(IF(0=LEN(ReferenceData!$Y$226),"",ReferenceData!$Y$226),"")</f>
        <v>2.2999999999999998</v>
      </c>
      <c r="Z226">
        <f ca="1">IFERROR(IF(0=LEN(ReferenceData!$Z$226),"",ReferenceData!$Z$226),"")</f>
        <v>2.2999999999999998</v>
      </c>
      <c r="AA226">
        <f ca="1">IFERROR(IF(0=LEN(ReferenceData!$AA$226),"",ReferenceData!$AA$226),"")</f>
        <v>2.1</v>
      </c>
      <c r="AB226">
        <f ca="1">IFERROR(IF(0=LEN(ReferenceData!$AB$226),"",ReferenceData!$AB$226),"")</f>
        <v>2</v>
      </c>
      <c r="AC226">
        <f ca="1">IFERROR(IF(0=LEN(ReferenceData!$AC$226),"",ReferenceData!$AC$226),"")</f>
        <v>2.1</v>
      </c>
      <c r="AD226">
        <f ca="1">IFERROR(IF(0=LEN(ReferenceData!$AD$226),"",ReferenceData!$AD$226),"")</f>
        <v>2.1</v>
      </c>
      <c r="AE226">
        <f ca="1">IFERROR(IF(0=LEN(ReferenceData!$AE$226),"",ReferenceData!$AE$226),"")</f>
        <v>2.1</v>
      </c>
      <c r="AF226">
        <f ca="1">IFERROR(IF(0=LEN(ReferenceData!$AF$226),"",ReferenceData!$AF$226),"")</f>
        <v>2.2000000000000002</v>
      </c>
      <c r="AG226">
        <f ca="1">IFERROR(IF(0=LEN(ReferenceData!$AG$226),"",ReferenceData!$AG$226),"")</f>
        <v>2.1</v>
      </c>
      <c r="AH226">
        <f ca="1">IFERROR(IF(0=LEN(ReferenceData!$AH$226),"",ReferenceData!$AH$226),"")</f>
        <v>2.1</v>
      </c>
      <c r="AI226">
        <f ca="1">IFERROR(IF(0=LEN(ReferenceData!$AI$226),"",ReferenceData!$AI$226),"")</f>
        <v>2</v>
      </c>
      <c r="AJ226">
        <f ca="1">IFERROR(IF(0=LEN(ReferenceData!$AJ$226),"",ReferenceData!$AJ$226),"")</f>
        <v>2</v>
      </c>
      <c r="AK226">
        <f ca="1">IFERROR(IF(0=LEN(ReferenceData!$AK$226),"",ReferenceData!$AK$226),"")</f>
        <v>2.2000000000000002</v>
      </c>
      <c r="AL226">
        <f ca="1">IFERROR(IF(0=LEN(ReferenceData!$AL$226),"",ReferenceData!$AL$226),"")</f>
        <v>2.2000000000000002</v>
      </c>
      <c r="AM226">
        <f ca="1">IFERROR(IF(0=LEN(ReferenceData!$AM$226),"",ReferenceData!$AM$226),"")</f>
        <v>2.1</v>
      </c>
      <c r="AN226">
        <f ca="1">IFERROR(IF(0=LEN(ReferenceData!$AN$226),"",ReferenceData!$AN$226),"")</f>
        <v>2.5</v>
      </c>
      <c r="AO226">
        <f ca="1">IFERROR(IF(0=LEN(ReferenceData!$AO$226),"",ReferenceData!$AO$226),"")</f>
        <v>2.4</v>
      </c>
      <c r="AP226">
        <f ca="1">IFERROR(IF(0=LEN(ReferenceData!$AP$226),"",ReferenceData!$AP$226),"")</f>
        <v>2.2000000000000002</v>
      </c>
      <c r="AQ226">
        <f ca="1">IFERROR(IF(0=LEN(ReferenceData!$AQ$226),"",ReferenceData!$AQ$226),"")</f>
        <v>2.5</v>
      </c>
      <c r="AR226">
        <f ca="1">IFERROR(IF(0=LEN(ReferenceData!$AR$226),"",ReferenceData!$AR$226),"")</f>
        <v>2.2000000000000002</v>
      </c>
      <c r="AS226">
        <f ca="1">IFERROR(IF(0=LEN(ReferenceData!$AS$226),"",ReferenceData!$AS$226),"")</f>
        <v>2.2999999999999998</v>
      </c>
      <c r="AT226">
        <f ca="1">IFERROR(IF(0=LEN(ReferenceData!$AT$226),"",ReferenceData!$AT$226),"")</f>
        <v>2.4</v>
      </c>
      <c r="AU226">
        <f ca="1">IFERROR(IF(0=LEN(ReferenceData!$AU$226),"",ReferenceData!$AU$226),"")</f>
        <v>2.1</v>
      </c>
      <c r="AV226">
        <f ca="1">IFERROR(IF(0=LEN(ReferenceData!$AV$226),"",ReferenceData!$AV$226),"")</f>
        <v>2.2999999999999998</v>
      </c>
      <c r="AW226">
        <f ca="1">IFERROR(IF(0=LEN(ReferenceData!$AW$226),"",ReferenceData!$AW$226),"")</f>
        <v>2.2000000000000002</v>
      </c>
      <c r="AX226">
        <f ca="1">IFERROR(IF(0=LEN(ReferenceData!$AX$226),"",ReferenceData!$AX$226),"")</f>
        <v>2.2000000000000002</v>
      </c>
      <c r="AY226" t="str">
        <f ca="1">IFERROR(IF(0=LEN(ReferenceData!$AY$226),"",ReferenceData!$AY$226),"")</f>
        <v/>
      </c>
      <c r="AZ226">
        <f ca="1">IFERROR(IF(0=LEN(ReferenceData!$AZ$226),"",ReferenceData!$AZ$226),"")</f>
        <v>1.875396603</v>
      </c>
      <c r="BA226">
        <f ca="1">IFERROR(IF(0=LEN(ReferenceData!$BA$226),"",ReferenceData!$BA$226),"")</f>
        <v>2.0328109990000001</v>
      </c>
      <c r="BB226">
        <f ca="1">IFERROR(IF(0=LEN(ReferenceData!$BB$226),"",ReferenceData!$BB$226),"")</f>
        <v>2.190546415</v>
      </c>
      <c r="BC226">
        <f ca="1">IFERROR(IF(0=LEN(ReferenceData!$BC$226),"",ReferenceData!$BC$226),"")</f>
        <v>2.4135467240000001</v>
      </c>
      <c r="BD226">
        <f ca="1">IFERROR(IF(0=LEN(ReferenceData!$BD$226),"",ReferenceData!$BD$226),"")</f>
        <v>2.658378237</v>
      </c>
      <c r="BE226">
        <f ca="1">IFERROR(IF(0=LEN(ReferenceData!$BE$226),"",ReferenceData!$BE$226),"")</f>
        <v>2.328196325</v>
      </c>
      <c r="BF226" t="str">
        <f ca="1">IFERROR(IF(0=LEN(ReferenceData!$BF$226),"",ReferenceData!$BF$226),"")</f>
        <v/>
      </c>
      <c r="BG226" t="str">
        <f ca="1">IFERROR(IF(0=LEN(ReferenceData!$BG$226),"",ReferenceData!$BG$226),"")</f>
        <v/>
      </c>
      <c r="BH226" t="str">
        <f ca="1">IFERROR(IF(0=LEN(ReferenceData!$BH$226),"",ReferenceData!$BH$226),"")</f>
        <v/>
      </c>
      <c r="BI226" t="str">
        <f ca="1">IFERROR(IF(0=LEN(ReferenceData!$BI$226),"",ReferenceData!$BI$226),"")</f>
        <v/>
      </c>
      <c r="BJ226" t="str">
        <f ca="1">IFERROR(IF(0=LEN(ReferenceData!$BJ$226),"",ReferenceData!$BJ$226),"")</f>
        <v/>
      </c>
      <c r="BK226" t="str">
        <f ca="1">IFERROR(IF(0=LEN(ReferenceData!$BK$226),"",ReferenceData!$BK$226),"")</f>
        <v/>
      </c>
      <c r="BL226" t="str">
        <f ca="1">IFERROR(IF(0=LEN(ReferenceData!$BL$226),"",ReferenceData!$BL$226),"")</f>
        <v/>
      </c>
      <c r="BM226" t="str">
        <f ca="1">IFERROR(IF(0=LEN(ReferenceData!$BM$226),"",ReferenceData!$BM$226),"")</f>
        <v/>
      </c>
    </row>
    <row r="227" spans="1:65">
      <c r="A227" t="str">
        <f>IFERROR(IF(0=LEN(ReferenceData!$A$227),"",ReferenceData!$A$227),"")</f>
        <v xml:space="preserve">    Columbia Property Trust Inc</v>
      </c>
      <c r="B227" t="str">
        <f>IFERROR(IF(0=LEN(ReferenceData!$B$227),"",ReferenceData!$B$227),"")</f>
        <v>CXP US Equity</v>
      </c>
      <c r="C227" t="str">
        <f>IFERROR(IF(0=LEN(ReferenceData!$C$227),"",ReferenceData!$C$227),"")</f>
        <v>F1023</v>
      </c>
      <c r="D227" t="str">
        <f>IFERROR(IF(0=LEN(ReferenceData!$D$227),"",ReferenceData!$D$227),"")</f>
        <v>FIXED_CHARGE_COVERAGE_RATIO</v>
      </c>
      <c r="E227" t="str">
        <f>IFERROR(IF(0=LEN(ReferenceData!$E$227),"",ReferenceData!$E$227),"")</f>
        <v>动态</v>
      </c>
      <c r="F227" t="str">
        <f ca="1">IFERROR(IF(0=LEN(ReferenceData!$F$227),"",ReferenceData!$F$227),"")</f>
        <v/>
      </c>
      <c r="G227">
        <f ca="1">IFERROR(IF(0=LEN(ReferenceData!$G$227),"",ReferenceData!$G$227),"")</f>
        <v>2.9234280259999998</v>
      </c>
      <c r="H227">
        <f ca="1">IFERROR(IF(0=LEN(ReferenceData!$H$227),"",ReferenceData!$H$227),"")</f>
        <v>3.1673725250000002</v>
      </c>
      <c r="I227">
        <f ca="1">IFERROR(IF(0=LEN(ReferenceData!$I$227),"",ReferenceData!$I$227),"")</f>
        <v>3.3765849879999998</v>
      </c>
      <c r="J227">
        <f ca="1">IFERROR(IF(0=LEN(ReferenceData!$J$227),"",ReferenceData!$J$227),"")</f>
        <v>3.669335308</v>
      </c>
      <c r="K227">
        <f ca="1">IFERROR(IF(0=LEN(ReferenceData!$K$227),"",ReferenceData!$K$227),"")</f>
        <v>3.8468251269999998</v>
      </c>
      <c r="L227">
        <f ca="1">IFERROR(IF(0=LEN(ReferenceData!$L$227),"",ReferenceData!$L$227),"")</f>
        <v>3.9352834149999998</v>
      </c>
      <c r="M227">
        <f ca="1">IFERROR(IF(0=LEN(ReferenceData!$M$227),"",ReferenceData!$M$227),"")</f>
        <v>4.1399559769999996</v>
      </c>
      <c r="N227">
        <f ca="1">IFERROR(IF(0=LEN(ReferenceData!$N$227),"",ReferenceData!$N$227),"")</f>
        <v>4.040044548</v>
      </c>
      <c r="O227">
        <f ca="1">IFERROR(IF(0=LEN(ReferenceData!$O$227),"",ReferenceData!$O$227),"")</f>
        <v>4.0204933409999999</v>
      </c>
      <c r="P227">
        <f ca="1">IFERROR(IF(0=LEN(ReferenceData!$P$227),"",ReferenceData!$P$227),"")</f>
        <v>4.6506534459999997</v>
      </c>
      <c r="Q227">
        <f ca="1">IFERROR(IF(0=LEN(ReferenceData!$Q$227),"",ReferenceData!$Q$227),"")</f>
        <v>4.783904315</v>
      </c>
      <c r="R227">
        <f ca="1">IFERROR(IF(0=LEN(ReferenceData!$R$227),"",ReferenceData!$R$227),"")</f>
        <v>4.9175379960000001</v>
      </c>
      <c r="S227">
        <f ca="1">IFERROR(IF(0=LEN(ReferenceData!$S$227),"",ReferenceData!$S$227),"")</f>
        <v>5.1268111640000003</v>
      </c>
      <c r="T227">
        <f ca="1">IFERROR(IF(0=LEN(ReferenceData!$T$227),"",ReferenceData!$T$227),"")</f>
        <v>4.2569982580000003</v>
      </c>
      <c r="U227">
        <f ca="1">IFERROR(IF(0=LEN(ReferenceData!$U$227),"",ReferenceData!$U$227),"")</f>
        <v>3.8957100589999998</v>
      </c>
      <c r="V227">
        <f ca="1">IFERROR(IF(0=LEN(ReferenceData!$V$227),"",ReferenceData!$V$227),"")</f>
        <v>3.7720797720000001</v>
      </c>
      <c r="W227">
        <f ca="1">IFERROR(IF(0=LEN(ReferenceData!$W$227),"",ReferenceData!$W$227),"")</f>
        <v>3.2639075540000002</v>
      </c>
      <c r="X227">
        <f ca="1">IFERROR(IF(0=LEN(ReferenceData!$X$227),"",ReferenceData!$X$227),"")</f>
        <v>3.156413938</v>
      </c>
      <c r="Y227">
        <f ca="1">IFERROR(IF(0=LEN(ReferenceData!$Y$227),"",ReferenceData!$Y$227),"")</f>
        <v>3.1468435239999999</v>
      </c>
      <c r="Z227">
        <f ca="1">IFERROR(IF(0=LEN(ReferenceData!$Z$227),"",ReferenceData!$Z$227),"")</f>
        <v>3.1022365129999998</v>
      </c>
      <c r="AA227">
        <f ca="1">IFERROR(IF(0=LEN(ReferenceData!$AA$227),"",ReferenceData!$AA$227),"")</f>
        <v>3.4354587429999999</v>
      </c>
      <c r="AB227">
        <f ca="1">IFERROR(IF(0=LEN(ReferenceData!$AB$227),"",ReferenceData!$AB$227),"")</f>
        <v>3.436529304</v>
      </c>
      <c r="AC227">
        <f ca="1">IFERROR(IF(0=LEN(ReferenceData!$AC$227),"",ReferenceData!$AC$227),"")</f>
        <v>3.322970964</v>
      </c>
      <c r="AD227">
        <f ca="1">IFERROR(IF(0=LEN(ReferenceData!$AD$227),"",ReferenceData!$AD$227),"")</f>
        <v>3.1853542350000001</v>
      </c>
      <c r="AE227">
        <f ca="1">IFERROR(IF(0=LEN(ReferenceData!$AE$227),"",ReferenceData!$AE$227),"")</f>
        <v>3.2327265889999999</v>
      </c>
      <c r="AF227">
        <f ca="1">IFERROR(IF(0=LEN(ReferenceData!$AF$227),"",ReferenceData!$AF$227),"")</f>
        <v>3.7077779689999999</v>
      </c>
      <c r="AG227">
        <f ca="1">IFERROR(IF(0=LEN(ReferenceData!$AG$227),"",ReferenceData!$AG$227),"")</f>
        <v>3.955553622</v>
      </c>
      <c r="AH227">
        <f ca="1">IFERROR(IF(0=LEN(ReferenceData!$AH$227),"",ReferenceData!$AH$227),"")</f>
        <v>4.0953919240000003</v>
      </c>
      <c r="AI227">
        <f ca="1">IFERROR(IF(0=LEN(ReferenceData!$AI$227),"",ReferenceData!$AI$227),"")</f>
        <v>3.990047455</v>
      </c>
      <c r="AJ227">
        <f ca="1">IFERROR(IF(0=LEN(ReferenceData!$AJ$227),"",ReferenceData!$AJ$227),"")</f>
        <v>3.8272678760000001</v>
      </c>
      <c r="AK227">
        <f ca="1">IFERROR(IF(0=LEN(ReferenceData!$AK$227),"",ReferenceData!$AK$227),"")</f>
        <v>3.676348178</v>
      </c>
      <c r="AL227">
        <f ca="1">IFERROR(IF(0=LEN(ReferenceData!$AL$227),"",ReferenceData!$AL$227),"")</f>
        <v>3.9141073049999999</v>
      </c>
      <c r="AM227">
        <f ca="1">IFERROR(IF(0=LEN(ReferenceData!$AM$227),"",ReferenceData!$AM$227),"")</f>
        <v>3.9749436870000001</v>
      </c>
      <c r="AN227" t="str">
        <f ca="1">IFERROR(IF(0=LEN(ReferenceData!$AN$227),"",ReferenceData!$AN$227),"")</f>
        <v/>
      </c>
      <c r="AO227" t="str">
        <f ca="1">IFERROR(IF(0=LEN(ReferenceData!$AO$227),"",ReferenceData!$AO$227),"")</f>
        <v/>
      </c>
      <c r="AP227" t="str">
        <f ca="1">IFERROR(IF(0=LEN(ReferenceData!$AP$227),"",ReferenceData!$AP$227),"")</f>
        <v/>
      </c>
      <c r="AQ227" t="str">
        <f ca="1">IFERROR(IF(0=LEN(ReferenceData!$AQ$227),"",ReferenceData!$AQ$227),"")</f>
        <v/>
      </c>
      <c r="AR227" t="str">
        <f ca="1">IFERROR(IF(0=LEN(ReferenceData!$AR$227),"",ReferenceData!$AR$227),"")</f>
        <v/>
      </c>
      <c r="AS227" t="str">
        <f ca="1">IFERROR(IF(0=LEN(ReferenceData!$AS$227),"",ReferenceData!$AS$227),"")</f>
        <v/>
      </c>
      <c r="AT227" t="str">
        <f ca="1">IFERROR(IF(0=LEN(ReferenceData!$AT$227),"",ReferenceData!$AT$227),"")</f>
        <v/>
      </c>
      <c r="AU227" t="str">
        <f ca="1">IFERROR(IF(0=LEN(ReferenceData!$AU$227),"",ReferenceData!$AU$227),"")</f>
        <v/>
      </c>
      <c r="AV227" t="str">
        <f ca="1">IFERROR(IF(0=LEN(ReferenceData!$AV$227),"",ReferenceData!$AV$227),"")</f>
        <v/>
      </c>
      <c r="AW227" t="str">
        <f ca="1">IFERROR(IF(0=LEN(ReferenceData!$AW$227),"",ReferenceData!$AW$227),"")</f>
        <v/>
      </c>
      <c r="AX227" t="str">
        <f ca="1">IFERROR(IF(0=LEN(ReferenceData!$AX$227),"",ReferenceData!$AX$227),"")</f>
        <v/>
      </c>
      <c r="AY227" t="str">
        <f ca="1">IFERROR(IF(0=LEN(ReferenceData!$AY$227),"",ReferenceData!$AY$227),"")</f>
        <v/>
      </c>
      <c r="AZ227" t="str">
        <f ca="1">IFERROR(IF(0=LEN(ReferenceData!$AZ$227),"",ReferenceData!$AZ$227),"")</f>
        <v/>
      </c>
      <c r="BA227" t="str">
        <f ca="1">IFERROR(IF(0=LEN(ReferenceData!$BA$227),"",ReferenceData!$BA$227),"")</f>
        <v/>
      </c>
      <c r="BB227" t="str">
        <f ca="1">IFERROR(IF(0=LEN(ReferenceData!$BB$227),"",ReferenceData!$BB$227),"")</f>
        <v/>
      </c>
      <c r="BC227" t="str">
        <f ca="1">IFERROR(IF(0=LEN(ReferenceData!$BC$227),"",ReferenceData!$BC$227),"")</f>
        <v/>
      </c>
      <c r="BD227" t="str">
        <f ca="1">IFERROR(IF(0=LEN(ReferenceData!$BD$227),"",ReferenceData!$BD$227),"")</f>
        <v/>
      </c>
      <c r="BE227" t="str">
        <f ca="1">IFERROR(IF(0=LEN(ReferenceData!$BE$227),"",ReferenceData!$BE$227),"")</f>
        <v/>
      </c>
      <c r="BF227" t="str">
        <f ca="1">IFERROR(IF(0=LEN(ReferenceData!$BF$227),"",ReferenceData!$BF$227),"")</f>
        <v/>
      </c>
      <c r="BG227" t="str">
        <f ca="1">IFERROR(IF(0=LEN(ReferenceData!$BG$227),"",ReferenceData!$BG$227),"")</f>
        <v/>
      </c>
      <c r="BH227" t="str">
        <f ca="1">IFERROR(IF(0=LEN(ReferenceData!$BH$227),"",ReferenceData!$BH$227),"")</f>
        <v/>
      </c>
      <c r="BI227" t="str">
        <f ca="1">IFERROR(IF(0=LEN(ReferenceData!$BI$227),"",ReferenceData!$BI$227),"")</f>
        <v/>
      </c>
      <c r="BJ227" t="str">
        <f ca="1">IFERROR(IF(0=LEN(ReferenceData!$BJ$227),"",ReferenceData!$BJ$227),"")</f>
        <v/>
      </c>
      <c r="BK227" t="str">
        <f ca="1">IFERROR(IF(0=LEN(ReferenceData!$BK$227),"",ReferenceData!$BK$227),"")</f>
        <v/>
      </c>
      <c r="BL227" t="str">
        <f ca="1">IFERROR(IF(0=LEN(ReferenceData!$BL$227),"",ReferenceData!$BL$227),"")</f>
        <v/>
      </c>
      <c r="BM227" t="str">
        <f ca="1">IFERROR(IF(0=LEN(ReferenceData!$BM$227),"",ReferenceData!$BM$227),"")</f>
        <v/>
      </c>
    </row>
    <row r="228" spans="1:65">
      <c r="A228" t="str">
        <f>IFERROR(IF(0=LEN(ReferenceData!$A$228),"",ReferenceData!$A$228),"")</f>
        <v xml:space="preserve">    Corporate Office Properties Tr</v>
      </c>
      <c r="B228" t="str">
        <f>IFERROR(IF(0=LEN(ReferenceData!$B$228),"",ReferenceData!$B$228),"")</f>
        <v>OFC US Equity</v>
      </c>
      <c r="C228" t="str">
        <f>IFERROR(IF(0=LEN(ReferenceData!$C$228),"",ReferenceData!$C$228),"")</f>
        <v>F1023</v>
      </c>
      <c r="D228" t="str">
        <f>IFERROR(IF(0=LEN(ReferenceData!$D$228),"",ReferenceData!$D$228),"")</f>
        <v>FIXED_CHARGE_COVERAGE_RATIO</v>
      </c>
      <c r="E228" t="str">
        <f>IFERROR(IF(0=LEN(ReferenceData!$E$228),"",ReferenceData!$E$228),"")</f>
        <v>动态</v>
      </c>
      <c r="F228" t="str">
        <f ca="1">IFERROR(IF(0=LEN(ReferenceData!$F$228),"",ReferenceData!$F$228),"")</f>
        <v/>
      </c>
      <c r="G228">
        <f ca="1">IFERROR(IF(0=LEN(ReferenceData!$G$228),"",ReferenceData!$G$228),"")</f>
        <v>3.7</v>
      </c>
      <c r="H228">
        <f ca="1">IFERROR(IF(0=LEN(ReferenceData!$H$228),"",ReferenceData!$H$228),"")</f>
        <v>3.7</v>
      </c>
      <c r="I228">
        <f ca="1">IFERROR(IF(0=LEN(ReferenceData!$I$228),"",ReferenceData!$I$228),"")</f>
        <v>3.2</v>
      </c>
      <c r="J228">
        <f ca="1">IFERROR(IF(0=LEN(ReferenceData!$J$228),"",ReferenceData!$J$228),"")</f>
        <v>3.1</v>
      </c>
      <c r="K228">
        <f ca="1">IFERROR(IF(0=LEN(ReferenceData!$K$228),"",ReferenceData!$K$228),"")</f>
        <v>3.1</v>
      </c>
      <c r="L228">
        <f ca="1">IFERROR(IF(0=LEN(ReferenceData!$L$228),"",ReferenceData!$L$228),"")</f>
        <v>3.1</v>
      </c>
      <c r="M228">
        <f ca="1">IFERROR(IF(0=LEN(ReferenceData!$M$228),"",ReferenceData!$M$228),"")</f>
        <v>2.9</v>
      </c>
      <c r="N228">
        <f ca="1">IFERROR(IF(0=LEN(ReferenceData!$N$228),"",ReferenceData!$N$228),"")</f>
        <v>1.1100000000000001</v>
      </c>
      <c r="O228">
        <f ca="1">IFERROR(IF(0=LEN(ReferenceData!$O$228),"",ReferenceData!$O$228),"")</f>
        <v>2.9</v>
      </c>
      <c r="P228">
        <f ca="1">IFERROR(IF(0=LEN(ReferenceData!$P$228),"",ReferenceData!$P$228),"")</f>
        <v>2.9</v>
      </c>
      <c r="Q228">
        <f ca="1">IFERROR(IF(0=LEN(ReferenceData!$Q$228),"",ReferenceData!$Q$228),"")</f>
        <v>3.1</v>
      </c>
      <c r="R228">
        <f ca="1">IFERROR(IF(0=LEN(ReferenceData!$R$228),"",ReferenceData!$R$228),"")</f>
        <v>2.9</v>
      </c>
      <c r="S228">
        <f ca="1">IFERROR(IF(0=LEN(ReferenceData!$S$228),"",ReferenceData!$S$228),"")</f>
        <v>2.8</v>
      </c>
      <c r="T228">
        <f ca="1">IFERROR(IF(0=LEN(ReferenceData!$T$228),"",ReferenceData!$T$228),"")</f>
        <v>3.4</v>
      </c>
      <c r="U228">
        <f ca="1">IFERROR(IF(0=LEN(ReferenceData!$U$228),"",ReferenceData!$U$228),"")</f>
        <v>2.5</v>
      </c>
      <c r="V228">
        <f ca="1">IFERROR(IF(0=LEN(ReferenceData!$V$228),"",ReferenceData!$V$228),"")</f>
        <v>2.9</v>
      </c>
      <c r="W228">
        <f ca="1">IFERROR(IF(0=LEN(ReferenceData!$W$228),"",ReferenceData!$W$228),"")</f>
        <v>2.8</v>
      </c>
      <c r="X228">
        <f ca="1">IFERROR(IF(0=LEN(ReferenceData!$X$228),"",ReferenceData!$X$228),"")</f>
        <v>3.6</v>
      </c>
      <c r="Y228">
        <f ca="1">IFERROR(IF(0=LEN(ReferenceData!$Y$228),"",ReferenceData!$Y$228),"")</f>
        <v>2.9</v>
      </c>
      <c r="Z228">
        <f ca="1">IFERROR(IF(0=LEN(ReferenceData!$Z$228),"",ReferenceData!$Z$228),"")</f>
        <v>2.7</v>
      </c>
      <c r="AA228">
        <f ca="1">IFERROR(IF(0=LEN(ReferenceData!$AA$228),"",ReferenceData!$AA$228),"")</f>
        <v>2.6</v>
      </c>
      <c r="AB228">
        <f ca="1">IFERROR(IF(0=LEN(ReferenceData!$AB$228),"",ReferenceData!$AB$228),"")</f>
        <v>2.58</v>
      </c>
      <c r="AC228">
        <f ca="1">IFERROR(IF(0=LEN(ReferenceData!$AC$228),"",ReferenceData!$AC$228),"")</f>
        <v>2.65</v>
      </c>
      <c r="AD228">
        <f ca="1">IFERROR(IF(0=LEN(ReferenceData!$AD$228),"",ReferenceData!$AD$228),"")</f>
        <v>2.72</v>
      </c>
      <c r="AE228">
        <f ca="1">IFERROR(IF(0=LEN(ReferenceData!$AE$228),"",ReferenceData!$AE$228),"")</f>
        <v>2.61</v>
      </c>
      <c r="AF228">
        <f ca="1">IFERROR(IF(0=LEN(ReferenceData!$AF$228),"",ReferenceData!$AF$228),"")</f>
        <v>2.1337179609999999</v>
      </c>
      <c r="AG228">
        <f ca="1">IFERROR(IF(0=LEN(ReferenceData!$AG$228),"",ReferenceData!$AG$228),"")</f>
        <v>2.1175051090000001</v>
      </c>
      <c r="AH228">
        <f ca="1">IFERROR(IF(0=LEN(ReferenceData!$AH$228),"",ReferenceData!$AH$228),"")</f>
        <v>2.48</v>
      </c>
      <c r="AI228">
        <f ca="1">IFERROR(IF(0=LEN(ReferenceData!$AI$228),"",ReferenceData!$AI$228),"")</f>
        <v>2.54</v>
      </c>
      <c r="AJ228">
        <f ca="1">IFERROR(IF(0=LEN(ReferenceData!$AJ$228),"",ReferenceData!$AJ$228),"")</f>
        <v>2.5499999999999998</v>
      </c>
      <c r="AK228">
        <f ca="1">IFERROR(IF(0=LEN(ReferenceData!$AK$228),"",ReferenceData!$AK$228),"")</f>
        <v>2.41</v>
      </c>
      <c r="AL228">
        <f ca="1">IFERROR(IF(0=LEN(ReferenceData!$AL$228),"",ReferenceData!$AL$228),"")</f>
        <v>2.4700000000000002</v>
      </c>
      <c r="AM228">
        <f ca="1">IFERROR(IF(0=LEN(ReferenceData!$AM$228),"",ReferenceData!$AM$228),"")</f>
        <v>2.31</v>
      </c>
      <c r="AN228">
        <f ca="1">IFERROR(IF(0=LEN(ReferenceData!$AN$228),"",ReferenceData!$AN$228),"")</f>
        <v>2.64</v>
      </c>
      <c r="AO228">
        <f ca="1">IFERROR(IF(0=LEN(ReferenceData!$AO$228),"",ReferenceData!$AO$228),"")</f>
        <v>3.01</v>
      </c>
      <c r="AP228">
        <f ca="1">IFERROR(IF(0=LEN(ReferenceData!$AP$228),"",ReferenceData!$AP$228),"")</f>
        <v>2.86</v>
      </c>
      <c r="AQ228">
        <f ca="1">IFERROR(IF(0=LEN(ReferenceData!$AQ$228),"",ReferenceData!$AQ$228),"")</f>
        <v>3.08</v>
      </c>
      <c r="AR228">
        <f ca="1">IFERROR(IF(0=LEN(ReferenceData!$AR$228),"",ReferenceData!$AR$228),"")</f>
        <v>2.5299999999999998</v>
      </c>
      <c r="AS228">
        <f ca="1">IFERROR(IF(0=LEN(ReferenceData!$AS$228),"",ReferenceData!$AS$228),"")</f>
        <v>2.5499999999999998</v>
      </c>
      <c r="AT228">
        <f ca="1">IFERROR(IF(0=LEN(ReferenceData!$AT$228),"",ReferenceData!$AT$228),"")</f>
        <v>2.4500000000000002</v>
      </c>
      <c r="AU228">
        <f ca="1">IFERROR(IF(0=LEN(ReferenceData!$AU$228),"",ReferenceData!$AU$228),"")</f>
        <v>2.35</v>
      </c>
      <c r="AV228">
        <f ca="1">IFERROR(IF(0=LEN(ReferenceData!$AV$228),"",ReferenceData!$AV$228),"")</f>
        <v>2.44</v>
      </c>
      <c r="AW228">
        <f ca="1">IFERROR(IF(0=LEN(ReferenceData!$AW$228),"",ReferenceData!$AW$228),"")</f>
        <v>2.31</v>
      </c>
      <c r="AX228">
        <f ca="1">IFERROR(IF(0=LEN(ReferenceData!$AX$228),"",ReferenceData!$AX$228),"")</f>
        <v>2.21</v>
      </c>
      <c r="AY228">
        <f ca="1">IFERROR(IF(0=LEN(ReferenceData!$AY$228),"",ReferenceData!$AY$228),"")</f>
        <v>2.41</v>
      </c>
      <c r="AZ228">
        <f ca="1">IFERROR(IF(0=LEN(ReferenceData!$AZ$228),"",ReferenceData!$AZ$228),"")</f>
        <v>2.89</v>
      </c>
      <c r="BA228">
        <f ca="1">IFERROR(IF(0=LEN(ReferenceData!$BA$228),"",ReferenceData!$BA$228),"")</f>
        <v>2.2200000000000002</v>
      </c>
      <c r="BB228">
        <f ca="1">IFERROR(IF(0=LEN(ReferenceData!$BB$228),"",ReferenceData!$BB$228),"")</f>
        <v>2.29</v>
      </c>
      <c r="BC228">
        <f ca="1">IFERROR(IF(0=LEN(ReferenceData!$BC$228),"",ReferenceData!$BC$228),"")</f>
        <v>2.2599999999999998</v>
      </c>
      <c r="BD228">
        <f ca="1">IFERROR(IF(0=LEN(ReferenceData!$BD$228),"",ReferenceData!$BD$228),"")</f>
        <v>2.2668709439999999</v>
      </c>
      <c r="BE228">
        <f ca="1">IFERROR(IF(0=LEN(ReferenceData!$BE$228),"",ReferenceData!$BE$228),"")</f>
        <v>2.2859457820000002</v>
      </c>
      <c r="BF228">
        <f ca="1">IFERROR(IF(0=LEN(ReferenceData!$BF$228),"",ReferenceData!$BF$228),"")</f>
        <v>2.3199818649999999</v>
      </c>
      <c r="BG228">
        <f ca="1">IFERROR(IF(0=LEN(ReferenceData!$BG$228),"",ReferenceData!$BG$228),"")</f>
        <v>2.2607951640000001</v>
      </c>
      <c r="BH228">
        <f ca="1">IFERROR(IF(0=LEN(ReferenceData!$BH$228),"",ReferenceData!$BH$228),"")</f>
        <v>2.2147251479999999</v>
      </c>
      <c r="BI228">
        <f ca="1">IFERROR(IF(0=LEN(ReferenceData!$BI$228),"",ReferenceData!$BI$228),"")</f>
        <v>2.1859092599999999</v>
      </c>
      <c r="BJ228">
        <f ca="1">IFERROR(IF(0=LEN(ReferenceData!$BJ$228),"",ReferenceData!$BJ$228),"")</f>
        <v>2.1147335209999998</v>
      </c>
      <c r="BK228">
        <f ca="1">IFERROR(IF(0=LEN(ReferenceData!$BK$228),"",ReferenceData!$BK$228),"")</f>
        <v>2.098984357</v>
      </c>
      <c r="BL228">
        <f ca="1">IFERROR(IF(0=LEN(ReferenceData!$BL$228),"",ReferenceData!$BL$228),"")</f>
        <v>2.0011415129999999</v>
      </c>
      <c r="BM228">
        <f ca="1">IFERROR(IF(0=LEN(ReferenceData!$BM$228),"",ReferenceData!$BM$228),"")</f>
        <v>1.9312709020000001</v>
      </c>
    </row>
    <row r="229" spans="1:65">
      <c r="A229" t="str">
        <f>IFERROR(IF(0=LEN(ReferenceData!$A$229),"",ReferenceData!$A$229),"")</f>
        <v xml:space="preserve">    Highwoods Properties Inc</v>
      </c>
      <c r="B229" t="str">
        <f>IFERROR(IF(0=LEN(ReferenceData!$B$229),"",ReferenceData!$B$229),"")</f>
        <v>HIW US Equity</v>
      </c>
      <c r="C229" t="str">
        <f>IFERROR(IF(0=LEN(ReferenceData!$C$229),"",ReferenceData!$C$229),"")</f>
        <v>F1023</v>
      </c>
      <c r="D229" t="str">
        <f>IFERROR(IF(0=LEN(ReferenceData!$D$229),"",ReferenceData!$D$229),"")</f>
        <v>FIXED_CHARGE_COVERAGE_RATIO</v>
      </c>
      <c r="E229" t="str">
        <f>IFERROR(IF(0=LEN(ReferenceData!$E$229),"",ReferenceData!$E$229),"")</f>
        <v>动态</v>
      </c>
      <c r="F229" t="str">
        <f ca="1">IFERROR(IF(0=LEN(ReferenceData!$F$229),"",ReferenceData!$F$229),"")</f>
        <v/>
      </c>
      <c r="G229">
        <f ca="1">IFERROR(IF(0=LEN(ReferenceData!$G$229),"",ReferenceData!$G$229),"")</f>
        <v>3.25</v>
      </c>
      <c r="H229">
        <f ca="1">IFERROR(IF(0=LEN(ReferenceData!$H$229),"",ReferenceData!$H$229),"")</f>
        <v>3.02</v>
      </c>
      <c r="I229">
        <f ca="1">IFERROR(IF(0=LEN(ReferenceData!$I$229),"",ReferenceData!$I$229),"")</f>
        <v>2.46</v>
      </c>
      <c r="J229">
        <f ca="1">IFERROR(IF(0=LEN(ReferenceData!$J$229),"",ReferenceData!$J$229),"")</f>
        <v>2.46</v>
      </c>
      <c r="K229">
        <f ca="1">IFERROR(IF(0=LEN(ReferenceData!$K$229),"",ReferenceData!$K$229),"")</f>
        <v>2.29</v>
      </c>
      <c r="L229">
        <f ca="1">IFERROR(IF(0=LEN(ReferenceData!$L$229),"",ReferenceData!$L$229),"")</f>
        <v>2.33</v>
      </c>
      <c r="M229">
        <f ca="1">IFERROR(IF(0=LEN(ReferenceData!$M$229),"",ReferenceData!$M$229),"")</f>
        <v>2.25</v>
      </c>
      <c r="N229">
        <f ca="1">IFERROR(IF(0=LEN(ReferenceData!$N$229),"",ReferenceData!$N$229),"")</f>
        <v>2.09</v>
      </c>
      <c r="O229">
        <f ca="1">IFERROR(IF(0=LEN(ReferenceData!$O$229),"",ReferenceData!$O$229),"")</f>
        <v>1.81</v>
      </c>
      <c r="P229">
        <f ca="1">IFERROR(IF(0=LEN(ReferenceData!$P$229),"",ReferenceData!$P$229),"")</f>
        <v>2.02</v>
      </c>
      <c r="Q229">
        <f ca="1">IFERROR(IF(0=LEN(ReferenceData!$Q$229),"",ReferenceData!$Q$229),"")</f>
        <v>1.91</v>
      </c>
      <c r="R229">
        <f ca="1">IFERROR(IF(0=LEN(ReferenceData!$R$229),"",ReferenceData!$R$229),"")</f>
        <v>1.76</v>
      </c>
      <c r="S229">
        <f ca="1">IFERROR(IF(0=LEN(ReferenceData!$S$229),"",ReferenceData!$S$229),"")</f>
        <v>1.99</v>
      </c>
      <c r="T229">
        <f ca="1">IFERROR(IF(0=LEN(ReferenceData!$T$229),"",ReferenceData!$T$229),"")</f>
        <v>2.27</v>
      </c>
      <c r="U229">
        <f ca="1">IFERROR(IF(0=LEN(ReferenceData!$U$229),"",ReferenceData!$U$229),"")</f>
        <v>1.8</v>
      </c>
      <c r="V229">
        <f ca="1">IFERROR(IF(0=LEN(ReferenceData!$V$229),"",ReferenceData!$V$229),"")</f>
        <v>1.59</v>
      </c>
      <c r="W229">
        <f ca="1">IFERROR(IF(0=LEN(ReferenceData!$W$229),"",ReferenceData!$W$229),"")</f>
        <v>1.63</v>
      </c>
      <c r="X229">
        <f ca="1">IFERROR(IF(0=LEN(ReferenceData!$X$229),"",ReferenceData!$X$229),"")</f>
        <v>1.65</v>
      </c>
      <c r="Y229">
        <f ca="1">IFERROR(IF(0=LEN(ReferenceData!$Y$229),"",ReferenceData!$Y$229),"")</f>
        <v>1.6</v>
      </c>
      <c r="Z229">
        <f ca="1">IFERROR(IF(0=LEN(ReferenceData!$Z$229),"",ReferenceData!$Z$229),"")</f>
        <v>1.54</v>
      </c>
      <c r="AA229">
        <f ca="1">IFERROR(IF(0=LEN(ReferenceData!$AA$229),"",ReferenceData!$AA$229),"")</f>
        <v>1.39</v>
      </c>
      <c r="AB229">
        <f ca="1">IFERROR(IF(0=LEN(ReferenceData!$AB$229),"",ReferenceData!$AB$229),"")</f>
        <v>1.47</v>
      </c>
      <c r="AC229">
        <f ca="1">IFERROR(IF(0=LEN(ReferenceData!$AC$229),"",ReferenceData!$AC$229),"")</f>
        <v>1.51</v>
      </c>
      <c r="AD229">
        <f ca="1">IFERROR(IF(0=LEN(ReferenceData!$AD$229),"",ReferenceData!$AD$229),"")</f>
        <v>1.58</v>
      </c>
      <c r="AE229">
        <f ca="1">IFERROR(IF(0=LEN(ReferenceData!$AE$229),"",ReferenceData!$AE$229),"")</f>
        <v>1.45</v>
      </c>
      <c r="AF229">
        <f ca="1">IFERROR(IF(0=LEN(ReferenceData!$AF$229),"",ReferenceData!$AF$229),"")</f>
        <v>1.42</v>
      </c>
      <c r="AG229">
        <f ca="1">IFERROR(IF(0=LEN(ReferenceData!$AG$229),"",ReferenceData!$AG$229),"")</f>
        <v>1.52</v>
      </c>
      <c r="AH229">
        <f ca="1">IFERROR(IF(0=LEN(ReferenceData!$AH$229),"",ReferenceData!$AH$229),"")</f>
        <v>1.49</v>
      </c>
      <c r="AI229">
        <f ca="1">IFERROR(IF(0=LEN(ReferenceData!$AI$229),"",ReferenceData!$AI$229),"")</f>
        <v>-3.79</v>
      </c>
      <c r="AJ229">
        <f ca="1">IFERROR(IF(0=LEN(ReferenceData!$AJ$229),"",ReferenceData!$AJ$229),"")</f>
        <v>1.36</v>
      </c>
      <c r="AK229">
        <f ca="1">IFERROR(IF(0=LEN(ReferenceData!$AK$229),"",ReferenceData!$AK$229),"")</f>
        <v>2.68</v>
      </c>
      <c r="AL229">
        <f ca="1">IFERROR(IF(0=LEN(ReferenceData!$AL$229),"",ReferenceData!$AL$229),"")</f>
        <v>1.48</v>
      </c>
      <c r="AM229">
        <f ca="1">IFERROR(IF(0=LEN(ReferenceData!$AM$229),"",ReferenceData!$AM$229),"")</f>
        <v>2.6003997230000002</v>
      </c>
      <c r="AN229">
        <f ca="1">IFERROR(IF(0=LEN(ReferenceData!$AN$229),"",ReferenceData!$AN$229),"")</f>
        <v>2.586300692</v>
      </c>
      <c r="AO229">
        <f ca="1">IFERROR(IF(0=LEN(ReferenceData!$AO$229),"",ReferenceData!$AO$229),"")</f>
        <v>2.5331748190000001</v>
      </c>
      <c r="AP229">
        <f ca="1">IFERROR(IF(0=LEN(ReferenceData!$AP$229),"",ReferenceData!$AP$229),"")</f>
        <v>2.4117309420000002</v>
      </c>
      <c r="AQ229">
        <f ca="1">IFERROR(IF(0=LEN(ReferenceData!$AQ$229),"",ReferenceData!$AQ$229),"")</f>
        <v>1.02</v>
      </c>
      <c r="AR229">
        <f ca="1">IFERROR(IF(0=LEN(ReferenceData!$AR$229),"",ReferenceData!$AR$229),"")</f>
        <v>2.2633897049999998</v>
      </c>
      <c r="AS229">
        <f ca="1">IFERROR(IF(0=LEN(ReferenceData!$AS$229),"",ReferenceData!$AS$229),"")</f>
        <v>2.1565592109999998</v>
      </c>
      <c r="AT229">
        <f ca="1">IFERROR(IF(0=LEN(ReferenceData!$AT$229),"",ReferenceData!$AT$229),"")</f>
        <v>2.0735574400000001</v>
      </c>
      <c r="AU229">
        <f ca="1">IFERROR(IF(0=LEN(ReferenceData!$AU$229),"",ReferenceData!$AU$229),"")</f>
        <v>2.223036623</v>
      </c>
      <c r="AV229">
        <f ca="1">IFERROR(IF(0=LEN(ReferenceData!$AV$229),"",ReferenceData!$AV$229),"")</f>
        <v>2.174317195</v>
      </c>
      <c r="AW229">
        <f ca="1">IFERROR(IF(0=LEN(ReferenceData!$AW$229),"",ReferenceData!$AW$229),"")</f>
        <v>2.1819677500000001</v>
      </c>
      <c r="AX229">
        <f ca="1">IFERROR(IF(0=LEN(ReferenceData!$AX$229),"",ReferenceData!$AX$229),"")</f>
        <v>2.1896553129999998</v>
      </c>
      <c r="AY229">
        <f ca="1">IFERROR(IF(0=LEN(ReferenceData!$AY$229),"",ReferenceData!$AY$229),"")</f>
        <v>2.0124561390000002</v>
      </c>
      <c r="AZ229">
        <f ca="1">IFERROR(IF(0=LEN(ReferenceData!$AZ$229),"",ReferenceData!$AZ$229),"")</f>
        <v>1.9138581299999999</v>
      </c>
      <c r="BA229">
        <f ca="1">IFERROR(IF(0=LEN(ReferenceData!$BA$229),"",ReferenceData!$BA$229),"")</f>
        <v>1.9542633389999999</v>
      </c>
      <c r="BB229">
        <f ca="1">IFERROR(IF(0=LEN(ReferenceData!$BB$229),"",ReferenceData!$BB$229),"")</f>
        <v>1.9544538709999999</v>
      </c>
      <c r="BC229">
        <f ca="1">IFERROR(IF(0=LEN(ReferenceData!$BC$229),"",ReferenceData!$BC$229),"")</f>
        <v>1.9103551990000001</v>
      </c>
      <c r="BD229">
        <f ca="1">IFERROR(IF(0=LEN(ReferenceData!$BD$229),"",ReferenceData!$BD$229),"")</f>
        <v>1.8324094150000001</v>
      </c>
      <c r="BE229">
        <f ca="1">IFERROR(IF(0=LEN(ReferenceData!$BE$229),"",ReferenceData!$BE$229),"")</f>
        <v>1.752774214</v>
      </c>
      <c r="BF229">
        <f ca="1">IFERROR(IF(0=LEN(ReferenceData!$BF$229),"",ReferenceData!$BF$229),"")</f>
        <v>1.823559511</v>
      </c>
      <c r="BG229">
        <f ca="1">IFERROR(IF(0=LEN(ReferenceData!$BG$229),"",ReferenceData!$BG$229),"")</f>
        <v>1.7629765399999999</v>
      </c>
      <c r="BH229" t="str">
        <f ca="1">IFERROR(IF(0=LEN(ReferenceData!$BH$229),"",ReferenceData!$BH$229),"")</f>
        <v/>
      </c>
      <c r="BI229" t="str">
        <f ca="1">IFERROR(IF(0=LEN(ReferenceData!$BI$229),"",ReferenceData!$BI$229),"")</f>
        <v/>
      </c>
      <c r="BJ229" t="str">
        <f ca="1">IFERROR(IF(0=LEN(ReferenceData!$BJ$229),"",ReferenceData!$BJ$229),"")</f>
        <v/>
      </c>
      <c r="BK229" t="str">
        <f ca="1">IFERROR(IF(0=LEN(ReferenceData!$BK$229),"",ReferenceData!$BK$229),"")</f>
        <v/>
      </c>
      <c r="BL229" t="str">
        <f ca="1">IFERROR(IF(0=LEN(ReferenceData!$BL$229),"",ReferenceData!$BL$229),"")</f>
        <v/>
      </c>
      <c r="BM229" t="str">
        <f ca="1">IFERROR(IF(0=LEN(ReferenceData!$BM$229),"",ReferenceData!$BM$229),"")</f>
        <v/>
      </c>
    </row>
    <row r="230" spans="1:65">
      <c r="A230" t="str">
        <f>IFERROR(IF(0=LEN(ReferenceData!$A$230),"",ReferenceData!$A$230),"")</f>
        <v xml:space="preserve">    Kilroy Realty Corp</v>
      </c>
      <c r="B230" t="str">
        <f>IFERROR(IF(0=LEN(ReferenceData!$B$230),"",ReferenceData!$B$230),"")</f>
        <v>KRC US Equity</v>
      </c>
      <c r="C230" t="str">
        <f>IFERROR(IF(0=LEN(ReferenceData!$C$230),"",ReferenceData!$C$230),"")</f>
        <v>F1023</v>
      </c>
      <c r="D230" t="str">
        <f>IFERROR(IF(0=LEN(ReferenceData!$D$230),"",ReferenceData!$D$230),"")</f>
        <v>FIXED_CHARGE_COVERAGE_RATIO</v>
      </c>
      <c r="E230" t="str">
        <f>IFERROR(IF(0=LEN(ReferenceData!$E$230),"",ReferenceData!$E$230),"")</f>
        <v>动态</v>
      </c>
      <c r="F230" t="str">
        <f ca="1">IFERROR(IF(0=LEN(ReferenceData!$F$230),"",ReferenceData!$F$230),"")</f>
        <v/>
      </c>
      <c r="G230">
        <f ca="1">IFERROR(IF(0=LEN(ReferenceData!$G$230),"",ReferenceData!$G$230),"")</f>
        <v>4.2</v>
      </c>
      <c r="H230">
        <f ca="1">IFERROR(IF(0=LEN(ReferenceData!$H$230),"",ReferenceData!$H$230),"")</f>
        <v>3.3</v>
      </c>
      <c r="I230">
        <f ca="1">IFERROR(IF(0=LEN(ReferenceData!$I$230),"",ReferenceData!$I$230),"")</f>
        <v>3.3</v>
      </c>
      <c r="J230">
        <f ca="1">IFERROR(IF(0=LEN(ReferenceData!$J$230),"",ReferenceData!$J$230),"")</f>
        <v>3.2</v>
      </c>
      <c r="K230">
        <f ca="1">IFERROR(IF(0=LEN(ReferenceData!$K$230),"",ReferenceData!$K$230),"")</f>
        <v>3.7</v>
      </c>
      <c r="L230">
        <f ca="1">IFERROR(IF(0=LEN(ReferenceData!$L$230),"",ReferenceData!$L$230),"")</f>
        <v>3</v>
      </c>
      <c r="M230">
        <f ca="1">IFERROR(IF(0=LEN(ReferenceData!$M$230),"",ReferenceData!$M$230),"")</f>
        <v>2.8</v>
      </c>
      <c r="N230">
        <f ca="1">IFERROR(IF(0=LEN(ReferenceData!$N$230),"",ReferenceData!$N$230),"")</f>
        <v>2.5</v>
      </c>
      <c r="O230">
        <f ca="1">IFERROR(IF(0=LEN(ReferenceData!$O$230),"",ReferenceData!$O$230),"")</f>
        <v>3.1</v>
      </c>
      <c r="P230">
        <f ca="1">IFERROR(IF(0=LEN(ReferenceData!$P$230),"",ReferenceData!$P$230),"")</f>
        <v>3</v>
      </c>
      <c r="Q230">
        <f ca="1">IFERROR(IF(0=LEN(ReferenceData!$Q$230),"",ReferenceData!$Q$230),"")</f>
        <v>3.1</v>
      </c>
      <c r="R230">
        <f ca="1">IFERROR(IF(0=LEN(ReferenceData!$R$230),"",ReferenceData!$R$230),"")</f>
        <v>3.6</v>
      </c>
      <c r="S230">
        <f ca="1">IFERROR(IF(0=LEN(ReferenceData!$S$230),"",ReferenceData!$S$230),"")</f>
        <v>2.9</v>
      </c>
      <c r="T230">
        <f ca="1">IFERROR(IF(0=LEN(ReferenceData!$T$230),"",ReferenceData!$T$230),"")</f>
        <v>2.6</v>
      </c>
      <c r="U230">
        <f ca="1">IFERROR(IF(0=LEN(ReferenceData!$U$230),"",ReferenceData!$U$230),"")</f>
        <v>2.9</v>
      </c>
      <c r="V230">
        <f ca="1">IFERROR(IF(0=LEN(ReferenceData!$V$230),"",ReferenceData!$V$230),"")</f>
        <v>2.7</v>
      </c>
      <c r="W230">
        <f ca="1">IFERROR(IF(0=LEN(ReferenceData!$W$230),"",ReferenceData!$W$230),"")</f>
        <v>2.7</v>
      </c>
      <c r="X230">
        <f ca="1">IFERROR(IF(0=LEN(ReferenceData!$X$230),"",ReferenceData!$X$230),"")</f>
        <v>2.7</v>
      </c>
      <c r="Y230">
        <f ca="1">IFERROR(IF(0=LEN(ReferenceData!$Y$230),"",ReferenceData!$Y$230),"")</f>
        <v>2.7</v>
      </c>
      <c r="Z230">
        <f ca="1">IFERROR(IF(0=LEN(ReferenceData!$Z$230),"",ReferenceData!$Z$230),"")</f>
        <v>2.5</v>
      </c>
      <c r="AA230">
        <f ca="1">IFERROR(IF(0=LEN(ReferenceData!$AA$230),"",ReferenceData!$AA$230),"")</f>
        <v>2.6</v>
      </c>
      <c r="AB230">
        <f ca="1">IFERROR(IF(0=LEN(ReferenceData!$AB$230),"",ReferenceData!$AB$230),"")</f>
        <v>2.6</v>
      </c>
      <c r="AC230">
        <f ca="1">IFERROR(IF(0=LEN(ReferenceData!$AC$230),"",ReferenceData!$AC$230),"")</f>
        <v>2.6</v>
      </c>
      <c r="AD230">
        <f ca="1">IFERROR(IF(0=LEN(ReferenceData!$AD$230),"",ReferenceData!$AD$230),"")</f>
        <v>2.5</v>
      </c>
      <c r="AE230">
        <f ca="1">IFERROR(IF(0=LEN(ReferenceData!$AE$230),"",ReferenceData!$AE$230),"")</f>
        <v>2.2999999999999998</v>
      </c>
      <c r="AF230">
        <f ca="1">IFERROR(IF(0=LEN(ReferenceData!$AF$230),"",ReferenceData!$AF$230),"")</f>
        <v>2.2999999999999998</v>
      </c>
      <c r="AG230">
        <f ca="1">IFERROR(IF(0=LEN(ReferenceData!$AG$230),"",ReferenceData!$AG$230),"")</f>
        <v>2.4</v>
      </c>
      <c r="AH230">
        <f ca="1">IFERROR(IF(0=LEN(ReferenceData!$AH$230),"",ReferenceData!$AH$230),"")</f>
        <v>2.4</v>
      </c>
      <c r="AI230">
        <f ca="1">IFERROR(IF(0=LEN(ReferenceData!$AI$230),"",ReferenceData!$AI$230),"")</f>
        <v>2.5</v>
      </c>
      <c r="AJ230">
        <f ca="1">IFERROR(IF(0=LEN(ReferenceData!$AJ$230),"",ReferenceData!$AJ$230),"")</f>
        <v>2.7</v>
      </c>
      <c r="AK230">
        <f ca="1">IFERROR(IF(0=LEN(ReferenceData!$AK$230),"",ReferenceData!$AK$230),"")</f>
        <v>2.7</v>
      </c>
      <c r="AL230">
        <f ca="1">IFERROR(IF(0=LEN(ReferenceData!$AL$230),"",ReferenceData!$AL$230),"")</f>
        <v>2.8</v>
      </c>
      <c r="AM230">
        <f ca="1">IFERROR(IF(0=LEN(ReferenceData!$AM$230),"",ReferenceData!$AM$230),"")</f>
        <v>2.2000000000000002</v>
      </c>
      <c r="AN230">
        <f ca="1">IFERROR(IF(0=LEN(ReferenceData!$AN$230),"",ReferenceData!$AN$230),"")</f>
        <v>3</v>
      </c>
      <c r="AO230">
        <f ca="1">IFERROR(IF(0=LEN(ReferenceData!$AO$230),"",ReferenceData!$AO$230),"")</f>
        <v>3.1</v>
      </c>
      <c r="AP230">
        <f ca="1">IFERROR(IF(0=LEN(ReferenceData!$AP$230),"",ReferenceData!$AP$230),"")</f>
        <v>3</v>
      </c>
      <c r="AQ230">
        <f ca="1">IFERROR(IF(0=LEN(ReferenceData!$AQ$230),"",ReferenceData!$AQ$230),"")</f>
        <v>2.5</v>
      </c>
      <c r="AR230">
        <f ca="1">IFERROR(IF(0=LEN(ReferenceData!$AR$230),"",ReferenceData!$AR$230),"")</f>
        <v>3.6</v>
      </c>
      <c r="AS230">
        <f ca="1">IFERROR(IF(0=LEN(ReferenceData!$AS$230),"",ReferenceData!$AS$230),"")</f>
        <v>3.1</v>
      </c>
      <c r="AT230">
        <f ca="1">IFERROR(IF(0=LEN(ReferenceData!$AT$230),"",ReferenceData!$AT$230),"")</f>
        <v>3.2</v>
      </c>
      <c r="AU230" t="str">
        <f ca="1">IFERROR(IF(0=LEN(ReferenceData!$AU$230),"",ReferenceData!$AU$230),"")</f>
        <v/>
      </c>
      <c r="AV230">
        <f ca="1">IFERROR(IF(0=LEN(ReferenceData!$AV$230),"",ReferenceData!$AV$230),"")</f>
        <v>3.2</v>
      </c>
      <c r="AW230">
        <f ca="1">IFERROR(IF(0=LEN(ReferenceData!$AW$230),"",ReferenceData!$AW$230),"")</f>
        <v>3.3</v>
      </c>
      <c r="AX230">
        <f ca="1">IFERROR(IF(0=LEN(ReferenceData!$AX$230),"",ReferenceData!$AX$230),"")</f>
        <v>2.9</v>
      </c>
      <c r="AY230" t="str">
        <f ca="1">IFERROR(IF(0=LEN(ReferenceData!$AY$230),"",ReferenceData!$AY$230),"")</f>
        <v/>
      </c>
      <c r="AZ230">
        <f ca="1">IFERROR(IF(0=LEN(ReferenceData!$AZ$230),"",ReferenceData!$AZ$230),"")</f>
        <v>2.9</v>
      </c>
      <c r="BA230">
        <f ca="1">IFERROR(IF(0=LEN(ReferenceData!$BA$230),"",ReferenceData!$BA$230),"")</f>
        <v>3.5</v>
      </c>
      <c r="BB230">
        <f ca="1">IFERROR(IF(0=LEN(ReferenceData!$BB$230),"",ReferenceData!$BB$230),"")</f>
        <v>2.7</v>
      </c>
      <c r="BC230" t="str">
        <f ca="1">IFERROR(IF(0=LEN(ReferenceData!$BC$230),"",ReferenceData!$BC$230),"")</f>
        <v/>
      </c>
      <c r="BD230" t="str">
        <f ca="1">IFERROR(IF(0=LEN(ReferenceData!$BD$230),"",ReferenceData!$BD$230),"")</f>
        <v/>
      </c>
      <c r="BE230" t="str">
        <f ca="1">IFERROR(IF(0=LEN(ReferenceData!$BE$230),"",ReferenceData!$BE$230),"")</f>
        <v/>
      </c>
      <c r="BF230">
        <f ca="1">IFERROR(IF(0=LEN(ReferenceData!$BF$230),"",ReferenceData!$BF$230),"")</f>
        <v>2.458545719</v>
      </c>
      <c r="BG230">
        <f ca="1">IFERROR(IF(0=LEN(ReferenceData!$BG$230),"",ReferenceData!$BG$230),"")</f>
        <v>2.8132960549999999</v>
      </c>
      <c r="BH230">
        <f ca="1">IFERROR(IF(0=LEN(ReferenceData!$BH$230),"",ReferenceData!$BH$230),"")</f>
        <v>3.0486044620000001</v>
      </c>
      <c r="BI230" t="str">
        <f ca="1">IFERROR(IF(0=LEN(ReferenceData!$BI$230),"",ReferenceData!$BI$230),"")</f>
        <v/>
      </c>
      <c r="BJ230" t="str">
        <f ca="1">IFERROR(IF(0=LEN(ReferenceData!$BJ$230),"",ReferenceData!$BJ$230),"")</f>
        <v/>
      </c>
      <c r="BK230" t="str">
        <f ca="1">IFERROR(IF(0=LEN(ReferenceData!$BK$230),"",ReferenceData!$BK$230),"")</f>
        <v/>
      </c>
      <c r="BL230" t="str">
        <f ca="1">IFERROR(IF(0=LEN(ReferenceData!$BL$230),"",ReferenceData!$BL$230),"")</f>
        <v/>
      </c>
      <c r="BM230" t="str">
        <f ca="1">IFERROR(IF(0=LEN(ReferenceData!$BM$230),"",ReferenceData!$BM$230),"")</f>
        <v/>
      </c>
    </row>
    <row r="231" spans="1:65">
      <c r="A231" t="str">
        <f>IFERROR(IF(0=LEN(ReferenceData!$A$231),"",ReferenceData!$A$231),"")</f>
        <v xml:space="preserve">    Mack-Cali Realty Corp</v>
      </c>
      <c r="B231" t="str">
        <f>IFERROR(IF(0=LEN(ReferenceData!$B$231),"",ReferenceData!$B$231),"")</f>
        <v>CLI US Equity</v>
      </c>
      <c r="C231" t="str">
        <f>IFERROR(IF(0=LEN(ReferenceData!$C$231),"",ReferenceData!$C$231),"")</f>
        <v>F1023</v>
      </c>
      <c r="D231" t="str">
        <f>IFERROR(IF(0=LEN(ReferenceData!$D$231),"",ReferenceData!$D$231),"")</f>
        <v>FIXED_CHARGE_COVERAGE_RATIO</v>
      </c>
      <c r="E231" t="str">
        <f>IFERROR(IF(0=LEN(ReferenceData!$E$231),"",ReferenceData!$E$231),"")</f>
        <v>动态</v>
      </c>
      <c r="F231" t="str">
        <f ca="1">IFERROR(IF(0=LEN(ReferenceData!$F$231),"",ReferenceData!$F$231),"")</f>
        <v/>
      </c>
      <c r="G231">
        <f ca="1">IFERROR(IF(0=LEN(ReferenceData!$G$231),"",ReferenceData!$G$231),"")</f>
        <v>2.4</v>
      </c>
      <c r="H231">
        <f ca="1">IFERROR(IF(0=LEN(ReferenceData!$H$231),"",ReferenceData!$H$231),"")</f>
        <v>2.6</v>
      </c>
      <c r="I231">
        <f ca="1">IFERROR(IF(0=LEN(ReferenceData!$I$231),"",ReferenceData!$I$231),"")</f>
        <v>2.8</v>
      </c>
      <c r="J231">
        <f ca="1">IFERROR(IF(0=LEN(ReferenceData!$J$231),"",ReferenceData!$J$231),"")</f>
        <v>2.9</v>
      </c>
      <c r="K231">
        <f ca="1">IFERROR(IF(0=LEN(ReferenceData!$K$231),"",ReferenceData!$K$231),"")</f>
        <v>2.71</v>
      </c>
      <c r="L231">
        <f ca="1">IFERROR(IF(0=LEN(ReferenceData!$L$231),"",ReferenceData!$L$231),"")</f>
        <v>2.63</v>
      </c>
      <c r="M231">
        <f ca="1">IFERROR(IF(0=LEN(ReferenceData!$M$231),"",ReferenceData!$M$231),"")</f>
        <v>2.64</v>
      </c>
      <c r="N231">
        <f ca="1">IFERROR(IF(0=LEN(ReferenceData!$N$231),"",ReferenceData!$N$231),"")</f>
        <v>2.35</v>
      </c>
      <c r="O231">
        <f ca="1">IFERROR(IF(0=LEN(ReferenceData!$O$231),"",ReferenceData!$O$231),"")</f>
        <v>2.35</v>
      </c>
      <c r="P231">
        <f ca="1">IFERROR(IF(0=LEN(ReferenceData!$P$231),"",ReferenceData!$P$231),"")</f>
        <v>2.64</v>
      </c>
      <c r="Q231">
        <f ca="1">IFERROR(IF(0=LEN(ReferenceData!$Q$231),"",ReferenceData!$Q$231),"")</f>
        <v>2.3199999999999998</v>
      </c>
      <c r="R231">
        <f ca="1">IFERROR(IF(0=LEN(ReferenceData!$R$231),"",ReferenceData!$R$231),"")</f>
        <v>2.2000000000000002</v>
      </c>
      <c r="S231">
        <f ca="1">IFERROR(IF(0=LEN(ReferenceData!$S$231),"",ReferenceData!$S$231),"")</f>
        <v>1.85</v>
      </c>
      <c r="T231">
        <f ca="1">IFERROR(IF(0=LEN(ReferenceData!$T$231),"",ReferenceData!$T$231),"")</f>
        <v>2.34</v>
      </c>
      <c r="U231">
        <f ca="1">IFERROR(IF(0=LEN(ReferenceData!$U$231),"",ReferenceData!$U$231),"")</f>
        <v>2.44</v>
      </c>
      <c r="V231">
        <f ca="1">IFERROR(IF(0=LEN(ReferenceData!$V$231),"",ReferenceData!$V$231),"")</f>
        <v>1.77</v>
      </c>
      <c r="W231">
        <f ca="1">IFERROR(IF(0=LEN(ReferenceData!$W$231),"",ReferenceData!$W$231),"")</f>
        <v>2.38</v>
      </c>
      <c r="X231">
        <f ca="1">IFERROR(IF(0=LEN(ReferenceData!$X$231),"",ReferenceData!$X$231),"")</f>
        <v>2.48</v>
      </c>
      <c r="Y231">
        <f ca="1">IFERROR(IF(0=LEN(ReferenceData!$Y$231),"",ReferenceData!$Y$231),"")</f>
        <v>2.72</v>
      </c>
      <c r="Z231">
        <f ca="1">IFERROR(IF(0=LEN(ReferenceData!$Z$231),"",ReferenceData!$Z$231),"")</f>
        <v>2.7</v>
      </c>
      <c r="AA231">
        <f ca="1">IFERROR(IF(0=LEN(ReferenceData!$AA$231),"",ReferenceData!$AA$231),"")</f>
        <v>2.8</v>
      </c>
      <c r="AB231">
        <f ca="1">IFERROR(IF(0=LEN(ReferenceData!$AB$231),"",ReferenceData!$AB$231),"")</f>
        <v>2.92</v>
      </c>
      <c r="AC231">
        <f ca="1">IFERROR(IF(0=LEN(ReferenceData!$AC$231),"",ReferenceData!$AC$231),"")</f>
        <v>2.88</v>
      </c>
      <c r="AD231">
        <f ca="1">IFERROR(IF(0=LEN(ReferenceData!$AD$231),"",ReferenceData!$AD$231),"")</f>
        <v>3.31</v>
      </c>
      <c r="AE231">
        <f ca="1">IFERROR(IF(0=LEN(ReferenceData!$AE$231),"",ReferenceData!$AE$231),"")</f>
        <v>3.06</v>
      </c>
      <c r="AF231">
        <f ca="1">IFERROR(IF(0=LEN(ReferenceData!$AF$231),"",ReferenceData!$AF$231),"")</f>
        <v>3.17</v>
      </c>
      <c r="AG231">
        <f ca="1">IFERROR(IF(0=LEN(ReferenceData!$AG$231),"",ReferenceData!$AG$231),"")</f>
        <v>3.07</v>
      </c>
      <c r="AH231">
        <f ca="1">IFERROR(IF(0=LEN(ReferenceData!$AH$231),"",ReferenceData!$AH$231),"")</f>
        <v>2.98</v>
      </c>
      <c r="AI231">
        <f ca="1">IFERROR(IF(0=LEN(ReferenceData!$AI$231),"",ReferenceData!$AI$231),"")</f>
        <v>2.4</v>
      </c>
      <c r="AJ231">
        <f ca="1">IFERROR(IF(0=LEN(ReferenceData!$AJ$231),"",ReferenceData!$AJ$231),"")</f>
        <v>2.61</v>
      </c>
      <c r="AK231">
        <f ca="1">IFERROR(IF(0=LEN(ReferenceData!$AK$231),"",ReferenceData!$AK$231),"")</f>
        <v>2.65</v>
      </c>
      <c r="AL231">
        <f ca="1">IFERROR(IF(0=LEN(ReferenceData!$AL$231),"",ReferenceData!$AL$231),"")</f>
        <v>2.59</v>
      </c>
      <c r="AM231">
        <f ca="1">IFERROR(IF(0=LEN(ReferenceData!$AM$231),"",ReferenceData!$AM$231),"")</f>
        <v>-5.85</v>
      </c>
      <c r="AN231">
        <f ca="1">IFERROR(IF(0=LEN(ReferenceData!$AN$231),"",ReferenceData!$AN$231),"")</f>
        <v>2.97</v>
      </c>
      <c r="AO231">
        <f ca="1">IFERROR(IF(0=LEN(ReferenceData!$AO$231),"",ReferenceData!$AO$231),"")</f>
        <v>2.89</v>
      </c>
      <c r="AP231">
        <f ca="1">IFERROR(IF(0=LEN(ReferenceData!$AP$231),"",ReferenceData!$AP$231),"")</f>
        <v>2.71</v>
      </c>
      <c r="AQ231">
        <f ca="1">IFERROR(IF(0=LEN(ReferenceData!$AQ$231),"",ReferenceData!$AQ$231),"")</f>
        <v>2.54</v>
      </c>
      <c r="AR231">
        <f ca="1">IFERROR(IF(0=LEN(ReferenceData!$AR$231),"",ReferenceData!$AR$231),"")</f>
        <v>3.06</v>
      </c>
      <c r="AS231">
        <f ca="1">IFERROR(IF(0=LEN(ReferenceData!$AS$231),"",ReferenceData!$AS$231),"")</f>
        <v>2.85</v>
      </c>
      <c r="AT231">
        <f ca="1">IFERROR(IF(0=LEN(ReferenceData!$AT$231),"",ReferenceData!$AT$231),"")</f>
        <v>2.7</v>
      </c>
      <c r="AU231">
        <f ca="1">IFERROR(IF(0=LEN(ReferenceData!$AU$231),"",ReferenceData!$AU$231),"")</f>
        <v>2.86</v>
      </c>
      <c r="AV231">
        <f ca="1">IFERROR(IF(0=LEN(ReferenceData!$AV$231),"",ReferenceData!$AV$231),"")</f>
        <v>2.93</v>
      </c>
      <c r="AW231">
        <f ca="1">IFERROR(IF(0=LEN(ReferenceData!$AW$231),"",ReferenceData!$AW$231),"")</f>
        <v>2.94</v>
      </c>
      <c r="AX231">
        <f ca="1">IFERROR(IF(0=LEN(ReferenceData!$AX$231),"",ReferenceData!$AX$231),"")</f>
        <v>2.77</v>
      </c>
      <c r="AY231">
        <f ca="1">IFERROR(IF(0=LEN(ReferenceData!$AY$231),"",ReferenceData!$AY$231),"")</f>
        <v>2.4700000000000002</v>
      </c>
      <c r="AZ231">
        <f ca="1">IFERROR(IF(0=LEN(ReferenceData!$AZ$231),"",ReferenceData!$AZ$231),"")</f>
        <v>2.4500000000000002</v>
      </c>
      <c r="BA231">
        <f ca="1">IFERROR(IF(0=LEN(ReferenceData!$BA$231),"",ReferenceData!$BA$231),"")</f>
        <v>2.71</v>
      </c>
      <c r="BB231">
        <f ca="1">IFERROR(IF(0=LEN(ReferenceData!$BB$231),"",ReferenceData!$BB$231),"")</f>
        <v>3</v>
      </c>
      <c r="BC231">
        <f ca="1">IFERROR(IF(0=LEN(ReferenceData!$BC$231),"",ReferenceData!$BC$231),"")</f>
        <v>2.9602223009999999</v>
      </c>
      <c r="BD231">
        <f ca="1">IFERROR(IF(0=LEN(ReferenceData!$BD$231),"",ReferenceData!$BD$231),"")</f>
        <v>3.1577305629999999</v>
      </c>
      <c r="BE231">
        <f ca="1">IFERROR(IF(0=LEN(ReferenceData!$BE$231),"",ReferenceData!$BE$231),"")</f>
        <v>3.1757448849999999</v>
      </c>
      <c r="BF231">
        <f ca="1">IFERROR(IF(0=LEN(ReferenceData!$BF$231),"",ReferenceData!$BF$231),"")</f>
        <v>3.1782366010000001</v>
      </c>
      <c r="BG231">
        <f ca="1">IFERROR(IF(0=LEN(ReferenceData!$BG$231),"",ReferenceData!$BG$231),"")</f>
        <v>3.1546473179999999</v>
      </c>
      <c r="BH231">
        <f ca="1">IFERROR(IF(0=LEN(ReferenceData!$BH$231),"",ReferenceData!$BH$231),"")</f>
        <v>3.1195561359999999</v>
      </c>
      <c r="BI231">
        <f ca="1">IFERROR(IF(0=LEN(ReferenceData!$BI$231),"",ReferenceData!$BI$231),"")</f>
        <v>3.2606712500000001</v>
      </c>
      <c r="BJ231">
        <f ca="1">IFERROR(IF(0=LEN(ReferenceData!$BJ$231),"",ReferenceData!$BJ$231),"")</f>
        <v>3.2207300210000001</v>
      </c>
      <c r="BK231">
        <f ca="1">IFERROR(IF(0=LEN(ReferenceData!$BK$231),"",ReferenceData!$BK$231),"")</f>
        <v>3.2115691399999999</v>
      </c>
      <c r="BL231">
        <f ca="1">IFERROR(IF(0=LEN(ReferenceData!$BL$231),"",ReferenceData!$BL$231),"")</f>
        <v>3.198698383</v>
      </c>
      <c r="BM231">
        <f ca="1">IFERROR(IF(0=LEN(ReferenceData!$BM$231),"",ReferenceData!$BM$231),"")</f>
        <v>3.1807087549999999</v>
      </c>
    </row>
    <row r="232" spans="1:65">
      <c r="A232" t="str">
        <f>IFERROR(IF(0=LEN(ReferenceData!$A$232),"",ReferenceData!$A$232),"")</f>
        <v xml:space="preserve">    Piedmont Office Realty Trust I</v>
      </c>
      <c r="B232" t="str">
        <f>IFERROR(IF(0=LEN(ReferenceData!$B$232),"",ReferenceData!$B$232),"")</f>
        <v>PDM US Equity</v>
      </c>
      <c r="C232" t="str">
        <f>IFERROR(IF(0=LEN(ReferenceData!$C$232),"",ReferenceData!$C$232),"")</f>
        <v>F1023</v>
      </c>
      <c r="D232" t="str">
        <f>IFERROR(IF(0=LEN(ReferenceData!$D$232),"",ReferenceData!$D$232),"")</f>
        <v>FIXED_CHARGE_COVERAGE_RATIO</v>
      </c>
      <c r="E232" t="str">
        <f>IFERROR(IF(0=LEN(ReferenceData!$E$232),"",ReferenceData!$E$232),"")</f>
        <v>动态</v>
      </c>
      <c r="F232" t="str">
        <f ca="1">IFERROR(IF(0=LEN(ReferenceData!$F$232),"",ReferenceData!$F$232),"")</f>
        <v/>
      </c>
      <c r="G232">
        <f ca="1">IFERROR(IF(0=LEN(ReferenceData!$G$232),"",ReferenceData!$G$232),"")</f>
        <v>4.9000000000000004</v>
      </c>
      <c r="H232">
        <f ca="1">IFERROR(IF(0=LEN(ReferenceData!$H$232),"",ReferenceData!$H$232),"")</f>
        <v>4.7</v>
      </c>
      <c r="I232">
        <f ca="1">IFERROR(IF(0=LEN(ReferenceData!$I$232),"",ReferenceData!$I$232),"")</f>
        <v>4.5999999999999996</v>
      </c>
      <c r="J232">
        <f ca="1">IFERROR(IF(0=LEN(ReferenceData!$J$232),"",ReferenceData!$J$232),"")</f>
        <v>4.3</v>
      </c>
      <c r="K232">
        <f ca="1">IFERROR(IF(0=LEN(ReferenceData!$K$232),"",ReferenceData!$K$232),"")</f>
        <v>4.5</v>
      </c>
      <c r="L232">
        <f ca="1">IFERROR(IF(0=LEN(ReferenceData!$L$232),"",ReferenceData!$L$232),"")</f>
        <v>4.4000000000000004</v>
      </c>
      <c r="M232">
        <f ca="1">IFERROR(IF(0=LEN(ReferenceData!$M$232),"",ReferenceData!$M$232),"")</f>
        <v>4.3</v>
      </c>
      <c r="N232">
        <f ca="1">IFERROR(IF(0=LEN(ReferenceData!$N$232),"",ReferenceData!$N$232),"")</f>
        <v>4.3</v>
      </c>
      <c r="O232">
        <f ca="1">IFERROR(IF(0=LEN(ReferenceData!$O$232),"",ReferenceData!$O$232),"")</f>
        <v>4.0999999999999996</v>
      </c>
      <c r="P232">
        <f ca="1">IFERROR(IF(0=LEN(ReferenceData!$P$232),"",ReferenceData!$P$232),"")</f>
        <v>4</v>
      </c>
      <c r="Q232">
        <f ca="1">IFERROR(IF(0=LEN(ReferenceData!$Q$232),"",ReferenceData!$Q$232),"")</f>
        <v>4</v>
      </c>
      <c r="R232">
        <f ca="1">IFERROR(IF(0=LEN(ReferenceData!$R$232),"",ReferenceData!$R$232),"")</f>
        <v>4</v>
      </c>
      <c r="S232">
        <f ca="1">IFERROR(IF(0=LEN(ReferenceData!$S$232),"",ReferenceData!$S$232),"")</f>
        <v>4</v>
      </c>
      <c r="T232">
        <f ca="1">IFERROR(IF(0=LEN(ReferenceData!$T$232),"",ReferenceData!$T$232),"")</f>
        <v>4</v>
      </c>
      <c r="U232">
        <f ca="1">IFERROR(IF(0=LEN(ReferenceData!$U$232),"",ReferenceData!$U$232),"")</f>
        <v>4</v>
      </c>
      <c r="V232">
        <f ca="1">IFERROR(IF(0=LEN(ReferenceData!$V$232),"",ReferenceData!$V$232),"")</f>
        <v>3.8</v>
      </c>
      <c r="W232">
        <f ca="1">IFERROR(IF(0=LEN(ReferenceData!$W$232),"",ReferenceData!$W$232),"")</f>
        <v>4</v>
      </c>
      <c r="X232">
        <f ca="1">IFERROR(IF(0=LEN(ReferenceData!$X$232),"",ReferenceData!$X$232),"")</f>
        <v>4.2</v>
      </c>
      <c r="Y232">
        <f ca="1">IFERROR(IF(0=LEN(ReferenceData!$Y$232),"",ReferenceData!$Y$232),"")</f>
        <v>4.2</v>
      </c>
      <c r="Z232">
        <f ca="1">IFERROR(IF(0=LEN(ReferenceData!$Z$232),"",ReferenceData!$Z$232),"")</f>
        <v>4.8</v>
      </c>
      <c r="AA232">
        <f ca="1">IFERROR(IF(0=LEN(ReferenceData!$AA$232),"",ReferenceData!$AA$232),"")</f>
        <v>4.7</v>
      </c>
      <c r="AB232">
        <f ca="1">IFERROR(IF(0=LEN(ReferenceData!$AB$232),"",ReferenceData!$AB$232),"")</f>
        <v>4.9000000000000004</v>
      </c>
      <c r="AC232">
        <f ca="1">IFERROR(IF(0=LEN(ReferenceData!$AC$232),"",ReferenceData!$AC$232),"")</f>
        <v>4.8</v>
      </c>
      <c r="AD232">
        <f ca="1">IFERROR(IF(0=LEN(ReferenceData!$AD$232),"",ReferenceData!$AD$232),"")</f>
        <v>4.5999999999999996</v>
      </c>
      <c r="AE232">
        <f ca="1">IFERROR(IF(0=LEN(ReferenceData!$AE$232),"",ReferenceData!$AE$232),"")</f>
        <v>4.7</v>
      </c>
      <c r="AF232">
        <f ca="1">IFERROR(IF(0=LEN(ReferenceData!$AF$232),"",ReferenceData!$AF$232),"")</f>
        <v>4.9000000000000004</v>
      </c>
      <c r="AG232">
        <f ca="1">IFERROR(IF(0=LEN(ReferenceData!$AG$232),"",ReferenceData!$AG$232),"")</f>
        <v>4.4000000000000004</v>
      </c>
      <c r="AH232">
        <f ca="1">IFERROR(IF(0=LEN(ReferenceData!$AH$232),"",ReferenceData!$AH$232),"")</f>
        <v>5.2</v>
      </c>
      <c r="AI232">
        <f ca="1">IFERROR(IF(0=LEN(ReferenceData!$AI$232),"",ReferenceData!$AI$232),"")</f>
        <v>4.9000000000000004</v>
      </c>
      <c r="AJ232">
        <f ca="1">IFERROR(IF(0=LEN(ReferenceData!$AJ$232),"",ReferenceData!$AJ$232),"")</f>
        <v>5.5</v>
      </c>
      <c r="AK232">
        <f ca="1">IFERROR(IF(0=LEN(ReferenceData!$AK$232),"",ReferenceData!$AK$232),"")</f>
        <v>4.5</v>
      </c>
      <c r="AL232">
        <f ca="1">IFERROR(IF(0=LEN(ReferenceData!$AL$232),"",ReferenceData!$AL$232),"")</f>
        <v>4.5999999999999996</v>
      </c>
      <c r="AM232">
        <f ca="1">IFERROR(IF(0=LEN(ReferenceData!$AM$232),"",ReferenceData!$AM$232),"")</f>
        <v>4.5</v>
      </c>
      <c r="AN232">
        <f ca="1">IFERROR(IF(0=LEN(ReferenceData!$AN$232),"",ReferenceData!$AN$232),"")</f>
        <v>4.1400191949999998</v>
      </c>
      <c r="AO232">
        <f ca="1">IFERROR(IF(0=LEN(ReferenceData!$AO$232),"",ReferenceData!$AO$232),"")</f>
        <v>4.6652781599999997</v>
      </c>
      <c r="AP232">
        <f ca="1">IFERROR(IF(0=LEN(ReferenceData!$AP$232),"",ReferenceData!$AP$232),"")</f>
        <v>4.7787421840000004</v>
      </c>
      <c r="AQ232">
        <f ca="1">IFERROR(IF(0=LEN(ReferenceData!$AQ$232),"",ReferenceData!$AQ$232),"")</f>
        <v>4.9230049830000002</v>
      </c>
      <c r="AR232">
        <f ca="1">IFERROR(IF(0=LEN(ReferenceData!$AR$232),"",ReferenceData!$AR$232),"")</f>
        <v>5.1533004399999998</v>
      </c>
      <c r="AS232">
        <f ca="1">IFERROR(IF(0=LEN(ReferenceData!$AS$232),"",ReferenceData!$AS$232),"")</f>
        <v>5.3931267209999998</v>
      </c>
      <c r="AT232">
        <f ca="1">IFERROR(IF(0=LEN(ReferenceData!$AT$232),"",ReferenceData!$AT$232),"")</f>
        <v>5.5377141280000002</v>
      </c>
      <c r="AU232">
        <f ca="1">IFERROR(IF(0=LEN(ReferenceData!$AU$232),"",ReferenceData!$AU$232),"")</f>
        <v>5.4950839179999997</v>
      </c>
      <c r="AV232">
        <f ca="1">IFERROR(IF(0=LEN(ReferenceData!$AV$232),"",ReferenceData!$AV$232),"")</f>
        <v>5.1880896510000003</v>
      </c>
      <c r="AW232">
        <f ca="1">IFERROR(IF(0=LEN(ReferenceData!$AW$232),"",ReferenceData!$AW$232),"")</f>
        <v>5.2483571549999999</v>
      </c>
      <c r="AX232">
        <f ca="1">IFERROR(IF(0=LEN(ReferenceData!$AX$232),"",ReferenceData!$AX$232),"")</f>
        <v>5.2049467170000003</v>
      </c>
      <c r="AY232">
        <f ca="1">IFERROR(IF(0=LEN(ReferenceData!$AY$232),"",ReferenceData!$AY$232),"")</f>
        <v>5.3217401229999997</v>
      </c>
      <c r="AZ232">
        <f ca="1">IFERROR(IF(0=LEN(ReferenceData!$AZ$232),"",ReferenceData!$AZ$232),"")</f>
        <v>5.6974259600000003</v>
      </c>
      <c r="BA232" t="str">
        <f ca="1">IFERROR(IF(0=LEN(ReferenceData!$BA$232),"",ReferenceData!$BA$232),"")</f>
        <v/>
      </c>
      <c r="BB232" t="str">
        <f ca="1">IFERROR(IF(0=LEN(ReferenceData!$BB$232),"",ReferenceData!$BB$232),"")</f>
        <v/>
      </c>
      <c r="BC232" t="str">
        <f ca="1">IFERROR(IF(0=LEN(ReferenceData!$BC$232),"",ReferenceData!$BC$232),"")</f>
        <v/>
      </c>
      <c r="BD232" t="str">
        <f ca="1">IFERROR(IF(0=LEN(ReferenceData!$BD$232),"",ReferenceData!$BD$232),"")</f>
        <v/>
      </c>
      <c r="BE232" t="str">
        <f ca="1">IFERROR(IF(0=LEN(ReferenceData!$BE$232),"",ReferenceData!$BE$232),"")</f>
        <v/>
      </c>
      <c r="BF232" t="str">
        <f ca="1">IFERROR(IF(0=LEN(ReferenceData!$BF$232),"",ReferenceData!$BF$232),"")</f>
        <v/>
      </c>
      <c r="BG232" t="str">
        <f ca="1">IFERROR(IF(0=LEN(ReferenceData!$BG$232),"",ReferenceData!$BG$232),"")</f>
        <v/>
      </c>
      <c r="BH232" t="str">
        <f ca="1">IFERROR(IF(0=LEN(ReferenceData!$BH$232),"",ReferenceData!$BH$232),"")</f>
        <v/>
      </c>
      <c r="BI232">
        <f ca="1">IFERROR(IF(0=LEN(ReferenceData!$BI$232),"",ReferenceData!$BI$232),"")</f>
        <v>12.59110864</v>
      </c>
      <c r="BJ232">
        <f ca="1">IFERROR(IF(0=LEN(ReferenceData!$BJ$232),"",ReferenceData!$BJ$232),"")</f>
        <v>13.758403400000001</v>
      </c>
      <c r="BK232">
        <f ca="1">IFERROR(IF(0=LEN(ReferenceData!$BK$232),"",ReferenceData!$BK$232),"")</f>
        <v>14.658904</v>
      </c>
      <c r="BL232">
        <f ca="1">IFERROR(IF(0=LEN(ReferenceData!$BL$232),"",ReferenceData!$BL$232),"")</f>
        <v>16.227728259999999</v>
      </c>
      <c r="BM232">
        <f ca="1">IFERROR(IF(0=LEN(ReferenceData!$BM$232),"",ReferenceData!$BM$232),"")</f>
        <v>16.369879099999999</v>
      </c>
    </row>
    <row r="233" spans="1:65">
      <c r="A233" t="str">
        <f>IFERROR(IF(0=LEN(ReferenceData!$A$233),"",ReferenceData!$A$233),"")</f>
        <v xml:space="preserve">    SL Green Realty Corp</v>
      </c>
      <c r="B233" t="str">
        <f>IFERROR(IF(0=LEN(ReferenceData!$B$233),"",ReferenceData!$B$233),"")</f>
        <v>SLG US Equity</v>
      </c>
      <c r="C233" t="str">
        <f>IFERROR(IF(0=LEN(ReferenceData!$C$233),"",ReferenceData!$C$233),"")</f>
        <v>F1023</v>
      </c>
      <c r="D233" t="str">
        <f>IFERROR(IF(0=LEN(ReferenceData!$D$233),"",ReferenceData!$D$233),"")</f>
        <v>FIXED_CHARGE_COVERAGE_RATIO</v>
      </c>
      <c r="E233" t="str">
        <f>IFERROR(IF(0=LEN(ReferenceData!$E$233),"",ReferenceData!$E$233),"")</f>
        <v>动态</v>
      </c>
      <c r="F233" t="str">
        <f ca="1">IFERROR(IF(0=LEN(ReferenceData!$F$233),"",ReferenceData!$F$233),"")</f>
        <v/>
      </c>
      <c r="G233">
        <f ca="1">IFERROR(IF(0=LEN(ReferenceData!$G$233),"",ReferenceData!$G$233),"")</f>
        <v>2.6</v>
      </c>
      <c r="H233">
        <f ca="1">IFERROR(IF(0=LEN(ReferenceData!$H$233),"",ReferenceData!$H$233),"")</f>
        <v>2.56</v>
      </c>
      <c r="I233">
        <f ca="1">IFERROR(IF(0=LEN(ReferenceData!$I$233),"",ReferenceData!$I$233),"")</f>
        <v>2.59</v>
      </c>
      <c r="J233">
        <f ca="1">IFERROR(IF(0=LEN(ReferenceData!$J$233),"",ReferenceData!$J$233),"")</f>
        <v>2.95</v>
      </c>
      <c r="K233">
        <f ca="1">IFERROR(IF(0=LEN(ReferenceData!$K$233),"",ReferenceData!$K$233),"")</f>
        <v>2.91</v>
      </c>
      <c r="L233">
        <f ca="1">IFERROR(IF(0=LEN(ReferenceData!$L$233),"",ReferenceData!$L$233),"")</f>
        <v>2.89</v>
      </c>
      <c r="M233">
        <f ca="1">IFERROR(IF(0=LEN(ReferenceData!$M$233),"",ReferenceData!$M$233),"")</f>
        <v>2.87</v>
      </c>
      <c r="N233">
        <f ca="1">IFERROR(IF(0=LEN(ReferenceData!$N$233),"",ReferenceData!$N$233),"")</f>
        <v>2.5299999999999998</v>
      </c>
      <c r="O233">
        <f ca="1">IFERROR(IF(0=LEN(ReferenceData!$O$233),"",ReferenceData!$O$233),"")</f>
        <v>2.5</v>
      </c>
      <c r="P233">
        <f ca="1">IFERROR(IF(0=LEN(ReferenceData!$P$233),"",ReferenceData!$P$233),"")</f>
        <v>2.4500000000000002</v>
      </c>
      <c r="Q233">
        <f ca="1">IFERROR(IF(0=LEN(ReferenceData!$Q$233),"",ReferenceData!$Q$233),"")</f>
        <v>2.33</v>
      </c>
      <c r="R233">
        <f ca="1">IFERROR(IF(0=LEN(ReferenceData!$R$233),"",ReferenceData!$R$233),"")</f>
        <v>2.2999999999999998</v>
      </c>
      <c r="S233">
        <f ca="1">IFERROR(IF(0=LEN(ReferenceData!$S$233),"",ReferenceData!$S$233),"")</f>
        <v>2.2400000000000002</v>
      </c>
      <c r="T233">
        <f ca="1">IFERROR(IF(0=LEN(ReferenceData!$T$233),"",ReferenceData!$T$233),"")</f>
        <v>2.2400000000000002</v>
      </c>
      <c r="U233">
        <f ca="1">IFERROR(IF(0=LEN(ReferenceData!$U$233),"",ReferenceData!$U$233),"")</f>
        <v>2.39</v>
      </c>
      <c r="V233">
        <f ca="1">IFERROR(IF(0=LEN(ReferenceData!$V$233),"",ReferenceData!$V$233),"")</f>
        <v>4.68</v>
      </c>
      <c r="W233">
        <f ca="1">IFERROR(IF(0=LEN(ReferenceData!$W$233),"",ReferenceData!$W$233),"")</f>
        <v>2.1</v>
      </c>
      <c r="X233">
        <f ca="1">IFERROR(IF(0=LEN(ReferenceData!$X$233),"",ReferenceData!$X$233),"")</f>
        <v>2.13</v>
      </c>
      <c r="Y233">
        <f ca="1">IFERROR(IF(0=LEN(ReferenceData!$Y$233),"",ReferenceData!$Y$233),"")</f>
        <v>2.1</v>
      </c>
      <c r="Z233">
        <f ca="1">IFERROR(IF(0=LEN(ReferenceData!$Z$233),"",ReferenceData!$Z$233),"")</f>
        <v>1.9</v>
      </c>
      <c r="AA233">
        <f ca="1">IFERROR(IF(0=LEN(ReferenceData!$AA$233),"",ReferenceData!$AA$233),"")</f>
        <v>1.77</v>
      </c>
      <c r="AB233">
        <f ca="1">IFERROR(IF(0=LEN(ReferenceData!$AB$233),"",ReferenceData!$AB$233),"")</f>
        <v>1.9</v>
      </c>
      <c r="AC233">
        <f ca="1">IFERROR(IF(0=LEN(ReferenceData!$AC$233),"",ReferenceData!$AC$233),"")</f>
        <v>2</v>
      </c>
      <c r="AD233">
        <f ca="1">IFERROR(IF(0=LEN(ReferenceData!$AD$233),"",ReferenceData!$AD$233),"")</f>
        <v>1.8</v>
      </c>
      <c r="AE233">
        <f ca="1">IFERROR(IF(0=LEN(ReferenceData!$AE$233),"",ReferenceData!$AE$233),"")</f>
        <v>1.8</v>
      </c>
      <c r="AF233">
        <f ca="1">IFERROR(IF(0=LEN(ReferenceData!$AF$233),"",ReferenceData!$AF$233),"")</f>
        <v>1.8</v>
      </c>
      <c r="AG233">
        <f ca="1">IFERROR(IF(0=LEN(ReferenceData!$AG$233),"",ReferenceData!$AG$233),"")</f>
        <v>1.95</v>
      </c>
      <c r="AH233">
        <f ca="1">IFERROR(IF(0=LEN(ReferenceData!$AH$233),"",ReferenceData!$AH$233),"")</f>
        <v>2.37</v>
      </c>
      <c r="AI233">
        <f ca="1">IFERROR(IF(0=LEN(ReferenceData!$AI$233),"",ReferenceData!$AI$233),"")</f>
        <v>1.97</v>
      </c>
      <c r="AJ233">
        <f ca="1">IFERROR(IF(0=LEN(ReferenceData!$AJ$233),"",ReferenceData!$AJ$233),"")</f>
        <v>2.87</v>
      </c>
      <c r="AK233">
        <f ca="1">IFERROR(IF(0=LEN(ReferenceData!$AK$233),"",ReferenceData!$AK$233),"")</f>
        <v>2.0699999999999998</v>
      </c>
      <c r="AL233">
        <f ca="1">IFERROR(IF(0=LEN(ReferenceData!$AL$233),"",ReferenceData!$AL$233),"")</f>
        <v>2.14</v>
      </c>
      <c r="AM233">
        <f ca="1">IFERROR(IF(0=LEN(ReferenceData!$AM$233),"",ReferenceData!$AM$233),"")</f>
        <v>2.29</v>
      </c>
      <c r="AN233">
        <f ca="1">IFERROR(IF(0=LEN(ReferenceData!$AN$233),"",ReferenceData!$AN$233),"")</f>
        <v>2.39</v>
      </c>
      <c r="AO233">
        <f ca="1">IFERROR(IF(0=LEN(ReferenceData!$AO$233),"",ReferenceData!$AO$233),"")</f>
        <v>2.7</v>
      </c>
      <c r="AP233">
        <f ca="1">IFERROR(IF(0=LEN(ReferenceData!$AP$233),"",ReferenceData!$AP$233),"")</f>
        <v>2.85</v>
      </c>
      <c r="AQ233">
        <f ca="1">IFERROR(IF(0=LEN(ReferenceData!$AQ$233),"",ReferenceData!$AQ$233),"")</f>
        <v>2.81</v>
      </c>
      <c r="AR233">
        <f ca="1">IFERROR(IF(0=LEN(ReferenceData!$AR$233),"",ReferenceData!$AR$233),"")</f>
        <v>1.95</v>
      </c>
      <c r="AS233">
        <f ca="1">IFERROR(IF(0=LEN(ReferenceData!$AS$233),"",ReferenceData!$AS$233),"")</f>
        <v>2.29</v>
      </c>
      <c r="AT233">
        <f ca="1">IFERROR(IF(0=LEN(ReferenceData!$AT$233),"",ReferenceData!$AT$233),"")</f>
        <v>1.91</v>
      </c>
      <c r="AU233">
        <f ca="1">IFERROR(IF(0=LEN(ReferenceData!$AU$233),"",ReferenceData!$AU$233),"")</f>
        <v>1.79</v>
      </c>
      <c r="AV233">
        <f ca="1">IFERROR(IF(0=LEN(ReferenceData!$AV$233),"",ReferenceData!$AV$233),"")</f>
        <v>1.88</v>
      </c>
      <c r="AW233">
        <f ca="1">IFERROR(IF(0=LEN(ReferenceData!$AW$233),"",ReferenceData!$AW$233),"")</f>
        <v>2</v>
      </c>
      <c r="AX233">
        <f ca="1">IFERROR(IF(0=LEN(ReferenceData!$AX$233),"",ReferenceData!$AX$233),"")</f>
        <v>2.5299999999999998</v>
      </c>
      <c r="AY233">
        <f ca="1">IFERROR(IF(0=LEN(ReferenceData!$AY$233),"",ReferenceData!$AY$233),"")</f>
        <v>2.6318447730000001</v>
      </c>
      <c r="AZ233">
        <f ca="1">IFERROR(IF(0=LEN(ReferenceData!$AZ$233),"",ReferenceData!$AZ$233),"")</f>
        <v>2.4700000000000002</v>
      </c>
      <c r="BA233">
        <f ca="1">IFERROR(IF(0=LEN(ReferenceData!$BA$233),"",ReferenceData!$BA$233),"")</f>
        <v>2.59</v>
      </c>
      <c r="BB233">
        <f ca="1">IFERROR(IF(0=LEN(ReferenceData!$BB$233),"",ReferenceData!$BB$233),"")</f>
        <v>2.4500000000000002</v>
      </c>
      <c r="BC233" t="str">
        <f ca="1">IFERROR(IF(0=LEN(ReferenceData!$BC$233),"",ReferenceData!$BC$233),"")</f>
        <v/>
      </c>
      <c r="BD233" t="str">
        <f ca="1">IFERROR(IF(0=LEN(ReferenceData!$BD$233),"",ReferenceData!$BD$233),"")</f>
        <v/>
      </c>
      <c r="BE233" t="str">
        <f ca="1">IFERROR(IF(0=LEN(ReferenceData!$BE$233),"",ReferenceData!$BE$233),"")</f>
        <v/>
      </c>
      <c r="BF233" t="str">
        <f ca="1">IFERROR(IF(0=LEN(ReferenceData!$BF$233),"",ReferenceData!$BF$233),"")</f>
        <v/>
      </c>
      <c r="BG233" t="str">
        <f ca="1">IFERROR(IF(0=LEN(ReferenceData!$BG$233),"",ReferenceData!$BG$233),"")</f>
        <v/>
      </c>
      <c r="BH233" t="str">
        <f ca="1">IFERROR(IF(0=LEN(ReferenceData!$BH$233),"",ReferenceData!$BH$233),"")</f>
        <v/>
      </c>
      <c r="BI233" t="str">
        <f ca="1">IFERROR(IF(0=LEN(ReferenceData!$BI$233),"",ReferenceData!$BI$233),"")</f>
        <v/>
      </c>
      <c r="BJ233" t="str">
        <f ca="1">IFERROR(IF(0=LEN(ReferenceData!$BJ$233),"",ReferenceData!$BJ$233),"")</f>
        <v/>
      </c>
      <c r="BK233" t="str">
        <f ca="1">IFERROR(IF(0=LEN(ReferenceData!$BK$233),"",ReferenceData!$BK$233),"")</f>
        <v/>
      </c>
      <c r="BL233" t="str">
        <f ca="1">IFERROR(IF(0=LEN(ReferenceData!$BL$233),"",ReferenceData!$BL$233),"")</f>
        <v/>
      </c>
      <c r="BM233" t="str">
        <f ca="1">IFERROR(IF(0=LEN(ReferenceData!$BM$233),"",ReferenceData!$BM$233),"")</f>
        <v/>
      </c>
    </row>
    <row r="234" spans="1:65">
      <c r="A234" t="str">
        <f>IFERROR(IF(0=LEN(ReferenceData!$A$234),"",ReferenceData!$A$234),"")</f>
        <v xml:space="preserve">    Vornado Realty Trust</v>
      </c>
      <c r="B234" t="str">
        <f>IFERROR(IF(0=LEN(ReferenceData!$B$234),"",ReferenceData!$B$234),"")</f>
        <v>VNO US Equity</v>
      </c>
      <c r="C234" t="str">
        <f>IFERROR(IF(0=LEN(ReferenceData!$C$234),"",ReferenceData!$C$234),"")</f>
        <v>F1023</v>
      </c>
      <c r="D234" t="str">
        <f>IFERROR(IF(0=LEN(ReferenceData!$D$234),"",ReferenceData!$D$234),"")</f>
        <v>FIXED_CHARGE_COVERAGE_RATIO</v>
      </c>
      <c r="E234" t="str">
        <f>IFERROR(IF(0=LEN(ReferenceData!$E$234),"",ReferenceData!$E$234),"")</f>
        <v>动态</v>
      </c>
      <c r="F234" t="str">
        <f ca="1">IFERROR(IF(0=LEN(ReferenceData!$F$234),"",ReferenceData!$F$234),"")</f>
        <v/>
      </c>
      <c r="G234">
        <f ca="1">IFERROR(IF(0=LEN(ReferenceData!$G$234),"",ReferenceData!$G$234),"")</f>
        <v>1.83</v>
      </c>
      <c r="H234">
        <f ca="1">IFERROR(IF(0=LEN(ReferenceData!$H$234),"",ReferenceData!$H$234),"")</f>
        <v>2.5499999999999998</v>
      </c>
      <c r="I234">
        <f ca="1">IFERROR(IF(0=LEN(ReferenceData!$I$234),"",ReferenceData!$I$234),"")</f>
        <v>2.75</v>
      </c>
      <c r="J234">
        <f ca="1">IFERROR(IF(0=LEN(ReferenceData!$J$234),"",ReferenceData!$J$234),"")</f>
        <v>2.85</v>
      </c>
      <c r="K234">
        <f ca="1">IFERROR(IF(0=LEN(ReferenceData!$K$234),"",ReferenceData!$K$234),"")</f>
        <v>2.99</v>
      </c>
      <c r="L234">
        <f ca="1">IFERROR(IF(0=LEN(ReferenceData!$L$234),"",ReferenceData!$L$234),"")</f>
        <v>2.82</v>
      </c>
      <c r="M234">
        <f ca="1">IFERROR(IF(0=LEN(ReferenceData!$M$234),"",ReferenceData!$M$234),"")</f>
        <v>2.69</v>
      </c>
      <c r="N234">
        <f ca="1">IFERROR(IF(0=LEN(ReferenceData!$N$234),"",ReferenceData!$N$234),"")</f>
        <v>2.59</v>
      </c>
      <c r="O234">
        <f ca="1">IFERROR(IF(0=LEN(ReferenceData!$O$234),"",ReferenceData!$O$234),"")</f>
        <v>2.68</v>
      </c>
      <c r="P234">
        <f ca="1">IFERROR(IF(0=LEN(ReferenceData!$P$234),"",ReferenceData!$P$234),"")</f>
        <v>2.5</v>
      </c>
      <c r="Q234">
        <f ca="1">IFERROR(IF(0=LEN(ReferenceData!$Q$234),"",ReferenceData!$Q$234),"")</f>
        <v>2.8</v>
      </c>
      <c r="R234">
        <f ca="1">IFERROR(IF(0=LEN(ReferenceData!$R$234),"",ReferenceData!$R$234),"")</f>
        <v>2.67</v>
      </c>
      <c r="S234">
        <f ca="1">IFERROR(IF(0=LEN(ReferenceData!$S$234),"",ReferenceData!$S$234),"")</f>
        <v>2.08</v>
      </c>
      <c r="T234">
        <f ca="1">IFERROR(IF(0=LEN(ReferenceData!$T$234),"",ReferenceData!$T$234),"")</f>
        <v>2.48</v>
      </c>
      <c r="U234">
        <f ca="1">IFERROR(IF(0=LEN(ReferenceData!$U$234),"",ReferenceData!$U$234),"")</f>
        <v>1.9378862720000001</v>
      </c>
      <c r="V234">
        <f ca="1">IFERROR(IF(0=LEN(ReferenceData!$V$234),"",ReferenceData!$V$234),"")</f>
        <v>2.5499999999999998</v>
      </c>
      <c r="W234">
        <f ca="1">IFERROR(IF(0=LEN(ReferenceData!$W$234),"",ReferenceData!$W$234),"")</f>
        <v>1.85</v>
      </c>
      <c r="X234">
        <f ca="1">IFERROR(IF(0=LEN(ReferenceData!$X$234),"",ReferenceData!$X$234),"")</f>
        <v>2.5</v>
      </c>
      <c r="Y234">
        <f ca="1">IFERROR(IF(0=LEN(ReferenceData!$Y$234),"",ReferenceData!$Y$234),"")</f>
        <v>2.25404077</v>
      </c>
      <c r="Z234">
        <f ca="1">IFERROR(IF(0=LEN(ReferenceData!$Z$234),"",ReferenceData!$Z$234),"")</f>
        <v>2.2002934430000001</v>
      </c>
      <c r="AA234">
        <f ca="1">IFERROR(IF(0=LEN(ReferenceData!$AA$234),"",ReferenceData!$AA$234),"")</f>
        <v>1.36</v>
      </c>
      <c r="AB234">
        <f ca="1">IFERROR(IF(0=LEN(ReferenceData!$AB$234),"",ReferenceData!$AB$234),"")</f>
        <v>2.6177970990000001</v>
      </c>
      <c r="AC234">
        <f ca="1">IFERROR(IF(0=LEN(ReferenceData!$AC$234),"",ReferenceData!$AC$234),"")</f>
        <v>2.5381545010000002</v>
      </c>
      <c r="AD234">
        <f ca="1">IFERROR(IF(0=LEN(ReferenceData!$AD$234),"",ReferenceData!$AD$234),"")</f>
        <v>2.623832663</v>
      </c>
      <c r="AE234">
        <f ca="1">IFERROR(IF(0=LEN(ReferenceData!$AE$234),"",ReferenceData!$AE$234),"")</f>
        <v>2.7757553549999998</v>
      </c>
      <c r="AF234">
        <f ca="1">IFERROR(IF(0=LEN(ReferenceData!$AF$234),"",ReferenceData!$AF$234),"")</f>
        <v>2.845765149</v>
      </c>
      <c r="AG234">
        <f ca="1">IFERROR(IF(0=LEN(ReferenceData!$AG$234),"",ReferenceData!$AG$234),"")</f>
        <v>2.9233204740000001</v>
      </c>
      <c r="AH234">
        <f ca="1">IFERROR(IF(0=LEN(ReferenceData!$AH$234),"",ReferenceData!$AH$234),"")</f>
        <v>2.8546616249999999</v>
      </c>
      <c r="AI234">
        <f ca="1">IFERROR(IF(0=LEN(ReferenceData!$AI$234),"",ReferenceData!$AI$234),"")</f>
        <v>1.99</v>
      </c>
      <c r="AJ234">
        <f ca="1">IFERROR(IF(0=LEN(ReferenceData!$AJ$234),"",ReferenceData!$AJ$234),"")</f>
        <v>2.2912339099999999</v>
      </c>
      <c r="AK234">
        <f ca="1">IFERROR(IF(0=LEN(ReferenceData!$AK$234),"",ReferenceData!$AK$234),"")</f>
        <v>2.2370658689999998</v>
      </c>
      <c r="AL234">
        <f ca="1">IFERROR(IF(0=LEN(ReferenceData!$AL$234),"",ReferenceData!$AL$234),"")</f>
        <v>1.9898731789999999</v>
      </c>
      <c r="AM234">
        <f ca="1">IFERROR(IF(0=LEN(ReferenceData!$AM$234),"",ReferenceData!$AM$234),"")</f>
        <v>0.95</v>
      </c>
      <c r="AN234">
        <f ca="1">IFERROR(IF(0=LEN(ReferenceData!$AN$234),"",ReferenceData!$AN$234),"")</f>
        <v>1.651475872</v>
      </c>
      <c r="AO234">
        <f ca="1">IFERROR(IF(0=LEN(ReferenceData!$AO$234),"",ReferenceData!$AO$234),"")</f>
        <v>1.5699729630000001</v>
      </c>
      <c r="AP234">
        <f ca="1">IFERROR(IF(0=LEN(ReferenceData!$AP$234),"",ReferenceData!$AP$234),"")</f>
        <v>1.8447408729999999</v>
      </c>
      <c r="AQ234">
        <f ca="1">IFERROR(IF(0=LEN(ReferenceData!$AQ$234),"",ReferenceData!$AQ$234),"")</f>
        <v>1.19</v>
      </c>
      <c r="AR234">
        <f ca="1">IFERROR(IF(0=LEN(ReferenceData!$AR$234),"",ReferenceData!$AR$234),"")</f>
        <v>2.3420400670000001</v>
      </c>
      <c r="AS234">
        <f ca="1">IFERROR(IF(0=LEN(ReferenceData!$AS$234),"",ReferenceData!$AS$234),"")</f>
        <v>2.3296475870000002</v>
      </c>
      <c r="AT234">
        <f ca="1">IFERROR(IF(0=LEN(ReferenceData!$AT$234),"",ReferenceData!$AT$234),"")</f>
        <v>2.3539350059999999</v>
      </c>
      <c r="AU234">
        <f ca="1">IFERROR(IF(0=LEN(ReferenceData!$AU$234),"",ReferenceData!$AU$234),"")</f>
        <v>1.49</v>
      </c>
      <c r="AV234">
        <f ca="1">IFERROR(IF(0=LEN(ReferenceData!$AV$234),"",ReferenceData!$AV$234),"")</f>
        <v>2.3224481950000002</v>
      </c>
      <c r="AW234">
        <f ca="1">IFERROR(IF(0=LEN(ReferenceData!$AW$234),"",ReferenceData!$AW$234),"")</f>
        <v>2.4736204150000001</v>
      </c>
      <c r="AX234" t="str">
        <f ca="1">IFERROR(IF(0=LEN(ReferenceData!$AX$234),"",ReferenceData!$AX$234),"")</f>
        <v/>
      </c>
      <c r="AY234">
        <f ca="1">IFERROR(IF(0=LEN(ReferenceData!$AY$234),"",ReferenceData!$AY$234),"")</f>
        <v>1.66</v>
      </c>
      <c r="AZ234" t="str">
        <f ca="1">IFERROR(IF(0=LEN(ReferenceData!$AZ$234),"",ReferenceData!$AZ$234),"")</f>
        <v/>
      </c>
      <c r="BA234" t="str">
        <f ca="1">IFERROR(IF(0=LEN(ReferenceData!$BA$234),"",ReferenceData!$BA$234),"")</f>
        <v/>
      </c>
      <c r="BB234" t="str">
        <f ca="1">IFERROR(IF(0=LEN(ReferenceData!$BB$234),"",ReferenceData!$BB$234),"")</f>
        <v/>
      </c>
      <c r="BC234" t="str">
        <f ca="1">IFERROR(IF(0=LEN(ReferenceData!$BC$234),"",ReferenceData!$BC$234),"")</f>
        <v/>
      </c>
      <c r="BD234" t="str">
        <f ca="1">IFERROR(IF(0=LEN(ReferenceData!$BD$234),"",ReferenceData!$BD$234),"")</f>
        <v/>
      </c>
      <c r="BE234" t="str">
        <f ca="1">IFERROR(IF(0=LEN(ReferenceData!$BE$234),"",ReferenceData!$BE$234),"")</f>
        <v/>
      </c>
      <c r="BF234" t="str">
        <f ca="1">IFERROR(IF(0=LEN(ReferenceData!$BF$234),"",ReferenceData!$BF$234),"")</f>
        <v/>
      </c>
      <c r="BG234" t="str">
        <f ca="1">IFERROR(IF(0=LEN(ReferenceData!$BG$234),"",ReferenceData!$BG$234),"")</f>
        <v/>
      </c>
      <c r="BH234" t="str">
        <f ca="1">IFERROR(IF(0=LEN(ReferenceData!$BH$234),"",ReferenceData!$BH$234),"")</f>
        <v/>
      </c>
      <c r="BI234">
        <f ca="1">IFERROR(IF(0=LEN(ReferenceData!$BI$234),"",ReferenceData!$BI$234),"")</f>
        <v>3.6062349330000001</v>
      </c>
      <c r="BJ234">
        <f ca="1">IFERROR(IF(0=LEN(ReferenceData!$BJ$234),"",ReferenceData!$BJ$234),"")</f>
        <v>3.500698254</v>
      </c>
      <c r="BK234">
        <f ca="1">IFERROR(IF(0=LEN(ReferenceData!$BK$234),"",ReferenceData!$BK$234),"")</f>
        <v>3.575661035</v>
      </c>
      <c r="BL234">
        <f ca="1">IFERROR(IF(0=LEN(ReferenceData!$BL$234),"",ReferenceData!$BL$234),"")</f>
        <v>3.4129802429999998</v>
      </c>
      <c r="BM234">
        <f ca="1">IFERROR(IF(0=LEN(ReferenceData!$BM$234),"",ReferenceData!$BM$234),"")</f>
        <v>3.3426153859999999</v>
      </c>
    </row>
    <row r="235" spans="1:65">
      <c r="A235" t="str">
        <f>IFERROR(IF(0=LEN(ReferenceData!$A$235),"",ReferenceData!$A$235),"")</f>
        <v>现金与有价证券</v>
      </c>
      <c r="B235" t="str">
        <f>IFERROR(IF(0=LEN(ReferenceData!$B$235),"",ReferenceData!$B$235),"")</f>
        <v/>
      </c>
      <c r="C235" t="str">
        <f>IFERROR(IF(0=LEN(ReferenceData!$C$235),"",ReferenceData!$C$235),"")</f>
        <v/>
      </c>
      <c r="D235" t="str">
        <f>IFERROR(IF(0=LEN(ReferenceData!$D$235),"",ReferenceData!$D$235),"")</f>
        <v/>
      </c>
      <c r="E235" t="str">
        <f>IFERROR(IF(0=LEN(ReferenceData!$E$235),"",ReferenceData!$E$235),"")</f>
        <v>Median</v>
      </c>
      <c r="F235" t="str">
        <f ca="1">IFERROR(IF(0=LEN(ReferenceData!$F$235),"",ReferenceData!$F$235),"")</f>
        <v/>
      </c>
      <c r="G235">
        <f ca="1">IFERROR(IF(0=LEN(ReferenceData!$G$235),"",ReferenceData!$G$235),"")</f>
        <v>42.914500000000004</v>
      </c>
      <c r="H235">
        <f ca="1">IFERROR(IF(0=LEN(ReferenceData!$H$235),"",ReferenceData!$H$235),"")</f>
        <v>76.871499999999997</v>
      </c>
      <c r="I235">
        <f ca="1">IFERROR(IF(0=LEN(ReferenceData!$I$235),"",ReferenceData!$I$235),"")</f>
        <v>154.43249999999998</v>
      </c>
      <c r="J235">
        <f ca="1">IFERROR(IF(0=LEN(ReferenceData!$J$235),"",ReferenceData!$J$235),"")</f>
        <v>268.79650000000004</v>
      </c>
      <c r="K235">
        <f ca="1">IFERROR(IF(0=LEN(ReferenceData!$K$235),"",ReferenceData!$K$235),"")</f>
        <v>201.89100000000002</v>
      </c>
      <c r="L235">
        <f ca="1">IFERROR(IF(0=LEN(ReferenceData!$L$235),"",ReferenceData!$L$235),"")</f>
        <v>204.95749999999998</v>
      </c>
      <c r="M235">
        <f ca="1">IFERROR(IF(0=LEN(ReferenceData!$M$235),"",ReferenceData!$M$235),"")</f>
        <v>27.894500000000001</v>
      </c>
      <c r="N235">
        <f ca="1">IFERROR(IF(0=LEN(ReferenceData!$N$235),"",ReferenceData!$N$235),"")</f>
        <v>150.89850000000001</v>
      </c>
      <c r="O235">
        <f ca="1">IFERROR(IF(0=LEN(ReferenceData!$O$235),"",ReferenceData!$O$235),"")</f>
        <v>56.600999999999999</v>
      </c>
      <c r="P235">
        <f ca="1">IFERROR(IF(0=LEN(ReferenceData!$P$235),"",ReferenceData!$P$235),"")</f>
        <v>47.727499999999999</v>
      </c>
      <c r="Q235">
        <f ca="1">IFERROR(IF(0=LEN(ReferenceData!$Q$235),"",ReferenceData!$Q$235),"")</f>
        <v>35.408000000000001</v>
      </c>
      <c r="R235">
        <f ca="1">IFERROR(IF(0=LEN(ReferenceData!$R$235),"",ReferenceData!$R$235),"")</f>
        <v>40.708500000000001</v>
      </c>
      <c r="S235">
        <f ca="1">IFERROR(IF(0=LEN(ReferenceData!$S$235),"",ReferenceData!$S$235),"")</f>
        <v>89.669499999999999</v>
      </c>
      <c r="T235">
        <f ca="1">IFERROR(IF(0=LEN(ReferenceData!$T$235),"",ReferenceData!$T$235),"")</f>
        <v>152.9795</v>
      </c>
      <c r="U235">
        <f ca="1">IFERROR(IF(0=LEN(ReferenceData!$U$235),"",ReferenceData!$U$235),"")</f>
        <v>78.579499999999996</v>
      </c>
      <c r="V235">
        <f ca="1">IFERROR(IF(0=LEN(ReferenceData!$V$235),"",ReferenceData!$V$235),"")</f>
        <v>90.888499999999993</v>
      </c>
      <c r="W235">
        <f ca="1">IFERROR(IF(0=LEN(ReferenceData!$W$235),"",ReferenceData!$W$235),"")</f>
        <v>153.27350000000001</v>
      </c>
      <c r="X235">
        <f ca="1">IFERROR(IF(0=LEN(ReferenceData!$X$235),"",ReferenceData!$X$235),"")</f>
        <v>191.33350000000002</v>
      </c>
      <c r="Y235">
        <f ca="1">IFERROR(IF(0=LEN(ReferenceData!$Y$235),"",ReferenceData!$Y$235),"")</f>
        <v>142.881</v>
      </c>
      <c r="Z235">
        <f ca="1">IFERROR(IF(0=LEN(ReferenceData!$Z$235),"",ReferenceData!$Z$235),"")</f>
        <v>58.248500000000007</v>
      </c>
      <c r="AA235">
        <f ca="1">IFERROR(IF(0=LEN(ReferenceData!$AA$235),"",ReferenceData!$AA$235),"")</f>
        <v>35.1785</v>
      </c>
      <c r="AB235">
        <f ca="1">IFERROR(IF(0=LEN(ReferenceData!$AB$235),"",ReferenceData!$AB$235),"")</f>
        <v>34.9895</v>
      </c>
      <c r="AC235">
        <f ca="1">IFERROR(IF(0=LEN(ReferenceData!$AC$235),"",ReferenceData!$AC$235),"")</f>
        <v>43.743499999999997</v>
      </c>
      <c r="AD235">
        <f ca="1">IFERROR(IF(0=LEN(ReferenceData!$AD$235),"",ReferenceData!$AD$235),"")</f>
        <v>91.410499999999985</v>
      </c>
      <c r="AE235">
        <f ca="1">IFERROR(IF(0=LEN(ReferenceData!$AE$235),"",ReferenceData!$AE$235),"")</f>
        <v>29.981999999999999</v>
      </c>
      <c r="AF235">
        <f ca="1">IFERROR(IF(0=LEN(ReferenceData!$AF$235),"",ReferenceData!$AF$235),"")</f>
        <v>15.991</v>
      </c>
      <c r="AG235">
        <f ca="1">IFERROR(IF(0=LEN(ReferenceData!$AG$235),"",ReferenceData!$AG$235),"")</f>
        <v>23.408000000000001</v>
      </c>
      <c r="AH235">
        <f ca="1">IFERROR(IF(0=LEN(ReferenceData!$AH$235),"",ReferenceData!$AH$235),"")</f>
        <v>31.714999999999996</v>
      </c>
      <c r="AI235">
        <f ca="1">IFERROR(IF(0=LEN(ReferenceData!$AI$235),"",ReferenceData!$AI$235),"")</f>
        <v>30.366499999999998</v>
      </c>
      <c r="AJ235">
        <f ca="1">IFERROR(IF(0=LEN(ReferenceData!$AJ$235),"",ReferenceData!$AJ$235),"")</f>
        <v>85.789999999999992</v>
      </c>
      <c r="AK235">
        <f ca="1">IFERROR(IF(0=LEN(ReferenceData!$AK$235),"",ReferenceData!$AK$235),"")</f>
        <v>93.567999999999998</v>
      </c>
      <c r="AL235">
        <f ca="1">IFERROR(IF(0=LEN(ReferenceData!$AL$235),"",ReferenceData!$AL$235),"")</f>
        <v>115.346</v>
      </c>
      <c r="AM235">
        <f ca="1">IFERROR(IF(0=LEN(ReferenceData!$AM$235),"",ReferenceData!$AM$235),"")</f>
        <v>63.212000000000003</v>
      </c>
      <c r="AN235">
        <f ca="1">IFERROR(IF(0=LEN(ReferenceData!$AN$235),"",ReferenceData!$AN$235),"")</f>
        <v>56.512</v>
      </c>
      <c r="AO235">
        <f ca="1">IFERROR(IF(0=LEN(ReferenceData!$AO$235),"",ReferenceData!$AO$235),"")</f>
        <v>25.366</v>
      </c>
      <c r="AP235">
        <f ca="1">IFERROR(IF(0=LEN(ReferenceData!$AP$235),"",ReferenceData!$AP$235),"")</f>
        <v>31.901499999999999</v>
      </c>
      <c r="AQ235">
        <f ca="1">IFERROR(IF(0=LEN(ReferenceData!$AQ$235),"",ReferenceData!$AQ$235),"")</f>
        <v>20.332999999999998</v>
      </c>
      <c r="AR235">
        <f ca="1">IFERROR(IF(0=LEN(ReferenceData!$AR$235),"",ReferenceData!$AR$235),"")</f>
        <v>21.315999999999999</v>
      </c>
      <c r="AS235">
        <f ca="1">IFERROR(IF(0=LEN(ReferenceData!$AS$235),"",ReferenceData!$AS$235),"")</f>
        <v>33.777000000000001</v>
      </c>
      <c r="AT235">
        <f ca="1">IFERROR(IF(0=LEN(ReferenceData!$AT$235),"",ReferenceData!$AT$235),"")</f>
        <v>37.606999999999999</v>
      </c>
      <c r="AU235">
        <f ca="1">IFERROR(IF(0=LEN(ReferenceData!$AU$235),"",ReferenceData!$AU$235),"")</f>
        <v>24.716000000000001</v>
      </c>
      <c r="AV235">
        <f ca="1">IFERROR(IF(0=LEN(ReferenceData!$AV$235),"",ReferenceData!$AV$235),"")</f>
        <v>29.981000000000002</v>
      </c>
      <c r="AW235">
        <f ca="1">IFERROR(IF(0=LEN(ReferenceData!$AW$235),"",ReferenceData!$AW$235),"")</f>
        <v>28.521999999999998</v>
      </c>
      <c r="AX235">
        <f ca="1">IFERROR(IF(0=LEN(ReferenceData!$AX$235),"",ReferenceData!$AX$235),"")</f>
        <v>55.055</v>
      </c>
      <c r="AY235">
        <f ca="1">IFERROR(IF(0=LEN(ReferenceData!$AY$235),"",ReferenceData!$AY$235),"")</f>
        <v>44.131</v>
      </c>
      <c r="AZ235">
        <f ca="1">IFERROR(IF(0=LEN(ReferenceData!$AZ$235),"",ReferenceData!$AZ$235),"")</f>
        <v>20.78</v>
      </c>
      <c r="BA235">
        <f ca="1">IFERROR(IF(0=LEN(ReferenceData!$BA$235),"",ReferenceData!$BA$235),"")</f>
        <v>20.417000000000002</v>
      </c>
      <c r="BB235">
        <f ca="1">IFERROR(IF(0=LEN(ReferenceData!$BB$235),"",ReferenceData!$BB$235),"")</f>
        <v>24.143999999999998</v>
      </c>
      <c r="BC235">
        <f ca="1">IFERROR(IF(0=LEN(ReferenceData!$BC$235),"",ReferenceData!$BC$235),"")</f>
        <v>24.103999999999999</v>
      </c>
      <c r="BD235">
        <f ca="1">IFERROR(IF(0=LEN(ReferenceData!$BD$235),"",ReferenceData!$BD$235),"")</f>
        <v>17.347999999999999</v>
      </c>
      <c r="BE235">
        <f ca="1">IFERROR(IF(0=LEN(ReferenceData!$BE$235),"",ReferenceData!$BE$235),"")</f>
        <v>21.486000000000001</v>
      </c>
      <c r="BF235">
        <f ca="1">IFERROR(IF(0=LEN(ReferenceData!$BF$235),"",ReferenceData!$BF$235),"")</f>
        <v>16.789000000000001</v>
      </c>
      <c r="BG235">
        <f ca="1">IFERROR(IF(0=LEN(ReferenceData!$BG$235),"",ReferenceData!$BG$235),"")</f>
        <v>24.481999999999999</v>
      </c>
      <c r="BH235">
        <f ca="1">IFERROR(IF(0=LEN(ReferenceData!$BH$235),"",ReferenceData!$BH$235),"")</f>
        <v>20.468</v>
      </c>
      <c r="BI235">
        <f ca="1">IFERROR(IF(0=LEN(ReferenceData!$BI$235),"",ReferenceData!$BI$235),"")</f>
        <v>12.202</v>
      </c>
      <c r="BJ235">
        <f ca="1">IFERROR(IF(0=LEN(ReferenceData!$BJ$235),"",ReferenceData!$BJ$235),"")</f>
        <v>17.001000000000001</v>
      </c>
      <c r="BK235">
        <f ca="1">IFERROR(IF(0=LEN(ReferenceData!$BK$235),"",ReferenceData!$BK$235),"")</f>
        <v>38.546001429999997</v>
      </c>
      <c r="BL235">
        <f ca="1">IFERROR(IF(0=LEN(ReferenceData!$BL$235),"",ReferenceData!$BL$235),"")</f>
        <v>16.077999999999999</v>
      </c>
      <c r="BM235">
        <f ca="1">IFERROR(IF(0=LEN(ReferenceData!$BM$235),"",ReferenceData!$BM$235),"")</f>
        <v>13.025</v>
      </c>
    </row>
    <row r="236" spans="1:65">
      <c r="A236" t="str">
        <f>IFERROR(IF(0=LEN(ReferenceData!$A$236),"",ReferenceData!$A$236),"")</f>
        <v xml:space="preserve">    Boston Properties Inc</v>
      </c>
      <c r="B236" t="str">
        <f>IFERROR(IF(0=LEN(ReferenceData!$B$236),"",ReferenceData!$B$236),"")</f>
        <v>BXP US Equity</v>
      </c>
      <c r="C236" t="str">
        <f>IFERROR(IF(0=LEN(ReferenceData!$C$236),"",ReferenceData!$C$236),"")</f>
        <v>RR253</v>
      </c>
      <c r="D236" t="str">
        <f>IFERROR(IF(0=LEN(ReferenceData!$D$236),"",ReferenceData!$D$236),"")</f>
        <v>CASH_AND_MARKETABLE_SECURITIES</v>
      </c>
      <c r="E236" t="str">
        <f>IFERROR(IF(0=LEN(ReferenceData!$E$236),"",ReferenceData!$E$236),"")</f>
        <v>动态</v>
      </c>
      <c r="F236" t="str">
        <f ca="1">IFERROR(IF(0=LEN(ReferenceData!$F$236),"",ReferenceData!$F$236),"")</f>
        <v/>
      </c>
      <c r="G236">
        <f ca="1">IFERROR(IF(0=LEN(ReferenceData!$G$236),"",ReferenceData!$G$236),"")</f>
        <v>434.767</v>
      </c>
      <c r="H236">
        <f ca="1">IFERROR(IF(0=LEN(ReferenceData!$H$236),"",ReferenceData!$H$236),"")</f>
        <v>493.05500000000001</v>
      </c>
      <c r="I236">
        <f ca="1">IFERROR(IF(0=LEN(ReferenceData!$I$236),"",ReferenceData!$I$236),"")</f>
        <v>492.435</v>
      </c>
      <c r="J236">
        <f ca="1">IFERROR(IF(0=LEN(ReferenceData!$J$236),"",ReferenceData!$J$236),"")</f>
        <v>302.93900000000002</v>
      </c>
      <c r="K236">
        <f ca="1">IFERROR(IF(0=LEN(ReferenceData!$K$236),"",ReferenceData!$K$236),"")</f>
        <v>356.91399999999999</v>
      </c>
      <c r="L236">
        <f ca="1">IFERROR(IF(0=LEN(ReferenceData!$L$236),"",ReferenceData!$L$236),"")</f>
        <v>419.32299999999998</v>
      </c>
      <c r="M236">
        <f ca="1">IFERROR(IF(0=LEN(ReferenceData!$M$236),"",ReferenceData!$M$236),"")</f>
        <v>1180.0440000000001</v>
      </c>
      <c r="N236">
        <f ca="1">IFERROR(IF(0=LEN(ReferenceData!$N$236),"",ReferenceData!$N$236),"")</f>
        <v>1605.6780000000001</v>
      </c>
      <c r="O236">
        <f ca="1">IFERROR(IF(0=LEN(ReferenceData!$O$236),"",ReferenceData!$O$236),"")</f>
        <v>723.71799999999996</v>
      </c>
      <c r="P236">
        <f ca="1">IFERROR(IF(0=LEN(ReferenceData!$P$236),"",ReferenceData!$P$236),"")</f>
        <v>1387.0070000000001</v>
      </c>
      <c r="Q236">
        <f ca="1">IFERROR(IF(0=LEN(ReferenceData!$Q$236),"",ReferenceData!$Q$236),"")</f>
        <v>1342.751</v>
      </c>
      <c r="R236">
        <f ca="1">IFERROR(IF(0=LEN(ReferenceData!$R$236),"",ReferenceData!$R$236),"")</f>
        <v>1064.396</v>
      </c>
      <c r="S236">
        <f ca="1">IFERROR(IF(0=LEN(ReferenceData!$S$236),"",ReferenceData!$S$236),"")</f>
        <v>1763.079</v>
      </c>
      <c r="T236">
        <f ca="1">IFERROR(IF(0=LEN(ReferenceData!$T$236),"",ReferenceData!$T$236),"")</f>
        <v>846.66399999999999</v>
      </c>
      <c r="U236">
        <f ca="1">IFERROR(IF(0=LEN(ReferenceData!$U$236),"",ReferenceData!$U$236),"")</f>
        <v>1036.576</v>
      </c>
      <c r="V236">
        <f ca="1">IFERROR(IF(0=LEN(ReferenceData!$V$236),"",ReferenceData!$V$236),"")</f>
        <v>1179.5730000000001</v>
      </c>
      <c r="W236">
        <f ca="1">IFERROR(IF(0=LEN(ReferenceData!$W$236),"",ReferenceData!$W$236),"")</f>
        <v>2365.1370000000002</v>
      </c>
      <c r="X236">
        <f ca="1">IFERROR(IF(0=LEN(ReferenceData!$X$236),"",ReferenceData!$X$236),"")</f>
        <v>1641.2750000000001</v>
      </c>
      <c r="Y236">
        <f ca="1">IFERROR(IF(0=LEN(ReferenceData!$Y$236),"",ReferenceData!$Y$236),"")</f>
        <v>1608.731</v>
      </c>
      <c r="Z236">
        <f ca="1">IFERROR(IF(0=LEN(ReferenceData!$Z$236),"",ReferenceData!$Z$236),"")</f>
        <v>909.37599999999998</v>
      </c>
      <c r="AA236">
        <f ca="1">IFERROR(IF(0=LEN(ReferenceData!$AA$236),"",ReferenceData!$AA$236),"")</f>
        <v>1041.9780000000001</v>
      </c>
      <c r="AB236">
        <f ca="1">IFERROR(IF(0=LEN(ReferenceData!$AB$236),"",ReferenceData!$AB$236),"")</f>
        <v>1223.2149999999999</v>
      </c>
      <c r="AC236">
        <f ca="1">IFERROR(IF(0=LEN(ReferenceData!$AC$236),"",ReferenceData!$AC$236),"")</f>
        <v>1671.9970000000001</v>
      </c>
      <c r="AD236">
        <f ca="1">IFERROR(IF(0=LEN(ReferenceData!$AD$236),"",ReferenceData!$AD$236),"")</f>
        <v>591.19600000000003</v>
      </c>
      <c r="AE236">
        <f ca="1">IFERROR(IF(0=LEN(ReferenceData!$AE$236),"",ReferenceData!$AE$236),"")</f>
        <v>1823.2080000000001</v>
      </c>
      <c r="AF236">
        <f ca="1">IFERROR(IF(0=LEN(ReferenceData!$AF$236),"",ReferenceData!$AF$236),"")</f>
        <v>1063.0239999999999</v>
      </c>
      <c r="AG236">
        <f ca="1">IFERROR(IF(0=LEN(ReferenceData!$AG$236),"",ReferenceData!$AG$236),"")</f>
        <v>780.58399999999995</v>
      </c>
      <c r="AH236">
        <f ca="1">IFERROR(IF(0=LEN(ReferenceData!$AH$236),"",ReferenceData!$AH$236),"")</f>
        <v>747.30499999999995</v>
      </c>
      <c r="AI236">
        <f ca="1">IFERROR(IF(0=LEN(ReferenceData!$AI$236),"",ReferenceData!$AI$236),"")</f>
        <v>478.94799999999998</v>
      </c>
      <c r="AJ236">
        <f ca="1">IFERROR(IF(0=LEN(ReferenceData!$AJ$236),"",ReferenceData!$AJ$236),"")</f>
        <v>1270.0740000000001</v>
      </c>
      <c r="AK236">
        <f ca="1">IFERROR(IF(0=LEN(ReferenceData!$AK$236),"",ReferenceData!$AK$236),"")</f>
        <v>1703.4480000000001</v>
      </c>
      <c r="AL236">
        <f ca="1">IFERROR(IF(0=LEN(ReferenceData!$AL$236),"",ReferenceData!$AL$236),"")</f>
        <v>1220.3920000000001</v>
      </c>
      <c r="AM236">
        <f ca="1">IFERROR(IF(0=LEN(ReferenceData!$AM$236),"",ReferenceData!$AM$236),"")</f>
        <v>1448.933</v>
      </c>
      <c r="AN236">
        <f ca="1">IFERROR(IF(0=LEN(ReferenceData!$AN$236),"",ReferenceData!$AN$236),"")</f>
        <v>782.10599999999999</v>
      </c>
      <c r="AO236">
        <f ca="1">IFERROR(IF(0=LEN(ReferenceData!$AO$236),"",ReferenceData!$AO$236),"")</f>
        <v>819.245</v>
      </c>
      <c r="AP236">
        <f ca="1">IFERROR(IF(0=LEN(ReferenceData!$AP$236),"",ReferenceData!$AP$236),"")</f>
        <v>143.78899999999999</v>
      </c>
      <c r="AQ236">
        <f ca="1">IFERROR(IF(0=LEN(ReferenceData!$AQ$236),"",ReferenceData!$AQ$236),"")</f>
        <v>241.51</v>
      </c>
      <c r="AR236">
        <f ca="1">IFERROR(IF(0=LEN(ReferenceData!$AR$236),"",ReferenceData!$AR$236),"")</f>
        <v>55.597000000000001</v>
      </c>
      <c r="AS236">
        <f ca="1">IFERROR(IF(0=LEN(ReferenceData!$AS$236),"",ReferenceData!$AS$236),"")</f>
        <v>112.11</v>
      </c>
      <c r="AT236">
        <f ca="1">IFERROR(IF(0=LEN(ReferenceData!$AT$236),"",ReferenceData!$AT$236),"")</f>
        <v>794.64300000000003</v>
      </c>
      <c r="AU236">
        <f ca="1">IFERROR(IF(0=LEN(ReferenceData!$AU$236),"",ReferenceData!$AU$236),"")</f>
        <v>1506.921</v>
      </c>
      <c r="AV236">
        <f ca="1">IFERROR(IF(0=LEN(ReferenceData!$AV$236),"",ReferenceData!$AV$236),"")</f>
        <v>1894.1980000000001</v>
      </c>
      <c r="AW236">
        <f ca="1">IFERROR(IF(0=LEN(ReferenceData!$AW$236),"",ReferenceData!$AW$236),"")</f>
        <v>1885.318</v>
      </c>
      <c r="AX236">
        <f ca="1">IFERROR(IF(0=LEN(ReferenceData!$AX$236),"",ReferenceData!$AX$236),"")</f>
        <v>2016.336</v>
      </c>
      <c r="AY236">
        <f ca="1">IFERROR(IF(0=LEN(ReferenceData!$AY$236),"",ReferenceData!$AY$236),"")</f>
        <v>725.78800000000001</v>
      </c>
      <c r="AZ236">
        <f ca="1">IFERROR(IF(0=LEN(ReferenceData!$AZ$236),"",ReferenceData!$AZ$236),"")</f>
        <v>1049.0260000000001</v>
      </c>
      <c r="BA236">
        <f ca="1">IFERROR(IF(0=LEN(ReferenceData!$BA$236),"",ReferenceData!$BA$236),"")</f>
        <v>370.39600000000002</v>
      </c>
      <c r="BB236">
        <f ca="1">IFERROR(IF(0=LEN(ReferenceData!$BB$236),"",ReferenceData!$BB$236),"")</f>
        <v>32.213999999999999</v>
      </c>
      <c r="BC236">
        <f ca="1">IFERROR(IF(0=LEN(ReferenceData!$BC$236),"",ReferenceData!$BC$236),"")</f>
        <v>261.49599999999998</v>
      </c>
      <c r="BD236">
        <f ca="1">IFERROR(IF(0=LEN(ReferenceData!$BD$236),"",ReferenceData!$BD$236),"")</f>
        <v>450.577</v>
      </c>
      <c r="BE236">
        <f ca="1">IFERROR(IF(0=LEN(ReferenceData!$BE$236),"",ReferenceData!$BE$236),"")</f>
        <v>507.18200000000002</v>
      </c>
      <c r="BF236">
        <f ca="1">IFERROR(IF(0=LEN(ReferenceData!$BF$236),"",ReferenceData!$BF$236),"")</f>
        <v>209.30699999999999</v>
      </c>
      <c r="BG236">
        <f ca="1">IFERROR(IF(0=LEN(ReferenceData!$BG$236),"",ReferenceData!$BG$236),"")</f>
        <v>239.34399999999999</v>
      </c>
      <c r="BH236">
        <f ca="1">IFERROR(IF(0=LEN(ReferenceData!$BH$236),"",ReferenceData!$BH$236),"")</f>
        <v>213.872986</v>
      </c>
      <c r="BI236">
        <f ca="1">IFERROR(IF(0=LEN(ReferenceData!$BI$236),"",ReferenceData!$BI$236),"")</f>
        <v>227.69799800000001</v>
      </c>
      <c r="BJ236">
        <f ca="1">IFERROR(IF(0=LEN(ReferenceData!$BJ$236),"",ReferenceData!$BJ$236),"")</f>
        <v>182.15100100000001</v>
      </c>
      <c r="BK236">
        <f ca="1">IFERROR(IF(0=LEN(ReferenceData!$BK$236),"",ReferenceData!$BK$236),"")</f>
        <v>22.686001000000001</v>
      </c>
      <c r="BL236">
        <f ca="1">IFERROR(IF(0=LEN(ReferenceData!$BL$236),"",ReferenceData!$BL$236),"")</f>
        <v>37.620998</v>
      </c>
      <c r="BM236">
        <f ca="1">IFERROR(IF(0=LEN(ReferenceData!$BM$236),"",ReferenceData!$BM$236),"")</f>
        <v>158.58699999999999</v>
      </c>
    </row>
    <row r="237" spans="1:65">
      <c r="A237" t="str">
        <f>IFERROR(IF(0=LEN(ReferenceData!$A$237),"",ReferenceData!$A$237),"")</f>
        <v xml:space="preserve">    Brandywine Realty Trust</v>
      </c>
      <c r="B237" t="str">
        <f>IFERROR(IF(0=LEN(ReferenceData!$B$237),"",ReferenceData!$B$237),"")</f>
        <v>BDN US Equity</v>
      </c>
      <c r="C237" t="str">
        <f>IFERROR(IF(0=LEN(ReferenceData!$C$237),"",ReferenceData!$C$237),"")</f>
        <v>RR253</v>
      </c>
      <c r="D237" t="str">
        <f>IFERROR(IF(0=LEN(ReferenceData!$D$237),"",ReferenceData!$D$237),"")</f>
        <v>CASH_AND_MARKETABLE_SECURITIES</v>
      </c>
      <c r="E237" t="str">
        <f>IFERROR(IF(0=LEN(ReferenceData!$E$237),"",ReferenceData!$E$237),"")</f>
        <v>动态</v>
      </c>
      <c r="F237" t="str">
        <f ca="1">IFERROR(IF(0=LEN(ReferenceData!$F$237),"",ReferenceData!$F$237),"")</f>
        <v/>
      </c>
      <c r="G237">
        <f ca="1">IFERROR(IF(0=LEN(ReferenceData!$G$237),"",ReferenceData!$G$237),"")</f>
        <v>202.179</v>
      </c>
      <c r="H237">
        <f ca="1">IFERROR(IF(0=LEN(ReferenceData!$H$237),"",ReferenceData!$H$237),"")</f>
        <v>25.286999999999999</v>
      </c>
      <c r="I237">
        <f ca="1">IFERROR(IF(0=LEN(ReferenceData!$I$237),"",ReferenceData!$I$237),"")</f>
        <v>37.9</v>
      </c>
      <c r="J237">
        <f ca="1">IFERROR(IF(0=LEN(ReferenceData!$J$237),"",ReferenceData!$J$237),"")</f>
        <v>234.654</v>
      </c>
      <c r="K237">
        <f ca="1">IFERROR(IF(0=LEN(ReferenceData!$K$237),"",ReferenceData!$K$237),"")</f>
        <v>193.91900000000001</v>
      </c>
      <c r="L237">
        <f ca="1">IFERROR(IF(0=LEN(ReferenceData!$L$237),"",ReferenceData!$L$237),"")</f>
        <v>219.059</v>
      </c>
      <c r="M237">
        <f ca="1">IFERROR(IF(0=LEN(ReferenceData!$M$237),"",ReferenceData!$M$237),"")</f>
        <v>265.59699999999998</v>
      </c>
      <c r="N237">
        <f ca="1">IFERROR(IF(0=LEN(ReferenceData!$N$237),"",ReferenceData!$N$237),"")</f>
        <v>423.517</v>
      </c>
      <c r="O237">
        <f ca="1">IFERROR(IF(0=LEN(ReferenceData!$O$237),"",ReferenceData!$O$237),"")</f>
        <v>56.694000000000003</v>
      </c>
      <c r="P237">
        <f ca="1">IFERROR(IF(0=LEN(ReferenceData!$P$237),"",ReferenceData!$P$237),"")</f>
        <v>50.631999999999998</v>
      </c>
      <c r="Q237">
        <f ca="1">IFERROR(IF(0=LEN(ReferenceData!$Q$237),"",ReferenceData!$Q$237),"")</f>
        <v>123.982</v>
      </c>
      <c r="R237">
        <f ca="1">IFERROR(IF(0=LEN(ReferenceData!$R$237),"",ReferenceData!$R$237),"")</f>
        <v>309.08300000000003</v>
      </c>
      <c r="S237">
        <f ca="1">IFERROR(IF(0=LEN(ReferenceData!$S$237),"",ReferenceData!$S$237),"")</f>
        <v>257.50200000000001</v>
      </c>
      <c r="T237">
        <f ca="1">IFERROR(IF(0=LEN(ReferenceData!$T$237),"",ReferenceData!$T$237),"")</f>
        <v>671.94299999999998</v>
      </c>
      <c r="U237">
        <f ca="1">IFERROR(IF(0=LEN(ReferenceData!$U$237),"",ReferenceData!$U$237),"")</f>
        <v>234.83600000000001</v>
      </c>
      <c r="V237">
        <f ca="1">IFERROR(IF(0=LEN(ReferenceData!$V$237),"",ReferenceData!$V$237),"")</f>
        <v>236.291</v>
      </c>
      <c r="W237">
        <f ca="1">IFERROR(IF(0=LEN(ReferenceData!$W$237),"",ReferenceData!$W$237),"")</f>
        <v>263.20699999999999</v>
      </c>
      <c r="X237">
        <f ca="1">IFERROR(IF(0=LEN(ReferenceData!$X$237),"",ReferenceData!$X$237),"")</f>
        <v>185.517</v>
      </c>
      <c r="Y237">
        <f ca="1">IFERROR(IF(0=LEN(ReferenceData!$Y$237),"",ReferenceData!$Y$237),"")</f>
        <v>215.94800000000001</v>
      </c>
      <c r="Z237">
        <f ca="1">IFERROR(IF(0=LEN(ReferenceData!$Z$237),"",ReferenceData!$Z$237),"")</f>
        <v>47.874000000000002</v>
      </c>
      <c r="AA237">
        <f ca="1">IFERROR(IF(0=LEN(ReferenceData!$AA$237),"",ReferenceData!$AA$237),"")</f>
        <v>1.5489999999999999</v>
      </c>
      <c r="AB237">
        <f ca="1">IFERROR(IF(0=LEN(ReferenceData!$AB$237),"",ReferenceData!$AB$237),"")</f>
        <v>241.61600000000001</v>
      </c>
      <c r="AC237">
        <f ca="1">IFERROR(IF(0=LEN(ReferenceData!$AC$237),"",ReferenceData!$AC$237),"")</f>
        <v>190.05500000000001</v>
      </c>
      <c r="AD237">
        <f ca="1">IFERROR(IF(0=LEN(ReferenceData!$AD$237),"",ReferenceData!$AD$237),"")</f>
        <v>284.23599999999999</v>
      </c>
      <c r="AE237">
        <f ca="1">IFERROR(IF(0=LEN(ReferenceData!$AE$237),"",ReferenceData!$AE$237),"")</f>
        <v>0.41</v>
      </c>
      <c r="AF237">
        <f ca="1">IFERROR(IF(0=LEN(ReferenceData!$AF$237),"",ReferenceData!$AF$237),"")</f>
        <v>5.7060000000000004</v>
      </c>
      <c r="AG237">
        <f ca="1">IFERROR(IF(0=LEN(ReferenceData!$AG$237),"",ReferenceData!$AG$237),"")</f>
        <v>0.73299999999999998</v>
      </c>
      <c r="AH237">
        <f ca="1">IFERROR(IF(0=LEN(ReferenceData!$AH$237),"",ReferenceData!$AH$237),"")</f>
        <v>0.249</v>
      </c>
      <c r="AI237">
        <f ca="1">IFERROR(IF(0=LEN(ReferenceData!$AI$237),"",ReferenceData!$AI$237),"")</f>
        <v>16.565000000000001</v>
      </c>
      <c r="AJ237">
        <f ca="1">IFERROR(IF(0=LEN(ReferenceData!$AJ$237),"",ReferenceData!$AJ$237),"")</f>
        <v>104.041</v>
      </c>
      <c r="AK237">
        <f ca="1">IFERROR(IF(0=LEN(ReferenceData!$AK$237),"",ReferenceData!$AK$237),"")</f>
        <v>0.29699999999999999</v>
      </c>
      <c r="AL237">
        <f ca="1">IFERROR(IF(0=LEN(ReferenceData!$AL$237),"",ReferenceData!$AL$237),"")</f>
        <v>7.59</v>
      </c>
      <c r="AM237">
        <f ca="1">IFERROR(IF(0=LEN(ReferenceData!$AM$237),"",ReferenceData!$AM$237),"")</f>
        <v>1.5669999999999999</v>
      </c>
      <c r="AN237">
        <f ca="1">IFERROR(IF(0=LEN(ReferenceData!$AN$237),"",ReferenceData!$AN$237),"")</f>
        <v>3.2959999999999998</v>
      </c>
      <c r="AO237">
        <f ca="1">IFERROR(IF(0=LEN(ReferenceData!$AO$237),"",ReferenceData!$AO$237),"")</f>
        <v>3.9359999999999999</v>
      </c>
      <c r="AP237">
        <f ca="1">IFERROR(IF(0=LEN(ReferenceData!$AP$237),"",ReferenceData!$AP$237),"")</f>
        <v>4.0830000000000002</v>
      </c>
      <c r="AQ237">
        <f ca="1">IFERROR(IF(0=LEN(ReferenceData!$AQ$237),"",ReferenceData!$AQ$237),"")</f>
        <v>3.9239999999999999</v>
      </c>
      <c r="AR237">
        <f ca="1">IFERROR(IF(0=LEN(ReferenceData!$AR$237),"",ReferenceData!$AR$237),"")</f>
        <v>2.6739999999999999</v>
      </c>
      <c r="AS237">
        <f ca="1">IFERROR(IF(0=LEN(ReferenceData!$AS$237),"",ReferenceData!$AS$237),"")</f>
        <v>4.7910000000000004</v>
      </c>
      <c r="AT237">
        <f ca="1">IFERROR(IF(0=LEN(ReferenceData!$AT$237),"",ReferenceData!$AT$237),"")</f>
        <v>3.8519999999999999</v>
      </c>
      <c r="AU237">
        <f ca="1">IFERROR(IF(0=LEN(ReferenceData!$AU$237),"",ReferenceData!$AU$237),"")</f>
        <v>5.6</v>
      </c>
      <c r="AV237">
        <f ca="1">IFERROR(IF(0=LEN(ReferenceData!$AV$237),"",ReferenceData!$AV$237),"")</f>
        <v>17.661000000000001</v>
      </c>
      <c r="AW237">
        <f ca="1">IFERROR(IF(0=LEN(ReferenceData!$AW$237),"",ReferenceData!$AW$237),"")</f>
        <v>28.521999999999998</v>
      </c>
      <c r="AX237">
        <f ca="1">IFERROR(IF(0=LEN(ReferenceData!$AX$237),"",ReferenceData!$AX$237),"")</f>
        <v>3.8849999999999998</v>
      </c>
      <c r="AY237">
        <f ca="1">IFERROR(IF(0=LEN(ReferenceData!$AY$237),"",ReferenceData!$AY$237),"")</f>
        <v>25.379000000000001</v>
      </c>
      <c r="AZ237">
        <f ca="1">IFERROR(IF(0=LEN(ReferenceData!$AZ$237),"",ReferenceData!$AZ$237),"")</f>
        <v>16.538</v>
      </c>
      <c r="BA237">
        <f ca="1">IFERROR(IF(0=LEN(ReferenceData!$BA$237),"",ReferenceData!$BA$237),"")</f>
        <v>26.376999999999999</v>
      </c>
      <c r="BB237">
        <f ca="1">IFERROR(IF(0=LEN(ReferenceData!$BB$237),"",ReferenceData!$BB$237),"")</f>
        <v>36.301000000000002</v>
      </c>
      <c r="BC237">
        <f ca="1">IFERROR(IF(0=LEN(ReferenceData!$BC$237),"",ReferenceData!$BC$237),"")</f>
        <v>7.1740000000000004</v>
      </c>
      <c r="BD237">
        <f ca="1">IFERROR(IF(0=LEN(ReferenceData!$BD$237),"",ReferenceData!$BD$237),"")</f>
        <v>23.34</v>
      </c>
      <c r="BE237">
        <f ca="1">IFERROR(IF(0=LEN(ReferenceData!$BE$237),"",ReferenceData!$BE$237),"")</f>
        <v>9.3209999999999997</v>
      </c>
      <c r="BF237">
        <f ca="1">IFERROR(IF(0=LEN(ReferenceData!$BF$237),"",ReferenceData!$BF$237),"")</f>
        <v>15.473000000000001</v>
      </c>
      <c r="BG237">
        <f ca="1">IFERROR(IF(0=LEN(ReferenceData!$BG$237),"",ReferenceData!$BG$237),"")</f>
        <v>15.346</v>
      </c>
      <c r="BH237">
        <f ca="1">IFERROR(IF(0=LEN(ReferenceData!$BH$237),"",ReferenceData!$BH$237),"")</f>
        <v>9.8629999999999995</v>
      </c>
      <c r="BI237">
        <f ca="1">IFERROR(IF(0=LEN(ReferenceData!$BI$237),"",ReferenceData!$BI$237),"")</f>
        <v>10.545</v>
      </c>
      <c r="BJ237">
        <f ca="1">IFERROR(IF(0=LEN(ReferenceData!$BJ$237),"",ReferenceData!$BJ$237),"")</f>
        <v>7.5570000000000004</v>
      </c>
      <c r="BK237" t="str">
        <f ca="1">IFERROR(IF(0=LEN(ReferenceData!$BK$237),"",ReferenceData!$BK$237),"")</f>
        <v/>
      </c>
      <c r="BL237">
        <f ca="1">IFERROR(IF(0=LEN(ReferenceData!$BL$237),"",ReferenceData!$BL$237),"")</f>
        <v>7.4930000000000003</v>
      </c>
      <c r="BM237">
        <f ca="1">IFERROR(IF(0=LEN(ReferenceData!$BM$237),"",ReferenceData!$BM$237),"")</f>
        <v>7.52</v>
      </c>
    </row>
    <row r="238" spans="1:65">
      <c r="A238" t="str">
        <f>IFERROR(IF(0=LEN(ReferenceData!$A$238),"",ReferenceData!$A$238),"")</f>
        <v xml:space="preserve">    Columbia Property Trust Inc</v>
      </c>
      <c r="B238" t="str">
        <f>IFERROR(IF(0=LEN(ReferenceData!$B$238),"",ReferenceData!$B$238),"")</f>
        <v>CXP US Equity</v>
      </c>
      <c r="C238" t="str">
        <f>IFERROR(IF(0=LEN(ReferenceData!$C$238),"",ReferenceData!$C$238),"")</f>
        <v>RR253</v>
      </c>
      <c r="D238" t="str">
        <f>IFERROR(IF(0=LEN(ReferenceData!$D$238),"",ReferenceData!$D$238),"")</f>
        <v>CASH_AND_MARKETABLE_SECURITIES</v>
      </c>
      <c r="E238" t="str">
        <f>IFERROR(IF(0=LEN(ReferenceData!$E$238),"",ReferenceData!$E$238),"")</f>
        <v>动态</v>
      </c>
      <c r="F238" t="str">
        <f ca="1">IFERROR(IF(0=LEN(ReferenceData!$F$238),"",ReferenceData!$F$238),"")</f>
        <v/>
      </c>
      <c r="G238">
        <f ca="1">IFERROR(IF(0=LEN(ReferenceData!$G$238),"",ReferenceData!$G$238),"")</f>
        <v>9.5670000000000002</v>
      </c>
      <c r="H238">
        <f ca="1">IFERROR(IF(0=LEN(ReferenceData!$H$238),"",ReferenceData!$H$238),"")</f>
        <v>382.73</v>
      </c>
      <c r="I238">
        <f ca="1">IFERROR(IF(0=LEN(ReferenceData!$I$238),"",ReferenceData!$I$238),"")</f>
        <v>506.53800000000001</v>
      </c>
      <c r="J238">
        <f ca="1">IFERROR(IF(0=LEN(ReferenceData!$J$238),"",ReferenceData!$J$238),"")</f>
        <v>554.65499999999997</v>
      </c>
      <c r="K238">
        <f ca="1">IFERROR(IF(0=LEN(ReferenceData!$K$238),"",ReferenceData!$K$238),"")</f>
        <v>216.08500000000001</v>
      </c>
      <c r="L238">
        <f ca="1">IFERROR(IF(0=LEN(ReferenceData!$L$238),"",ReferenceData!$L$238),"")</f>
        <v>190.85599999999999</v>
      </c>
      <c r="M238">
        <f ca="1">IFERROR(IF(0=LEN(ReferenceData!$M$238),"",ReferenceData!$M$238),"")</f>
        <v>23.803000000000001</v>
      </c>
      <c r="N238">
        <f ca="1">IFERROR(IF(0=LEN(ReferenceData!$N$238),"",ReferenceData!$N$238),"")</f>
        <v>185.376</v>
      </c>
      <c r="O238">
        <f ca="1">IFERROR(IF(0=LEN(ReferenceData!$O$238),"",ReferenceData!$O$238),"")</f>
        <v>32.645000000000003</v>
      </c>
      <c r="P238">
        <f ca="1">IFERROR(IF(0=LEN(ReferenceData!$P$238),"",ReferenceData!$P$238),"")</f>
        <v>44.823</v>
      </c>
      <c r="Q238">
        <f ca="1">IFERROR(IF(0=LEN(ReferenceData!$Q$238),"",ReferenceData!$Q$238),"")</f>
        <v>33.741999999999997</v>
      </c>
      <c r="R238">
        <f ca="1">IFERROR(IF(0=LEN(ReferenceData!$R$238),"",ReferenceData!$R$238),"")</f>
        <v>31.236000000000001</v>
      </c>
      <c r="S238">
        <f ca="1">IFERROR(IF(0=LEN(ReferenceData!$S$238),"",ReferenceData!$S$238),"")</f>
        <v>149.79</v>
      </c>
      <c r="T238">
        <f ca="1">IFERROR(IF(0=LEN(ReferenceData!$T$238),"",ReferenceData!$T$238),"")</f>
        <v>46.433</v>
      </c>
      <c r="U238">
        <f ca="1">IFERROR(IF(0=LEN(ReferenceData!$U$238),"",ReferenceData!$U$238),"")</f>
        <v>49.334000000000003</v>
      </c>
      <c r="V238">
        <f ca="1">IFERROR(IF(0=LEN(ReferenceData!$V$238),"",ReferenceData!$V$238),"")</f>
        <v>86.242999999999995</v>
      </c>
      <c r="W238">
        <f ca="1">IFERROR(IF(0=LEN(ReferenceData!$W$238),"",ReferenceData!$W$238),"")</f>
        <v>99.855000000000004</v>
      </c>
      <c r="X238">
        <f ca="1">IFERROR(IF(0=LEN(ReferenceData!$X$238),"",ReferenceData!$X$238),"")</f>
        <v>59.908000000000001</v>
      </c>
      <c r="Y238">
        <f ca="1">IFERROR(IF(0=LEN(ReferenceData!$Y$238),"",ReferenceData!$Y$238),"")</f>
        <v>61.667000000000002</v>
      </c>
      <c r="Z238">
        <f ca="1">IFERROR(IF(0=LEN(ReferenceData!$Z$238),"",ReferenceData!$Z$238),"")</f>
        <v>68.623000000000005</v>
      </c>
      <c r="AA238">
        <f ca="1">IFERROR(IF(0=LEN(ReferenceData!$AA$238),"",ReferenceData!$AA$238),"")</f>
        <v>53.656999999999996</v>
      </c>
      <c r="AB238">
        <f ca="1">IFERROR(IF(0=LEN(ReferenceData!$AB$238),"",ReferenceData!$AB$238),"")</f>
        <v>48.436</v>
      </c>
      <c r="AC238">
        <f ca="1">IFERROR(IF(0=LEN(ReferenceData!$AC$238),"",ReferenceData!$AC$238),"")</f>
        <v>60.618000000000002</v>
      </c>
      <c r="AD238">
        <f ca="1">IFERROR(IF(0=LEN(ReferenceData!$AD$238),"",ReferenceData!$AD$238),"")</f>
        <v>49.155999999999999</v>
      </c>
      <c r="AE238">
        <f ca="1">IFERROR(IF(0=LEN(ReferenceData!$AE$238),"",ReferenceData!$AE$238),"")</f>
        <v>39.468000000000004</v>
      </c>
      <c r="AF238">
        <f ca="1">IFERROR(IF(0=LEN(ReferenceData!$AF$238),"",ReferenceData!$AF$238),"")</f>
        <v>31.809000000000001</v>
      </c>
      <c r="AG238">
        <f ca="1">IFERROR(IF(0=LEN(ReferenceData!$AG$238),"",ReferenceData!$AG$238),"")</f>
        <v>38.593000000000004</v>
      </c>
      <c r="AH238">
        <f ca="1">IFERROR(IF(0=LEN(ReferenceData!$AH$238),"",ReferenceData!$AH$238),"")</f>
        <v>32.619999999999997</v>
      </c>
      <c r="AI238">
        <f ca="1">IFERROR(IF(0=LEN(ReferenceData!$AI$238),"",ReferenceData!$AI$238),"")</f>
        <v>38.881999999999998</v>
      </c>
      <c r="AJ238">
        <f ca="1">IFERROR(IF(0=LEN(ReferenceData!$AJ$238),"",ReferenceData!$AJ$238),"")</f>
        <v>53.537999999999997</v>
      </c>
      <c r="AK238">
        <f ca="1">IFERROR(IF(0=LEN(ReferenceData!$AK$238),"",ReferenceData!$AK$238),"")</f>
        <v>106.07</v>
      </c>
      <c r="AL238">
        <f ca="1">IFERROR(IF(0=LEN(ReferenceData!$AL$238),"",ReferenceData!$AL$238),"")</f>
        <v>153.69800000000001</v>
      </c>
      <c r="AM238">
        <f ca="1">IFERROR(IF(0=LEN(ReferenceData!$AM$238),"",ReferenceData!$AM$238),"")</f>
        <v>102.72499999999999</v>
      </c>
      <c r="AN238">
        <f ca="1">IFERROR(IF(0=LEN(ReferenceData!$AN$238),"",ReferenceData!$AN$238),"")</f>
        <v>70.954999999999998</v>
      </c>
      <c r="AO238">
        <f ca="1">IFERROR(IF(0=LEN(ReferenceData!$AO$238),"",ReferenceData!$AO$238),"")</f>
        <v>65.650999999999996</v>
      </c>
      <c r="AP238">
        <f ca="1">IFERROR(IF(0=LEN(ReferenceData!$AP$238),"",ReferenceData!$AP$238),"")</f>
        <v>93.641000000000005</v>
      </c>
      <c r="AQ238" t="str">
        <f ca="1">IFERROR(IF(0=LEN(ReferenceData!$AQ$238),"",ReferenceData!$AQ$238),"")</f>
        <v/>
      </c>
      <c r="AR238" t="str">
        <f ca="1">IFERROR(IF(0=LEN(ReferenceData!$AR$238),"",ReferenceData!$AR$238),"")</f>
        <v/>
      </c>
      <c r="AS238" t="str">
        <f ca="1">IFERROR(IF(0=LEN(ReferenceData!$AS$238),"",ReferenceData!$AS$238),"")</f>
        <v/>
      </c>
      <c r="AT238" t="str">
        <f ca="1">IFERROR(IF(0=LEN(ReferenceData!$AT$238),"",ReferenceData!$AT$238),"")</f>
        <v/>
      </c>
      <c r="AU238" t="str">
        <f ca="1">IFERROR(IF(0=LEN(ReferenceData!$AU$238),"",ReferenceData!$AU$238),"")</f>
        <v/>
      </c>
      <c r="AV238" t="str">
        <f ca="1">IFERROR(IF(0=LEN(ReferenceData!$AV$238),"",ReferenceData!$AV$238),"")</f>
        <v/>
      </c>
      <c r="AW238" t="str">
        <f ca="1">IFERROR(IF(0=LEN(ReferenceData!$AW$238),"",ReferenceData!$AW$238),"")</f>
        <v/>
      </c>
      <c r="AX238" t="str">
        <f ca="1">IFERROR(IF(0=LEN(ReferenceData!$AX$238),"",ReferenceData!$AX$238),"")</f>
        <v/>
      </c>
      <c r="AY238" t="str">
        <f ca="1">IFERROR(IF(0=LEN(ReferenceData!$AY$238),"",ReferenceData!$AY$238),"")</f>
        <v/>
      </c>
      <c r="AZ238" t="str">
        <f ca="1">IFERROR(IF(0=LEN(ReferenceData!$AZ$238),"",ReferenceData!$AZ$238),"")</f>
        <v/>
      </c>
      <c r="BA238" t="str">
        <f ca="1">IFERROR(IF(0=LEN(ReferenceData!$BA$238),"",ReferenceData!$BA$238),"")</f>
        <v/>
      </c>
      <c r="BB238" t="str">
        <f ca="1">IFERROR(IF(0=LEN(ReferenceData!$BB$238),"",ReferenceData!$BB$238),"")</f>
        <v/>
      </c>
      <c r="BC238" t="str">
        <f ca="1">IFERROR(IF(0=LEN(ReferenceData!$BC$238),"",ReferenceData!$BC$238),"")</f>
        <v/>
      </c>
      <c r="BD238" t="str">
        <f ca="1">IFERROR(IF(0=LEN(ReferenceData!$BD$238),"",ReferenceData!$BD$238),"")</f>
        <v/>
      </c>
      <c r="BE238" t="str">
        <f ca="1">IFERROR(IF(0=LEN(ReferenceData!$BE$238),"",ReferenceData!$BE$238),"")</f>
        <v/>
      </c>
      <c r="BF238" t="str">
        <f ca="1">IFERROR(IF(0=LEN(ReferenceData!$BF$238),"",ReferenceData!$BF$238),"")</f>
        <v/>
      </c>
      <c r="BG238" t="str">
        <f ca="1">IFERROR(IF(0=LEN(ReferenceData!$BG$238),"",ReferenceData!$BG$238),"")</f>
        <v/>
      </c>
      <c r="BH238" t="str">
        <f ca="1">IFERROR(IF(0=LEN(ReferenceData!$BH$238),"",ReferenceData!$BH$238),"")</f>
        <v/>
      </c>
      <c r="BI238" t="str">
        <f ca="1">IFERROR(IF(0=LEN(ReferenceData!$BI$238),"",ReferenceData!$BI$238),"")</f>
        <v/>
      </c>
      <c r="BJ238" t="str">
        <f ca="1">IFERROR(IF(0=LEN(ReferenceData!$BJ$238),"",ReferenceData!$BJ$238),"")</f>
        <v/>
      </c>
      <c r="BK238" t="str">
        <f ca="1">IFERROR(IF(0=LEN(ReferenceData!$BK$238),"",ReferenceData!$BK$238),"")</f>
        <v/>
      </c>
      <c r="BL238" t="str">
        <f ca="1">IFERROR(IF(0=LEN(ReferenceData!$BL$238),"",ReferenceData!$BL$238),"")</f>
        <v/>
      </c>
      <c r="BM238" t="str">
        <f ca="1">IFERROR(IF(0=LEN(ReferenceData!$BM$238),"",ReferenceData!$BM$238),"")</f>
        <v/>
      </c>
    </row>
    <row r="239" spans="1:65">
      <c r="A239" t="str">
        <f>IFERROR(IF(0=LEN(ReferenceData!$A$239),"",ReferenceData!$A$239),"")</f>
        <v xml:space="preserve">    Corporate Office Properties Tr</v>
      </c>
      <c r="B239" t="str">
        <f>IFERROR(IF(0=LEN(ReferenceData!$B$239),"",ReferenceData!$B$239),"")</f>
        <v>OFC US Equity</v>
      </c>
      <c r="C239" t="str">
        <f>IFERROR(IF(0=LEN(ReferenceData!$C$239),"",ReferenceData!$C$239),"")</f>
        <v>RR253</v>
      </c>
      <c r="D239" t="str">
        <f>IFERROR(IF(0=LEN(ReferenceData!$D$239),"",ReferenceData!$D$239),"")</f>
        <v>CASH_AND_MARKETABLE_SECURITIES</v>
      </c>
      <c r="E239" t="str">
        <f>IFERROR(IF(0=LEN(ReferenceData!$E$239),"",ReferenceData!$E$239),"")</f>
        <v>动态</v>
      </c>
      <c r="F239" t="str">
        <f ca="1">IFERROR(IF(0=LEN(ReferenceData!$F$239),"",ReferenceData!$F$239),"")</f>
        <v/>
      </c>
      <c r="G239">
        <f ca="1">IFERROR(IF(0=LEN(ReferenceData!$G$239),"",ReferenceData!$G$239),"")</f>
        <v>12.260999999999999</v>
      </c>
      <c r="H239">
        <f ca="1">IFERROR(IF(0=LEN(ReferenceData!$H$239),"",ReferenceData!$H$239),"")</f>
        <v>10.858000000000001</v>
      </c>
      <c r="I239">
        <f ca="1">IFERROR(IF(0=LEN(ReferenceData!$I$239),"",ReferenceData!$I$239),"")</f>
        <v>10.606</v>
      </c>
      <c r="J239">
        <f ca="1">IFERROR(IF(0=LEN(ReferenceData!$J$239),"",ReferenceData!$J$239),"")</f>
        <v>226.47</v>
      </c>
      <c r="K239">
        <f ca="1">IFERROR(IF(0=LEN(ReferenceData!$K$239),"",ReferenceData!$K$239),"")</f>
        <v>209.863</v>
      </c>
      <c r="L239">
        <f ca="1">IFERROR(IF(0=LEN(ReferenceData!$L$239),"",ReferenceData!$L$239),"")</f>
        <v>47.573999999999998</v>
      </c>
      <c r="M239">
        <f ca="1">IFERROR(IF(0=LEN(ReferenceData!$M$239),"",ReferenceData!$M$239),"")</f>
        <v>13.317</v>
      </c>
      <c r="N239">
        <f ca="1">IFERROR(IF(0=LEN(ReferenceData!$N$239),"",ReferenceData!$N$239),"")</f>
        <v>62.488999999999997</v>
      </c>
      <c r="O239">
        <f ca="1">IFERROR(IF(0=LEN(ReferenceData!$O$239),"",ReferenceData!$O$239),"")</f>
        <v>60.31</v>
      </c>
      <c r="P239">
        <f ca="1">IFERROR(IF(0=LEN(ReferenceData!$P$239),"",ReferenceData!$P$239),"")</f>
        <v>3.84</v>
      </c>
      <c r="Q239">
        <f ca="1">IFERROR(IF(0=LEN(ReferenceData!$Q$239),"",ReferenceData!$Q$239),"")</f>
        <v>37.073999999999998</v>
      </c>
      <c r="R239">
        <f ca="1">IFERROR(IF(0=LEN(ReferenceData!$R$239),"",ReferenceData!$R$239),"")</f>
        <v>4.4290000000000003</v>
      </c>
      <c r="S239">
        <f ca="1">IFERROR(IF(0=LEN(ReferenceData!$S$239),"",ReferenceData!$S$239),"")</f>
        <v>6.077</v>
      </c>
      <c r="T239">
        <f ca="1">IFERROR(IF(0=LEN(ReferenceData!$T$239),"",ReferenceData!$T$239),"")</f>
        <v>40.018000000000001</v>
      </c>
      <c r="U239">
        <f ca="1">IFERROR(IF(0=LEN(ReferenceData!$U$239),"",ReferenceData!$U$239),"")</f>
        <v>76.215999999999994</v>
      </c>
      <c r="V239">
        <f ca="1">IFERROR(IF(0=LEN(ReferenceData!$V$239),"",ReferenceData!$V$239),"")</f>
        <v>18.373999999999999</v>
      </c>
      <c r="W239">
        <f ca="1">IFERROR(IF(0=LEN(ReferenceData!$W$239),"",ReferenceData!$W$239),"")</f>
        <v>54.372999999999998</v>
      </c>
      <c r="X239">
        <f ca="1">IFERROR(IF(0=LEN(ReferenceData!$X$239),"",ReferenceData!$X$239),"")</f>
        <v>27.318000000000001</v>
      </c>
      <c r="Y239">
        <f ca="1">IFERROR(IF(0=LEN(ReferenceData!$Y$239),"",ReferenceData!$Y$239),"")</f>
        <v>9.1959999999999997</v>
      </c>
      <c r="Z239">
        <f ca="1">IFERROR(IF(0=LEN(ReferenceData!$Z$239),"",ReferenceData!$Z$239),"")</f>
        <v>23.509</v>
      </c>
      <c r="AA239">
        <f ca="1">IFERROR(IF(0=LEN(ReferenceData!$AA$239),"",ReferenceData!$AA$239),"")</f>
        <v>10.593999999999999</v>
      </c>
      <c r="AB239">
        <f ca="1">IFERROR(IF(0=LEN(ReferenceData!$AB$239),"",ReferenceData!$AB$239),"")</f>
        <v>5.0090000000000003</v>
      </c>
      <c r="AC239">
        <f ca="1">IFERROR(IF(0=LEN(ReferenceData!$AC$239),"",ReferenceData!$AC$239),"")</f>
        <v>4.702</v>
      </c>
      <c r="AD239">
        <f ca="1">IFERROR(IF(0=LEN(ReferenceData!$AD$239),"",ReferenceData!$AD$239),"")</f>
        <v>7.9870000000000001</v>
      </c>
      <c r="AE239">
        <f ca="1">IFERROR(IF(0=LEN(ReferenceData!$AE$239),"",ReferenceData!$AE$239),"")</f>
        <v>5.5590000000000002</v>
      </c>
      <c r="AF239">
        <f ca="1">IFERROR(IF(0=LEN(ReferenceData!$AF$239),"",ReferenceData!$AF$239),"")</f>
        <v>11.504</v>
      </c>
      <c r="AG239">
        <f ca="1">IFERROR(IF(0=LEN(ReferenceData!$AG$239),"",ReferenceData!$AG$239),"")</f>
        <v>11.702999999999999</v>
      </c>
      <c r="AH239">
        <f ca="1">IFERROR(IF(0=LEN(ReferenceData!$AH$239),"",ReferenceData!$AH$239),"")</f>
        <v>12.606</v>
      </c>
      <c r="AI239">
        <f ca="1">IFERROR(IF(0=LEN(ReferenceData!$AI$239),"",ReferenceData!$AI$239),"")</f>
        <v>10.102</v>
      </c>
      <c r="AJ239">
        <f ca="1">IFERROR(IF(0=LEN(ReferenceData!$AJ$239),"",ReferenceData!$AJ$239),"")</f>
        <v>11.733000000000001</v>
      </c>
      <c r="AK239">
        <f ca="1">IFERROR(IF(0=LEN(ReferenceData!$AK$239),"",ReferenceData!$AK$239),"")</f>
        <v>9.8789999999999996</v>
      </c>
      <c r="AL239">
        <f ca="1">IFERROR(IF(0=LEN(ReferenceData!$AL$239),"",ReferenceData!$AL$239),"")</f>
        <v>10.18</v>
      </c>
      <c r="AM239">
        <f ca="1">IFERROR(IF(0=LEN(ReferenceData!$AM$239),"",ReferenceData!$AM$239),"")</f>
        <v>8.2620000000000005</v>
      </c>
      <c r="AN239">
        <f ca="1">IFERROR(IF(0=LEN(ReferenceData!$AN$239),"",ReferenceData!$AN$239),"")</f>
        <v>9.9809999999999999</v>
      </c>
      <c r="AO239">
        <f ca="1">IFERROR(IF(0=LEN(ReferenceData!$AO$239),"",ReferenceData!$AO$239),"")</f>
        <v>11.930999999999999</v>
      </c>
      <c r="AP239">
        <f ca="1">IFERROR(IF(0=LEN(ReferenceData!$AP$239),"",ReferenceData!$AP$239),"")</f>
        <v>12.702</v>
      </c>
      <c r="AQ239">
        <f ca="1">IFERROR(IF(0=LEN(ReferenceData!$AQ$239),"",ReferenceData!$AQ$239),"")</f>
        <v>6.7750000000000004</v>
      </c>
      <c r="AR239">
        <f ca="1">IFERROR(IF(0=LEN(ReferenceData!$AR$239),"",ReferenceData!$AR$239),"")</f>
        <v>21.315999999999999</v>
      </c>
      <c r="AS239">
        <f ca="1">IFERROR(IF(0=LEN(ReferenceData!$AS$239),"",ReferenceData!$AS$239),"")</f>
        <v>12.856999999999999</v>
      </c>
      <c r="AT239">
        <f ca="1">IFERROR(IF(0=LEN(ReferenceData!$AT$239),"",ReferenceData!$AT$239),"")</f>
        <v>37.606999999999999</v>
      </c>
      <c r="AU239">
        <f ca="1">IFERROR(IF(0=LEN(ReferenceData!$AU$239),"",ReferenceData!$AU$239),"")</f>
        <v>24.638000000000002</v>
      </c>
      <c r="AV239">
        <f ca="1">IFERROR(IF(0=LEN(ReferenceData!$AV$239),"",ReferenceData!$AV$239),"")</f>
        <v>21.895</v>
      </c>
      <c r="AW239">
        <f ca="1">IFERROR(IF(0=LEN(ReferenceData!$AW$239),"",ReferenceData!$AW$239),"")</f>
        <v>15.122999999999999</v>
      </c>
      <c r="AX239">
        <f ca="1">IFERROR(IF(0=LEN(ReferenceData!$AX$239),"",ReferenceData!$AX$239),"")</f>
        <v>22.003</v>
      </c>
      <c r="AY239">
        <f ca="1">IFERROR(IF(0=LEN(ReferenceData!$AY$239),"",ReferenceData!$AY$239),"")</f>
        <v>7.923</v>
      </c>
      <c r="AZ239">
        <f ca="1">IFERROR(IF(0=LEN(ReferenceData!$AZ$239),"",ReferenceData!$AZ$239),"")</f>
        <v>10.81</v>
      </c>
      <c r="BA239">
        <f ca="1">IFERROR(IF(0=LEN(ReferenceData!$BA$239),"",ReferenceData!$BA$239),"")</f>
        <v>5.7480000000000002</v>
      </c>
      <c r="BB239">
        <f ca="1">IFERROR(IF(0=LEN(ReferenceData!$BB$239),"",ReferenceData!$BB$239),"")</f>
        <v>20.169</v>
      </c>
      <c r="BC239">
        <f ca="1">IFERROR(IF(0=LEN(ReferenceData!$BC$239),"",ReferenceData!$BC$239),"")</f>
        <v>10.784000000000001</v>
      </c>
      <c r="BD239">
        <f ca="1">IFERROR(IF(0=LEN(ReferenceData!$BD$239),"",ReferenceData!$BD$239),"")</f>
        <v>17.347999999999999</v>
      </c>
      <c r="BE239">
        <f ca="1">IFERROR(IF(0=LEN(ReferenceData!$BE$239),"",ReferenceData!$BE$239),"")</f>
        <v>21.486000000000001</v>
      </c>
      <c r="BF239">
        <f ca="1">IFERROR(IF(0=LEN(ReferenceData!$BF$239),"",ReferenceData!$BF$239),"")</f>
        <v>6.2119999999999997</v>
      </c>
      <c r="BG239">
        <f ca="1">IFERROR(IF(0=LEN(ReferenceData!$BG$239),"",ReferenceData!$BG$239),"")</f>
        <v>13.821</v>
      </c>
      <c r="BH239">
        <f ca="1">IFERROR(IF(0=LEN(ReferenceData!$BH$239),"",ReferenceData!$BH$239),"")</f>
        <v>6.8120000000000003</v>
      </c>
      <c r="BI239">
        <f ca="1">IFERROR(IF(0=LEN(ReferenceData!$BI$239),"",ReferenceData!$BI$239),"")</f>
        <v>12.202</v>
      </c>
      <c r="BJ239">
        <f ca="1">IFERROR(IF(0=LEN(ReferenceData!$BJ$239),"",ReferenceData!$BJ$239),"")</f>
        <v>9.5359999999999996</v>
      </c>
      <c r="BK239">
        <f ca="1">IFERROR(IF(0=LEN(ReferenceData!$BK$239),"",ReferenceData!$BK$239),"")</f>
        <v>9.4809999470000008</v>
      </c>
      <c r="BL239">
        <f ca="1">IFERROR(IF(0=LEN(ReferenceData!$BL$239),"",ReferenceData!$BL$239),"")</f>
        <v>13.372</v>
      </c>
      <c r="BM239">
        <f ca="1">IFERROR(IF(0=LEN(ReferenceData!$BM$239),"",ReferenceData!$BM$239),"")</f>
        <v>8.3670000000000009</v>
      </c>
    </row>
    <row r="240" spans="1:65">
      <c r="A240" t="str">
        <f>IFERROR(IF(0=LEN(ReferenceData!$A$240),"",ReferenceData!$A$240),"")</f>
        <v xml:space="preserve">    Highwoods Properties Inc</v>
      </c>
      <c r="B240" t="str">
        <f>IFERROR(IF(0=LEN(ReferenceData!$B$240),"",ReferenceData!$B$240),"")</f>
        <v>HIW US Equity</v>
      </c>
      <c r="C240" t="str">
        <f>IFERROR(IF(0=LEN(ReferenceData!$C$240),"",ReferenceData!$C$240),"")</f>
        <v>RR253</v>
      </c>
      <c r="D240" t="str">
        <f>IFERROR(IF(0=LEN(ReferenceData!$D$240),"",ReferenceData!$D$240),"")</f>
        <v>CASH_AND_MARKETABLE_SECURITIES</v>
      </c>
      <c r="E240" t="str">
        <f>IFERROR(IF(0=LEN(ReferenceData!$E$240),"",ReferenceData!$E$240),"")</f>
        <v>动态</v>
      </c>
      <c r="F240" t="str">
        <f ca="1">IFERROR(IF(0=LEN(ReferenceData!$F$240),"",ReferenceData!$F$240),"")</f>
        <v/>
      </c>
      <c r="G240">
        <f ca="1">IFERROR(IF(0=LEN(ReferenceData!$G$240),"",ReferenceData!$G$240),"")</f>
        <v>3.2719999999999998</v>
      </c>
      <c r="H240">
        <f ca="1">IFERROR(IF(0=LEN(ReferenceData!$H$240),"",ReferenceData!$H$240),"")</f>
        <v>4.8639999999999999</v>
      </c>
      <c r="I240">
        <f ca="1">IFERROR(IF(0=LEN(ReferenceData!$I$240),"",ReferenceData!$I$240),"")</f>
        <v>13.346</v>
      </c>
      <c r="J240">
        <f ca="1">IFERROR(IF(0=LEN(ReferenceData!$J$240),"",ReferenceData!$J$240),"")</f>
        <v>4.9180000000000001</v>
      </c>
      <c r="K240">
        <f ca="1">IFERROR(IF(0=LEN(ReferenceData!$K$240),"",ReferenceData!$K$240),"")</f>
        <v>49.49</v>
      </c>
      <c r="L240">
        <f ca="1">IFERROR(IF(0=LEN(ReferenceData!$L$240),"",ReferenceData!$L$240),"")</f>
        <v>6.3869999999999996</v>
      </c>
      <c r="M240">
        <f ca="1">IFERROR(IF(0=LEN(ReferenceData!$M$240),"",ReferenceData!$M$240),"")</f>
        <v>2.444</v>
      </c>
      <c r="N240">
        <f ca="1">IFERROR(IF(0=LEN(ReferenceData!$N$240),"",ReferenceData!$N$240),"")</f>
        <v>3.3450000000000002</v>
      </c>
      <c r="O240">
        <f ca="1">IFERROR(IF(0=LEN(ReferenceData!$O$240),"",ReferenceData!$O$240),"")</f>
        <v>5.0359999999999996</v>
      </c>
      <c r="P240">
        <f ca="1">IFERROR(IF(0=LEN(ReferenceData!$P$240),"",ReferenceData!$P$240),"")</f>
        <v>5.1840000000000002</v>
      </c>
      <c r="Q240">
        <f ca="1">IFERROR(IF(0=LEN(ReferenceData!$Q$240),"",ReferenceData!$Q$240),"")</f>
        <v>4.9390000000000001</v>
      </c>
      <c r="R240">
        <f ca="1">IFERROR(IF(0=LEN(ReferenceData!$R$240),"",ReferenceData!$R$240),"")</f>
        <v>11.381</v>
      </c>
      <c r="S240">
        <f ca="1">IFERROR(IF(0=LEN(ReferenceData!$S$240),"",ReferenceData!$S$240),"")</f>
        <v>8.8320000000000007</v>
      </c>
      <c r="T240">
        <f ca="1">IFERROR(IF(0=LEN(ReferenceData!$T$240),"",ReferenceData!$T$240),"")</f>
        <v>11.6</v>
      </c>
      <c r="U240">
        <f ca="1">IFERROR(IF(0=LEN(ReferenceData!$U$240),"",ReferenceData!$U$240),"")</f>
        <v>18.699000000000002</v>
      </c>
      <c r="V240">
        <f ca="1">IFERROR(IF(0=LEN(ReferenceData!$V$240),"",ReferenceData!$V$240),"")</f>
        <v>13.343999999999999</v>
      </c>
      <c r="W240">
        <f ca="1">IFERROR(IF(0=LEN(ReferenceData!$W$240),"",ReferenceData!$W$240),"")</f>
        <v>10.183999999999999</v>
      </c>
      <c r="X240">
        <f ca="1">IFERROR(IF(0=LEN(ReferenceData!$X$240),"",ReferenceData!$X$240),"")</f>
        <v>31.689</v>
      </c>
      <c r="Y240">
        <f ca="1">IFERROR(IF(0=LEN(ReferenceData!$Y$240),"",ReferenceData!$Y$240),"")</f>
        <v>10.122</v>
      </c>
      <c r="Z240">
        <f ca="1">IFERROR(IF(0=LEN(ReferenceData!$Z$240),"",ReferenceData!$Z$240),"")</f>
        <v>12.17</v>
      </c>
      <c r="AA240">
        <f ca="1">IFERROR(IF(0=LEN(ReferenceData!$AA$240),"",ReferenceData!$AA$240),"")</f>
        <v>13.782999999999999</v>
      </c>
      <c r="AB240">
        <f ca="1">IFERROR(IF(0=LEN(ReferenceData!$AB$240),"",ReferenceData!$AB$240),"")</f>
        <v>9.0860000000000003</v>
      </c>
      <c r="AC240">
        <f ca="1">IFERROR(IF(0=LEN(ReferenceData!$AC$240),"",ReferenceData!$AC$240),"")</f>
        <v>6.5270000000000001</v>
      </c>
      <c r="AD240">
        <f ca="1">IFERROR(IF(0=LEN(ReferenceData!$AD$240),"",ReferenceData!$AD$240),"")</f>
        <v>12.215</v>
      </c>
      <c r="AE240">
        <f ca="1">IFERROR(IF(0=LEN(ReferenceData!$AE$240),"",ReferenceData!$AE$240),"")</f>
        <v>11.188000000000001</v>
      </c>
      <c r="AF240">
        <f ca="1">IFERROR(IF(0=LEN(ReferenceData!$AF$240),"",ReferenceData!$AF$240),"")</f>
        <v>11.087999999999999</v>
      </c>
      <c r="AG240">
        <f ca="1">IFERROR(IF(0=LEN(ReferenceData!$AG$240),"",ReferenceData!$AG$240),"")</f>
        <v>9.2390000000000008</v>
      </c>
      <c r="AH240">
        <f ca="1">IFERROR(IF(0=LEN(ReferenceData!$AH$240),"",ReferenceData!$AH$240),"")</f>
        <v>30.81</v>
      </c>
      <c r="AI240">
        <f ca="1">IFERROR(IF(0=LEN(ReferenceData!$AI$240),"",ReferenceData!$AI$240),"")</f>
        <v>14.206</v>
      </c>
      <c r="AJ240">
        <f ca="1">IFERROR(IF(0=LEN(ReferenceData!$AJ$240),"",ReferenceData!$AJ$240),"")</f>
        <v>20.969000000000001</v>
      </c>
      <c r="AK240">
        <f ca="1">IFERROR(IF(0=LEN(ReferenceData!$AK$240),"",ReferenceData!$AK$240),"")</f>
        <v>35.843000000000004</v>
      </c>
      <c r="AL240">
        <f ca="1">IFERROR(IF(0=LEN(ReferenceData!$AL$240),"",ReferenceData!$AL$240),"")</f>
        <v>14.337999999999999</v>
      </c>
      <c r="AM240">
        <f ca="1">IFERROR(IF(0=LEN(ReferenceData!$AM$240),"",ReferenceData!$AM$240),"")</f>
        <v>23.699000000000002</v>
      </c>
      <c r="AN240">
        <f ca="1">IFERROR(IF(0=LEN(ReferenceData!$AN$240),"",ReferenceData!$AN$240),"")</f>
        <v>42.069000000000003</v>
      </c>
      <c r="AO240">
        <f ca="1">IFERROR(IF(0=LEN(ReferenceData!$AO$240),"",ReferenceData!$AO$240),"")</f>
        <v>13.372</v>
      </c>
      <c r="AP240">
        <f ca="1">IFERROR(IF(0=LEN(ReferenceData!$AP$240),"",ReferenceData!$AP$240),"")</f>
        <v>7.7569999999999997</v>
      </c>
      <c r="AQ240">
        <f ca="1">IFERROR(IF(0=LEN(ReferenceData!$AQ$240),"",ReferenceData!$AQ$240),"")</f>
        <v>13.757</v>
      </c>
      <c r="AR240">
        <f ca="1">IFERROR(IF(0=LEN(ReferenceData!$AR$240),"",ReferenceData!$AR$240),"")</f>
        <v>13.667</v>
      </c>
      <c r="AS240">
        <f ca="1">IFERROR(IF(0=LEN(ReferenceData!$AS$240),"",ReferenceData!$AS$240),"")</f>
        <v>4.0330000000000004</v>
      </c>
      <c r="AT240">
        <f ca="1">IFERROR(IF(0=LEN(ReferenceData!$AT$240),"",ReferenceData!$AT$240),"")</f>
        <v>6.5949999999999998</v>
      </c>
      <c r="AU240">
        <f ca="1">IFERROR(IF(0=LEN(ReferenceData!$AU$240),"",ReferenceData!$AU$240),"")</f>
        <v>3.14</v>
      </c>
      <c r="AV240">
        <f ca="1">IFERROR(IF(0=LEN(ReferenceData!$AV$240),"",ReferenceData!$AV$240),"")</f>
        <v>3.468</v>
      </c>
      <c r="AW240">
        <f ca="1">IFERROR(IF(0=LEN(ReferenceData!$AW$240),"",ReferenceData!$AW$240),"")</f>
        <v>16.838999999999999</v>
      </c>
      <c r="AX240">
        <f ca="1">IFERROR(IF(0=LEN(ReferenceData!$AX$240),"",ReferenceData!$AX$240),"")</f>
        <v>17.004000000000001</v>
      </c>
      <c r="AY240">
        <f ca="1">IFERROR(IF(0=LEN(ReferenceData!$AY$240),"",ReferenceData!$AY$240),"")</f>
        <v>16.690000000000001</v>
      </c>
      <c r="AZ240">
        <f ca="1">IFERROR(IF(0=LEN(ReferenceData!$AZ$240),"",ReferenceData!$AZ$240),"")</f>
        <v>7.524</v>
      </c>
      <c r="BA240">
        <f ca="1">IFERROR(IF(0=LEN(ReferenceData!$BA$240),"",ReferenceData!$BA$240),"")</f>
        <v>4.9279999999999999</v>
      </c>
      <c r="BB240">
        <f ca="1">IFERROR(IF(0=LEN(ReferenceData!$BB$240),"",ReferenceData!$BB$240),"")</f>
        <v>24.143999999999998</v>
      </c>
      <c r="BC240">
        <f ca="1">IFERROR(IF(0=LEN(ReferenceData!$BC$240),"",ReferenceData!$BC$240),"")</f>
        <v>1.212</v>
      </c>
      <c r="BD240">
        <f ca="1">IFERROR(IF(0=LEN(ReferenceData!$BD$240),"",ReferenceData!$BD$240),"")</f>
        <v>0.64600000000000002</v>
      </c>
      <c r="BE240">
        <f ca="1">IFERROR(IF(0=LEN(ReferenceData!$BE$240),"",ReferenceData!$BE$240),"")</f>
        <v>44.21</v>
      </c>
      <c r="BF240">
        <f ca="1">IFERROR(IF(0=LEN(ReferenceData!$BF$240),"",ReferenceData!$BF$240),"")</f>
        <v>55.341999999999999</v>
      </c>
      <c r="BG240">
        <f ca="1">IFERROR(IF(0=LEN(ReferenceData!$BG$240),"",ReferenceData!$BG$240),"")</f>
        <v>24.481999999999999</v>
      </c>
      <c r="BH240">
        <f ca="1">IFERROR(IF(0=LEN(ReferenceData!$BH$240),"",ReferenceData!$BH$240),"")</f>
        <v>20.468</v>
      </c>
      <c r="BI240">
        <f ca="1">IFERROR(IF(0=LEN(ReferenceData!$BI$240),"",ReferenceData!$BI$240),"")</f>
        <v>11.672000000000001</v>
      </c>
      <c r="BJ240">
        <f ca="1">IFERROR(IF(0=LEN(ReferenceData!$BJ$240),"",ReferenceData!$BJ$240),"")</f>
        <v>17.001000000000001</v>
      </c>
      <c r="BK240" t="str">
        <f ca="1">IFERROR(IF(0=LEN(ReferenceData!$BK$240),"",ReferenceData!$BK$240),"")</f>
        <v/>
      </c>
      <c r="BL240">
        <f ca="1">IFERROR(IF(0=LEN(ReferenceData!$BL$240),"",ReferenceData!$BL$240),"")</f>
        <v>13.083</v>
      </c>
      <c r="BM240">
        <f ca="1">IFERROR(IF(0=LEN(ReferenceData!$BM$240),"",ReferenceData!$BM$240),"")</f>
        <v>13.025</v>
      </c>
    </row>
    <row r="241" spans="1:65">
      <c r="A241" t="str">
        <f>IFERROR(IF(0=LEN(ReferenceData!$A$241),"",ReferenceData!$A$241),"")</f>
        <v xml:space="preserve">    Kilroy Realty Corp</v>
      </c>
      <c r="B241" t="str">
        <f>IFERROR(IF(0=LEN(ReferenceData!$B$241),"",ReferenceData!$B$241),"")</f>
        <v>KRC US Equity</v>
      </c>
      <c r="C241" t="str">
        <f>IFERROR(IF(0=LEN(ReferenceData!$C$241),"",ReferenceData!$C$241),"")</f>
        <v>RR253</v>
      </c>
      <c r="D241" t="str">
        <f>IFERROR(IF(0=LEN(ReferenceData!$D$241),"",ReferenceData!$D$241),"")</f>
        <v>CASH_AND_MARKETABLE_SECURITIES</v>
      </c>
      <c r="E241" t="str">
        <f>IFERROR(IF(0=LEN(ReferenceData!$E$241),"",ReferenceData!$E$241),"")</f>
        <v>动态</v>
      </c>
      <c r="F241" t="str">
        <f ca="1">IFERROR(IF(0=LEN(ReferenceData!$F$241),"",ReferenceData!$F$241),"")</f>
        <v/>
      </c>
      <c r="G241">
        <f ca="1">IFERROR(IF(0=LEN(ReferenceData!$G$241),"",ReferenceData!$G$241),"")</f>
        <v>57.649000000000001</v>
      </c>
      <c r="H241">
        <f ca="1">IFERROR(IF(0=LEN(ReferenceData!$H$241),"",ReferenceData!$H$241),"")</f>
        <v>64.953999999999994</v>
      </c>
      <c r="I241">
        <f ca="1">IFERROR(IF(0=LEN(ReferenceData!$I$241),"",ReferenceData!$I$241),"")</f>
        <v>387.61599999999999</v>
      </c>
      <c r="J241">
        <f ca="1">IFERROR(IF(0=LEN(ReferenceData!$J$241),"",ReferenceData!$J$241),"")</f>
        <v>478.39100000000002</v>
      </c>
      <c r="K241">
        <f ca="1">IFERROR(IF(0=LEN(ReferenceData!$K$241),"",ReferenceData!$K$241),"")</f>
        <v>193.41800000000001</v>
      </c>
      <c r="L241">
        <f ca="1">IFERROR(IF(0=LEN(ReferenceData!$L$241),"",ReferenceData!$L$241),"")</f>
        <v>250.523</v>
      </c>
      <c r="M241">
        <f ca="1">IFERROR(IF(0=LEN(ReferenceData!$M$241),"",ReferenceData!$M$241),"")</f>
        <v>26.332000000000001</v>
      </c>
      <c r="N241">
        <f ca="1">IFERROR(IF(0=LEN(ReferenceData!$N$241),"",ReferenceData!$N$241),"")</f>
        <v>38.645000000000003</v>
      </c>
      <c r="O241">
        <f ca="1">IFERROR(IF(0=LEN(ReferenceData!$O$241),"",ReferenceData!$O$241),"")</f>
        <v>56.508000000000003</v>
      </c>
      <c r="P241">
        <f ca="1">IFERROR(IF(0=LEN(ReferenceData!$P$241),"",ReferenceData!$P$241),"")</f>
        <v>567.94000000000005</v>
      </c>
      <c r="Q241">
        <f ca="1">IFERROR(IF(0=LEN(ReferenceData!$Q$241),"",ReferenceData!$Q$241),"")</f>
        <v>28.141999999999999</v>
      </c>
      <c r="R241">
        <f ca="1">IFERROR(IF(0=LEN(ReferenceData!$R$241),"",ReferenceData!$R$241),"")</f>
        <v>50.180999999999997</v>
      </c>
      <c r="S241">
        <f ca="1">IFERROR(IF(0=LEN(ReferenceData!$S$241),"",ReferenceData!$S$241),"")</f>
        <v>23.780999999999999</v>
      </c>
      <c r="T241">
        <f ca="1">IFERROR(IF(0=LEN(ReferenceData!$T$241),"",ReferenceData!$T$241),"")</f>
        <v>200.43100000000001</v>
      </c>
      <c r="U241">
        <f ca="1">IFERROR(IF(0=LEN(ReferenceData!$U$241),"",ReferenceData!$U$241),"")</f>
        <v>24.571000000000002</v>
      </c>
      <c r="V241">
        <f ca="1">IFERROR(IF(0=LEN(ReferenceData!$V$241),"",ReferenceData!$V$241),"")</f>
        <v>95.534000000000006</v>
      </c>
      <c r="W241">
        <f ca="1">IFERROR(IF(0=LEN(ReferenceData!$W$241),"",ReferenceData!$W$241),"")</f>
        <v>35.377000000000002</v>
      </c>
      <c r="X241">
        <f ca="1">IFERROR(IF(0=LEN(ReferenceData!$X$241),"",ReferenceData!$X$241),"")</f>
        <v>197.15</v>
      </c>
      <c r="Y241">
        <f ca="1">IFERROR(IF(0=LEN(ReferenceData!$Y$241),"",ReferenceData!$Y$241),"")</f>
        <v>107.82299999999999</v>
      </c>
      <c r="Z241">
        <f ca="1">IFERROR(IF(0=LEN(ReferenceData!$Z$241),"",ReferenceData!$Z$241),"")</f>
        <v>135.67599999999999</v>
      </c>
      <c r="AA241">
        <f ca="1">IFERROR(IF(0=LEN(ReferenceData!$AA$241),"",ReferenceData!$AA$241),"")</f>
        <v>16.7</v>
      </c>
      <c r="AB241">
        <f ca="1">IFERROR(IF(0=LEN(ReferenceData!$AB$241),"",ReferenceData!$AB$241),"")</f>
        <v>16.113</v>
      </c>
      <c r="AC241">
        <f ca="1">IFERROR(IF(0=LEN(ReferenceData!$AC$241),"",ReferenceData!$AC$241),"")</f>
        <v>18.111000000000001</v>
      </c>
      <c r="AD241">
        <f ca="1">IFERROR(IF(0=LEN(ReferenceData!$AD$241),"",ReferenceData!$AD$241),"")</f>
        <v>374.36799999999999</v>
      </c>
      <c r="AE241">
        <f ca="1">IFERROR(IF(0=LEN(ReferenceData!$AE$241),"",ReferenceData!$AE$241),"")</f>
        <v>4.7770000000000001</v>
      </c>
      <c r="AF241">
        <f ca="1">IFERROR(IF(0=LEN(ReferenceData!$AF$241),"",ReferenceData!$AF$241),"")</f>
        <v>15.481</v>
      </c>
      <c r="AG241">
        <f ca="1">IFERROR(IF(0=LEN(ReferenceData!$AG$241),"",ReferenceData!$AG$241),"")</f>
        <v>25.411999999999999</v>
      </c>
      <c r="AH241">
        <f ca="1">IFERROR(IF(0=LEN(ReferenceData!$AH$241),"",ReferenceData!$AH$241),"")</f>
        <v>6.7080000000000002</v>
      </c>
      <c r="AI241">
        <f ca="1">IFERROR(IF(0=LEN(ReferenceData!$AI$241),"",ReferenceData!$AI$241),"")</f>
        <v>14.84</v>
      </c>
      <c r="AJ241">
        <f ca="1">IFERROR(IF(0=LEN(ReferenceData!$AJ$241),"",ReferenceData!$AJ$241),"")</f>
        <v>8.3130000000000006</v>
      </c>
      <c r="AK241">
        <f ca="1">IFERROR(IF(0=LEN(ReferenceData!$AK$241),"",ReferenceData!$AK$241),"")</f>
        <v>29.428000000000001</v>
      </c>
      <c r="AL241">
        <f ca="1">IFERROR(IF(0=LEN(ReferenceData!$AL$241),"",ReferenceData!$AL$241),"")</f>
        <v>10.736000000000001</v>
      </c>
      <c r="AM241">
        <f ca="1">IFERROR(IF(0=LEN(ReferenceData!$AM$241),"",ReferenceData!$AM$241),"")</f>
        <v>9.8829999999999991</v>
      </c>
      <c r="AN241">
        <f ca="1">IFERROR(IF(0=LEN(ReferenceData!$AN$241),"",ReferenceData!$AN$241),"")</f>
        <v>9.2650000000000006</v>
      </c>
      <c r="AO241">
        <f ca="1">IFERROR(IF(0=LEN(ReferenceData!$AO$241),"",ReferenceData!$AO$241),"")</f>
        <v>13.348000000000001</v>
      </c>
      <c r="AP241">
        <f ca="1">IFERROR(IF(0=LEN(ReferenceData!$AP$241),"",ReferenceData!$AP$241),"")</f>
        <v>16.256</v>
      </c>
      <c r="AQ241">
        <f ca="1">IFERROR(IF(0=LEN(ReferenceData!$AQ$241),"",ReferenceData!$AQ$241),"")</f>
        <v>9.5530000000000008</v>
      </c>
      <c r="AR241">
        <f ca="1">IFERROR(IF(0=LEN(ReferenceData!$AR$241),"",ReferenceData!$AR$241),"")</f>
        <v>10.055</v>
      </c>
      <c r="AS241">
        <f ca="1">IFERROR(IF(0=LEN(ReferenceData!$AS$241),"",ReferenceData!$AS$241),"")</f>
        <v>4.367</v>
      </c>
      <c r="AT241">
        <f ca="1">IFERROR(IF(0=LEN(ReferenceData!$AT$241),"",ReferenceData!$AT$241),"")</f>
        <v>4.8810000000000002</v>
      </c>
      <c r="AU241">
        <f ca="1">IFERROR(IF(0=LEN(ReferenceData!$AU$241),"",ReferenceData!$AU$241),"")</f>
        <v>11.731999999999999</v>
      </c>
      <c r="AV241">
        <f ca="1">IFERROR(IF(0=LEN(ReferenceData!$AV$241),"",ReferenceData!$AV$241),"")</f>
        <v>3.6549999999999998</v>
      </c>
      <c r="AW241">
        <f ca="1">IFERROR(IF(0=LEN(ReferenceData!$AW$241),"",ReferenceData!$AW$241),"")</f>
        <v>11.134</v>
      </c>
      <c r="AX241">
        <f ca="1">IFERROR(IF(0=LEN(ReferenceData!$AX$241),"",ReferenceData!$AX$241),"")</f>
        <v>5.1669999999999998</v>
      </c>
      <c r="AY241">
        <f ca="1">IFERROR(IF(0=LEN(ReferenceData!$AY$241),"",ReferenceData!$AY$241),"")</f>
        <v>11.948</v>
      </c>
      <c r="AZ241">
        <f ca="1">IFERROR(IF(0=LEN(ReferenceData!$AZ$241),"",ReferenceData!$AZ$241),"")</f>
        <v>7.75</v>
      </c>
      <c r="BA241">
        <f ca="1">IFERROR(IF(0=LEN(ReferenceData!$BA$241),"",ReferenceData!$BA$241),"")</f>
        <v>8.5830000000000002</v>
      </c>
      <c r="BB241">
        <f ca="1">IFERROR(IF(0=LEN(ReferenceData!$BB$241),"",ReferenceData!$BB$241),"")</f>
        <v>11.395</v>
      </c>
      <c r="BC241">
        <f ca="1">IFERROR(IF(0=LEN(ReferenceData!$BC$241),"",ReferenceData!$BC$241),"")</f>
        <v>3.8809999999999998</v>
      </c>
      <c r="BD241">
        <f ca="1">IFERROR(IF(0=LEN(ReferenceData!$BD$241),"",ReferenceData!$BD$241),"")</f>
        <v>8.7050000000000001</v>
      </c>
      <c r="BE241">
        <f ca="1">IFERROR(IF(0=LEN(ReferenceData!$BE$241),"",ReferenceData!$BE$241),"")</f>
        <v>7.7060000000000004</v>
      </c>
      <c r="BF241">
        <f ca="1">IFERROR(IF(0=LEN(ReferenceData!$BF$241),"",ReferenceData!$BF$241),"")</f>
        <v>11.04</v>
      </c>
      <c r="BG241">
        <f ca="1">IFERROR(IF(0=LEN(ReferenceData!$BG$241),"",ReferenceData!$BG$241),"")</f>
        <v>4.8529999999999998</v>
      </c>
      <c r="BH241">
        <f ca="1">IFERROR(IF(0=LEN(ReferenceData!$BH$241),"",ReferenceData!$BH$241),"")</f>
        <v>3.6520000000000001</v>
      </c>
      <c r="BI241">
        <f ca="1">IFERROR(IF(0=LEN(ReferenceData!$BI$241),"",ReferenceData!$BI$241),"")</f>
        <v>7.444</v>
      </c>
      <c r="BJ241">
        <f ca="1">IFERROR(IF(0=LEN(ReferenceData!$BJ$241),"",ReferenceData!$BJ$241),"")</f>
        <v>6.73</v>
      </c>
      <c r="BK241">
        <f ca="1">IFERROR(IF(0=LEN(ReferenceData!$BK$241),"",ReferenceData!$BK$241),"")</f>
        <v>9.8920001979999999</v>
      </c>
      <c r="BL241">
        <f ca="1">IFERROR(IF(0=LEN(ReferenceData!$BL$241),"",ReferenceData!$BL$241),"")</f>
        <v>16.077999999999999</v>
      </c>
      <c r="BM241">
        <f ca="1">IFERROR(IF(0=LEN(ReferenceData!$BM$241),"",ReferenceData!$BM$241),"")</f>
        <v>6.8650000000000002</v>
      </c>
    </row>
    <row r="242" spans="1:65">
      <c r="A242" t="str">
        <f>IFERROR(IF(0=LEN(ReferenceData!$A$242),"",ReferenceData!$A$242),"")</f>
        <v xml:space="preserve">    Mack-Cali Realty Corp</v>
      </c>
      <c r="B242" t="str">
        <f>IFERROR(IF(0=LEN(ReferenceData!$B$242),"",ReferenceData!$B$242),"")</f>
        <v>CLI US Equity</v>
      </c>
      <c r="C242" t="str">
        <f>IFERROR(IF(0=LEN(ReferenceData!$C$242),"",ReferenceData!$C$242),"")</f>
        <v>RR253</v>
      </c>
      <c r="D242" t="str">
        <f>IFERROR(IF(0=LEN(ReferenceData!$D$242),"",ReferenceData!$D$242),"")</f>
        <v>CASH_AND_MARKETABLE_SECURITIES</v>
      </c>
      <c r="E242" t="str">
        <f>IFERROR(IF(0=LEN(ReferenceData!$E$242),"",ReferenceData!$E$242),"")</f>
        <v>动态</v>
      </c>
      <c r="F242" t="str">
        <f ca="1">IFERROR(IF(0=LEN(ReferenceData!$F$242),"",ReferenceData!$F$242),"")</f>
        <v/>
      </c>
      <c r="G242">
        <f ca="1">IFERROR(IF(0=LEN(ReferenceData!$G$242),"",ReferenceData!$G$242),"")</f>
        <v>28.18</v>
      </c>
      <c r="H242">
        <f ca="1">IFERROR(IF(0=LEN(ReferenceData!$H$242),"",ReferenceData!$H$242),"")</f>
        <v>88.789000000000001</v>
      </c>
      <c r="I242">
        <f ca="1">IFERROR(IF(0=LEN(ReferenceData!$I$242),"",ReferenceData!$I$242),"")</f>
        <v>21.719000000000001</v>
      </c>
      <c r="J242">
        <f ca="1">IFERROR(IF(0=LEN(ReferenceData!$J$242),"",ReferenceData!$J$242),"")</f>
        <v>168.316</v>
      </c>
      <c r="K242">
        <f ca="1">IFERROR(IF(0=LEN(ReferenceData!$K$242),"",ReferenceData!$K$242),"")</f>
        <v>31.611000000000001</v>
      </c>
      <c r="L242">
        <f ca="1">IFERROR(IF(0=LEN(ReferenceData!$L$242),"",ReferenceData!$L$242),"")</f>
        <v>21.555</v>
      </c>
      <c r="M242">
        <f ca="1">IFERROR(IF(0=LEN(ReferenceData!$M$242),"",ReferenceData!$M$242),"")</f>
        <v>29.457000000000001</v>
      </c>
      <c r="N242">
        <f ca="1">IFERROR(IF(0=LEN(ReferenceData!$N$242),"",ReferenceData!$N$242),"")</f>
        <v>116.42100000000001</v>
      </c>
      <c r="O242">
        <f ca="1">IFERROR(IF(0=LEN(ReferenceData!$O$242),"",ReferenceData!$O$242),"")</f>
        <v>37.076999999999998</v>
      </c>
      <c r="P242">
        <f ca="1">IFERROR(IF(0=LEN(ReferenceData!$P$242),"",ReferenceData!$P$242),"")</f>
        <v>30.866</v>
      </c>
      <c r="Q242">
        <f ca="1">IFERROR(IF(0=LEN(ReferenceData!$Q$242),"",ReferenceData!$Q$242),"")</f>
        <v>19.812999999999999</v>
      </c>
      <c r="R242">
        <f ca="1">IFERROR(IF(0=LEN(ReferenceData!$R$242),"",ReferenceData!$R$242),"")</f>
        <v>19.315000000000001</v>
      </c>
      <c r="S242">
        <f ca="1">IFERROR(IF(0=LEN(ReferenceData!$S$242),"",ReferenceData!$S$242),"")</f>
        <v>29.548999999999999</v>
      </c>
      <c r="T242">
        <f ca="1">IFERROR(IF(0=LEN(ReferenceData!$T$242),"",ReferenceData!$T$242),"")</f>
        <v>105.52800000000001</v>
      </c>
      <c r="U242">
        <f ca="1">IFERROR(IF(0=LEN(ReferenceData!$U$242),"",ReferenceData!$U$242),"")</f>
        <v>80.942999999999998</v>
      </c>
      <c r="V242">
        <f ca="1">IFERROR(IF(0=LEN(ReferenceData!$V$242),"",ReferenceData!$V$242),"")</f>
        <v>58.734000000000002</v>
      </c>
      <c r="W242">
        <f ca="1">IFERROR(IF(0=LEN(ReferenceData!$W$242),"",ReferenceData!$W$242),"")</f>
        <v>221.70599999999999</v>
      </c>
      <c r="X242">
        <f ca="1">IFERROR(IF(0=LEN(ReferenceData!$X$242),"",ReferenceData!$X$242),"")</f>
        <v>308.04300000000001</v>
      </c>
      <c r="Y242">
        <f ca="1">IFERROR(IF(0=LEN(ReferenceData!$Y$242),"",ReferenceData!$Y$242),"")</f>
        <v>177.93899999999999</v>
      </c>
      <c r="Z242">
        <f ca="1">IFERROR(IF(0=LEN(ReferenceData!$Z$242),"",ReferenceData!$Z$242),"")</f>
        <v>24.184000000000001</v>
      </c>
      <c r="AA242">
        <f ca="1">IFERROR(IF(0=LEN(ReferenceData!$AA$242),"",ReferenceData!$AA$242),"")</f>
        <v>58.244999999999997</v>
      </c>
      <c r="AB242">
        <f ca="1">IFERROR(IF(0=LEN(ReferenceData!$AB$242),"",ReferenceData!$AB$242),"")</f>
        <v>21.542999999999999</v>
      </c>
      <c r="AC242">
        <f ca="1">IFERROR(IF(0=LEN(ReferenceData!$AC$242),"",ReferenceData!$AC$242),"")</f>
        <v>19.303000000000001</v>
      </c>
      <c r="AD242">
        <f ca="1">IFERROR(IF(0=LEN(ReferenceData!$AD$242),"",ReferenceData!$AD$242),"")</f>
        <v>20.524000000000001</v>
      </c>
      <c r="AE242">
        <f ca="1">IFERROR(IF(0=LEN(ReferenceData!$AE$242),"",ReferenceData!$AE$242),"")</f>
        <v>20.495999999999999</v>
      </c>
      <c r="AF242">
        <f ca="1">IFERROR(IF(0=LEN(ReferenceData!$AF$242),"",ReferenceData!$AF$242),"")</f>
        <v>15.853999999999999</v>
      </c>
      <c r="AG242">
        <f ca="1">IFERROR(IF(0=LEN(ReferenceData!$AG$242),"",ReferenceData!$AG$242),"")</f>
        <v>18.094000000000001</v>
      </c>
      <c r="AH242">
        <f ca="1">IFERROR(IF(0=LEN(ReferenceData!$AH$242),"",ReferenceData!$AH$242),"")</f>
        <v>10.728</v>
      </c>
      <c r="AI242">
        <f ca="1">IFERROR(IF(0=LEN(ReferenceData!$AI$242),"",ReferenceData!$AI$242),"")</f>
        <v>21.850999999999999</v>
      </c>
      <c r="AJ242">
        <f ca="1">IFERROR(IF(0=LEN(ReferenceData!$AJ$242),"",ReferenceData!$AJ$242),"")</f>
        <v>105.812</v>
      </c>
      <c r="AK242">
        <f ca="1">IFERROR(IF(0=LEN(ReferenceData!$AK$242),"",ReferenceData!$AK$242),"")</f>
        <v>140.99</v>
      </c>
      <c r="AL242">
        <f ca="1">IFERROR(IF(0=LEN(ReferenceData!$AL$242),"",ReferenceData!$AL$242),"")</f>
        <v>274.06599999999997</v>
      </c>
      <c r="AM242">
        <f ca="1">IFERROR(IF(0=LEN(ReferenceData!$AM$242),"",ReferenceData!$AM$242),"")</f>
        <v>291.05900000000003</v>
      </c>
      <c r="AN242">
        <f ca="1">IFERROR(IF(0=LEN(ReferenceData!$AN$242),"",ReferenceData!$AN$242),"")</f>
        <v>279.15600000000001</v>
      </c>
      <c r="AO242">
        <f ca="1">IFERROR(IF(0=LEN(ReferenceData!$AO$242),"",ReferenceData!$AO$242),"")</f>
        <v>33.203000000000003</v>
      </c>
      <c r="AP242">
        <f ca="1">IFERROR(IF(0=LEN(ReferenceData!$AP$242),"",ReferenceData!$AP$242),"")</f>
        <v>31.898</v>
      </c>
      <c r="AQ242">
        <f ca="1">IFERROR(IF(0=LEN(ReferenceData!$AQ$242),"",ReferenceData!$AQ$242),"")</f>
        <v>21.620999999999999</v>
      </c>
      <c r="AR242">
        <f ca="1">IFERROR(IF(0=LEN(ReferenceData!$AR$242),"",ReferenceData!$AR$242),"")</f>
        <v>7.68</v>
      </c>
      <c r="AS242">
        <f ca="1">IFERROR(IF(0=LEN(ReferenceData!$AS$242),"",ReferenceData!$AS$242),"")</f>
        <v>33.777000000000001</v>
      </c>
      <c r="AT242">
        <f ca="1">IFERROR(IF(0=LEN(ReferenceData!$AT$242),"",ReferenceData!$AT$242),"")</f>
        <v>30.591000000000001</v>
      </c>
      <c r="AU242">
        <f ca="1">IFERROR(IF(0=LEN(ReferenceData!$AU$242),"",ReferenceData!$AU$242),"")</f>
        <v>24.716000000000001</v>
      </c>
      <c r="AV242">
        <f ca="1">IFERROR(IF(0=LEN(ReferenceData!$AV$242),"",ReferenceData!$AV$242),"")</f>
        <v>29.981000000000002</v>
      </c>
      <c r="AW242">
        <f ca="1">IFERROR(IF(0=LEN(ReferenceData!$AW$242),"",ReferenceData!$AW$242),"")</f>
        <v>18.902999999999999</v>
      </c>
      <c r="AX242">
        <f ca="1">IFERROR(IF(0=LEN(ReferenceData!$AX$242),"",ReferenceData!$AX$242),"")</f>
        <v>150.17099999999999</v>
      </c>
      <c r="AY242">
        <f ca="1">IFERROR(IF(0=LEN(ReferenceData!$AY$242),"",ReferenceData!$AY$242),"")</f>
        <v>101.223</v>
      </c>
      <c r="AZ242">
        <f ca="1">IFERROR(IF(0=LEN(ReferenceData!$AZ$242),"",ReferenceData!$AZ$242),"")</f>
        <v>20.78</v>
      </c>
      <c r="BA242">
        <f ca="1">IFERROR(IF(0=LEN(ReferenceData!$BA$242),"",ReferenceData!$BA$242),"")</f>
        <v>20.417000000000002</v>
      </c>
      <c r="BB242">
        <f ca="1">IFERROR(IF(0=LEN(ReferenceData!$BB$242),"",ReferenceData!$BB$242),"")</f>
        <v>11.605</v>
      </c>
      <c r="BC242">
        <f ca="1">IFERROR(IF(0=LEN(ReferenceData!$BC$242),"",ReferenceData!$BC$242),"")</f>
        <v>60.396999999999998</v>
      </c>
      <c r="BD242">
        <f ca="1">IFERROR(IF(0=LEN(ReferenceData!$BD$242),"",ReferenceData!$BD$242),"")</f>
        <v>9.5709999999999997</v>
      </c>
      <c r="BE242">
        <f ca="1">IFERROR(IF(0=LEN(ReferenceData!$BE$242),"",ReferenceData!$BE$242),"")</f>
        <v>15.71</v>
      </c>
      <c r="BF242">
        <f ca="1">IFERROR(IF(0=LEN(ReferenceData!$BF$242),"",ReferenceData!$BF$242),"")</f>
        <v>13.087</v>
      </c>
      <c r="BG242">
        <f ca="1">IFERROR(IF(0=LEN(ReferenceData!$BG$242),"",ReferenceData!$BG$242),"")</f>
        <v>12.27</v>
      </c>
      <c r="BH242">
        <f ca="1">IFERROR(IF(0=LEN(ReferenceData!$BH$242),"",ReferenceData!$BH$242),"")</f>
        <v>11.561999999999999</v>
      </c>
      <c r="BI242">
        <f ca="1">IFERROR(IF(0=LEN(ReferenceData!$BI$242),"",ReferenceData!$BI$242),"")</f>
        <v>7.9329999999999998</v>
      </c>
      <c r="BJ242">
        <f ca="1">IFERROR(IF(0=LEN(ReferenceData!$BJ$242),"",ReferenceData!$BJ$242),"")</f>
        <v>10.975</v>
      </c>
      <c r="BK242">
        <f ca="1">IFERROR(IF(0=LEN(ReferenceData!$BK$242),"",ReferenceData!$BK$242),"")</f>
        <v>78.375</v>
      </c>
      <c r="BL242">
        <f ca="1">IFERROR(IF(0=LEN(ReferenceData!$BL$242),"",ReferenceData!$BL$242),"")</f>
        <v>35.293998999999999</v>
      </c>
      <c r="BM242">
        <f ca="1">IFERROR(IF(0=LEN(ReferenceData!$BM$242),"",ReferenceData!$BM$242),"")</f>
        <v>8.5850000000000009</v>
      </c>
    </row>
    <row r="243" spans="1:65">
      <c r="A243" t="str">
        <f>IFERROR(IF(0=LEN(ReferenceData!$A$243),"",ReferenceData!$A$243),"")</f>
        <v xml:space="preserve">    Piedmont Office Realty Trust I</v>
      </c>
      <c r="B243" t="str">
        <f>IFERROR(IF(0=LEN(ReferenceData!$B$243),"",ReferenceData!$B$243),"")</f>
        <v>PDM US Equity</v>
      </c>
      <c r="C243" t="str">
        <f>IFERROR(IF(0=LEN(ReferenceData!$C$243),"",ReferenceData!$C$243),"")</f>
        <v>RR253</v>
      </c>
      <c r="D243" t="str">
        <f>IFERROR(IF(0=LEN(ReferenceData!$D$243),"",ReferenceData!$D$243),"")</f>
        <v>CASH_AND_MARKETABLE_SECURITIES</v>
      </c>
      <c r="E243" t="str">
        <f>IFERROR(IF(0=LEN(ReferenceData!$E$243),"",ReferenceData!$E$243),"")</f>
        <v>动态</v>
      </c>
      <c r="F243" t="str">
        <f ca="1">IFERROR(IF(0=LEN(ReferenceData!$F$243),"",ReferenceData!$F$243),"")</f>
        <v/>
      </c>
      <c r="G243">
        <f ca="1">IFERROR(IF(0=LEN(ReferenceData!$G$243),"",ReferenceData!$G$243),"")</f>
        <v>7.3819999999999997</v>
      </c>
      <c r="H243">
        <f ca="1">IFERROR(IF(0=LEN(ReferenceData!$H$243),"",ReferenceData!$H$243),"")</f>
        <v>36.107999999999997</v>
      </c>
      <c r="I243">
        <f ca="1">IFERROR(IF(0=LEN(ReferenceData!$I$243),"",ReferenceData!$I$243),"")</f>
        <v>9.5960000000000001</v>
      </c>
      <c r="J243">
        <f ca="1">IFERROR(IF(0=LEN(ReferenceData!$J$243),"",ReferenceData!$J$243),"")</f>
        <v>6.8079999999999998</v>
      </c>
      <c r="K243">
        <f ca="1">IFERROR(IF(0=LEN(ReferenceData!$K$243),"",ReferenceData!$K$243),"")</f>
        <v>6.992</v>
      </c>
      <c r="L243">
        <f ca="1">IFERROR(IF(0=LEN(ReferenceData!$L$243),"",ReferenceData!$L$243),"")</f>
        <v>6.032</v>
      </c>
      <c r="M243">
        <f ca="1">IFERROR(IF(0=LEN(ReferenceData!$M$243),"",ReferenceData!$M$243),"")</f>
        <v>21.109000000000002</v>
      </c>
      <c r="N243">
        <f ca="1">IFERROR(IF(0=LEN(ReferenceData!$N$243),"",ReferenceData!$N$243),"")</f>
        <v>4.7320000000000002</v>
      </c>
      <c r="O243">
        <f ca="1">IFERROR(IF(0=LEN(ReferenceData!$O$243),"",ReferenceData!$O$243),"")</f>
        <v>5.4409999999999998</v>
      </c>
      <c r="P243">
        <f ca="1">IFERROR(IF(0=LEN(ReferenceData!$P$243),"",ReferenceData!$P$243),"")</f>
        <v>7.702</v>
      </c>
      <c r="Q243">
        <f ca="1">IFERROR(IF(0=LEN(ReferenceData!$Q$243),"",ReferenceData!$Q$243),"")</f>
        <v>8.9969999999999999</v>
      </c>
      <c r="R243">
        <f ca="1">IFERROR(IF(0=LEN(ReferenceData!$R$243),"",ReferenceData!$R$243),"")</f>
        <v>7.4790000000000001</v>
      </c>
      <c r="S243">
        <f ca="1">IFERROR(IF(0=LEN(ReferenceData!$S$243),"",ReferenceData!$S$243),"")</f>
        <v>12.305999999999999</v>
      </c>
      <c r="T243">
        <f ca="1">IFERROR(IF(0=LEN(ReferenceData!$T$243),"",ReferenceData!$T$243),"")</f>
        <v>8.8149999999999995</v>
      </c>
      <c r="U243">
        <f ca="1">IFERROR(IF(0=LEN(ReferenceData!$U$243),"",ReferenceData!$U$243),"")</f>
        <v>8.5630000000000006</v>
      </c>
      <c r="V243">
        <f ca="1">IFERROR(IF(0=LEN(ReferenceData!$V$243),"",ReferenceData!$V$243),"")</f>
        <v>9.2710000000000008</v>
      </c>
      <c r="W243">
        <f ca="1">IFERROR(IF(0=LEN(ReferenceData!$W$243),"",ReferenceData!$W$243),"")</f>
        <v>6.9729999999999999</v>
      </c>
      <c r="X243">
        <f ca="1">IFERROR(IF(0=LEN(ReferenceData!$X$243),"",ReferenceData!$X$243),"")</f>
        <v>15.972</v>
      </c>
      <c r="Y243">
        <f ca="1">IFERROR(IF(0=LEN(ReferenceData!$Y$243),"",ReferenceData!$Y$243),"")</f>
        <v>10.5</v>
      </c>
      <c r="Z243">
        <f ca="1">IFERROR(IF(0=LEN(ReferenceData!$Z$243),"",ReferenceData!$Z$243),"")</f>
        <v>17.574999999999999</v>
      </c>
      <c r="AA243">
        <f ca="1">IFERROR(IF(0=LEN(ReferenceData!$AA$243),"",ReferenceData!$AA$243),"")</f>
        <v>12.957000000000001</v>
      </c>
      <c r="AB243">
        <f ca="1">IFERROR(IF(0=LEN(ReferenceData!$AB$243),"",ReferenceData!$AB$243),"")</f>
        <v>20.763000000000002</v>
      </c>
      <c r="AC243">
        <f ca="1">IFERROR(IF(0=LEN(ReferenceData!$AC$243),"",ReferenceData!$AC$243),"")</f>
        <v>26.869</v>
      </c>
      <c r="AD243">
        <f ca="1">IFERROR(IF(0=LEN(ReferenceData!$AD$243),"",ReferenceData!$AD$243),"")</f>
        <v>28.678999999999998</v>
      </c>
      <c r="AE243">
        <f ca="1">IFERROR(IF(0=LEN(ReferenceData!$AE$243),"",ReferenceData!$AE$243),"")</f>
        <v>139.69</v>
      </c>
      <c r="AF243">
        <f ca="1">IFERROR(IF(0=LEN(ReferenceData!$AF$243),"",ReferenceData!$AF$243),"")</f>
        <v>16.128</v>
      </c>
      <c r="AG243">
        <f ca="1">IFERROR(IF(0=LEN(ReferenceData!$AG$243),"",ReferenceData!$AG$243),"")</f>
        <v>21.404</v>
      </c>
      <c r="AH243">
        <f ca="1">IFERROR(IF(0=LEN(ReferenceData!$AH$243),"",ReferenceData!$AH$243),"")</f>
        <v>42.151000000000003</v>
      </c>
      <c r="AI243">
        <f ca="1">IFERROR(IF(0=LEN(ReferenceData!$AI$243),"",ReferenceData!$AI$243),"")</f>
        <v>56.718000000000004</v>
      </c>
      <c r="AJ243">
        <f ca="1">IFERROR(IF(0=LEN(ReferenceData!$AJ$243),"",ReferenceData!$AJ$243),"")</f>
        <v>67.539000000000001</v>
      </c>
      <c r="AK243">
        <f ca="1">IFERROR(IF(0=LEN(ReferenceData!$AK$243),"",ReferenceData!$AK$243),"")</f>
        <v>81.066000000000003</v>
      </c>
      <c r="AL243">
        <f ca="1">IFERROR(IF(0=LEN(ReferenceData!$AL$243),"",ReferenceData!$AL$243),"")</f>
        <v>76.994</v>
      </c>
      <c r="AM243">
        <f ca="1">IFERROR(IF(0=LEN(ReferenceData!$AM$243),"",ReferenceData!$AM$243),"")</f>
        <v>10.004</v>
      </c>
      <c r="AN243">
        <f ca="1">IFERROR(IF(0=LEN(ReferenceData!$AN$243),"",ReferenceData!$AN$243),"")</f>
        <v>17.338999999999999</v>
      </c>
      <c r="AO243">
        <f ca="1">IFERROR(IF(0=LEN(ReferenceData!$AO$243),"",ReferenceData!$AO$243),"")</f>
        <v>17.529</v>
      </c>
      <c r="AP243">
        <f ca="1">IFERROR(IF(0=LEN(ReferenceData!$AP$243),"",ReferenceData!$AP$243),"")</f>
        <v>31.905000000000001</v>
      </c>
      <c r="AQ243">
        <f ca="1">IFERROR(IF(0=LEN(ReferenceData!$AQ$243),"",ReferenceData!$AQ$243),"")</f>
        <v>20.332999999999998</v>
      </c>
      <c r="AR243">
        <f ca="1">IFERROR(IF(0=LEN(ReferenceData!$AR$243),"",ReferenceData!$AR$243),"")</f>
        <v>47.976999999999997</v>
      </c>
      <c r="AS243">
        <f ca="1">IFERROR(IF(0=LEN(ReferenceData!$AS$243),"",ReferenceData!$AS$243),"")</f>
        <v>135.756</v>
      </c>
      <c r="AT243">
        <f ca="1">IFERROR(IF(0=LEN(ReferenceData!$AT$243),"",ReferenceData!$AT$243),"")</f>
        <v>56.664999999999999</v>
      </c>
      <c r="AU243">
        <f ca="1">IFERROR(IF(0=LEN(ReferenceData!$AU$243),"",ReferenceData!$AU$243),"")</f>
        <v>65.016000000000005</v>
      </c>
      <c r="AV243">
        <f ca="1">IFERROR(IF(0=LEN(ReferenceData!$AV$243),"",ReferenceData!$AV$243),"")</f>
        <v>58.847000000000001</v>
      </c>
      <c r="AW243">
        <f ca="1">IFERROR(IF(0=LEN(ReferenceData!$AW$243),"",ReferenceData!$AW$243),"")</f>
        <v>55.677</v>
      </c>
      <c r="AX243">
        <f ca="1">IFERROR(IF(0=LEN(ReferenceData!$AX$243),"",ReferenceData!$AX$243),"")</f>
        <v>55.055</v>
      </c>
      <c r="AY243">
        <f ca="1">IFERROR(IF(0=LEN(ReferenceData!$AY$243),"",ReferenceData!$AY$243),"")</f>
        <v>44.131</v>
      </c>
      <c r="AZ243">
        <f ca="1">IFERROR(IF(0=LEN(ReferenceData!$AZ$243),"",ReferenceData!$AZ$243),"")</f>
        <v>37.268000000000001</v>
      </c>
      <c r="BA243">
        <f ca="1">IFERROR(IF(0=LEN(ReferenceData!$BA$243),"",ReferenceData!$BA$243),"")</f>
        <v>44.404000000000003</v>
      </c>
      <c r="BB243">
        <f ca="1">IFERROR(IF(0=LEN(ReferenceData!$BB$243),"",ReferenceData!$BB$243),"")</f>
        <v>46.054000000000002</v>
      </c>
      <c r="BC243">
        <f ca="1">IFERROR(IF(0=LEN(ReferenceData!$BC$243),"",ReferenceData!$BC$243),"")</f>
        <v>48.972999999999999</v>
      </c>
      <c r="BD243">
        <f ca="1">IFERROR(IF(0=LEN(ReferenceData!$BD$243),"",ReferenceData!$BD$243),"")</f>
        <v>43.253</v>
      </c>
      <c r="BE243">
        <f ca="1">IFERROR(IF(0=LEN(ReferenceData!$BE$243),"",ReferenceData!$BE$243),"")</f>
        <v>61.985999999999997</v>
      </c>
      <c r="BF243">
        <f ca="1">IFERROR(IF(0=LEN(ReferenceData!$BF$243),"",ReferenceData!$BF$243),"")</f>
        <v>45.966999999999999</v>
      </c>
      <c r="BG243">
        <f ca="1">IFERROR(IF(0=LEN(ReferenceData!$BG$243),"",ReferenceData!$BG$243),"")</f>
        <v>39.668999999999997</v>
      </c>
      <c r="BH243">
        <f ca="1">IFERROR(IF(0=LEN(ReferenceData!$BH$243),"",ReferenceData!$BH$243),"")</f>
        <v>101.51300000000001</v>
      </c>
      <c r="BI243">
        <f ca="1">IFERROR(IF(0=LEN(ReferenceData!$BI$243),"",ReferenceData!$BI$243),"")</f>
        <v>82.658996579999993</v>
      </c>
      <c r="BJ243">
        <f ca="1">IFERROR(IF(0=LEN(ReferenceData!$BJ$243),"",ReferenceData!$BJ$243),"")</f>
        <v>54.724998470000003</v>
      </c>
      <c r="BK243">
        <f ca="1">IFERROR(IF(0=LEN(ReferenceData!$BK$243),"",ReferenceData!$BK$243),"")</f>
        <v>64.469001770000006</v>
      </c>
      <c r="BL243">
        <f ca="1">IFERROR(IF(0=LEN(ReferenceData!$BL$243),"",ReferenceData!$BL$243),"")</f>
        <v>180.6410065</v>
      </c>
      <c r="BM243">
        <f ca="1">IFERROR(IF(0=LEN(ReferenceData!$BM$243),"",ReferenceData!$BM$243),"")</f>
        <v>59.104999540000001</v>
      </c>
    </row>
    <row r="244" spans="1:65">
      <c r="A244" t="str">
        <f>IFERROR(IF(0=LEN(ReferenceData!$A$244),"",ReferenceData!$A$244),"")</f>
        <v xml:space="preserve">    SL Green Realty Corp</v>
      </c>
      <c r="B244" t="str">
        <f>IFERROR(IF(0=LEN(ReferenceData!$B$244),"",ReferenceData!$B$244),"")</f>
        <v>SLG US Equity</v>
      </c>
      <c r="C244" t="str">
        <f>IFERROR(IF(0=LEN(ReferenceData!$C$244),"",ReferenceData!$C$244),"")</f>
        <v>RR253</v>
      </c>
      <c r="D244" t="str">
        <f>IFERROR(IF(0=LEN(ReferenceData!$D$244),"",ReferenceData!$D$244),"")</f>
        <v>CASH_AND_MARKETABLE_SECURITIES</v>
      </c>
      <c r="E244" t="str">
        <f>IFERROR(IF(0=LEN(ReferenceData!$E$244),"",ReferenceData!$E$244),"")</f>
        <v>动态</v>
      </c>
      <c r="F244" t="str">
        <f ca="1">IFERROR(IF(0=LEN(ReferenceData!$F$244),"",ReferenceData!$F$244),"")</f>
        <v/>
      </c>
      <c r="G244">
        <f ca="1">IFERROR(IF(0=LEN(ReferenceData!$G$244),"",ReferenceData!$G$244),"")</f>
        <v>127.88800000000001</v>
      </c>
      <c r="H244">
        <f ca="1">IFERROR(IF(0=LEN(ReferenceData!$H$244),"",ReferenceData!$H$244),"")</f>
        <v>241.489</v>
      </c>
      <c r="I244">
        <f ca="1">IFERROR(IF(0=LEN(ReferenceData!$I$244),"",ReferenceData!$I$244),"")</f>
        <v>270.96499999999997</v>
      </c>
      <c r="J244">
        <f ca="1">IFERROR(IF(0=LEN(ReferenceData!$J$244),"",ReferenceData!$J$244),"")</f>
        <v>468.03500000000003</v>
      </c>
      <c r="K244">
        <f ca="1">IFERROR(IF(0=LEN(ReferenceData!$K$244),"",ReferenceData!$K$244),"")</f>
        <v>279.44299999999998</v>
      </c>
      <c r="L244">
        <f ca="1">IFERROR(IF(0=LEN(ReferenceData!$L$244),"",ReferenceData!$L$244),"")</f>
        <v>405.89600000000002</v>
      </c>
      <c r="M244">
        <f ca="1">IFERROR(IF(0=LEN(ReferenceData!$M$244),"",ReferenceData!$M$244),"")</f>
        <v>276.226</v>
      </c>
      <c r="N244">
        <f ca="1">IFERROR(IF(0=LEN(ReferenceData!$N$244),"",ReferenceData!$N$244),"")</f>
        <v>316.20499999999998</v>
      </c>
      <c r="O244">
        <f ca="1">IFERROR(IF(0=LEN(ReferenceData!$O$244),"",ReferenceData!$O$244),"")</f>
        <v>255.399</v>
      </c>
      <c r="P244">
        <f ca="1">IFERROR(IF(0=LEN(ReferenceData!$P$244),"",ReferenceData!$P$244),"")</f>
        <v>244.36</v>
      </c>
      <c r="Q244">
        <f ca="1">IFERROR(IF(0=LEN(ReferenceData!$Q$244),"",ReferenceData!$Q$244),"")</f>
        <v>215.89599999999999</v>
      </c>
      <c r="R244">
        <f ca="1">IFERROR(IF(0=LEN(ReferenceData!$R$244),"",ReferenceData!$R$244),"")</f>
        <v>330.77</v>
      </c>
      <c r="S244">
        <f ca="1">IFERROR(IF(0=LEN(ReferenceData!$S$244),"",ReferenceData!$S$244),"")</f>
        <v>281.40899999999999</v>
      </c>
      <c r="T244">
        <f ca="1">IFERROR(IF(0=LEN(ReferenceData!$T$244),"",ReferenceData!$T$244),"")</f>
        <v>253.52</v>
      </c>
      <c r="U244">
        <f ca="1">IFERROR(IF(0=LEN(ReferenceData!$U$244),"",ReferenceData!$U$244),"")</f>
        <v>308.10300000000001</v>
      </c>
      <c r="V244">
        <f ca="1">IFERROR(IF(0=LEN(ReferenceData!$V$244),"",ReferenceData!$V$244),"")</f>
        <v>447.16199999999998</v>
      </c>
      <c r="W244">
        <f ca="1">IFERROR(IF(0=LEN(ReferenceData!$W$244),"",ReferenceData!$W$244),"")</f>
        <v>206.69200000000001</v>
      </c>
      <c r="X244">
        <f ca="1">IFERROR(IF(0=LEN(ReferenceData!$X$244),"",ReferenceData!$X$244),"")</f>
        <v>209.09800000000001</v>
      </c>
      <c r="Y244">
        <f ca="1">IFERROR(IF(0=LEN(ReferenceData!$Y$244),"",ReferenceData!$Y$244),"")</f>
        <v>198.96899999999999</v>
      </c>
      <c r="Z244">
        <f ca="1">IFERROR(IF(0=LEN(ReferenceData!$Z$244),"",ReferenceData!$Z$244),"")</f>
        <v>220.10400000000001</v>
      </c>
      <c r="AA244">
        <f ca="1">IFERROR(IF(0=LEN(ReferenceData!$AA$244),"",ReferenceData!$AA$244),"")</f>
        <v>189.98400000000001</v>
      </c>
      <c r="AB244">
        <f ca="1">IFERROR(IF(0=LEN(ReferenceData!$AB$244),"",ReferenceData!$AB$244),"")</f>
        <v>162.363</v>
      </c>
      <c r="AC244">
        <f ca="1">IFERROR(IF(0=LEN(ReferenceData!$AC$244),"",ReferenceData!$AC$244),"")</f>
        <v>256.79899999999998</v>
      </c>
      <c r="AD244">
        <f ca="1">IFERROR(IF(0=LEN(ReferenceData!$AD$244),"",ReferenceData!$AD$244),"")</f>
        <v>133.66499999999999</v>
      </c>
      <c r="AE244">
        <f ca="1">IFERROR(IF(0=LEN(ReferenceData!$AE$244),"",ReferenceData!$AE$244),"")</f>
        <v>138.19200000000001</v>
      </c>
      <c r="AF244">
        <f ca="1">IFERROR(IF(0=LEN(ReferenceData!$AF$244),"",ReferenceData!$AF$244),"")</f>
        <v>394.505</v>
      </c>
      <c r="AG244">
        <f ca="1">IFERROR(IF(0=LEN(ReferenceData!$AG$244),"",ReferenceData!$AG$244),"")</f>
        <v>390.22899999999998</v>
      </c>
      <c r="AH244">
        <f ca="1">IFERROR(IF(0=LEN(ReferenceData!$AH$244),"",ReferenceData!$AH$244),"")</f>
        <v>234.00899999999999</v>
      </c>
      <c r="AI244">
        <f ca="1">IFERROR(IF(0=LEN(ReferenceData!$AI$244),"",ReferenceData!$AI$244),"")</f>
        <v>332.83</v>
      </c>
      <c r="AJ244">
        <f ca="1">IFERROR(IF(0=LEN(ReferenceData!$AJ$244),"",ReferenceData!$AJ$244),"")</f>
        <v>270.803</v>
      </c>
      <c r="AK244">
        <f ca="1">IFERROR(IF(0=LEN(ReferenceData!$AK$244),"",ReferenceData!$AK$244),"")</f>
        <v>339.577</v>
      </c>
      <c r="AL244">
        <f ca="1">IFERROR(IF(0=LEN(ReferenceData!$AL$244),"",ReferenceData!$AL$244),"")</f>
        <v>167.654</v>
      </c>
      <c r="AM244">
        <f ca="1">IFERROR(IF(0=LEN(ReferenceData!$AM$244),"",ReferenceData!$AM$244),"")</f>
        <v>343.71499999999997</v>
      </c>
      <c r="AN244">
        <f ca="1">IFERROR(IF(0=LEN(ReferenceData!$AN$244),"",ReferenceData!$AN$244),"")</f>
        <v>634.072</v>
      </c>
      <c r="AO244">
        <f ca="1">IFERROR(IF(0=LEN(ReferenceData!$AO$244),"",ReferenceData!$AO$244),"")</f>
        <v>676.76800000000003</v>
      </c>
      <c r="AP244">
        <f ca="1">IFERROR(IF(0=LEN(ReferenceData!$AP$244),"",ReferenceData!$AP$244),"")</f>
        <v>433.654</v>
      </c>
      <c r="AQ244">
        <f ca="1">IFERROR(IF(0=LEN(ReferenceData!$AQ$244),"",ReferenceData!$AQ$244),"")</f>
        <v>726.88900000000001</v>
      </c>
      <c r="AR244">
        <f ca="1">IFERROR(IF(0=LEN(ReferenceData!$AR$244),"",ReferenceData!$AR$244),"")</f>
        <v>711.14700000000005</v>
      </c>
      <c r="AS244">
        <f ca="1">IFERROR(IF(0=LEN(ReferenceData!$AS$244),"",ReferenceData!$AS$244),"")</f>
        <v>53.567</v>
      </c>
      <c r="AT244">
        <f ca="1">IFERROR(IF(0=LEN(ReferenceData!$AT$244),"",ReferenceData!$AT$244),"")</f>
        <v>46.792999999999999</v>
      </c>
      <c r="AU244">
        <f ca="1">IFERROR(IF(0=LEN(ReferenceData!$AU$244),"",ReferenceData!$AU$244),"")</f>
        <v>45.963999999999999</v>
      </c>
      <c r="AV244">
        <f ca="1">IFERROR(IF(0=LEN(ReferenceData!$AV$244),"",ReferenceData!$AV$244),"")</f>
        <v>98.099000000000004</v>
      </c>
      <c r="AW244">
        <f ca="1">IFERROR(IF(0=LEN(ReferenceData!$AW$244),"",ReferenceData!$AW$244),"")</f>
        <v>80.3</v>
      </c>
      <c r="AX244">
        <f ca="1">IFERROR(IF(0=LEN(ReferenceData!$AX$244),"",ReferenceData!$AX$244),"")</f>
        <v>499.72800000000001</v>
      </c>
      <c r="AY244">
        <f ca="1">IFERROR(IF(0=LEN(ReferenceData!$AY$244),"",ReferenceData!$AY$244),"")</f>
        <v>117.178</v>
      </c>
      <c r="AZ244">
        <f ca="1">IFERROR(IF(0=LEN(ReferenceData!$AZ$244),"",ReferenceData!$AZ$244),"")</f>
        <v>176.44399999999999</v>
      </c>
      <c r="BA244">
        <f ca="1">IFERROR(IF(0=LEN(ReferenceData!$BA$244),"",ReferenceData!$BA$244),"")</f>
        <v>14.183999999999999</v>
      </c>
      <c r="BB244">
        <f ca="1">IFERROR(IF(0=LEN(ReferenceData!$BB$244),"",ReferenceData!$BB$244),"")</f>
        <v>20.535</v>
      </c>
      <c r="BC244">
        <f ca="1">IFERROR(IF(0=LEN(ReferenceData!$BC$244),"",ReferenceData!$BC$244),"")</f>
        <v>24.103999999999999</v>
      </c>
      <c r="BD244">
        <f ca="1">IFERROR(IF(0=LEN(ReferenceData!$BD$244),"",ReferenceData!$BD$244),"")</f>
        <v>14.193</v>
      </c>
      <c r="BE244">
        <f ca="1">IFERROR(IF(0=LEN(ReferenceData!$BE$244),"",ReferenceData!$BE$244),"")</f>
        <v>1.978</v>
      </c>
      <c r="BF244">
        <f ca="1">IFERROR(IF(0=LEN(ReferenceData!$BF$244),"",ReferenceData!$BF$244),"")</f>
        <v>16.789000000000001</v>
      </c>
      <c r="BG244">
        <f ca="1">IFERROR(IF(0=LEN(ReferenceData!$BG$244),"",ReferenceData!$BG$244),"")</f>
        <v>35.795000000000002</v>
      </c>
      <c r="BH244">
        <f ca="1">IFERROR(IF(0=LEN(ReferenceData!$BH$244),"",ReferenceData!$BH$244),"")</f>
        <v>23.298999999999999</v>
      </c>
      <c r="BI244">
        <f ca="1">IFERROR(IF(0=LEN(ReferenceData!$BI$244),"",ReferenceData!$BI$244),"")</f>
        <v>65.045000000000002</v>
      </c>
      <c r="BJ244">
        <f ca="1">IFERROR(IF(0=LEN(ReferenceData!$BJ$244),"",ReferenceData!$BJ$244),"")</f>
        <v>22.393000000000001</v>
      </c>
      <c r="BK244">
        <f ca="1">IFERROR(IF(0=LEN(ReferenceData!$BK$244),"",ReferenceData!$BK$244),"")</f>
        <v>38.546001429999997</v>
      </c>
      <c r="BL244">
        <f ca="1">IFERROR(IF(0=LEN(ReferenceData!$BL$244),"",ReferenceData!$BL$244),"")</f>
        <v>14.170999999999999</v>
      </c>
      <c r="BM244">
        <f ca="1">IFERROR(IF(0=LEN(ReferenceData!$BM$244),"",ReferenceData!$BM$244),"")</f>
        <v>16.809999999999999</v>
      </c>
    </row>
    <row r="245" spans="1:65">
      <c r="A245" t="str">
        <f>IFERROR(IF(0=LEN(ReferenceData!$A$245),"",ReferenceData!$A$245),"")</f>
        <v xml:space="preserve">    Vornado Realty Trust</v>
      </c>
      <c r="B245" t="str">
        <f>IFERROR(IF(0=LEN(ReferenceData!$B$245),"",ReferenceData!$B$245),"")</f>
        <v>VNO US Equity</v>
      </c>
      <c r="C245" t="str">
        <f>IFERROR(IF(0=LEN(ReferenceData!$C$245),"",ReferenceData!$C$245),"")</f>
        <v>RR253</v>
      </c>
      <c r="D245" t="str">
        <f>IFERROR(IF(0=LEN(ReferenceData!$D$245),"",ReferenceData!$D$245),"")</f>
        <v>CASH_AND_MARKETABLE_SECURITIES</v>
      </c>
      <c r="E245" t="str">
        <f>IFERROR(IF(0=LEN(ReferenceData!$E$245),"",ReferenceData!$E$245),"")</f>
        <v>动态</v>
      </c>
      <c r="F245" t="str">
        <f ca="1">IFERROR(IF(0=LEN(ReferenceData!$F$245),"",ReferenceData!$F$245),"")</f>
        <v/>
      </c>
      <c r="G245">
        <f ca="1">IFERROR(IF(0=LEN(ReferenceData!$G$245),"",ReferenceData!$G$245),"")</f>
        <v>1817.655</v>
      </c>
      <c r="H245">
        <f ca="1">IFERROR(IF(0=LEN(ReferenceData!$H$245),"",ReferenceData!$H$245),"")</f>
        <v>1282.23</v>
      </c>
      <c r="I245">
        <f ca="1">IFERROR(IF(0=LEN(ReferenceData!$I$245),"",ReferenceData!$I$245),"")</f>
        <v>1471.3030000000001</v>
      </c>
      <c r="J245">
        <f ca="1">IFERROR(IF(0=LEN(ReferenceData!$J$245),"",ReferenceData!$J$245),"")</f>
        <v>1484.8140000000001</v>
      </c>
      <c r="K245">
        <f ca="1">IFERROR(IF(0=LEN(ReferenceData!$K$245),"",ReferenceData!$K$245),"")</f>
        <v>1501.027</v>
      </c>
      <c r="L245">
        <f ca="1">IFERROR(IF(0=LEN(ReferenceData!$L$245),"",ReferenceData!$L$245),"")</f>
        <v>1352.6969999999999</v>
      </c>
      <c r="M245">
        <f ca="1">IFERROR(IF(0=LEN(ReferenceData!$M$245),"",ReferenceData!$M$245),"")</f>
        <v>1644.067</v>
      </c>
      <c r="N245">
        <f ca="1">IFERROR(IF(0=LEN(ReferenceData!$N$245),"",ReferenceData!$N$245),"")</f>
        <v>1673.566</v>
      </c>
      <c r="O245">
        <f ca="1">IFERROR(IF(0=LEN(ReferenceData!$O$245),"",ReferenceData!$O$245),"")</f>
        <v>1835.7070000000001</v>
      </c>
      <c r="P245">
        <f ca="1">IFERROR(IF(0=LEN(ReferenceData!$P$245),"",ReferenceData!$P$245),"")</f>
        <v>788.13699999999994</v>
      </c>
      <c r="Q245">
        <f ca="1">IFERROR(IF(0=LEN(ReferenceData!$Q$245),"",ReferenceData!$Q$245),"")</f>
        <v>516.33699999999999</v>
      </c>
      <c r="R245">
        <f ca="1">IFERROR(IF(0=LEN(ReferenceData!$R$245),"",ReferenceData!$R$245),"")</f>
        <v>1067.568</v>
      </c>
      <c r="S245">
        <f ca="1">IFERROR(IF(0=LEN(ReferenceData!$S$245),"",ReferenceData!$S$245),"")</f>
        <v>1198.4770000000001</v>
      </c>
      <c r="T245">
        <f ca="1">IFERROR(IF(0=LEN(ReferenceData!$T$245),"",ReferenceData!$T$245),"")</f>
        <v>1683.1420000000001</v>
      </c>
      <c r="U245">
        <f ca="1">IFERROR(IF(0=LEN(ReferenceData!$U$245),"",ReferenceData!$U$245),"")</f>
        <v>1371.2260000000001</v>
      </c>
      <c r="V245">
        <f ca="1">IFERROR(IF(0=LEN(ReferenceData!$V$245),"",ReferenceData!$V$245),"")</f>
        <v>1156.7270000000001</v>
      </c>
      <c r="W245">
        <f ca="1">IFERROR(IF(0=LEN(ReferenceData!$W$245),"",ReferenceData!$W$245),"")</f>
        <v>583.29</v>
      </c>
      <c r="X245">
        <f ca="1">IFERROR(IF(0=LEN(ReferenceData!$X$245),"",ReferenceData!$X$245),"")</f>
        <v>872.32299999999998</v>
      </c>
      <c r="Y245">
        <f ca="1">IFERROR(IF(0=LEN(ReferenceData!$Y$245),"",ReferenceData!$Y$245),"")</f>
        <v>781.65499999999997</v>
      </c>
      <c r="Z245">
        <f ca="1">IFERROR(IF(0=LEN(ReferenceData!$Z$245),"",ReferenceData!$Z$245),"")</f>
        <v>585.82299999999998</v>
      </c>
      <c r="AA245">
        <f ca="1">IFERROR(IF(0=LEN(ReferenceData!$AA$245),"",ReferenceData!$AA$245),"")</f>
        <v>960.31899999999996</v>
      </c>
      <c r="AB245">
        <f ca="1">IFERROR(IF(0=LEN(ReferenceData!$AB$245),"",ReferenceData!$AB$245),"")</f>
        <v>465.88400000000001</v>
      </c>
      <c r="AC245">
        <f ca="1">IFERROR(IF(0=LEN(ReferenceData!$AC$245),"",ReferenceData!$AC$245),"")</f>
        <v>471.363</v>
      </c>
      <c r="AD245">
        <f ca="1">IFERROR(IF(0=LEN(ReferenceData!$AD$245),"",ReferenceData!$AD$245),"")</f>
        <v>614.35900000000004</v>
      </c>
      <c r="AE245">
        <f ca="1">IFERROR(IF(0=LEN(ReferenceData!$AE$245),"",ReferenceData!$AE$245),"")</f>
        <v>606.553</v>
      </c>
      <c r="AF245">
        <f ca="1">IFERROR(IF(0=LEN(ReferenceData!$AF$245),"",ReferenceData!$AF$245),"")</f>
        <v>585.18299999999999</v>
      </c>
      <c r="AG245">
        <f ca="1">IFERROR(IF(0=LEN(ReferenceData!$AG$245),"",ReferenceData!$AG$245),"")</f>
        <v>591.51499999999999</v>
      </c>
      <c r="AH245">
        <f ca="1">IFERROR(IF(0=LEN(ReferenceData!$AH$245),"",ReferenceData!$AH$245),"")</f>
        <v>618.36099999999999</v>
      </c>
      <c r="AI245">
        <f ca="1">IFERROR(IF(0=LEN(ReferenceData!$AI$245),"",ReferenceData!$AI$245),"")</f>
        <v>690.78899999999999</v>
      </c>
      <c r="AJ245">
        <f ca="1">IFERROR(IF(0=LEN(ReferenceData!$AJ$245),"",ReferenceData!$AJ$245),"")</f>
        <v>846.25400000000002</v>
      </c>
      <c r="AK245">
        <f ca="1">IFERROR(IF(0=LEN(ReferenceData!$AK$245),"",ReferenceData!$AK$245),"")</f>
        <v>652.12099999999998</v>
      </c>
      <c r="AL245">
        <f ca="1">IFERROR(IF(0=LEN(ReferenceData!$AL$245),"",ReferenceData!$AL$245),"")</f>
        <v>788.94</v>
      </c>
      <c r="AM245">
        <f ca="1">IFERROR(IF(0=LEN(ReferenceData!$AM$245),"",ReferenceData!$AM$245),"")</f>
        <v>829.42899999999997</v>
      </c>
      <c r="AN245">
        <f ca="1">IFERROR(IF(0=LEN(ReferenceData!$AN$245),"",ReferenceData!$AN$245),"")</f>
        <v>2560.011</v>
      </c>
      <c r="AO245">
        <f ca="1">IFERROR(IF(0=LEN(ReferenceData!$AO$245),"",ReferenceData!$AO$245),"")</f>
        <v>2068.498</v>
      </c>
      <c r="AP245">
        <f ca="1">IFERROR(IF(0=LEN(ReferenceData!$AP$245),"",ReferenceData!$AP$245),"")</f>
        <v>1625.45</v>
      </c>
      <c r="AQ245">
        <f ca="1">IFERROR(IF(0=LEN(ReferenceData!$AQ$245),"",ReferenceData!$AQ$245),"")</f>
        <v>1526.8530000000001</v>
      </c>
      <c r="AR245">
        <f ca="1">IFERROR(IF(0=LEN(ReferenceData!$AR$245),"",ReferenceData!$AR$245),"")</f>
        <v>1529.0119999999999</v>
      </c>
      <c r="AS245">
        <f ca="1">IFERROR(IF(0=LEN(ReferenceData!$AS$245),"",ReferenceData!$AS$245),"")</f>
        <v>1712.0319999999999</v>
      </c>
      <c r="AT245">
        <f ca="1">IFERROR(IF(0=LEN(ReferenceData!$AT$245),"",ReferenceData!$AT$245),"")</f>
        <v>1541.0740000000001</v>
      </c>
      <c r="AU245">
        <f ca="1">IFERROR(IF(0=LEN(ReferenceData!$AU$245),"",ReferenceData!$AU$245),"")</f>
        <v>1154.595</v>
      </c>
      <c r="AV245">
        <f ca="1">IFERROR(IF(0=LEN(ReferenceData!$AV$245),"",ReferenceData!$AV$245),"")</f>
        <v>834.274</v>
      </c>
      <c r="AW245">
        <f ca="1">IFERROR(IF(0=LEN(ReferenceData!$AW$245),"",ReferenceData!$AW$245),"")</f>
        <v>743.50599999999997</v>
      </c>
      <c r="AX245">
        <f ca="1">IFERROR(IF(0=LEN(ReferenceData!$AX$245),"",ReferenceData!$AX$245),"")</f>
        <v>2884.674</v>
      </c>
      <c r="AY245">
        <f ca="1">IFERROR(IF(0=LEN(ReferenceData!$AY$245),"",ReferenceData!$AY$245),"")</f>
        <v>2233.317</v>
      </c>
      <c r="AZ245">
        <f ca="1">IFERROR(IF(0=LEN(ReferenceData!$AZ$245),"",ReferenceData!$AZ$245),"")</f>
        <v>386.88200000000001</v>
      </c>
      <c r="BA245">
        <f ca="1">IFERROR(IF(0=LEN(ReferenceData!$BA$245),"",ReferenceData!$BA$245),"")</f>
        <v>494.39</v>
      </c>
      <c r="BB245">
        <f ca="1">IFERROR(IF(0=LEN(ReferenceData!$BB$245),"",ReferenceData!$BB$245),"")</f>
        <v>579.92999999999995</v>
      </c>
      <c r="BC245">
        <f ca="1">IFERROR(IF(0=LEN(ReferenceData!$BC$245),"",ReferenceData!$BC$245),"")</f>
        <v>294.50400000000002</v>
      </c>
      <c r="BD245">
        <f ca="1">IFERROR(IF(0=LEN(ReferenceData!$BD$245),"",ReferenceData!$BD$245),"")</f>
        <v>394.46100000000001</v>
      </c>
      <c r="BE245">
        <f ca="1">IFERROR(IF(0=LEN(ReferenceData!$BE$245),"",ReferenceData!$BE$245),"")</f>
        <v>842.09799999999996</v>
      </c>
      <c r="BF245">
        <f ca="1">IFERROR(IF(0=LEN(ReferenceData!$BF$245),"",ReferenceData!$BF$245),"")</f>
        <v>974.33</v>
      </c>
      <c r="BG245">
        <f ca="1">IFERROR(IF(0=LEN(ReferenceData!$BG$245),"",ReferenceData!$BG$245),"")</f>
        <v>599.28200000000004</v>
      </c>
      <c r="BH245">
        <f ca="1">IFERROR(IF(0=LEN(ReferenceData!$BH$245),"",ReferenceData!$BH$245),"")</f>
        <v>212.074005</v>
      </c>
      <c r="BI245">
        <f ca="1">IFERROR(IF(0=LEN(ReferenceData!$BI$245),"",ReferenceData!$BI$245),"")</f>
        <v>225.435013</v>
      </c>
      <c r="BJ245">
        <f ca="1">IFERROR(IF(0=LEN(ReferenceData!$BJ$245),"",ReferenceData!$BJ$245),"")</f>
        <v>291.01797499999998</v>
      </c>
      <c r="BK245">
        <f ca="1">IFERROR(IF(0=LEN(ReferenceData!$BK$245),"",ReferenceData!$BK$245),"")</f>
        <v>320.54199199999999</v>
      </c>
      <c r="BL245">
        <f ca="1">IFERROR(IF(0=LEN(ReferenceData!$BL$245),"",ReferenceData!$BL$245),"")</f>
        <v>123.858002</v>
      </c>
      <c r="BM245">
        <f ca="1">IFERROR(IF(0=LEN(ReferenceData!$BM$245),"",ReferenceData!$BM$245),"")</f>
        <v>173.19900000000001</v>
      </c>
    </row>
    <row r="246" spans="1:65">
      <c r="A246" t="str">
        <f>IFERROR(IF(0=LEN(ReferenceData!$A$246),"",ReferenceData!$A$246),"")</f>
        <v>自由现金流减去资本支出</v>
      </c>
      <c r="B246" t="str">
        <f>IFERROR(IF(0=LEN(ReferenceData!$B$246),"",ReferenceData!$B$246),"")</f>
        <v/>
      </c>
      <c r="C246" t="str">
        <f>IFERROR(IF(0=LEN(ReferenceData!$C$246),"",ReferenceData!$C$246),"")</f>
        <v/>
      </c>
      <c r="D246" t="str">
        <f>IFERROR(IF(0=LEN(ReferenceData!$D$246),"",ReferenceData!$D$246),"")</f>
        <v/>
      </c>
      <c r="E246" t="str">
        <f>IFERROR(IF(0=LEN(ReferenceData!$E$246),"",ReferenceData!$E$246),"")</f>
        <v>Median</v>
      </c>
      <c r="F246" t="str">
        <f ca="1">IFERROR(IF(0=LEN(ReferenceData!$F$246),"",ReferenceData!$F$246),"")</f>
        <v/>
      </c>
      <c r="G246">
        <f ca="1">IFERROR(IF(0=LEN(ReferenceData!$G$246),"",ReferenceData!$G$246),"")</f>
        <v>-7.5194999999999999</v>
      </c>
      <c r="H246">
        <f ca="1">IFERROR(IF(0=LEN(ReferenceData!$H$246),"",ReferenceData!$H$246),"")</f>
        <v>-10.436</v>
      </c>
      <c r="I246">
        <f ca="1">IFERROR(IF(0=LEN(ReferenceData!$I$246),"",ReferenceData!$I$246),"")</f>
        <v>2.455000000000001</v>
      </c>
      <c r="J246">
        <f ca="1">IFERROR(IF(0=LEN(ReferenceData!$J$246),"",ReferenceData!$J$246),"")</f>
        <v>4.5809999999999995</v>
      </c>
      <c r="K246">
        <f ca="1">IFERROR(IF(0=LEN(ReferenceData!$K$246),"",ReferenceData!$K$246),"")</f>
        <v>-3.379999999999999</v>
      </c>
      <c r="L246">
        <f ca="1">IFERROR(IF(0=LEN(ReferenceData!$L$246),"",ReferenceData!$L$246),"")</f>
        <v>-19.6035</v>
      </c>
      <c r="M246">
        <f ca="1">IFERROR(IF(0=LEN(ReferenceData!$M$246),"",ReferenceData!$M$246),"")</f>
        <v>-8.5094999999999992</v>
      </c>
      <c r="N246">
        <f ca="1">IFERROR(IF(0=LEN(ReferenceData!$N$246),"",ReferenceData!$N$246),"")</f>
        <v>0.13100000000000023</v>
      </c>
      <c r="O246">
        <f ca="1">IFERROR(IF(0=LEN(ReferenceData!$O$246),"",ReferenceData!$O$246),"")</f>
        <v>-40.243499999999997</v>
      </c>
      <c r="P246">
        <f ca="1">IFERROR(IF(0=LEN(ReferenceData!$P$246),"",ReferenceData!$P$246),"")</f>
        <v>-35.673000000000002</v>
      </c>
      <c r="Q246">
        <f ca="1">IFERROR(IF(0=LEN(ReferenceData!$Q$246),"",ReferenceData!$Q$246),"")</f>
        <v>13.055999999999999</v>
      </c>
      <c r="R246">
        <f ca="1">IFERROR(IF(0=LEN(ReferenceData!$R$246),"",ReferenceData!$R$246),"")</f>
        <v>-5.3175000000000008</v>
      </c>
      <c r="S246">
        <f ca="1">IFERROR(IF(0=LEN(ReferenceData!$S$246),"",ReferenceData!$S$246),"")</f>
        <v>-72.06</v>
      </c>
      <c r="T246">
        <f ca="1">IFERROR(IF(0=LEN(ReferenceData!$T$246),"",ReferenceData!$T$246),"")</f>
        <v>-17.413499999999999</v>
      </c>
      <c r="U246">
        <f ca="1">IFERROR(IF(0=LEN(ReferenceData!$U$246),"",ReferenceData!$U$246),"")</f>
        <v>-20.771999999999998</v>
      </c>
      <c r="V246">
        <f ca="1">IFERROR(IF(0=LEN(ReferenceData!$V$246),"",ReferenceData!$V$246),"")</f>
        <v>5.117</v>
      </c>
      <c r="W246">
        <f ca="1">IFERROR(IF(0=LEN(ReferenceData!$W$246),"",ReferenceData!$W$246),"")</f>
        <v>-43.770499999999998</v>
      </c>
      <c r="X246">
        <f ca="1">IFERROR(IF(0=LEN(ReferenceData!$X$246),"",ReferenceData!$X$246),"")</f>
        <v>18.006</v>
      </c>
      <c r="Y246">
        <f ca="1">IFERROR(IF(0=LEN(ReferenceData!$Y$246),"",ReferenceData!$Y$246),"")</f>
        <v>-38.872</v>
      </c>
      <c r="Z246">
        <f ca="1">IFERROR(IF(0=LEN(ReferenceData!$Z$246),"",ReferenceData!$Z$246),"")</f>
        <v>-24.5535</v>
      </c>
      <c r="AA246">
        <f ca="1">IFERROR(IF(0=LEN(ReferenceData!$AA$246),"",ReferenceData!$AA$246),"")</f>
        <v>-93.506499999999988</v>
      </c>
      <c r="AB246">
        <f ca="1">IFERROR(IF(0=LEN(ReferenceData!$AB$246),"",ReferenceData!$AB$246),"")</f>
        <v>-35.818999999999996</v>
      </c>
      <c r="AC246">
        <f ca="1">IFERROR(IF(0=LEN(ReferenceData!$AC$246),"",ReferenceData!$AC$246),"")</f>
        <v>16.285</v>
      </c>
      <c r="AD246">
        <f ca="1">IFERROR(IF(0=LEN(ReferenceData!$AD$246),"",ReferenceData!$AD$246),"")</f>
        <v>5.3814999999999991</v>
      </c>
      <c r="AE246">
        <f ca="1">IFERROR(IF(0=LEN(ReferenceData!$AE$246),"",ReferenceData!$AE$246),"")</f>
        <v>-5.6720000000000006</v>
      </c>
      <c r="AF246">
        <f ca="1">IFERROR(IF(0=LEN(ReferenceData!$AF$246),"",ReferenceData!$AF$246),"")</f>
        <v>15.836</v>
      </c>
      <c r="AG246">
        <f ca="1">IFERROR(IF(0=LEN(ReferenceData!$AG$246),"",ReferenceData!$AG$246),"")</f>
        <v>2.3949999999999996</v>
      </c>
      <c r="AH246">
        <f ca="1">IFERROR(IF(0=LEN(ReferenceData!$AH$246),"",ReferenceData!$AH$246),"")</f>
        <v>25.9465</v>
      </c>
      <c r="AI246">
        <f ca="1">IFERROR(IF(0=LEN(ReferenceData!$AI$246),"",ReferenceData!$AI$246),"")</f>
        <v>-30.762499999999999</v>
      </c>
      <c r="AJ246">
        <f ca="1">IFERROR(IF(0=LEN(ReferenceData!$AJ$246),"",ReferenceData!$AJ$246),"")</f>
        <v>-23.820999999999998</v>
      </c>
      <c r="AK246">
        <f ca="1">IFERROR(IF(0=LEN(ReferenceData!$AK$246),"",ReferenceData!$AK$246),"")</f>
        <v>48.731000000000002</v>
      </c>
      <c r="AL246">
        <f ca="1">IFERROR(IF(0=LEN(ReferenceData!$AL$246),"",ReferenceData!$AL$246),"")</f>
        <v>26.057000000000002</v>
      </c>
      <c r="AM246">
        <f ca="1">IFERROR(IF(0=LEN(ReferenceData!$AM$246),"",ReferenceData!$AM$246),"")</f>
        <v>33.302500000000002</v>
      </c>
      <c r="AN246">
        <f ca="1">IFERROR(IF(0=LEN(ReferenceData!$AN$246),"",ReferenceData!$AN$246),"")</f>
        <v>21.485500000000002</v>
      </c>
      <c r="AO246">
        <f ca="1">IFERROR(IF(0=LEN(ReferenceData!$AO$246),"",ReferenceData!$AO$246),"")</f>
        <v>40.328000000000003</v>
      </c>
      <c r="AP246">
        <f ca="1">IFERROR(IF(0=LEN(ReferenceData!$AP$246),"",ReferenceData!$AP$246),"")</f>
        <v>29.234000000000002</v>
      </c>
      <c r="AQ246">
        <f ca="1">IFERROR(IF(0=LEN(ReferenceData!$AQ$246),"",ReferenceData!$AQ$246),"")</f>
        <v>37.850999999999999</v>
      </c>
      <c r="AR246">
        <f ca="1">IFERROR(IF(0=LEN(ReferenceData!$AR$246),"",ReferenceData!$AR$246),"")</f>
        <v>26.683</v>
      </c>
      <c r="AS246">
        <f ca="1">IFERROR(IF(0=LEN(ReferenceData!$AS$246),"",ReferenceData!$AS$246),"")</f>
        <v>3.585</v>
      </c>
      <c r="AT246">
        <f ca="1">IFERROR(IF(0=LEN(ReferenceData!$AT$246),"",ReferenceData!$AT$246),"")</f>
        <v>11.305</v>
      </c>
      <c r="AU246">
        <f ca="1">IFERROR(IF(0=LEN(ReferenceData!$AU$246),"",ReferenceData!$AU$246),"")</f>
        <v>-34.488999999999997</v>
      </c>
      <c r="AV246">
        <f ca="1">IFERROR(IF(0=LEN(ReferenceData!$AV$246),"",ReferenceData!$AV$246),"")</f>
        <v>-15.199</v>
      </c>
      <c r="AW246">
        <f ca="1">IFERROR(IF(0=LEN(ReferenceData!$AW$246),"",ReferenceData!$AW$246),"")</f>
        <v>-26.788</v>
      </c>
      <c r="AX246">
        <f ca="1">IFERROR(IF(0=LEN(ReferenceData!$AX$246),"",ReferenceData!$AX$246),"")</f>
        <v>-94.665000000000006</v>
      </c>
      <c r="AY246">
        <f ca="1">IFERROR(IF(0=LEN(ReferenceData!$AY$246),"",ReferenceData!$AY$246),"")</f>
        <v>-36.642000000000003</v>
      </c>
      <c r="AZ246">
        <f ca="1">IFERROR(IF(0=LEN(ReferenceData!$AZ$246),"",ReferenceData!$AZ$246),"")</f>
        <v>-21.739000000000001</v>
      </c>
      <c r="BA246">
        <f ca="1">IFERROR(IF(0=LEN(ReferenceData!$BA$246),"",ReferenceData!$BA$246),"")</f>
        <v>-11.057</v>
      </c>
      <c r="BB246">
        <f ca="1">IFERROR(IF(0=LEN(ReferenceData!$BB$246),"",ReferenceData!$BB$246),"")</f>
        <v>-13.476000000000001</v>
      </c>
      <c r="BC246">
        <f ca="1">IFERROR(IF(0=LEN(ReferenceData!$BC$246),"",ReferenceData!$BC$246),"")</f>
        <v>-5.952</v>
      </c>
      <c r="BD246">
        <f ca="1">IFERROR(IF(0=LEN(ReferenceData!$BD$246),"",ReferenceData!$BD$246),"")</f>
        <v>-1.0669999999999999</v>
      </c>
      <c r="BE246">
        <f ca="1">IFERROR(IF(0=LEN(ReferenceData!$BE$246),"",ReferenceData!$BE$246),"")</f>
        <v>-16.715</v>
      </c>
      <c r="BF246">
        <f ca="1">IFERROR(IF(0=LEN(ReferenceData!$BF$246),"",ReferenceData!$BF$246),"")</f>
        <v>-3.8119999999999998</v>
      </c>
      <c r="BG246">
        <f ca="1">IFERROR(IF(0=LEN(ReferenceData!$BG$246),"",ReferenceData!$BG$246),"")</f>
        <v>-3.6419999999999999</v>
      </c>
      <c r="BH246">
        <f ca="1">IFERROR(IF(0=LEN(ReferenceData!$BH$246),"",ReferenceData!$BH$246),"")</f>
        <v>22.629000000000001</v>
      </c>
      <c r="BI246">
        <f ca="1">IFERROR(IF(0=LEN(ReferenceData!$BI$246),"",ReferenceData!$BI$246),"")</f>
        <v>12.366998000000001</v>
      </c>
      <c r="BJ246">
        <f ca="1">IFERROR(IF(0=LEN(ReferenceData!$BJ$246),"",ReferenceData!$BJ$246),"")</f>
        <v>14.689</v>
      </c>
      <c r="BK246">
        <f ca="1">IFERROR(IF(0=LEN(ReferenceData!$BK$246),"",ReferenceData!$BK$246),"")</f>
        <v>-38.656998000000002</v>
      </c>
      <c r="BL246">
        <f ca="1">IFERROR(IF(0=LEN(ReferenceData!$BL$246),"",ReferenceData!$BL$246),"")</f>
        <v>11.773</v>
      </c>
      <c r="BM246">
        <f ca="1">IFERROR(IF(0=LEN(ReferenceData!$BM$246),"",ReferenceData!$BM$246),"")</f>
        <v>21.855</v>
      </c>
    </row>
    <row r="247" spans="1:65">
      <c r="A247" t="str">
        <f>IFERROR(IF(0=LEN(ReferenceData!$A$247),"",ReferenceData!$A$247),"")</f>
        <v xml:space="preserve">    Boston Properties Inc</v>
      </c>
      <c r="B247" t="str">
        <f>IFERROR(IF(0=LEN(ReferenceData!$B$247),"",ReferenceData!$B$247),"")</f>
        <v>BXP US Equity</v>
      </c>
      <c r="C247" t="str">
        <f>IFERROR(IF(0=LEN(ReferenceData!$C$247),"",ReferenceData!$C$247),"")</f>
        <v>RR008</v>
      </c>
      <c r="D247" t="str">
        <f>IFERROR(IF(0=LEN(ReferenceData!$D$247),"",ReferenceData!$D$247),"")</f>
        <v>CF_FREE_CASH_FLOW</v>
      </c>
      <c r="E247" t="str">
        <f>IFERROR(IF(0=LEN(ReferenceData!$E$247),"",ReferenceData!$E$247),"")</f>
        <v>动态</v>
      </c>
      <c r="F247" t="str">
        <f ca="1">IFERROR(IF(0=LEN(ReferenceData!$F$247),"",ReferenceData!$F$247),"")</f>
        <v/>
      </c>
      <c r="G247">
        <f ca="1">IFERROR(IF(0=LEN(ReferenceData!$G$247),"",ReferenceData!$G$247),"")</f>
        <v>45.942999999999998</v>
      </c>
      <c r="H247">
        <f ca="1">IFERROR(IF(0=LEN(ReferenceData!$H$247),"",ReferenceData!$H$247),"")</f>
        <v>-40.905000000000001</v>
      </c>
      <c r="I247">
        <f ca="1">IFERROR(IF(0=LEN(ReferenceData!$I$247),"",ReferenceData!$I$247),"")</f>
        <v>-147.27799999999999</v>
      </c>
      <c r="J247">
        <f ca="1">IFERROR(IF(0=LEN(ReferenceData!$J$247),"",ReferenceData!$J$247),"")</f>
        <v>-2.4849999999999999</v>
      </c>
      <c r="K247">
        <f ca="1">IFERROR(IF(0=LEN(ReferenceData!$K$247),"",ReferenceData!$K$247),"")</f>
        <v>21.120999999999999</v>
      </c>
      <c r="L247">
        <f ca="1">IFERROR(IF(0=LEN(ReferenceData!$L$247),"",ReferenceData!$L$247),"")</f>
        <v>-41.500999999999998</v>
      </c>
      <c r="M247">
        <f ca="1">IFERROR(IF(0=LEN(ReferenceData!$M$247),"",ReferenceData!$M$247),"")</f>
        <v>-47.006</v>
      </c>
      <c r="N247">
        <f ca="1">IFERROR(IF(0=LEN(ReferenceData!$N$247),"",ReferenceData!$N$247),"")</f>
        <v>144.97200000000001</v>
      </c>
      <c r="O247">
        <f ca="1">IFERROR(IF(0=LEN(ReferenceData!$O$247),"",ReferenceData!$O$247),"")</f>
        <v>-18.777999999999999</v>
      </c>
      <c r="P247">
        <f ca="1">IFERROR(IF(0=LEN(ReferenceData!$P$247),"",ReferenceData!$P$247),"")</f>
        <v>-2.871</v>
      </c>
      <c r="Q247">
        <f ca="1">IFERROR(IF(0=LEN(ReferenceData!$Q$247),"",ReferenceData!$Q$247),"")</f>
        <v>93.977000000000004</v>
      </c>
      <c r="R247">
        <f ca="1">IFERROR(IF(0=LEN(ReferenceData!$R$247),"",ReferenceData!$R$247),"")</f>
        <v>95.091999999999999</v>
      </c>
      <c r="S247">
        <f ca="1">IFERROR(IF(0=LEN(ReferenceData!$S$247),"",ReferenceData!$S$247),"")</f>
        <v>69.995000000000005</v>
      </c>
      <c r="T247">
        <f ca="1">IFERROR(IF(0=LEN(ReferenceData!$T$247),"",ReferenceData!$T$247),"")</f>
        <v>15.294</v>
      </c>
      <c r="U247">
        <f ca="1">IFERROR(IF(0=LEN(ReferenceData!$U$247),"",ReferenceData!$U$247),"")</f>
        <v>33.046999999999997</v>
      </c>
      <c r="V247">
        <f ca="1">IFERROR(IF(0=LEN(ReferenceData!$V$247),"",ReferenceData!$V$247),"")</f>
        <v>-21.876999999999999</v>
      </c>
      <c r="W247">
        <f ca="1">IFERROR(IF(0=LEN(ReferenceData!$W$247),"",ReferenceData!$W$247),"")</f>
        <v>-2.117</v>
      </c>
      <c r="X247">
        <f ca="1">IFERROR(IF(0=LEN(ReferenceData!$X$247),"",ReferenceData!$X$247),"")</f>
        <v>68.013999999999996</v>
      </c>
      <c r="Y247">
        <f ca="1">IFERROR(IF(0=LEN(ReferenceData!$Y$247),"",ReferenceData!$Y$247),"")</f>
        <v>-192.23699999999999</v>
      </c>
      <c r="Z247">
        <f ca="1">IFERROR(IF(0=LEN(ReferenceData!$Z$247),"",ReferenceData!$Z$247),"")</f>
        <v>-194.715</v>
      </c>
      <c r="AA247">
        <f ca="1">IFERROR(IF(0=LEN(ReferenceData!$AA$247),"",ReferenceData!$AA$247),"")</f>
        <v>-87.831999999999994</v>
      </c>
      <c r="AB247">
        <f ca="1">IFERROR(IF(0=LEN(ReferenceData!$AB$247),"",ReferenceData!$AB$247),"")</f>
        <v>-66.090999999999994</v>
      </c>
      <c r="AC247">
        <f ca="1">IFERROR(IF(0=LEN(ReferenceData!$AC$247),"",ReferenceData!$AC$247),"")</f>
        <v>52.097999999999999</v>
      </c>
      <c r="AD247">
        <f ca="1">IFERROR(IF(0=LEN(ReferenceData!$AD$247),"",ReferenceData!$AD$247),"")</f>
        <v>-589.28</v>
      </c>
      <c r="AE247">
        <f ca="1">IFERROR(IF(0=LEN(ReferenceData!$AE$247),"",ReferenceData!$AE$247),"")</f>
        <v>11.525</v>
      </c>
      <c r="AF247">
        <f ca="1">IFERROR(IF(0=LEN(ReferenceData!$AF$247),"",ReferenceData!$AF$247),"")</f>
        <v>46.31</v>
      </c>
      <c r="AG247">
        <f ca="1">IFERROR(IF(0=LEN(ReferenceData!$AG$247),"",ReferenceData!$AG$247),"")</f>
        <v>52.63</v>
      </c>
      <c r="AH247">
        <f ca="1">IFERROR(IF(0=LEN(ReferenceData!$AH$247),"",ReferenceData!$AH$247),"")</f>
        <v>44.281999999999996</v>
      </c>
      <c r="AI247">
        <f ca="1">IFERROR(IF(0=LEN(ReferenceData!$AI$247),"",ReferenceData!$AI$247),"")</f>
        <v>-363.762</v>
      </c>
      <c r="AJ247">
        <f ca="1">IFERROR(IF(0=LEN(ReferenceData!$AJ$247),"",ReferenceData!$AJ$247),"")</f>
        <v>-69.474999999999994</v>
      </c>
      <c r="AK247">
        <f ca="1">IFERROR(IF(0=LEN(ReferenceData!$AK$247),"",ReferenceData!$AK$247),"")</f>
        <v>17.923999999999999</v>
      </c>
      <c r="AL247">
        <f ca="1">IFERROR(IF(0=LEN(ReferenceData!$AL$247),"",ReferenceData!$AL$247),"")</f>
        <v>-59.313000000000002</v>
      </c>
      <c r="AM247">
        <f ca="1">IFERROR(IF(0=LEN(ReferenceData!$AM$247),"",ReferenceData!$AM$247),"")</f>
        <v>50.819000000000003</v>
      </c>
      <c r="AN247">
        <f ca="1">IFERROR(IF(0=LEN(ReferenceData!$AN$247),"",ReferenceData!$AN$247),"")</f>
        <v>3.2789999999999999</v>
      </c>
      <c r="AO247">
        <f ca="1">IFERROR(IF(0=LEN(ReferenceData!$AO$247),"",ReferenceData!$AO$247),"")</f>
        <v>101.666</v>
      </c>
      <c r="AP247">
        <f ca="1">IFERROR(IF(0=LEN(ReferenceData!$AP$247),"",ReferenceData!$AP$247),"")</f>
        <v>18.768000000000001</v>
      </c>
      <c r="AQ247">
        <f ca="1">IFERROR(IF(0=LEN(ReferenceData!$AQ$247),"",ReferenceData!$AQ$247),"")</f>
        <v>87.117000000000004</v>
      </c>
      <c r="AR247">
        <f ca="1">IFERROR(IF(0=LEN(ReferenceData!$AR$247),"",ReferenceData!$AR$247),"")</f>
        <v>-121.876</v>
      </c>
      <c r="AS247">
        <f ca="1">IFERROR(IF(0=LEN(ReferenceData!$AS$247),"",ReferenceData!$AS$247),"")</f>
        <v>7.4370000000000003</v>
      </c>
      <c r="AT247">
        <f ca="1">IFERROR(IF(0=LEN(ReferenceData!$AT$247),"",ReferenceData!$AT$247),"")</f>
        <v>11.305</v>
      </c>
      <c r="AU247">
        <f ca="1">IFERROR(IF(0=LEN(ReferenceData!$AU$247),"",ReferenceData!$AU$247),"")</f>
        <v>-242.23699999999999</v>
      </c>
      <c r="AV247">
        <f ca="1">IFERROR(IF(0=LEN(ReferenceData!$AV$247),"",ReferenceData!$AV$247),"")</f>
        <v>49.252000000000002</v>
      </c>
      <c r="AW247">
        <f ca="1">IFERROR(IF(0=LEN(ReferenceData!$AW$247),"",ReferenceData!$AW$247),"")</f>
        <v>70.415000000000006</v>
      </c>
      <c r="AX247">
        <f ca="1">IFERROR(IF(0=LEN(ReferenceData!$AX$247),"",ReferenceData!$AX$247),"")</f>
        <v>-380.64499999999998</v>
      </c>
      <c r="AY247">
        <f ca="1">IFERROR(IF(0=LEN(ReferenceData!$AY$247),"",ReferenceData!$AY$247),"")</f>
        <v>-96.31</v>
      </c>
      <c r="AZ247">
        <f ca="1">IFERROR(IF(0=LEN(ReferenceData!$AZ$247),"",ReferenceData!$AZ$247),"")</f>
        <v>-31.456</v>
      </c>
      <c r="BA247">
        <f ca="1">IFERROR(IF(0=LEN(ReferenceData!$BA$247),"",ReferenceData!$BA$247),"")</f>
        <v>23.513999999999999</v>
      </c>
      <c r="BB247">
        <f ca="1">IFERROR(IF(0=LEN(ReferenceData!$BB$247),"",ReferenceData!$BB$247),"")</f>
        <v>11.055999999999999</v>
      </c>
      <c r="BC247">
        <f ca="1">IFERROR(IF(0=LEN(ReferenceData!$BC$247),"",ReferenceData!$BC$247),"")</f>
        <v>18.23</v>
      </c>
      <c r="BD247">
        <f ca="1">IFERROR(IF(0=LEN(ReferenceData!$BD$247),"",ReferenceData!$BD$247),"")</f>
        <v>8.86</v>
      </c>
      <c r="BE247">
        <f ca="1">IFERROR(IF(0=LEN(ReferenceData!$BE$247),"",ReferenceData!$BE$247),"")</f>
        <v>33.613</v>
      </c>
      <c r="BF247">
        <f ca="1">IFERROR(IF(0=LEN(ReferenceData!$BF$247),"",ReferenceData!$BF$247),"")</f>
        <v>16.789000000000001</v>
      </c>
      <c r="BG247">
        <f ca="1">IFERROR(IF(0=LEN(ReferenceData!$BG$247),"",ReferenceData!$BG$247),"")</f>
        <v>65.667000000000002</v>
      </c>
      <c r="BH247">
        <f ca="1">IFERROR(IF(0=LEN(ReferenceData!$BH$247),"",ReferenceData!$BH$247),"")</f>
        <v>32.512999999999998</v>
      </c>
      <c r="BI247">
        <f ca="1">IFERROR(IF(0=LEN(ReferenceData!$BI$247),"",ReferenceData!$BI$247),"")</f>
        <v>37.531998000000002</v>
      </c>
      <c r="BJ247">
        <f ca="1">IFERROR(IF(0=LEN(ReferenceData!$BJ$247),"",ReferenceData!$BJ$247),"")</f>
        <v>16.110001</v>
      </c>
      <c r="BK247">
        <f ca="1">IFERROR(IF(0=LEN(ReferenceData!$BK$247),"",ReferenceData!$BK$247),"")</f>
        <v>-38.656998000000002</v>
      </c>
      <c r="BL247">
        <f ca="1">IFERROR(IF(0=LEN(ReferenceData!$BL$247),"",ReferenceData!$BL$247),"")</f>
        <v>-5.6090020000000003</v>
      </c>
      <c r="BM247">
        <f ca="1">IFERROR(IF(0=LEN(ReferenceData!$BM$247),"",ReferenceData!$BM$247),"")</f>
        <v>58.281999999999996</v>
      </c>
    </row>
    <row r="248" spans="1:65">
      <c r="A248" t="str">
        <f>IFERROR(IF(0=LEN(ReferenceData!$A$248),"",ReferenceData!$A$248),"")</f>
        <v xml:space="preserve">    Brandywine Realty Trust</v>
      </c>
      <c r="B248" t="str">
        <f>IFERROR(IF(0=LEN(ReferenceData!$B$248),"",ReferenceData!$B$248),"")</f>
        <v>BDN US Equity</v>
      </c>
      <c r="C248" t="str">
        <f>IFERROR(IF(0=LEN(ReferenceData!$C$248),"",ReferenceData!$C$248),"")</f>
        <v>RR008</v>
      </c>
      <c r="D248" t="str">
        <f>IFERROR(IF(0=LEN(ReferenceData!$D$248),"",ReferenceData!$D$248),"")</f>
        <v>CF_FREE_CASH_FLOW</v>
      </c>
      <c r="E248" t="str">
        <f>IFERROR(IF(0=LEN(ReferenceData!$E$248),"",ReferenceData!$E$248),"")</f>
        <v>动态</v>
      </c>
      <c r="F248" t="str">
        <f ca="1">IFERROR(IF(0=LEN(ReferenceData!$F$248),"",ReferenceData!$F$248),"")</f>
        <v/>
      </c>
      <c r="G248" t="str">
        <f ca="1">IFERROR(IF(0=LEN(ReferenceData!$G$248),"",ReferenceData!$G$248),"")</f>
        <v/>
      </c>
      <c r="H248">
        <f ca="1">IFERROR(IF(0=LEN(ReferenceData!$H$248),"",ReferenceData!$H$248),"")</f>
        <v>-40.881</v>
      </c>
      <c r="I248">
        <f ca="1">IFERROR(IF(0=LEN(ReferenceData!$I$248),"",ReferenceData!$I$248),"")</f>
        <v>11.313000000000001</v>
      </c>
      <c r="J248">
        <f ca="1">IFERROR(IF(0=LEN(ReferenceData!$J$248),"",ReferenceData!$J$248),"")</f>
        <v>2.19</v>
      </c>
      <c r="K248">
        <f ca="1">IFERROR(IF(0=LEN(ReferenceData!$K$248),"",ReferenceData!$K$248),"")</f>
        <v>39.055999999999997</v>
      </c>
      <c r="L248">
        <f ca="1">IFERROR(IF(0=LEN(ReferenceData!$L$248),"",ReferenceData!$L$248),"")</f>
        <v>-30.648</v>
      </c>
      <c r="M248">
        <f ca="1">IFERROR(IF(0=LEN(ReferenceData!$M$248),"",ReferenceData!$M$248),"")</f>
        <v>-21.411999999999999</v>
      </c>
      <c r="N248">
        <f ca="1">IFERROR(IF(0=LEN(ReferenceData!$N$248),"",ReferenceData!$N$248),"")</f>
        <v>-35.359000000000002</v>
      </c>
      <c r="O248">
        <f ca="1">IFERROR(IF(0=LEN(ReferenceData!$O$248),"",ReferenceData!$O$248),"")</f>
        <v>-55.02</v>
      </c>
      <c r="P248">
        <f ca="1">IFERROR(IF(0=LEN(ReferenceData!$P$248),"",ReferenceData!$P$248),"")</f>
        <v>-49.570999999999998</v>
      </c>
      <c r="Q248">
        <f ca="1">IFERROR(IF(0=LEN(ReferenceData!$Q$248),"",ReferenceData!$Q$248),"")</f>
        <v>-226.98400000000001</v>
      </c>
      <c r="R248">
        <f ca="1">IFERROR(IF(0=LEN(ReferenceData!$R$248),"",ReferenceData!$R$248),"")</f>
        <v>-12.755000000000001</v>
      </c>
      <c r="S248">
        <f ca="1">IFERROR(IF(0=LEN(ReferenceData!$S$248),"",ReferenceData!$S$248),"")</f>
        <v>-41.451999999999998</v>
      </c>
      <c r="T248">
        <f ca="1">IFERROR(IF(0=LEN(ReferenceData!$T$248),"",ReferenceData!$T$248),"")</f>
        <v>-19.113</v>
      </c>
      <c r="U248">
        <f ca="1">IFERROR(IF(0=LEN(ReferenceData!$U$248),"",ReferenceData!$U$248),"")</f>
        <v>-3.173</v>
      </c>
      <c r="V248">
        <f ca="1">IFERROR(IF(0=LEN(ReferenceData!$V$248),"",ReferenceData!$V$248),"")</f>
        <v>-2.6360000000000001</v>
      </c>
      <c r="W248">
        <f ca="1">IFERROR(IF(0=LEN(ReferenceData!$W$248),"",ReferenceData!$W$248),"")</f>
        <v>-148.63200000000001</v>
      </c>
      <c r="X248">
        <f ca="1">IFERROR(IF(0=LEN(ReferenceData!$X$248),"",ReferenceData!$X$248),"")</f>
        <v>25.501000000000001</v>
      </c>
      <c r="Y248">
        <f ca="1">IFERROR(IF(0=LEN(ReferenceData!$Y$248),"",ReferenceData!$Y$248),"")</f>
        <v>0.36</v>
      </c>
      <c r="Z248">
        <f ca="1">IFERROR(IF(0=LEN(ReferenceData!$Z$248),"",ReferenceData!$Z$248),"")</f>
        <v>23.539000000000001</v>
      </c>
      <c r="AA248">
        <f ca="1">IFERROR(IF(0=LEN(ReferenceData!$AA$248),"",ReferenceData!$AA$248),"")</f>
        <v>-153.63800000000001</v>
      </c>
      <c r="AB248">
        <f ca="1">IFERROR(IF(0=LEN(ReferenceData!$AB$248),"",ReferenceData!$AB$248),"")</f>
        <v>24.576000000000001</v>
      </c>
      <c r="AC248">
        <f ca="1">IFERROR(IF(0=LEN(ReferenceData!$AC$248),"",ReferenceData!$AC$248),"")</f>
        <v>-8.3879999999999999</v>
      </c>
      <c r="AD248">
        <f ca="1">IFERROR(IF(0=LEN(ReferenceData!$AD$248),"",ReferenceData!$AD$248),"")</f>
        <v>13.746</v>
      </c>
      <c r="AE248">
        <f ca="1">IFERROR(IF(0=LEN(ReferenceData!$AE$248),"",ReferenceData!$AE$248),"")</f>
        <v>-22.869</v>
      </c>
      <c r="AF248">
        <f ca="1">IFERROR(IF(0=LEN(ReferenceData!$AF$248),"",ReferenceData!$AF$248),"")</f>
        <v>31.247</v>
      </c>
      <c r="AG248">
        <f ca="1">IFERROR(IF(0=LEN(ReferenceData!$AG$248),"",ReferenceData!$AG$248),"")</f>
        <v>-1.671</v>
      </c>
      <c r="AH248">
        <f ca="1">IFERROR(IF(0=LEN(ReferenceData!$AH$248),"",ReferenceData!$AH$248),"")</f>
        <v>0.21199999999999999</v>
      </c>
      <c r="AI248">
        <f ca="1">IFERROR(IF(0=LEN(ReferenceData!$AI$248),"",ReferenceData!$AI$248),"")</f>
        <v>-0.55400000000000005</v>
      </c>
      <c r="AJ248">
        <f ca="1">IFERROR(IF(0=LEN(ReferenceData!$AJ$248),"",ReferenceData!$AJ$248),"")</f>
        <v>-63.682000000000002</v>
      </c>
      <c r="AK248">
        <f ca="1">IFERROR(IF(0=LEN(ReferenceData!$AK$248),"",ReferenceData!$AK$248),"")</f>
        <v>25.757999999999999</v>
      </c>
      <c r="AL248">
        <f ca="1">IFERROR(IF(0=LEN(ReferenceData!$AL$248),"",ReferenceData!$AL$248),"")</f>
        <v>-12.194000000000001</v>
      </c>
      <c r="AM248">
        <f ca="1">IFERROR(IF(0=LEN(ReferenceData!$AM$248),"",ReferenceData!$AM$248),"")</f>
        <v>8.343</v>
      </c>
      <c r="AN248">
        <f ca="1">IFERROR(IF(0=LEN(ReferenceData!$AN$248),"",ReferenceData!$AN$248),"")</f>
        <v>-10.313000000000001</v>
      </c>
      <c r="AO248">
        <f ca="1">IFERROR(IF(0=LEN(ReferenceData!$AO$248),"",ReferenceData!$AO$248),"")</f>
        <v>-23.106000000000002</v>
      </c>
      <c r="AP248">
        <f ca="1">IFERROR(IF(0=LEN(ReferenceData!$AP$248),"",ReferenceData!$AP$248),"")</f>
        <v>33.393999999999998</v>
      </c>
      <c r="AQ248">
        <f ca="1">IFERROR(IF(0=LEN(ReferenceData!$AQ$248),"",ReferenceData!$AQ$248),"")</f>
        <v>37.850999999999999</v>
      </c>
      <c r="AR248">
        <f ca="1">IFERROR(IF(0=LEN(ReferenceData!$AR$248),"",ReferenceData!$AR$248),"")</f>
        <v>33.840000000000003</v>
      </c>
      <c r="AS248">
        <f ca="1">IFERROR(IF(0=LEN(ReferenceData!$AS$248),"",ReferenceData!$AS$248),"")</f>
        <v>-18.195</v>
      </c>
      <c r="AT248">
        <f ca="1">IFERROR(IF(0=LEN(ReferenceData!$AT$248),"",ReferenceData!$AT$248),"")</f>
        <v>33.787999999999997</v>
      </c>
      <c r="AU248">
        <f ca="1">IFERROR(IF(0=LEN(ReferenceData!$AU$248),"",ReferenceData!$AU$248),"")</f>
        <v>-101.872</v>
      </c>
      <c r="AV248">
        <f ca="1">IFERROR(IF(0=LEN(ReferenceData!$AV$248),"",ReferenceData!$AV$248),"")</f>
        <v>-59.988</v>
      </c>
      <c r="AW248">
        <f ca="1">IFERROR(IF(0=LEN(ReferenceData!$AW$248),"",ReferenceData!$AW$248),"")</f>
        <v>-15.978999999999999</v>
      </c>
      <c r="AX248">
        <f ca="1">IFERROR(IF(0=LEN(ReferenceData!$AX$248),"",ReferenceData!$AX$248),"")</f>
        <v>-17.494</v>
      </c>
      <c r="AY248">
        <f ca="1">IFERROR(IF(0=LEN(ReferenceData!$AY$248),"",ReferenceData!$AY$248),"")</f>
        <v>-95.331000000000003</v>
      </c>
      <c r="AZ248">
        <f ca="1">IFERROR(IF(0=LEN(ReferenceData!$AZ$248),"",ReferenceData!$AZ$248),"")</f>
        <v>-108.672</v>
      </c>
      <c r="BA248">
        <f ca="1">IFERROR(IF(0=LEN(ReferenceData!$BA$248),"",ReferenceData!$BA$248),"")</f>
        <v>-950.57100000000003</v>
      </c>
      <c r="BB248">
        <f ca="1">IFERROR(IF(0=LEN(ReferenceData!$BB$248),"",ReferenceData!$BB$248),"")</f>
        <v>-13.476000000000001</v>
      </c>
      <c r="BC248">
        <f ca="1">IFERROR(IF(0=LEN(ReferenceData!$BC$248),"",ReferenceData!$BC$248),"")</f>
        <v>-18.707000000000001</v>
      </c>
      <c r="BD248">
        <f ca="1">IFERROR(IF(0=LEN(ReferenceData!$BD$248),"",ReferenceData!$BD$248),"")</f>
        <v>-67.88</v>
      </c>
      <c r="BE248">
        <f ca="1">IFERROR(IF(0=LEN(ReferenceData!$BE$248),"",ReferenceData!$BE$248),"")</f>
        <v>-39.573999999999998</v>
      </c>
      <c r="BF248">
        <f ca="1">IFERROR(IF(0=LEN(ReferenceData!$BF$248),"",ReferenceData!$BF$248),"")</f>
        <v>-18.401</v>
      </c>
      <c r="BG248">
        <f ca="1">IFERROR(IF(0=LEN(ReferenceData!$BG$248),"",ReferenceData!$BG$248),"")</f>
        <v>-0.33400000000000002</v>
      </c>
      <c r="BH248">
        <f ca="1">IFERROR(IF(0=LEN(ReferenceData!$BH$248),"",ReferenceData!$BH$248),"")</f>
        <v>-622.31899999999996</v>
      </c>
      <c r="BI248">
        <f ca="1">IFERROR(IF(0=LEN(ReferenceData!$BI$248),"",ReferenceData!$BI$248),"")</f>
        <v>12.366998000000001</v>
      </c>
      <c r="BJ248">
        <f ca="1">IFERROR(IF(0=LEN(ReferenceData!$BJ$248),"",ReferenceData!$BJ$248),"")</f>
        <v>14.689</v>
      </c>
      <c r="BK248">
        <f ca="1">IFERROR(IF(0=LEN(ReferenceData!$BK$248),"",ReferenceData!$BK$248),"")</f>
        <v>-51.426000000000002</v>
      </c>
      <c r="BL248">
        <f ca="1">IFERROR(IF(0=LEN(ReferenceData!$BL$248),"",ReferenceData!$BL$248),"")</f>
        <v>11.773</v>
      </c>
      <c r="BM248">
        <f ca="1">IFERROR(IF(0=LEN(ReferenceData!$BM$248),"",ReferenceData!$BM$248),"")</f>
        <v>21.855</v>
      </c>
    </row>
    <row r="249" spans="1:65">
      <c r="A249" t="str">
        <f>IFERROR(IF(0=LEN(ReferenceData!$A$249),"",ReferenceData!$A$249),"")</f>
        <v xml:space="preserve">    Columbia Property Trust Inc</v>
      </c>
      <c r="B249" t="str">
        <f>IFERROR(IF(0=LEN(ReferenceData!$B$249),"",ReferenceData!$B$249),"")</f>
        <v>CXP US Equity</v>
      </c>
      <c r="C249" t="str">
        <f>IFERROR(IF(0=LEN(ReferenceData!$C$249),"",ReferenceData!$C$249),"")</f>
        <v>RR008</v>
      </c>
      <c r="D249" t="str">
        <f>IFERROR(IF(0=LEN(ReferenceData!$D$249),"",ReferenceData!$D$249),"")</f>
        <v>CF_FREE_CASH_FLOW</v>
      </c>
      <c r="E249" t="str">
        <f>IFERROR(IF(0=LEN(ReferenceData!$E$249),"",ReferenceData!$E$249),"")</f>
        <v>动态</v>
      </c>
      <c r="F249" t="str">
        <f ca="1">IFERROR(IF(0=LEN(ReferenceData!$F$249),"",ReferenceData!$F$249),"")</f>
        <v/>
      </c>
      <c r="G249">
        <f ca="1">IFERROR(IF(0=LEN(ReferenceData!$G$249),"",ReferenceData!$G$249),"")</f>
        <v>-12.974</v>
      </c>
      <c r="H249">
        <f ca="1">IFERROR(IF(0=LEN(ReferenceData!$H$249),"",ReferenceData!$H$249),"")</f>
        <v>-12.78</v>
      </c>
      <c r="I249">
        <f ca="1">IFERROR(IF(0=LEN(ReferenceData!$I$249),"",ReferenceData!$I$249),"")</f>
        <v>12.743</v>
      </c>
      <c r="J249">
        <f ca="1">IFERROR(IF(0=LEN(ReferenceData!$J$249),"",ReferenceData!$J$249),"")</f>
        <v>-11.87</v>
      </c>
      <c r="K249">
        <f ca="1">IFERROR(IF(0=LEN(ReferenceData!$K$249),"",ReferenceData!$K$249),"")</f>
        <v>38.313000000000002</v>
      </c>
      <c r="L249">
        <f ca="1">IFERROR(IF(0=LEN(ReferenceData!$L$249),"",ReferenceData!$L$249),"")</f>
        <v>48.63</v>
      </c>
      <c r="M249">
        <f ca="1">IFERROR(IF(0=LEN(ReferenceData!$M$249),"",ReferenceData!$M$249),"")</f>
        <v>38.082000000000001</v>
      </c>
      <c r="N249">
        <f ca="1">IFERROR(IF(0=LEN(ReferenceData!$N$249),"",ReferenceData!$N$249),"")</f>
        <v>28.545000000000002</v>
      </c>
      <c r="O249">
        <f ca="1">IFERROR(IF(0=LEN(ReferenceData!$O$249),"",ReferenceData!$O$249),"")</f>
        <v>28.815999999999999</v>
      </c>
      <c r="P249">
        <f ca="1">IFERROR(IF(0=LEN(ReferenceData!$P$249),"",ReferenceData!$P$249),"")</f>
        <v>43.607999999999997</v>
      </c>
      <c r="Q249">
        <f ca="1">IFERROR(IF(0=LEN(ReferenceData!$Q$249),"",ReferenceData!$Q$249),"")</f>
        <v>40.009</v>
      </c>
      <c r="R249">
        <f ca="1">IFERROR(IF(0=LEN(ReferenceData!$R$249),"",ReferenceData!$R$249),"")</f>
        <v>27.276</v>
      </c>
      <c r="S249">
        <f ca="1">IFERROR(IF(0=LEN(ReferenceData!$S$249),"",ReferenceData!$S$249),"")</f>
        <v>53.39</v>
      </c>
      <c r="T249">
        <f ca="1">IFERROR(IF(0=LEN(ReferenceData!$T$249),"",ReferenceData!$T$249),"")</f>
        <v>35.396000000000001</v>
      </c>
      <c r="U249">
        <f ca="1">IFERROR(IF(0=LEN(ReferenceData!$U$249),"",ReferenceData!$U$249),"")</f>
        <v>49.097000000000001</v>
      </c>
      <c r="V249">
        <f ca="1">IFERROR(IF(0=LEN(ReferenceData!$V$249),"",ReferenceData!$V$249),"")</f>
        <v>45.018000000000001</v>
      </c>
      <c r="W249">
        <f ca="1">IFERROR(IF(0=LEN(ReferenceData!$W$249),"",ReferenceData!$W$249),"")</f>
        <v>45.161000000000001</v>
      </c>
      <c r="X249">
        <f ca="1">IFERROR(IF(0=LEN(ReferenceData!$X$249),"",ReferenceData!$X$249),"")</f>
        <v>48.485999999999997</v>
      </c>
      <c r="Y249">
        <f ca="1">IFERROR(IF(0=LEN(ReferenceData!$Y$249),"",ReferenceData!$Y$249),"")</f>
        <v>31.302</v>
      </c>
      <c r="Z249">
        <f ca="1">IFERROR(IF(0=LEN(ReferenceData!$Z$249),"",ReferenceData!$Z$249),"")</f>
        <v>48.524000000000001</v>
      </c>
      <c r="AA249">
        <f ca="1">IFERROR(IF(0=LEN(ReferenceData!$AA$249),"",ReferenceData!$AA$249),"")</f>
        <v>12.185</v>
      </c>
      <c r="AB249">
        <f ca="1">IFERROR(IF(0=LEN(ReferenceData!$AB$249),"",ReferenceData!$AB$249),"")</f>
        <v>61.957999999999998</v>
      </c>
      <c r="AC249">
        <f ca="1">IFERROR(IF(0=LEN(ReferenceData!$AC$249),"",ReferenceData!$AC$249),"")</f>
        <v>60.054000000000002</v>
      </c>
      <c r="AD249">
        <f ca="1">IFERROR(IF(0=LEN(ReferenceData!$AD$249),"",ReferenceData!$AD$249),"")</f>
        <v>73.593999999999994</v>
      </c>
      <c r="AE249">
        <f ca="1">IFERROR(IF(0=LEN(ReferenceData!$AE$249),"",ReferenceData!$AE$249),"")</f>
        <v>70.742000000000004</v>
      </c>
      <c r="AF249">
        <f ca="1">IFERROR(IF(0=LEN(ReferenceData!$AF$249),"",ReferenceData!$AF$249),"")</f>
        <v>77.388999999999996</v>
      </c>
      <c r="AG249">
        <f ca="1">IFERROR(IF(0=LEN(ReferenceData!$AG$249),"",ReferenceData!$AG$249),"")</f>
        <v>73.266999999999996</v>
      </c>
      <c r="AH249">
        <f ca="1">IFERROR(IF(0=LEN(ReferenceData!$AH$249),"",ReferenceData!$AH$249),"")</f>
        <v>57.76</v>
      </c>
      <c r="AI249">
        <f ca="1">IFERROR(IF(0=LEN(ReferenceData!$AI$249),"",ReferenceData!$AI$249),"")</f>
        <v>81.372</v>
      </c>
      <c r="AJ249">
        <f ca="1">IFERROR(IF(0=LEN(ReferenceData!$AJ$249),"",ReferenceData!$AJ$249),"")</f>
        <v>74.001000000000005</v>
      </c>
      <c r="AK249">
        <f ca="1">IFERROR(IF(0=LEN(ReferenceData!$AK$249),"",ReferenceData!$AK$249),"")</f>
        <v>58.643000000000001</v>
      </c>
      <c r="AL249">
        <f ca="1">IFERROR(IF(0=LEN(ReferenceData!$AL$249),"",ReferenceData!$AL$249),"")</f>
        <v>56.058999999999997</v>
      </c>
      <c r="AM249">
        <f ca="1">IFERROR(IF(0=LEN(ReferenceData!$AM$249),"",ReferenceData!$AM$249),"")</f>
        <v>80.683000000000007</v>
      </c>
      <c r="AN249">
        <f ca="1">IFERROR(IF(0=LEN(ReferenceData!$AN$249),"",ReferenceData!$AN$249),"")</f>
        <v>61.636000000000003</v>
      </c>
      <c r="AO249">
        <f ca="1">IFERROR(IF(0=LEN(ReferenceData!$AO$249),"",ReferenceData!$AO$249),"")</f>
        <v>53.566000000000003</v>
      </c>
      <c r="AP249">
        <f ca="1">IFERROR(IF(0=LEN(ReferenceData!$AP$249),"",ReferenceData!$AP$249),"")</f>
        <v>52.642000000000003</v>
      </c>
      <c r="AQ249" t="str">
        <f ca="1">IFERROR(IF(0=LEN(ReferenceData!$AQ$249),"",ReferenceData!$AQ$249),"")</f>
        <v/>
      </c>
      <c r="AR249" t="str">
        <f ca="1">IFERROR(IF(0=LEN(ReferenceData!$AR$249),"",ReferenceData!$AR$249),"")</f>
        <v/>
      </c>
      <c r="AS249" t="str">
        <f ca="1">IFERROR(IF(0=LEN(ReferenceData!$AS$249),"",ReferenceData!$AS$249),"")</f>
        <v/>
      </c>
      <c r="AT249" t="str">
        <f ca="1">IFERROR(IF(0=LEN(ReferenceData!$AT$249),"",ReferenceData!$AT$249),"")</f>
        <v/>
      </c>
      <c r="AU249" t="str">
        <f ca="1">IFERROR(IF(0=LEN(ReferenceData!$AU$249),"",ReferenceData!$AU$249),"")</f>
        <v/>
      </c>
      <c r="AV249" t="str">
        <f ca="1">IFERROR(IF(0=LEN(ReferenceData!$AV$249),"",ReferenceData!$AV$249),"")</f>
        <v/>
      </c>
      <c r="AW249" t="str">
        <f ca="1">IFERROR(IF(0=LEN(ReferenceData!$AW$249),"",ReferenceData!$AW$249),"")</f>
        <v/>
      </c>
      <c r="AX249" t="str">
        <f ca="1">IFERROR(IF(0=LEN(ReferenceData!$AX$249),"",ReferenceData!$AX$249),"")</f>
        <v/>
      </c>
      <c r="AY249" t="str">
        <f ca="1">IFERROR(IF(0=LEN(ReferenceData!$AY$249),"",ReferenceData!$AY$249),"")</f>
        <v/>
      </c>
      <c r="AZ249" t="str">
        <f ca="1">IFERROR(IF(0=LEN(ReferenceData!$AZ$249),"",ReferenceData!$AZ$249),"")</f>
        <v/>
      </c>
      <c r="BA249" t="str">
        <f ca="1">IFERROR(IF(0=LEN(ReferenceData!$BA$249),"",ReferenceData!$BA$249),"")</f>
        <v/>
      </c>
      <c r="BB249" t="str">
        <f ca="1">IFERROR(IF(0=LEN(ReferenceData!$BB$249),"",ReferenceData!$BB$249),"")</f>
        <v/>
      </c>
      <c r="BC249" t="str">
        <f ca="1">IFERROR(IF(0=LEN(ReferenceData!$BC$249),"",ReferenceData!$BC$249),"")</f>
        <v/>
      </c>
      <c r="BD249" t="str">
        <f ca="1">IFERROR(IF(0=LEN(ReferenceData!$BD$249),"",ReferenceData!$BD$249),"")</f>
        <v/>
      </c>
      <c r="BE249" t="str">
        <f ca="1">IFERROR(IF(0=LEN(ReferenceData!$BE$249),"",ReferenceData!$BE$249),"")</f>
        <v/>
      </c>
      <c r="BF249" t="str">
        <f ca="1">IFERROR(IF(0=LEN(ReferenceData!$BF$249),"",ReferenceData!$BF$249),"")</f>
        <v/>
      </c>
      <c r="BG249" t="str">
        <f ca="1">IFERROR(IF(0=LEN(ReferenceData!$BG$249),"",ReferenceData!$BG$249),"")</f>
        <v/>
      </c>
      <c r="BH249" t="str">
        <f ca="1">IFERROR(IF(0=LEN(ReferenceData!$BH$249),"",ReferenceData!$BH$249),"")</f>
        <v/>
      </c>
      <c r="BI249" t="str">
        <f ca="1">IFERROR(IF(0=LEN(ReferenceData!$BI$249),"",ReferenceData!$BI$249),"")</f>
        <v/>
      </c>
      <c r="BJ249" t="str">
        <f ca="1">IFERROR(IF(0=LEN(ReferenceData!$BJ$249),"",ReferenceData!$BJ$249),"")</f>
        <v/>
      </c>
      <c r="BK249" t="str">
        <f ca="1">IFERROR(IF(0=LEN(ReferenceData!$BK$249),"",ReferenceData!$BK$249),"")</f>
        <v/>
      </c>
      <c r="BL249" t="str">
        <f ca="1">IFERROR(IF(0=LEN(ReferenceData!$BL$249),"",ReferenceData!$BL$249),"")</f>
        <v/>
      </c>
      <c r="BM249" t="str">
        <f ca="1">IFERROR(IF(0=LEN(ReferenceData!$BM$249),"",ReferenceData!$BM$249),"")</f>
        <v/>
      </c>
    </row>
    <row r="250" spans="1:65">
      <c r="A250" t="str">
        <f>IFERROR(IF(0=LEN(ReferenceData!$A$250),"",ReferenceData!$A$250),"")</f>
        <v xml:space="preserve">    Corporate Office Properties Tr</v>
      </c>
      <c r="B250" t="str">
        <f>IFERROR(IF(0=LEN(ReferenceData!$B$250),"",ReferenceData!$B$250),"")</f>
        <v>OFC US Equity</v>
      </c>
      <c r="C250" t="str">
        <f>IFERROR(IF(0=LEN(ReferenceData!$C$250),"",ReferenceData!$C$250),"")</f>
        <v>RR008</v>
      </c>
      <c r="D250" t="str">
        <f>IFERROR(IF(0=LEN(ReferenceData!$D$250),"",ReferenceData!$D$250),"")</f>
        <v>CF_FREE_CASH_FLOW</v>
      </c>
      <c r="E250" t="str">
        <f>IFERROR(IF(0=LEN(ReferenceData!$E$250),"",ReferenceData!$E$250),"")</f>
        <v>动态</v>
      </c>
      <c r="F250" t="str">
        <f ca="1">IFERROR(IF(0=LEN(ReferenceData!$F$250),"",ReferenceData!$F$250),"")</f>
        <v/>
      </c>
      <c r="G250">
        <f ca="1">IFERROR(IF(0=LEN(ReferenceData!$G$250),"",ReferenceData!$G$250),"")</f>
        <v>-48.091000000000001</v>
      </c>
      <c r="H250">
        <f ca="1">IFERROR(IF(0=LEN(ReferenceData!$H$250),"",ReferenceData!$H$250),"")</f>
        <v>15.63</v>
      </c>
      <c r="I250">
        <f ca="1">IFERROR(IF(0=LEN(ReferenceData!$I$250),"",ReferenceData!$I$250),"")</f>
        <v>-6.4029999999999996</v>
      </c>
      <c r="J250">
        <f ca="1">IFERROR(IF(0=LEN(ReferenceData!$J$250),"",ReferenceData!$J$250),"")</f>
        <v>12.723000000000001</v>
      </c>
      <c r="K250">
        <f ca="1">IFERROR(IF(0=LEN(ReferenceData!$K$250),"",ReferenceData!$K$250),"")</f>
        <v>9.8409999999999993</v>
      </c>
      <c r="L250">
        <f ca="1">IFERROR(IF(0=LEN(ReferenceData!$L$250),"",ReferenceData!$L$250),"")</f>
        <v>-17.63</v>
      </c>
      <c r="M250">
        <f ca="1">IFERROR(IF(0=LEN(ReferenceData!$M$250),"",ReferenceData!$M$250),"")</f>
        <v>31.788</v>
      </c>
      <c r="N250">
        <f ca="1">IFERROR(IF(0=LEN(ReferenceData!$N$250),"",ReferenceData!$N$250),"")</f>
        <v>-13.6</v>
      </c>
      <c r="O250">
        <f ca="1">IFERROR(IF(0=LEN(ReferenceData!$O$250),"",ReferenceData!$O$250),"")</f>
        <v>-25.466999999999999</v>
      </c>
      <c r="P250">
        <f ca="1">IFERROR(IF(0=LEN(ReferenceData!$P$250),"",ReferenceData!$P$250),"")</f>
        <v>-109.827</v>
      </c>
      <c r="Q250">
        <f ca="1">IFERROR(IF(0=LEN(ReferenceData!$Q$250),"",ReferenceData!$Q$250),"")</f>
        <v>-64.441000000000003</v>
      </c>
      <c r="R250">
        <f ca="1">IFERROR(IF(0=LEN(ReferenceData!$R$250),"",ReferenceData!$R$250),"")</f>
        <v>-86.028999999999996</v>
      </c>
      <c r="S250">
        <f ca="1">IFERROR(IF(0=LEN(ReferenceData!$S$250),"",ReferenceData!$S$250),"")</f>
        <v>-15.971</v>
      </c>
      <c r="T250">
        <f ca="1">IFERROR(IF(0=LEN(ReferenceData!$T$250),"",ReferenceData!$T$250),"")</f>
        <v>-15.714</v>
      </c>
      <c r="U250">
        <f ca="1">IFERROR(IF(0=LEN(ReferenceData!$U$250),"",ReferenceData!$U$250),"")</f>
        <v>-26.204000000000001</v>
      </c>
      <c r="V250">
        <f ca="1">IFERROR(IF(0=LEN(ReferenceData!$V$250),"",ReferenceData!$V$250),"")</f>
        <v>-4.5590000000000002</v>
      </c>
      <c r="W250">
        <f ca="1">IFERROR(IF(0=LEN(ReferenceData!$W$250),"",ReferenceData!$W$250),"")</f>
        <v>-5.5119999999999996</v>
      </c>
      <c r="X250">
        <f ca="1">IFERROR(IF(0=LEN(ReferenceData!$X$250),"",ReferenceData!$X$250),"")</f>
        <v>-22.725000000000001</v>
      </c>
      <c r="Y250">
        <f ca="1">IFERROR(IF(0=LEN(ReferenceData!$Y$250),"",ReferenceData!$Y$250),"")</f>
        <v>-49.098999999999997</v>
      </c>
      <c r="Z250">
        <f ca="1">IFERROR(IF(0=LEN(ReferenceData!$Z$250),"",ReferenceData!$Z$250),"")</f>
        <v>-11.64</v>
      </c>
      <c r="AA250">
        <f ca="1">IFERROR(IF(0=LEN(ReferenceData!$AA$250),"",ReferenceData!$AA$250),"")</f>
        <v>-33.076999999999998</v>
      </c>
      <c r="AB250">
        <f ca="1">IFERROR(IF(0=LEN(ReferenceData!$AB$250),"",ReferenceData!$AB$250),"")</f>
        <v>-67.826999999999998</v>
      </c>
      <c r="AC250">
        <f ca="1">IFERROR(IF(0=LEN(ReferenceData!$AC$250),"",ReferenceData!$AC$250),"")</f>
        <v>24.062000000000001</v>
      </c>
      <c r="AD250">
        <f ca="1">IFERROR(IF(0=LEN(ReferenceData!$AD$250),"",ReferenceData!$AD$250),"")</f>
        <v>-2.9830000000000001</v>
      </c>
      <c r="AE250">
        <f ca="1">IFERROR(IF(0=LEN(ReferenceData!$AE$250),"",ReferenceData!$AE$250),"")</f>
        <v>-30.672000000000001</v>
      </c>
      <c r="AF250">
        <f ca="1">IFERROR(IF(0=LEN(ReferenceData!$AF$250),"",ReferenceData!$AF$250),"")</f>
        <v>-103.42400000000001</v>
      </c>
      <c r="AG250">
        <f ca="1">IFERROR(IF(0=LEN(ReferenceData!$AG$250),"",ReferenceData!$AG$250),"")</f>
        <v>-6.819</v>
      </c>
      <c r="AH250">
        <f ca="1">IFERROR(IF(0=LEN(ReferenceData!$AH$250),"",ReferenceData!$AH$250),"")</f>
        <v>-26.565999999999999</v>
      </c>
      <c r="AI250">
        <f ca="1">IFERROR(IF(0=LEN(ReferenceData!$AI$250),"",ReferenceData!$AI$250),"")</f>
        <v>-60.655999999999999</v>
      </c>
      <c r="AJ250">
        <f ca="1">IFERROR(IF(0=LEN(ReferenceData!$AJ$250),"",ReferenceData!$AJ$250),"")</f>
        <v>-197.55099999999999</v>
      </c>
      <c r="AK250">
        <f ca="1">IFERROR(IF(0=LEN(ReferenceData!$AK$250),"",ReferenceData!$AK$250),"")</f>
        <v>-53.39</v>
      </c>
      <c r="AL250">
        <f ca="1">IFERROR(IF(0=LEN(ReferenceData!$AL$250),"",ReferenceData!$AL$250),"")</f>
        <v>-14.005000000000001</v>
      </c>
      <c r="AM250">
        <f ca="1">IFERROR(IF(0=LEN(ReferenceData!$AM$250),"",ReferenceData!$AM$250),"")</f>
        <v>-76.13</v>
      </c>
      <c r="AN250">
        <f ca="1">IFERROR(IF(0=LEN(ReferenceData!$AN$250),"",ReferenceData!$AN$250),"")</f>
        <v>-9.6859999999999999</v>
      </c>
      <c r="AO250">
        <f ca="1">IFERROR(IF(0=LEN(ReferenceData!$AO$250),"",ReferenceData!$AO$250),"")</f>
        <v>1.7070000000000001</v>
      </c>
      <c r="AP250">
        <f ca="1">IFERROR(IF(0=LEN(ReferenceData!$AP$250),"",ReferenceData!$AP$250),"")</f>
        <v>25.074000000000002</v>
      </c>
      <c r="AQ250">
        <f ca="1">IFERROR(IF(0=LEN(ReferenceData!$AQ$250),"",ReferenceData!$AQ$250),"")</f>
        <v>-8.3970000000000002</v>
      </c>
      <c r="AR250">
        <f ca="1">IFERROR(IF(0=LEN(ReferenceData!$AR$250),"",ReferenceData!$AR$250),"")</f>
        <v>-29.193000000000001</v>
      </c>
      <c r="AS250">
        <f ca="1">IFERROR(IF(0=LEN(ReferenceData!$AS$250),"",ReferenceData!$AS$250),"")</f>
        <v>-59.326000000000001</v>
      </c>
      <c r="AT250">
        <f ca="1">IFERROR(IF(0=LEN(ReferenceData!$AT$250),"",ReferenceData!$AT$250),"")</f>
        <v>-6.4119999999999999</v>
      </c>
      <c r="AU250">
        <f ca="1">IFERROR(IF(0=LEN(ReferenceData!$AU$250),"",ReferenceData!$AU$250),"")</f>
        <v>-9.5879999999999992</v>
      </c>
      <c r="AV250">
        <f ca="1">IFERROR(IF(0=LEN(ReferenceData!$AV$250),"",ReferenceData!$AV$250),"")</f>
        <v>-27.798999999999999</v>
      </c>
      <c r="AW250">
        <f ca="1">IFERROR(IF(0=LEN(ReferenceData!$AW$250),"",ReferenceData!$AW$250),"")</f>
        <v>-26.788</v>
      </c>
      <c r="AX250">
        <f ca="1">IFERROR(IF(0=LEN(ReferenceData!$AX$250),"",ReferenceData!$AX$250),"")</f>
        <v>-152.214</v>
      </c>
      <c r="AY250">
        <f ca="1">IFERROR(IF(0=LEN(ReferenceData!$AY$250),"",ReferenceData!$AY$250),"")</f>
        <v>-28.506</v>
      </c>
      <c r="AZ250">
        <f ca="1">IFERROR(IF(0=LEN(ReferenceData!$AZ$250),"",ReferenceData!$AZ$250),"")</f>
        <v>-21.739000000000001</v>
      </c>
      <c r="BA250">
        <f ca="1">IFERROR(IF(0=LEN(ReferenceData!$BA$250),"",ReferenceData!$BA$250),"")</f>
        <v>-117.935</v>
      </c>
      <c r="BB250">
        <f ca="1">IFERROR(IF(0=LEN(ReferenceData!$BB$250),"",ReferenceData!$BB$250),"")</f>
        <v>-8.8810000000000002</v>
      </c>
      <c r="BC250">
        <f ca="1">IFERROR(IF(0=LEN(ReferenceData!$BC$250),"",ReferenceData!$BC$250),"")</f>
        <v>-203.559</v>
      </c>
      <c r="BD250">
        <f ca="1">IFERROR(IF(0=LEN(ReferenceData!$BD$250),"",ReferenceData!$BD$250),"")</f>
        <v>-88.522000000000006</v>
      </c>
      <c r="BE250">
        <f ca="1">IFERROR(IF(0=LEN(ReferenceData!$BE$250),"",ReferenceData!$BE$250),"")</f>
        <v>-54.295000000000002</v>
      </c>
      <c r="BF250">
        <f ca="1">IFERROR(IF(0=LEN(ReferenceData!$BF$250),"",ReferenceData!$BF$250),"")</f>
        <v>-60.042999999999999</v>
      </c>
      <c r="BG250">
        <f ca="1">IFERROR(IF(0=LEN(ReferenceData!$BG$250),"",ReferenceData!$BG$250),"")</f>
        <v>-29.561</v>
      </c>
      <c r="BH250">
        <f ca="1">IFERROR(IF(0=LEN(ReferenceData!$BH$250),"",ReferenceData!$BH$250),"")</f>
        <v>-62.570999999999998</v>
      </c>
      <c r="BI250">
        <f ca="1">IFERROR(IF(0=LEN(ReferenceData!$BI$250),"",ReferenceData!$BI$250),"")</f>
        <v>-32.78</v>
      </c>
      <c r="BJ250">
        <f ca="1">IFERROR(IF(0=LEN(ReferenceData!$BJ$250),"",ReferenceData!$BJ$250),"")</f>
        <v>-42.576000000000001</v>
      </c>
      <c r="BK250">
        <f ca="1">IFERROR(IF(0=LEN(ReferenceData!$BK$250),"",ReferenceData!$BK$250),"")</f>
        <v>1.1960000989999999</v>
      </c>
      <c r="BL250">
        <f ca="1">IFERROR(IF(0=LEN(ReferenceData!$BL$250),"",ReferenceData!$BL$250),"")</f>
        <v>-58.661000000000001</v>
      </c>
      <c r="BM250">
        <f ca="1">IFERROR(IF(0=LEN(ReferenceData!$BM$250),"",ReferenceData!$BM$250),"")</f>
        <v>-60.375999999999998</v>
      </c>
    </row>
    <row r="251" spans="1:65">
      <c r="A251" t="str">
        <f>IFERROR(IF(0=LEN(ReferenceData!$A$251),"",ReferenceData!$A$251),"")</f>
        <v xml:space="preserve">    Highwoods Properties Inc</v>
      </c>
      <c r="B251" t="str">
        <f>IFERROR(IF(0=LEN(ReferenceData!$B$251),"",ReferenceData!$B$251),"")</f>
        <v>HIW US Equity</v>
      </c>
      <c r="C251" t="str">
        <f>IFERROR(IF(0=LEN(ReferenceData!$C$251),"",ReferenceData!$C$251),"")</f>
        <v>RR008</v>
      </c>
      <c r="D251" t="str">
        <f>IFERROR(IF(0=LEN(ReferenceData!$D$251),"",ReferenceData!$D$251),"")</f>
        <v>CF_FREE_CASH_FLOW</v>
      </c>
      <c r="E251" t="str">
        <f>IFERROR(IF(0=LEN(ReferenceData!$E$251),"",ReferenceData!$E$251),"")</f>
        <v>动态</v>
      </c>
      <c r="F251" t="str">
        <f ca="1">IFERROR(IF(0=LEN(ReferenceData!$F$251),"",ReferenceData!$F$251),"")</f>
        <v/>
      </c>
      <c r="G251">
        <f ca="1">IFERROR(IF(0=LEN(ReferenceData!$G$251),"",ReferenceData!$G$251),"")</f>
        <v>-2.0649999999999999</v>
      </c>
      <c r="H251">
        <f ca="1">IFERROR(IF(0=LEN(ReferenceData!$H$251),"",ReferenceData!$H$251),"")</f>
        <v>38.460999999999999</v>
      </c>
      <c r="I251">
        <f ca="1">IFERROR(IF(0=LEN(ReferenceData!$I$251),"",ReferenceData!$I$251),"")</f>
        <v>22.161999999999999</v>
      </c>
      <c r="J251">
        <f ca="1">IFERROR(IF(0=LEN(ReferenceData!$J$251),"",ReferenceData!$J$251),"")</f>
        <v>-32.332000000000001</v>
      </c>
      <c r="K251">
        <f ca="1">IFERROR(IF(0=LEN(ReferenceData!$K$251),"",ReferenceData!$K$251),"")</f>
        <v>-38.281999999999996</v>
      </c>
      <c r="L251">
        <f ca="1">IFERROR(IF(0=LEN(ReferenceData!$L$251),"",ReferenceData!$L$251),"")</f>
        <v>-95.58</v>
      </c>
      <c r="M251">
        <f ca="1">IFERROR(IF(0=LEN(ReferenceData!$M$251),"",ReferenceData!$M$251),"")</f>
        <v>4.3929999999999998</v>
      </c>
      <c r="N251">
        <f ca="1">IFERROR(IF(0=LEN(ReferenceData!$N$251),"",ReferenceData!$N$251),"")</f>
        <v>-24.945</v>
      </c>
      <c r="O251">
        <f ca="1">IFERROR(IF(0=LEN(ReferenceData!$O$251),"",ReferenceData!$O$251),"")</f>
        <v>-17.827999999999999</v>
      </c>
      <c r="P251">
        <f ca="1">IFERROR(IF(0=LEN(ReferenceData!$P$251),"",ReferenceData!$P$251),"")</f>
        <v>-398.59699999999998</v>
      </c>
      <c r="Q251">
        <f ca="1">IFERROR(IF(0=LEN(ReferenceData!$Q$251),"",ReferenceData!$Q$251),"")</f>
        <v>8.8369999999999997</v>
      </c>
      <c r="R251">
        <f ca="1">IFERROR(IF(0=LEN(ReferenceData!$R$251),"",ReferenceData!$R$251),"")</f>
        <v>-20.215</v>
      </c>
      <c r="S251">
        <f ca="1">IFERROR(IF(0=LEN(ReferenceData!$S$251),"",ReferenceData!$S$251),"")</f>
        <v>-102.66800000000001</v>
      </c>
      <c r="T251">
        <f ca="1">IFERROR(IF(0=LEN(ReferenceData!$T$251),"",ReferenceData!$T$251),"")</f>
        <v>-102.65</v>
      </c>
      <c r="U251">
        <f ca="1">IFERROR(IF(0=LEN(ReferenceData!$U$251),"",ReferenceData!$U$251),"")</f>
        <v>-5.4279999999999999</v>
      </c>
      <c r="V251">
        <f ca="1">IFERROR(IF(0=LEN(ReferenceData!$V$251),"",ReferenceData!$V$251),"")</f>
        <v>-33.637</v>
      </c>
      <c r="W251">
        <f ca="1">IFERROR(IF(0=LEN(ReferenceData!$W$251),"",ReferenceData!$W$251),"")</f>
        <v>11.811</v>
      </c>
      <c r="X251">
        <f ca="1">IFERROR(IF(0=LEN(ReferenceData!$X$251),"",ReferenceData!$X$251),"")</f>
        <v>-173.233</v>
      </c>
      <c r="Y251">
        <f ca="1">IFERROR(IF(0=LEN(ReferenceData!$Y$251),"",ReferenceData!$Y$251),"")</f>
        <v>-109.541</v>
      </c>
      <c r="Z251">
        <f ca="1">IFERROR(IF(0=LEN(ReferenceData!$Z$251),"",ReferenceData!$Z$251),"")</f>
        <v>-82.302000000000007</v>
      </c>
      <c r="AA251">
        <f ca="1">IFERROR(IF(0=LEN(ReferenceData!$AA$251),"",ReferenceData!$AA$251),"")</f>
        <v>-99.180999999999997</v>
      </c>
      <c r="AB251">
        <f ca="1">IFERROR(IF(0=LEN(ReferenceData!$AB$251),"",ReferenceData!$AB$251),"")</f>
        <v>-144.34299999999999</v>
      </c>
      <c r="AC251">
        <f ca="1">IFERROR(IF(0=LEN(ReferenceData!$AC$251),"",ReferenceData!$AC$251),"")</f>
        <v>38.823</v>
      </c>
      <c r="AD251">
        <f ca="1">IFERROR(IF(0=LEN(ReferenceData!$AD$251),"",ReferenceData!$AD$251),"")</f>
        <v>-9.1039999999999992</v>
      </c>
      <c r="AE251">
        <f ca="1">IFERROR(IF(0=LEN(ReferenceData!$AE$251),"",ReferenceData!$AE$251),"")</f>
        <v>25.263000000000002</v>
      </c>
      <c r="AF251">
        <f ca="1">IFERROR(IF(0=LEN(ReferenceData!$AF$251),"",ReferenceData!$AF$251),"")</f>
        <v>-57.581000000000003</v>
      </c>
      <c r="AG251">
        <f ca="1">IFERROR(IF(0=LEN(ReferenceData!$AG$251),"",ReferenceData!$AG$251),"")</f>
        <v>31.498999999999999</v>
      </c>
      <c r="AH251">
        <f ca="1">IFERROR(IF(0=LEN(ReferenceData!$AH$251),"",ReferenceData!$AH$251),"")</f>
        <v>11.648999999999999</v>
      </c>
      <c r="AI251">
        <f ca="1">IFERROR(IF(0=LEN(ReferenceData!$AI$251),"",ReferenceData!$AI$251),"")</f>
        <v>11.536</v>
      </c>
      <c r="AJ251">
        <f ca="1">IFERROR(IF(0=LEN(ReferenceData!$AJ$251),"",ReferenceData!$AJ$251),"")</f>
        <v>14.529</v>
      </c>
      <c r="AK251">
        <f ca="1">IFERROR(IF(0=LEN(ReferenceData!$AK$251),"",ReferenceData!$AK$251),"")</f>
        <v>38.819000000000003</v>
      </c>
      <c r="AL251">
        <f ca="1">IFERROR(IF(0=LEN(ReferenceData!$AL$251),"",ReferenceData!$AL$251),"")</f>
        <v>22.936</v>
      </c>
      <c r="AM251">
        <f ca="1">IFERROR(IF(0=LEN(ReferenceData!$AM$251),"",ReferenceData!$AM$251),"")</f>
        <v>-15.516</v>
      </c>
      <c r="AN251">
        <f ca="1">IFERROR(IF(0=LEN(ReferenceData!$AN$251),"",ReferenceData!$AN$251),"")</f>
        <v>17.366</v>
      </c>
      <c r="AO251">
        <f ca="1">IFERROR(IF(0=LEN(ReferenceData!$AO$251),"",ReferenceData!$AO$251),"")</f>
        <v>27.09</v>
      </c>
      <c r="AP251">
        <f ca="1">IFERROR(IF(0=LEN(ReferenceData!$AP$251),"",ReferenceData!$AP$251),"")</f>
        <v>8.6980000000000004</v>
      </c>
      <c r="AQ251">
        <f ca="1">IFERROR(IF(0=LEN(ReferenceData!$AQ$251),"",ReferenceData!$AQ$251),"")</f>
        <v>-36.018999999999998</v>
      </c>
      <c r="AR251">
        <f ca="1">IFERROR(IF(0=LEN(ReferenceData!$AR$251),"",ReferenceData!$AR$251),"")</f>
        <v>-6.4480000000000004</v>
      </c>
      <c r="AS251">
        <f ca="1">IFERROR(IF(0=LEN(ReferenceData!$AS$251),"",ReferenceData!$AS$251),"")</f>
        <v>3.585</v>
      </c>
      <c r="AT251">
        <f ca="1">IFERROR(IF(0=LEN(ReferenceData!$AT$251),"",ReferenceData!$AT$251),"")</f>
        <v>-34.718000000000004</v>
      </c>
      <c r="AU251">
        <f ca="1">IFERROR(IF(0=LEN(ReferenceData!$AU$251),"",ReferenceData!$AU$251),"")</f>
        <v>-34.488999999999997</v>
      </c>
      <c r="AV251">
        <f ca="1">IFERROR(IF(0=LEN(ReferenceData!$AV$251),"",ReferenceData!$AV$251),"")</f>
        <v>-31.292999999999999</v>
      </c>
      <c r="AW251">
        <f ca="1">IFERROR(IF(0=LEN(ReferenceData!$AW$251),"",ReferenceData!$AW$251),"")</f>
        <v>-19.515000000000001</v>
      </c>
      <c r="AX251">
        <f ca="1">IFERROR(IF(0=LEN(ReferenceData!$AX$251),"",ReferenceData!$AX$251),"")</f>
        <v>-40.530999999999999</v>
      </c>
      <c r="AY251">
        <f ca="1">IFERROR(IF(0=LEN(ReferenceData!$AY$251),"",ReferenceData!$AY$251),"")</f>
        <v>-52.140999999999998</v>
      </c>
      <c r="AZ251">
        <f ca="1">IFERROR(IF(0=LEN(ReferenceData!$AZ$251),"",ReferenceData!$AZ$251),"")</f>
        <v>-18.404</v>
      </c>
      <c r="BA251">
        <f ca="1">IFERROR(IF(0=LEN(ReferenceData!$BA$251),"",ReferenceData!$BA$251),"")</f>
        <v>-11.057</v>
      </c>
      <c r="BB251">
        <f ca="1">IFERROR(IF(0=LEN(ReferenceData!$BB$251),"",ReferenceData!$BB$251),"")</f>
        <v>5.0970000000000004</v>
      </c>
      <c r="BC251">
        <f ca="1">IFERROR(IF(0=LEN(ReferenceData!$BC$251),"",ReferenceData!$BC$251),"")</f>
        <v>-13.465999999999999</v>
      </c>
      <c r="BD251">
        <f ca="1">IFERROR(IF(0=LEN(ReferenceData!$BD$251),"",ReferenceData!$BD$251),"")</f>
        <v>4.9400000000000004</v>
      </c>
      <c r="BE251">
        <f ca="1">IFERROR(IF(0=LEN(ReferenceData!$BE$251),"",ReferenceData!$BE$251),"")</f>
        <v>-1.292</v>
      </c>
      <c r="BF251">
        <f ca="1">IFERROR(IF(0=LEN(ReferenceData!$BF$251),"",ReferenceData!$BF$251),"")</f>
        <v>-3.8119999999999998</v>
      </c>
      <c r="BG251">
        <f ca="1">IFERROR(IF(0=LEN(ReferenceData!$BG$251),"",ReferenceData!$BG$251),"")</f>
        <v>3.2410000000000001</v>
      </c>
      <c r="BH251">
        <f ca="1">IFERROR(IF(0=LEN(ReferenceData!$BH$251),"",ReferenceData!$BH$251),"")</f>
        <v>22.629000000000001</v>
      </c>
      <c r="BI251">
        <f ca="1">IFERROR(IF(0=LEN(ReferenceData!$BI$251),"",ReferenceData!$BI$251),"")</f>
        <v>12.750999999999999</v>
      </c>
      <c r="BJ251">
        <f ca="1">IFERROR(IF(0=LEN(ReferenceData!$BJ$251),"",ReferenceData!$BJ$251),"")</f>
        <v>6.9660000000000002</v>
      </c>
      <c r="BK251">
        <f ca="1">IFERROR(IF(0=LEN(ReferenceData!$BK$251),"",ReferenceData!$BK$251),"")</f>
        <v>-15.411</v>
      </c>
      <c r="BL251">
        <f ca="1">IFERROR(IF(0=LEN(ReferenceData!$BL$251),"",ReferenceData!$BL$251),"")</f>
        <v>37.49</v>
      </c>
      <c r="BM251">
        <f ca="1">IFERROR(IF(0=LEN(ReferenceData!$BM$251),"",ReferenceData!$BM$251),"")</f>
        <v>13.260999999999999</v>
      </c>
    </row>
    <row r="252" spans="1:65">
      <c r="A252" t="str">
        <f>IFERROR(IF(0=LEN(ReferenceData!$A$252),"",ReferenceData!$A$252),"")</f>
        <v xml:space="preserve">    Kilroy Realty Corp</v>
      </c>
      <c r="B252" t="str">
        <f>IFERROR(IF(0=LEN(ReferenceData!$B$252),"",ReferenceData!$B$252),"")</f>
        <v>KRC US Equity</v>
      </c>
      <c r="C252" t="str">
        <f>IFERROR(IF(0=LEN(ReferenceData!$C$252),"",ReferenceData!$C$252),"")</f>
        <v>RR008</v>
      </c>
      <c r="D252" t="str">
        <f>IFERROR(IF(0=LEN(ReferenceData!$D$252),"",ReferenceData!$D$252),"")</f>
        <v>CF_FREE_CASH_FLOW</v>
      </c>
      <c r="E252" t="str">
        <f>IFERROR(IF(0=LEN(ReferenceData!$E$252),"",ReferenceData!$E$252),"")</f>
        <v>动态</v>
      </c>
      <c r="F252" t="str">
        <f ca="1">IFERROR(IF(0=LEN(ReferenceData!$F$252),"",ReferenceData!$F$252),"")</f>
        <v/>
      </c>
      <c r="G252">
        <f ca="1">IFERROR(IF(0=LEN(ReferenceData!$G$252),"",ReferenceData!$G$252),"")</f>
        <v>-102.51</v>
      </c>
      <c r="H252">
        <f ca="1">IFERROR(IF(0=LEN(ReferenceData!$H$252),"",ReferenceData!$H$252),"")</f>
        <v>-32.805</v>
      </c>
      <c r="I252">
        <f ca="1">IFERROR(IF(0=LEN(ReferenceData!$I$252),"",ReferenceData!$I$252),"")</f>
        <v>-30.338999999999999</v>
      </c>
      <c r="J252">
        <f ca="1">IFERROR(IF(0=LEN(ReferenceData!$J$252),"",ReferenceData!$J$252),"")</f>
        <v>6.9720000000000004</v>
      </c>
      <c r="K252">
        <f ca="1">IFERROR(IF(0=LEN(ReferenceData!$K$252),"",ReferenceData!$K$252),"")</f>
        <v>-404.46899999999999</v>
      </c>
      <c r="L252">
        <f ca="1">IFERROR(IF(0=LEN(ReferenceData!$L$252),"",ReferenceData!$L$252),"")</f>
        <v>38.234000000000002</v>
      </c>
      <c r="M252">
        <f ca="1">IFERROR(IF(0=LEN(ReferenceData!$M$252),"",ReferenceData!$M$252),"")</f>
        <v>-134.01499999999999</v>
      </c>
      <c r="N252">
        <f ca="1">IFERROR(IF(0=LEN(ReferenceData!$N$252),"",ReferenceData!$N$252),"")</f>
        <v>-44.948999999999998</v>
      </c>
      <c r="O252">
        <f ca="1">IFERROR(IF(0=LEN(ReferenceData!$O$252),"",ReferenceData!$O$252),"")</f>
        <v>-62.921999999999997</v>
      </c>
      <c r="P252">
        <f ca="1">IFERROR(IF(0=LEN(ReferenceData!$P$252),"",ReferenceData!$P$252),"")</f>
        <v>-126.036</v>
      </c>
      <c r="Q252">
        <f ca="1">IFERROR(IF(0=LEN(ReferenceData!$Q$252),"",ReferenceData!$Q$252),"")</f>
        <v>-76.022000000000006</v>
      </c>
      <c r="R252">
        <f ca="1">IFERROR(IF(0=LEN(ReferenceData!$R$252),"",ReferenceData!$R$252),"")</f>
        <v>-109.611</v>
      </c>
      <c r="S252">
        <f ca="1">IFERROR(IF(0=LEN(ReferenceData!$S$252),"",ReferenceData!$S$252),"")</f>
        <v>-262.971</v>
      </c>
      <c r="T252">
        <f ca="1">IFERROR(IF(0=LEN(ReferenceData!$T$252),"",ReferenceData!$T$252),"")</f>
        <v>-68.527000000000001</v>
      </c>
      <c r="U252">
        <f ca="1">IFERROR(IF(0=LEN(ReferenceData!$U$252),"",ReferenceData!$U$252),"")</f>
        <v>-158.155</v>
      </c>
      <c r="V252">
        <f ca="1">IFERROR(IF(0=LEN(ReferenceData!$V$252),"",ReferenceData!$V$252),"")</f>
        <v>-166.68600000000001</v>
      </c>
      <c r="W252">
        <f ca="1">IFERROR(IF(0=LEN(ReferenceData!$W$252),"",ReferenceData!$W$252),"")</f>
        <v>-179.065</v>
      </c>
      <c r="X252">
        <f ca="1">IFERROR(IF(0=LEN(ReferenceData!$X$252),"",ReferenceData!$X$252),"")</f>
        <v>-179.04599999999999</v>
      </c>
      <c r="Y252">
        <f ca="1">IFERROR(IF(0=LEN(ReferenceData!$Y$252),"",ReferenceData!$Y$252),"")</f>
        <v>-28.645</v>
      </c>
      <c r="Z252">
        <f ca="1">IFERROR(IF(0=LEN(ReferenceData!$Z$252),"",ReferenceData!$Z$252),"")</f>
        <v>-128.13300000000001</v>
      </c>
      <c r="AA252">
        <f ca="1">IFERROR(IF(0=LEN(ReferenceData!$AA$252),"",ReferenceData!$AA$252),"")</f>
        <v>-253.41399999999999</v>
      </c>
      <c r="AB252">
        <f ca="1">IFERROR(IF(0=LEN(ReferenceData!$AB$252),"",ReferenceData!$AB$252),"")</f>
        <v>-185.25</v>
      </c>
      <c r="AC252">
        <f ca="1">IFERROR(IF(0=LEN(ReferenceData!$AC$252),"",ReferenceData!$AC$252),"")</f>
        <v>-194.66</v>
      </c>
      <c r="AD252">
        <f ca="1">IFERROR(IF(0=LEN(ReferenceData!$AD$252),"",ReferenceData!$AD$252),"")</f>
        <v>-144.422</v>
      </c>
      <c r="AE252">
        <f ca="1">IFERROR(IF(0=LEN(ReferenceData!$AE$252),"",ReferenceData!$AE$252),"")</f>
        <v>-128.84100000000001</v>
      </c>
      <c r="AF252">
        <f ca="1">IFERROR(IF(0=LEN(ReferenceData!$AF$252),"",ReferenceData!$AF$252),"")</f>
        <v>-64.793999999999997</v>
      </c>
      <c r="AG252">
        <f ca="1">IFERROR(IF(0=LEN(ReferenceData!$AG$252),"",ReferenceData!$AG$252),"")</f>
        <v>-350.76400000000001</v>
      </c>
      <c r="AH252">
        <f ca="1">IFERROR(IF(0=LEN(ReferenceData!$AH$252),"",ReferenceData!$AH$252),"")</f>
        <v>-11.901999999999999</v>
      </c>
      <c r="AI252">
        <f ca="1">IFERROR(IF(0=LEN(ReferenceData!$AI$252),"",ReferenceData!$AI$252),"")</f>
        <v>-226.59299999999999</v>
      </c>
      <c r="AJ252">
        <f ca="1">IFERROR(IF(0=LEN(ReferenceData!$AJ$252),"",ReferenceData!$AJ$252),"")</f>
        <v>-26.239000000000001</v>
      </c>
      <c r="AK252">
        <f ca="1">IFERROR(IF(0=LEN(ReferenceData!$AK$252),"",ReferenceData!$AK$252),"")</f>
        <v>-354.93099999999998</v>
      </c>
      <c r="AL252">
        <f ca="1">IFERROR(IF(0=LEN(ReferenceData!$AL$252),"",ReferenceData!$AL$252),"")</f>
        <v>-2.9609999999999999</v>
      </c>
      <c r="AM252">
        <f ca="1">IFERROR(IF(0=LEN(ReferenceData!$AM$252),"",ReferenceData!$AM$252),"")</f>
        <v>42.081000000000003</v>
      </c>
      <c r="AN252">
        <f ca="1">IFERROR(IF(0=LEN(ReferenceData!$AN$252),"",ReferenceData!$AN$252),"")</f>
        <v>25.605</v>
      </c>
      <c r="AO252">
        <f ca="1">IFERROR(IF(0=LEN(ReferenceData!$AO$252),"",ReferenceData!$AO$252),"")</f>
        <v>18.129000000000001</v>
      </c>
      <c r="AP252">
        <f ca="1">IFERROR(IF(0=LEN(ReferenceData!$AP$252),"",ReferenceData!$AP$252),"")</f>
        <v>14.09</v>
      </c>
      <c r="AQ252">
        <f ca="1">IFERROR(IF(0=LEN(ReferenceData!$AQ$252),"",ReferenceData!$AQ$252),"")</f>
        <v>9.8330000000000002</v>
      </c>
      <c r="AR252">
        <f ca="1">IFERROR(IF(0=LEN(ReferenceData!$AR$252),"",ReferenceData!$AR$252),"")</f>
        <v>26.683</v>
      </c>
      <c r="AS252">
        <f ca="1">IFERROR(IF(0=LEN(ReferenceData!$AS$252),"",ReferenceData!$AS$252),"")</f>
        <v>8.7859999999999996</v>
      </c>
      <c r="AT252">
        <f ca="1">IFERROR(IF(0=LEN(ReferenceData!$AT$252),"",ReferenceData!$AT$252),"")</f>
        <v>4.4249999999999998</v>
      </c>
      <c r="AU252">
        <f ca="1">IFERROR(IF(0=LEN(ReferenceData!$AU$252),"",ReferenceData!$AU$252),"")</f>
        <v>-100.89</v>
      </c>
      <c r="AV252">
        <f ca="1">IFERROR(IF(0=LEN(ReferenceData!$AV$252),"",ReferenceData!$AV$252),"")</f>
        <v>-15.199</v>
      </c>
      <c r="AW252">
        <f ca="1">IFERROR(IF(0=LEN(ReferenceData!$AW$252),"",ReferenceData!$AW$252),"")</f>
        <v>-28.655999999999999</v>
      </c>
      <c r="AX252">
        <f ca="1">IFERROR(IF(0=LEN(ReferenceData!$AX$252),"",ReferenceData!$AX$252),"")</f>
        <v>-94.665000000000006</v>
      </c>
      <c r="AY252">
        <f ca="1">IFERROR(IF(0=LEN(ReferenceData!$AY$252),"",ReferenceData!$AY$252),"")</f>
        <v>-17.242000000000001</v>
      </c>
      <c r="AZ252">
        <f ca="1">IFERROR(IF(0=LEN(ReferenceData!$AZ$252),"",ReferenceData!$AZ$252),"")</f>
        <v>-3.5859999999999999</v>
      </c>
      <c r="BA252">
        <f ca="1">IFERROR(IF(0=LEN(ReferenceData!$BA$252),"",ReferenceData!$BA$252),"")</f>
        <v>3.23</v>
      </c>
      <c r="BB252">
        <f ca="1">IFERROR(IF(0=LEN(ReferenceData!$BB$252),"",ReferenceData!$BB$252),"")</f>
        <v>-72.248000000000005</v>
      </c>
      <c r="BC252">
        <f ca="1">IFERROR(IF(0=LEN(ReferenceData!$BC$252),"",ReferenceData!$BC$252),"")</f>
        <v>-5.952</v>
      </c>
      <c r="BD252">
        <f ca="1">IFERROR(IF(0=LEN(ReferenceData!$BD$252),"",ReferenceData!$BD$252),"")</f>
        <v>-1.0669999999999999</v>
      </c>
      <c r="BE252">
        <f ca="1">IFERROR(IF(0=LEN(ReferenceData!$BE$252),"",ReferenceData!$BE$252),"")</f>
        <v>-16.715</v>
      </c>
      <c r="BF252">
        <f ca="1">IFERROR(IF(0=LEN(ReferenceData!$BF$252),"",ReferenceData!$BF$252),"")</f>
        <v>6.94</v>
      </c>
      <c r="BG252">
        <f ca="1">IFERROR(IF(0=LEN(ReferenceData!$BG$252),"",ReferenceData!$BG$252),"")</f>
        <v>-89.224000000000004</v>
      </c>
      <c r="BH252">
        <f ca="1">IFERROR(IF(0=LEN(ReferenceData!$BH$252),"",ReferenceData!$BH$252),"")</f>
        <v>26.193000000000001</v>
      </c>
      <c r="BI252">
        <f ca="1">IFERROR(IF(0=LEN(ReferenceData!$BI$252),"",ReferenceData!$BI$252),"")</f>
        <v>-0.31</v>
      </c>
      <c r="BJ252">
        <f ca="1">IFERROR(IF(0=LEN(ReferenceData!$BJ$252),"",ReferenceData!$BJ$252),"")</f>
        <v>9.3580000000000005</v>
      </c>
      <c r="BK252">
        <f ca="1">IFERROR(IF(0=LEN(ReferenceData!$BK$252),"",ReferenceData!$BK$252),"")</f>
        <v>-6.4370002749999999</v>
      </c>
      <c r="BL252">
        <f ca="1">IFERROR(IF(0=LEN(ReferenceData!$BL$252),"",ReferenceData!$BL$252),"")</f>
        <v>24.861000000000001</v>
      </c>
      <c r="BM252">
        <f ca="1">IFERROR(IF(0=LEN(ReferenceData!$BM$252),"",ReferenceData!$BM$252),"")</f>
        <v>-2.9569999999999999</v>
      </c>
    </row>
    <row r="253" spans="1:65">
      <c r="A253" t="str">
        <f>IFERROR(IF(0=LEN(ReferenceData!$A$253),"",ReferenceData!$A$253),"")</f>
        <v xml:space="preserve">    Mack-Cali Realty Corp</v>
      </c>
      <c r="B253" t="str">
        <f>IFERROR(IF(0=LEN(ReferenceData!$B$253),"",ReferenceData!$B$253),"")</f>
        <v>CLI US Equity</v>
      </c>
      <c r="C253" t="str">
        <f>IFERROR(IF(0=LEN(ReferenceData!$C$253),"",ReferenceData!$C$253),"")</f>
        <v>RR008</v>
      </c>
      <c r="D253" t="str">
        <f>IFERROR(IF(0=LEN(ReferenceData!$D$253),"",ReferenceData!$D$253),"")</f>
        <v>CF_FREE_CASH_FLOW</v>
      </c>
      <c r="E253" t="str">
        <f>IFERROR(IF(0=LEN(ReferenceData!$E$253),"",ReferenceData!$E$253),"")</f>
        <v>动态</v>
      </c>
      <c r="F253" t="str">
        <f ca="1">IFERROR(IF(0=LEN(ReferenceData!$F$253),"",ReferenceData!$F$253),"")</f>
        <v/>
      </c>
      <c r="G253">
        <f ca="1">IFERROR(IF(0=LEN(ReferenceData!$G$253),"",ReferenceData!$G$253),"")</f>
        <v>-55.075000000000003</v>
      </c>
      <c r="H253">
        <f ca="1">IFERROR(IF(0=LEN(ReferenceData!$H$253),"",ReferenceData!$H$253),"")</f>
        <v>-30.672000000000001</v>
      </c>
      <c r="I253">
        <f ca="1">IFERROR(IF(0=LEN(ReferenceData!$I$253),"",ReferenceData!$I$253),"")</f>
        <v>-49.356999999999999</v>
      </c>
      <c r="J253">
        <f ca="1">IFERROR(IF(0=LEN(ReferenceData!$J$253),"",ReferenceData!$J$253),"")</f>
        <v>-26.669</v>
      </c>
      <c r="K253">
        <f ca="1">IFERROR(IF(0=LEN(ReferenceData!$K$253),"",ReferenceData!$K$253),"")</f>
        <v>-88.611000000000004</v>
      </c>
      <c r="L253">
        <f ca="1">IFERROR(IF(0=LEN(ReferenceData!$L$253),"",ReferenceData!$L$253),"")</f>
        <v>-75.63</v>
      </c>
      <c r="M253">
        <f ca="1">IFERROR(IF(0=LEN(ReferenceData!$M$253),"",ReferenceData!$M$253),"")</f>
        <v>-38.936</v>
      </c>
      <c r="N253">
        <f ca="1">IFERROR(IF(0=LEN(ReferenceData!$N$253),"",ReferenceData!$N$253),"")</f>
        <v>-25.253</v>
      </c>
      <c r="O253">
        <f ca="1">IFERROR(IF(0=LEN(ReferenceData!$O$253),"",ReferenceData!$O$253),"")</f>
        <v>-20.72</v>
      </c>
      <c r="P253">
        <f ca="1">IFERROR(IF(0=LEN(ReferenceData!$P$253),"",ReferenceData!$P$253),"")</f>
        <v>-21.774999999999999</v>
      </c>
      <c r="Q253">
        <f ca="1">IFERROR(IF(0=LEN(ReferenceData!$Q$253),"",ReferenceData!$Q$253),"")</f>
        <v>17.274999999999999</v>
      </c>
      <c r="R253">
        <f ca="1">IFERROR(IF(0=LEN(ReferenceData!$R$253),"",ReferenceData!$R$253),"")</f>
        <v>19.529</v>
      </c>
      <c r="S253">
        <f ca="1">IFERROR(IF(0=LEN(ReferenceData!$S$253),"",ReferenceData!$S$253),"")</f>
        <v>8.7910000000000004</v>
      </c>
      <c r="T253">
        <f ca="1">IFERROR(IF(0=LEN(ReferenceData!$T$253),"",ReferenceData!$T$253),"")</f>
        <v>-10.904</v>
      </c>
      <c r="U253">
        <f ca="1">IFERROR(IF(0=LEN(ReferenceData!$U$253),"",ReferenceData!$U$253),"")</f>
        <v>-15.34</v>
      </c>
      <c r="V253">
        <f ca="1">IFERROR(IF(0=LEN(ReferenceData!$V$253),"",ReferenceData!$V$253),"")</f>
        <v>12.87</v>
      </c>
      <c r="W253">
        <f ca="1">IFERROR(IF(0=LEN(ReferenceData!$W$253),"",ReferenceData!$W$253),"")</f>
        <v>59.475999999999999</v>
      </c>
      <c r="X253">
        <f ca="1">IFERROR(IF(0=LEN(ReferenceData!$X$253),"",ReferenceData!$X$253),"")</f>
        <v>10.510999999999999</v>
      </c>
      <c r="Y253">
        <f ca="1">IFERROR(IF(0=LEN(ReferenceData!$Y$253),"",ReferenceData!$Y$253),"")</f>
        <v>-59.442</v>
      </c>
      <c r="Z253">
        <f ca="1">IFERROR(IF(0=LEN(ReferenceData!$Z$253),"",ReferenceData!$Z$253),"")</f>
        <v>-37.466999999999999</v>
      </c>
      <c r="AA253">
        <f ca="1">IFERROR(IF(0=LEN(ReferenceData!$AA$253),"",ReferenceData!$AA$253),"")</f>
        <v>39.491999999999997</v>
      </c>
      <c r="AB253">
        <f ca="1">IFERROR(IF(0=LEN(ReferenceData!$AB$253),"",ReferenceData!$AB$253),"")</f>
        <v>-5.5469999999999997</v>
      </c>
      <c r="AC253">
        <f ca="1">IFERROR(IF(0=LEN(ReferenceData!$AC$253),"",ReferenceData!$AC$253),"")</f>
        <v>67.435000000000002</v>
      </c>
      <c r="AD253">
        <f ca="1">IFERROR(IF(0=LEN(ReferenceData!$AD$253),"",ReferenceData!$AD$253),"")</f>
        <v>35.780999999999999</v>
      </c>
      <c r="AE253">
        <f ca="1">IFERROR(IF(0=LEN(ReferenceData!$AE$253),"",ReferenceData!$AE$253),"")</f>
        <v>54.957000000000001</v>
      </c>
      <c r="AF253">
        <f ca="1">IFERROR(IF(0=LEN(ReferenceData!$AF$253),"",ReferenceData!$AF$253),"")</f>
        <v>24.867000000000001</v>
      </c>
      <c r="AG253">
        <f ca="1">IFERROR(IF(0=LEN(ReferenceData!$AG$253),"",ReferenceData!$AG$253),"")</f>
        <v>61.029000000000003</v>
      </c>
      <c r="AH253">
        <f ca="1">IFERROR(IF(0=LEN(ReferenceData!$AH$253),"",ReferenceData!$AH$253),"")</f>
        <v>19.483000000000001</v>
      </c>
      <c r="AI253">
        <f ca="1">IFERROR(IF(0=LEN(ReferenceData!$AI$253),"",ReferenceData!$AI$253),"")</f>
        <v>33.758000000000003</v>
      </c>
      <c r="AJ253">
        <f ca="1">IFERROR(IF(0=LEN(ReferenceData!$AJ$253),"",ReferenceData!$AJ$253),"")</f>
        <v>6.484</v>
      </c>
      <c r="AK253">
        <f ca="1">IFERROR(IF(0=LEN(ReferenceData!$AK$253),"",ReferenceData!$AK$253),"")</f>
        <v>61.116999999999997</v>
      </c>
      <c r="AL253">
        <f ca="1">IFERROR(IF(0=LEN(ReferenceData!$AL$253),"",ReferenceData!$AL$253),"")</f>
        <v>29.178000000000001</v>
      </c>
      <c r="AM253">
        <f ca="1">IFERROR(IF(0=LEN(ReferenceData!$AM$253),"",ReferenceData!$AM$253),"")</f>
        <v>59.353999999999999</v>
      </c>
      <c r="AN253">
        <f ca="1">IFERROR(IF(0=LEN(ReferenceData!$AN$253),"",ReferenceData!$AN$253),"")</f>
        <v>39.232999999999997</v>
      </c>
      <c r="AO253">
        <f ca="1">IFERROR(IF(0=LEN(ReferenceData!$AO$253),"",ReferenceData!$AO$253),"")</f>
        <v>82.093999999999994</v>
      </c>
      <c r="AP253">
        <f ca="1">IFERROR(IF(0=LEN(ReferenceData!$AP$253),"",ReferenceData!$AP$253),"")</f>
        <v>36.238</v>
      </c>
      <c r="AQ253">
        <f ca="1">IFERROR(IF(0=LEN(ReferenceData!$AQ$253),"",ReferenceData!$AQ$253),"")</f>
        <v>63.984000000000002</v>
      </c>
      <c r="AR253">
        <f ca="1">IFERROR(IF(0=LEN(ReferenceData!$AR$253),"",ReferenceData!$AR$253),"")</f>
        <v>30.024000000000001</v>
      </c>
      <c r="AS253">
        <f ca="1">IFERROR(IF(0=LEN(ReferenceData!$AS$253),"",ReferenceData!$AS$253),"")</f>
        <v>56.904000000000003</v>
      </c>
      <c r="AT253">
        <f ca="1">IFERROR(IF(0=LEN(ReferenceData!$AT$253),"",ReferenceData!$AT$253),"")</f>
        <v>33.343000000000004</v>
      </c>
      <c r="AU253">
        <f ca="1">IFERROR(IF(0=LEN(ReferenceData!$AU$253),"",ReferenceData!$AU$253),"")</f>
        <v>62.186999999999998</v>
      </c>
      <c r="AV253">
        <f ca="1">IFERROR(IF(0=LEN(ReferenceData!$AV$253),"",ReferenceData!$AV$253),"")</f>
        <v>19.623999999999999</v>
      </c>
      <c r="AW253">
        <f ca="1">IFERROR(IF(0=LEN(ReferenceData!$AW$253),"",ReferenceData!$AW$253),"")</f>
        <v>-224.72800000000001</v>
      </c>
      <c r="AX253">
        <f ca="1">IFERROR(IF(0=LEN(ReferenceData!$AX$253),"",ReferenceData!$AX$253),"")</f>
        <v>20.048999999999999</v>
      </c>
      <c r="AY253">
        <f ca="1">IFERROR(IF(0=LEN(ReferenceData!$AY$253),"",ReferenceData!$AY$253),"")</f>
        <v>53.274999999999999</v>
      </c>
      <c r="AZ253">
        <f ca="1">IFERROR(IF(0=LEN(ReferenceData!$AZ$253),"",ReferenceData!$AZ$253),"")</f>
        <v>-4.91</v>
      </c>
      <c r="BA253">
        <f ca="1">IFERROR(IF(0=LEN(ReferenceData!$BA$253),"",ReferenceData!$BA$253),"")</f>
        <v>-47.183</v>
      </c>
      <c r="BB253">
        <f ca="1">IFERROR(IF(0=LEN(ReferenceData!$BB$253),"",ReferenceData!$BB$253),"")</f>
        <v>16.940999999999999</v>
      </c>
      <c r="BC253">
        <f ca="1">IFERROR(IF(0=LEN(ReferenceData!$BC$253),"",ReferenceData!$BC$253),"")</f>
        <v>30.780999999999999</v>
      </c>
      <c r="BD253">
        <f ca="1">IFERROR(IF(0=LEN(ReferenceData!$BD$253),"",ReferenceData!$BD$253),"")</f>
        <v>14.015000000000001</v>
      </c>
      <c r="BE253">
        <f ca="1">IFERROR(IF(0=LEN(ReferenceData!$BE$253),"",ReferenceData!$BE$253),"")</f>
        <v>53.738999999999997</v>
      </c>
      <c r="BF253">
        <f ca="1">IFERROR(IF(0=LEN(ReferenceData!$BF$253),"",ReferenceData!$BF$253),"")</f>
        <v>-306.94099999999997</v>
      </c>
      <c r="BG253">
        <f ca="1">IFERROR(IF(0=LEN(ReferenceData!$BG$253),"",ReferenceData!$BG$253),"")</f>
        <v>-9.7620000000000005</v>
      </c>
      <c r="BH253">
        <f ca="1">IFERROR(IF(0=LEN(ReferenceData!$BH$253),"",ReferenceData!$BH$253),"")</f>
        <v>36.454000000000001</v>
      </c>
      <c r="BI253">
        <f ca="1">IFERROR(IF(0=LEN(ReferenceData!$BI$253),"",ReferenceData!$BI$253),"")</f>
        <v>-22.769997</v>
      </c>
      <c r="BJ253">
        <f ca="1">IFERROR(IF(0=LEN(ReferenceData!$BJ$253),"",ReferenceData!$BJ$253),"")</f>
        <v>34.484999000000002</v>
      </c>
      <c r="BK253">
        <f ca="1">IFERROR(IF(0=LEN(ReferenceData!$BK$253),"",ReferenceData!$BK$253),"")</f>
        <v>34.790000919999997</v>
      </c>
      <c r="BL253">
        <f ca="1">IFERROR(IF(0=LEN(ReferenceData!$BL$253),"",ReferenceData!$BL$253),"")</f>
        <v>4.2350000000000003</v>
      </c>
      <c r="BM253">
        <f ca="1">IFERROR(IF(0=LEN(ReferenceData!$BM$253),"",ReferenceData!$BM$253),"")</f>
        <v>47.094996999999999</v>
      </c>
    </row>
    <row r="254" spans="1:65">
      <c r="A254" t="str">
        <f>IFERROR(IF(0=LEN(ReferenceData!$A$254),"",ReferenceData!$A$254),"")</f>
        <v xml:space="preserve">    Piedmont Office Realty Trust I</v>
      </c>
      <c r="B254" t="str">
        <f>IFERROR(IF(0=LEN(ReferenceData!$B$254),"",ReferenceData!$B$254),"")</f>
        <v>PDM US Equity</v>
      </c>
      <c r="C254" t="str">
        <f>IFERROR(IF(0=LEN(ReferenceData!$C$254),"",ReferenceData!$C$254),"")</f>
        <v>RR008</v>
      </c>
      <c r="D254" t="str">
        <f>IFERROR(IF(0=LEN(ReferenceData!$D$254),"",ReferenceData!$D$254),"")</f>
        <v>CF_FREE_CASH_FLOW</v>
      </c>
      <c r="E254" t="str">
        <f>IFERROR(IF(0=LEN(ReferenceData!$E$254),"",ReferenceData!$E$254),"")</f>
        <v>动态</v>
      </c>
      <c r="F254" t="str">
        <f ca="1">IFERROR(IF(0=LEN(ReferenceData!$F$254),"",ReferenceData!$F$254),"")</f>
        <v/>
      </c>
      <c r="G254" t="str">
        <f ca="1">IFERROR(IF(0=LEN(ReferenceData!$G$254),"",ReferenceData!$G$254),"")</f>
        <v/>
      </c>
      <c r="H254">
        <f ca="1">IFERROR(IF(0=LEN(ReferenceData!$H$254),"",ReferenceData!$H$254),"")</f>
        <v>57.582999999999998</v>
      </c>
      <c r="I254">
        <f ca="1">IFERROR(IF(0=LEN(ReferenceData!$I$254),"",ReferenceData!$I$254),"")</f>
        <v>31.292000000000002</v>
      </c>
      <c r="J254">
        <f ca="1">IFERROR(IF(0=LEN(ReferenceData!$J$254),"",ReferenceData!$J$254),"")</f>
        <v>21.986000000000001</v>
      </c>
      <c r="K254">
        <f ca="1">IFERROR(IF(0=LEN(ReferenceData!$K$254),"",ReferenceData!$K$254),"")</f>
        <v>-240.83199999999999</v>
      </c>
      <c r="L254">
        <f ca="1">IFERROR(IF(0=LEN(ReferenceData!$L$254),"",ReferenceData!$L$254),"")</f>
        <v>-21.577000000000002</v>
      </c>
      <c r="M254">
        <f ca="1">IFERROR(IF(0=LEN(ReferenceData!$M$254),"",ReferenceData!$M$254),"")</f>
        <v>15.151</v>
      </c>
      <c r="N254">
        <f ca="1">IFERROR(IF(0=LEN(ReferenceData!$N$254),"",ReferenceData!$N$254),"")</f>
        <v>23.170999999999999</v>
      </c>
      <c r="O254">
        <f ca="1">IFERROR(IF(0=LEN(ReferenceData!$O$254),"",ReferenceData!$O$254),"")</f>
        <v>-258.76799999999997</v>
      </c>
      <c r="P254">
        <f ca="1">IFERROR(IF(0=LEN(ReferenceData!$P$254),"",ReferenceData!$P$254),"")</f>
        <v>-12.347</v>
      </c>
      <c r="Q254">
        <f ca="1">IFERROR(IF(0=LEN(ReferenceData!$Q$254),"",ReferenceData!$Q$254),"")</f>
        <v>26.266999999999999</v>
      </c>
      <c r="R254">
        <f ca="1">IFERROR(IF(0=LEN(ReferenceData!$R$254),"",ReferenceData!$R$254),"")</f>
        <v>-37.552</v>
      </c>
      <c r="S254">
        <f ca="1">IFERROR(IF(0=LEN(ReferenceData!$S$254),"",ReferenceData!$S$254),"")</f>
        <v>-110.532</v>
      </c>
      <c r="T254">
        <f ca="1">IFERROR(IF(0=LEN(ReferenceData!$T$254),"",ReferenceData!$T$254),"")</f>
        <v>-154.93299999999999</v>
      </c>
      <c r="U254">
        <f ca="1">IFERROR(IF(0=LEN(ReferenceData!$U$254),"",ReferenceData!$U$254),"")</f>
        <v>-31.687000000000001</v>
      </c>
      <c r="V254">
        <f ca="1">IFERROR(IF(0=LEN(ReferenceData!$V$254),"",ReferenceData!$V$254),"")</f>
        <v>42.466000000000001</v>
      </c>
      <c r="W254">
        <f ca="1">IFERROR(IF(0=LEN(ReferenceData!$W$254),"",ReferenceData!$W$254),"")</f>
        <v>-82.028999999999996</v>
      </c>
      <c r="X254">
        <f ca="1">IFERROR(IF(0=LEN(ReferenceData!$X$254),"",ReferenceData!$X$254),"")</f>
        <v>-38.003999999999998</v>
      </c>
      <c r="Y254">
        <f ca="1">IFERROR(IF(0=LEN(ReferenceData!$Y$254),"",ReferenceData!$Y$254),"")</f>
        <v>-5.4589999999999996</v>
      </c>
      <c r="Z254">
        <f ca="1">IFERROR(IF(0=LEN(ReferenceData!$Z$254),"",ReferenceData!$Z$254),"")</f>
        <v>-239.58799999999999</v>
      </c>
      <c r="AA254">
        <f ca="1">IFERROR(IF(0=LEN(ReferenceData!$AA$254),"",ReferenceData!$AA$254),"")</f>
        <v>44.271000000000001</v>
      </c>
      <c r="AB254">
        <f ca="1">IFERROR(IF(0=LEN(ReferenceData!$AB$254),"",ReferenceData!$AB$254),"")</f>
        <v>34.825000000000003</v>
      </c>
      <c r="AC254">
        <f ca="1">IFERROR(IF(0=LEN(ReferenceData!$AC$254),"",ReferenceData!$AC$254),"")</f>
        <v>8.5079999999999991</v>
      </c>
      <c r="AD254">
        <f ca="1">IFERROR(IF(0=LEN(ReferenceData!$AD$254),"",ReferenceData!$AD$254),"")</f>
        <v>24.834</v>
      </c>
      <c r="AE254">
        <f ca="1">IFERROR(IF(0=LEN(ReferenceData!$AE$254),"",ReferenceData!$AE$254),"")</f>
        <v>53.866999999999997</v>
      </c>
      <c r="AF254">
        <f ca="1">IFERROR(IF(0=LEN(ReferenceData!$AF$254),"",ReferenceData!$AF$254),"")</f>
        <v>-38.003999999999998</v>
      </c>
      <c r="AG254">
        <f ca="1">IFERROR(IF(0=LEN(ReferenceData!$AG$254),"",ReferenceData!$AG$254),"")</f>
        <v>6.4610000000000003</v>
      </c>
      <c r="AH254">
        <f ca="1">IFERROR(IF(0=LEN(ReferenceData!$AH$254),"",ReferenceData!$AH$254),"")</f>
        <v>32.409999999999997</v>
      </c>
      <c r="AI254">
        <f ca="1">IFERROR(IF(0=LEN(ReferenceData!$AI$254),"",ReferenceData!$AI$254),"")</f>
        <v>-0.86899999999999999</v>
      </c>
      <c r="AJ254">
        <f ca="1">IFERROR(IF(0=LEN(ReferenceData!$AJ$254),"",ReferenceData!$AJ$254),"")</f>
        <v>45.48</v>
      </c>
      <c r="AK254">
        <f ca="1">IFERROR(IF(0=LEN(ReferenceData!$AK$254),"",ReferenceData!$AK$254),"")</f>
        <v>62.463000000000001</v>
      </c>
      <c r="AL254">
        <f ca="1">IFERROR(IF(0=LEN(ReferenceData!$AL$254),"",ReferenceData!$AL$254),"")</f>
        <v>54.529000000000003</v>
      </c>
      <c r="AM254">
        <f ca="1">IFERROR(IF(0=LEN(ReferenceData!$AM$254),"",ReferenceData!$AM$254),"")</f>
        <v>54.768999999999998</v>
      </c>
      <c r="AN254">
        <f ca="1">IFERROR(IF(0=LEN(ReferenceData!$AN$254),"",ReferenceData!$AN$254),"")</f>
        <v>65.974999999999994</v>
      </c>
      <c r="AO254">
        <f ca="1">IFERROR(IF(0=LEN(ReferenceData!$AO$254),"",ReferenceData!$AO$254),"")</f>
        <v>59.043999999999997</v>
      </c>
      <c r="AP254">
        <f ca="1">IFERROR(IF(0=LEN(ReferenceData!$AP$254),"",ReferenceData!$AP$254),"")</f>
        <v>64.301000000000002</v>
      </c>
      <c r="AQ254">
        <f ca="1">IFERROR(IF(0=LEN(ReferenceData!$AQ$254),"",ReferenceData!$AQ$254),"")</f>
        <v>49.555</v>
      </c>
      <c r="AR254">
        <f ca="1">IFERROR(IF(0=LEN(ReferenceData!$AR$254),"",ReferenceData!$AR$254),"")</f>
        <v>75.912000000000006</v>
      </c>
      <c r="AS254">
        <f ca="1">IFERROR(IF(0=LEN(ReferenceData!$AS$254),"",ReferenceData!$AS$254),"")</f>
        <v>-18.885999999999999</v>
      </c>
      <c r="AT254">
        <f ca="1">IFERROR(IF(0=LEN(ReferenceData!$AT$254),"",ReferenceData!$AT$254),"")</f>
        <v>69.239999999999995</v>
      </c>
      <c r="AU254">
        <f ca="1">IFERROR(IF(0=LEN(ReferenceData!$AU$254),"",ReferenceData!$AU$254),"")</f>
        <v>-1.4510000000000001</v>
      </c>
      <c r="AV254">
        <f ca="1">IFERROR(IF(0=LEN(ReferenceData!$AV$254),"",ReferenceData!$AV$254),"")</f>
        <v>64.126000000000005</v>
      </c>
      <c r="AW254">
        <f ca="1">IFERROR(IF(0=LEN(ReferenceData!$AW$254),"",ReferenceData!$AW$254),"")</f>
        <v>35.14</v>
      </c>
      <c r="AX254">
        <f ca="1">IFERROR(IF(0=LEN(ReferenceData!$AX$254),"",ReferenceData!$AX$254),"")</f>
        <v>62.686999999999998</v>
      </c>
      <c r="AY254">
        <f ca="1">IFERROR(IF(0=LEN(ReferenceData!$AY$254),"",ReferenceData!$AY$254),"")</f>
        <v>-20.030999999999999</v>
      </c>
      <c r="AZ254">
        <f ca="1">IFERROR(IF(0=LEN(ReferenceData!$AZ$254),"",ReferenceData!$AZ$254),"")</f>
        <v>0.27</v>
      </c>
      <c r="BA254">
        <f ca="1">IFERROR(IF(0=LEN(ReferenceData!$BA$254),"",ReferenceData!$BA$254),"")</f>
        <v>59.036999999999999</v>
      </c>
      <c r="BB254">
        <f ca="1">IFERROR(IF(0=LEN(ReferenceData!$BB$254),"",ReferenceData!$BB$254),"")</f>
        <v>-28.138000000000002</v>
      </c>
      <c r="BC254">
        <f ca="1">IFERROR(IF(0=LEN(ReferenceData!$BC$254),"",ReferenceData!$BC$254),"")</f>
        <v>47.277999999999999</v>
      </c>
      <c r="BD254">
        <f ca="1">IFERROR(IF(0=LEN(ReferenceData!$BD$254),"",ReferenceData!$BD$254),"")</f>
        <v>61.89</v>
      </c>
      <c r="BE254">
        <f ca="1">IFERROR(IF(0=LEN(ReferenceData!$BE$254),"",ReferenceData!$BE$254),"")</f>
        <v>52.225000000000001</v>
      </c>
      <c r="BF254">
        <f ca="1">IFERROR(IF(0=LEN(ReferenceData!$BF$254),"",ReferenceData!$BF$254),"")</f>
        <v>55.594000000000001</v>
      </c>
      <c r="BG254">
        <f ca="1">IFERROR(IF(0=LEN(ReferenceData!$BG$254),"",ReferenceData!$BG$254),"")</f>
        <v>-3.6419999999999999</v>
      </c>
      <c r="BH254">
        <f ca="1">IFERROR(IF(0=LEN(ReferenceData!$BH$254),"",ReferenceData!$BH$254),"")</f>
        <v>85.81</v>
      </c>
      <c r="BI254">
        <f ca="1">IFERROR(IF(0=LEN(ReferenceData!$BI$254),"",ReferenceData!$BI$254),"")</f>
        <v>72.007001880000004</v>
      </c>
      <c r="BJ254">
        <f ca="1">IFERROR(IF(0=LEN(ReferenceData!$BJ$254),"",ReferenceData!$BJ$254),"")</f>
        <v>-55.576999149999999</v>
      </c>
      <c r="BK254">
        <f ca="1">IFERROR(IF(0=LEN(ReferenceData!$BK$254),"",ReferenceData!$BK$254),"")</f>
        <v>-561.08801270000004</v>
      </c>
      <c r="BL254">
        <f ca="1">IFERROR(IF(0=LEN(ReferenceData!$BL$254),"",ReferenceData!$BL$254),"")</f>
        <v>-200.4470139</v>
      </c>
      <c r="BM254">
        <f ca="1">IFERROR(IF(0=LEN(ReferenceData!$BM$254),"",ReferenceData!$BM$254),"")</f>
        <v>-590.85702509999999</v>
      </c>
    </row>
    <row r="255" spans="1:65">
      <c r="A255" t="str">
        <f>IFERROR(IF(0=LEN(ReferenceData!$A$255),"",ReferenceData!$A$255),"")</f>
        <v xml:space="preserve">    SL Green Realty Corp</v>
      </c>
      <c r="B255" t="str">
        <f>IFERROR(IF(0=LEN(ReferenceData!$B$255),"",ReferenceData!$B$255),"")</f>
        <v>SLG US Equity</v>
      </c>
      <c r="C255" t="str">
        <f>IFERROR(IF(0=LEN(ReferenceData!$C$255),"",ReferenceData!$C$255),"")</f>
        <v>RR008</v>
      </c>
      <c r="D255" t="str">
        <f>IFERROR(IF(0=LEN(ReferenceData!$D$255),"",ReferenceData!$D$255),"")</f>
        <v>CF_FREE_CASH_FLOW</v>
      </c>
      <c r="E255" t="str">
        <f>IFERROR(IF(0=LEN(ReferenceData!$E$255),"",ReferenceData!$E$255),"")</f>
        <v>动态</v>
      </c>
      <c r="F255" t="str">
        <f ca="1">IFERROR(IF(0=LEN(ReferenceData!$F$255),"",ReferenceData!$F$255),"")</f>
        <v/>
      </c>
      <c r="G255">
        <f ca="1">IFERROR(IF(0=LEN(ReferenceData!$G$255),"",ReferenceData!$G$255),"")</f>
        <v>59.091000000000001</v>
      </c>
      <c r="H255">
        <f ca="1">IFERROR(IF(0=LEN(ReferenceData!$H$255),"",ReferenceData!$H$255),"")</f>
        <v>-8.0920000000000005</v>
      </c>
      <c r="I255">
        <f ca="1">IFERROR(IF(0=LEN(ReferenceData!$I$255),"",ReferenceData!$I$255),"")</f>
        <v>133.37200000000001</v>
      </c>
      <c r="J255">
        <f ca="1">IFERROR(IF(0=LEN(ReferenceData!$J$255),"",ReferenceData!$J$255),"")</f>
        <v>15.069000000000001</v>
      </c>
      <c r="K255">
        <f ca="1">IFERROR(IF(0=LEN(ReferenceData!$K$255),"",ReferenceData!$K$255),"")</f>
        <v>-16.600999999999999</v>
      </c>
      <c r="L255">
        <f ca="1">IFERROR(IF(0=LEN(ReferenceData!$L$255),"",ReferenceData!$L$255),"")</f>
        <v>23.073</v>
      </c>
      <c r="M255">
        <f ca="1">IFERROR(IF(0=LEN(ReferenceData!$M$255),"",ReferenceData!$M$255),"")</f>
        <v>164.67</v>
      </c>
      <c r="N255">
        <f ca="1">IFERROR(IF(0=LEN(ReferenceData!$N$255),"",ReferenceData!$N$255),"")</f>
        <v>13.862</v>
      </c>
      <c r="O255">
        <f ca="1">IFERROR(IF(0=LEN(ReferenceData!$O$255),"",ReferenceData!$O$255),"")</f>
        <v>-61.820999999999998</v>
      </c>
      <c r="P255">
        <f ca="1">IFERROR(IF(0=LEN(ReferenceData!$P$255),"",ReferenceData!$P$255),"")</f>
        <v>-2539.8310000000001</v>
      </c>
      <c r="Q255">
        <f ca="1">IFERROR(IF(0=LEN(ReferenceData!$Q$255),"",ReferenceData!$Q$255),"")</f>
        <v>30.831</v>
      </c>
      <c r="R255">
        <f ca="1">IFERROR(IF(0=LEN(ReferenceData!$R$255),"",ReferenceData!$R$255),"")</f>
        <v>37.552</v>
      </c>
      <c r="S255">
        <f ca="1">IFERROR(IF(0=LEN(ReferenceData!$S$255),"",ReferenceData!$S$255),"")</f>
        <v>-301.858</v>
      </c>
      <c r="T255">
        <f ca="1">IFERROR(IF(0=LEN(ReferenceData!$T$255),"",ReferenceData!$T$255),"")</f>
        <v>-550.87699999999995</v>
      </c>
      <c r="U255">
        <f ca="1">IFERROR(IF(0=LEN(ReferenceData!$U$255),"",ReferenceData!$U$255),"")</f>
        <v>-106.236</v>
      </c>
      <c r="V255">
        <f ca="1">IFERROR(IF(0=LEN(ReferenceData!$V$255),"",ReferenceData!$V$255),"")</f>
        <v>39.935000000000002</v>
      </c>
      <c r="W255">
        <f ca="1">IFERROR(IF(0=LEN(ReferenceData!$W$255),"",ReferenceData!$W$255),"")</f>
        <v>-548.45899999999995</v>
      </c>
      <c r="X255">
        <f ca="1">IFERROR(IF(0=LEN(ReferenceData!$X$255),"",ReferenceData!$X$255),"")</f>
        <v>47.872999999999998</v>
      </c>
      <c r="Y255">
        <f ca="1">IFERROR(IF(0=LEN(ReferenceData!$Y$255),"",ReferenceData!$Y$255),"")</f>
        <v>66.183999999999997</v>
      </c>
      <c r="Z255">
        <f ca="1">IFERROR(IF(0=LEN(ReferenceData!$Z$255),"",ReferenceData!$Z$255),"")</f>
        <v>29.439</v>
      </c>
      <c r="AA255">
        <f ca="1">IFERROR(IF(0=LEN(ReferenceData!$AA$255),"",ReferenceData!$AA$255),"")</f>
        <v>-103.414</v>
      </c>
      <c r="AB255">
        <f ca="1">IFERROR(IF(0=LEN(ReferenceData!$AB$255),"",ReferenceData!$AB$255),"")</f>
        <v>-115.431</v>
      </c>
      <c r="AC255">
        <f ca="1">IFERROR(IF(0=LEN(ReferenceData!$AC$255),"",ReferenceData!$AC$255),"")</f>
        <v>-5.83</v>
      </c>
      <c r="AD255">
        <f ca="1">IFERROR(IF(0=LEN(ReferenceData!$AD$255),"",ReferenceData!$AD$255),"")</f>
        <v>-121.288</v>
      </c>
      <c r="AE255">
        <f ca="1">IFERROR(IF(0=LEN(ReferenceData!$AE$255),"",ReferenceData!$AE$255),"")</f>
        <v>-87.234999999999999</v>
      </c>
      <c r="AF255">
        <f ca="1">IFERROR(IF(0=LEN(ReferenceData!$AF$255),"",ReferenceData!$AF$255),"")</f>
        <v>6.8049999999999997</v>
      </c>
      <c r="AG255">
        <f ca="1">IFERROR(IF(0=LEN(ReferenceData!$AG$255),"",ReferenceData!$AG$255),"")</f>
        <v>-257.82900000000001</v>
      </c>
      <c r="AH255">
        <f ca="1">IFERROR(IF(0=LEN(ReferenceData!$AH$255),"",ReferenceData!$AH$255),"")</f>
        <v>45.262999999999998</v>
      </c>
      <c r="AI255">
        <f ca="1">IFERROR(IF(0=LEN(ReferenceData!$AI$255),"",ReferenceData!$AI$255),"")</f>
        <v>-72.611000000000004</v>
      </c>
      <c r="AJ255">
        <f ca="1">IFERROR(IF(0=LEN(ReferenceData!$AJ$255),"",ReferenceData!$AJ$255),"")</f>
        <v>-103.15</v>
      </c>
      <c r="AK255">
        <f ca="1">IFERROR(IF(0=LEN(ReferenceData!$AK$255),"",ReferenceData!$AK$255),"")</f>
        <v>65.234999999999999</v>
      </c>
      <c r="AL255">
        <f ca="1">IFERROR(IF(0=LEN(ReferenceData!$AL$255),"",ReferenceData!$AL$255),"")</f>
        <v>52.825000000000003</v>
      </c>
      <c r="AM255">
        <f ca="1">IFERROR(IF(0=LEN(ReferenceData!$AM$255),"",ReferenceData!$AM$255),"")</f>
        <v>24.524000000000001</v>
      </c>
      <c r="AN255">
        <f ca="1">IFERROR(IF(0=LEN(ReferenceData!$AN$255),"",ReferenceData!$AN$255),"")</f>
        <v>37.970999999999997</v>
      </c>
      <c r="AO255">
        <f ca="1">IFERROR(IF(0=LEN(ReferenceData!$AO$255),"",ReferenceData!$AO$255),"")</f>
        <v>67.807000000000002</v>
      </c>
      <c r="AP255">
        <f ca="1">IFERROR(IF(0=LEN(ReferenceData!$AP$255),"",ReferenceData!$AP$255),"")</f>
        <v>37.878999999999998</v>
      </c>
      <c r="AQ255">
        <f ca="1">IFERROR(IF(0=LEN(ReferenceData!$AQ$255),"",ReferenceData!$AQ$255),"")</f>
        <v>42.531999999999996</v>
      </c>
      <c r="AR255">
        <f ca="1">IFERROR(IF(0=LEN(ReferenceData!$AR$255),"",ReferenceData!$AR$255),"")</f>
        <v>48.747</v>
      </c>
      <c r="AS255">
        <f ca="1">IFERROR(IF(0=LEN(ReferenceData!$AS$255),"",ReferenceData!$AS$255),"")</f>
        <v>40.83</v>
      </c>
      <c r="AT255">
        <f ca="1">IFERROR(IF(0=LEN(ReferenceData!$AT$255),"",ReferenceData!$AT$255),"")</f>
        <v>-36.223999999999997</v>
      </c>
      <c r="AU255">
        <f ca="1">IFERROR(IF(0=LEN(ReferenceData!$AU$255),"",ReferenceData!$AU$255),"")</f>
        <v>-782.58</v>
      </c>
      <c r="AV255">
        <f ca="1">IFERROR(IF(0=LEN(ReferenceData!$AV$255),"",ReferenceData!$AV$255),"")</f>
        <v>68.915999999999997</v>
      </c>
      <c r="AW255">
        <f ca="1">IFERROR(IF(0=LEN(ReferenceData!$AW$255),"",ReferenceData!$AW$255),"")</f>
        <v>-245.529</v>
      </c>
      <c r="AX255">
        <f ca="1">IFERROR(IF(0=LEN(ReferenceData!$AX$255),"",ReferenceData!$AX$255),"")</f>
        <v>-3589.6959999999999</v>
      </c>
      <c r="AY255">
        <f ca="1">IFERROR(IF(0=LEN(ReferenceData!$AY$255),"",ReferenceData!$AY$255),"")</f>
        <v>-36.642000000000003</v>
      </c>
      <c r="AZ255">
        <f ca="1">IFERROR(IF(0=LEN(ReferenceData!$AZ$255),"",ReferenceData!$AZ$255),"")</f>
        <v>-185.477</v>
      </c>
      <c r="BA255">
        <f ca="1">IFERROR(IF(0=LEN(ReferenceData!$BA$255),"",ReferenceData!$BA$255),"")</f>
        <v>45.215000000000003</v>
      </c>
      <c r="BB255">
        <f ca="1">IFERROR(IF(0=LEN(ReferenceData!$BB$255),"",ReferenceData!$BB$255),"")</f>
        <v>-222.59399999999999</v>
      </c>
      <c r="BC255">
        <f ca="1">IFERROR(IF(0=LEN(ReferenceData!$BC$255),"",ReferenceData!$BC$255),"")</f>
        <v>-7.9340000000000002</v>
      </c>
      <c r="BD255">
        <f ca="1">IFERROR(IF(0=LEN(ReferenceData!$BD$255),"",ReferenceData!$BD$255),"")</f>
        <v>-92.921000000000006</v>
      </c>
      <c r="BE255">
        <f ca="1">IFERROR(IF(0=LEN(ReferenceData!$BE$255),"",ReferenceData!$BE$255),"")</f>
        <v>-144.255</v>
      </c>
      <c r="BF255">
        <f ca="1">IFERROR(IF(0=LEN(ReferenceData!$BF$255),"",ReferenceData!$BF$255),"")</f>
        <v>-85.266999999999996</v>
      </c>
      <c r="BG255">
        <f ca="1">IFERROR(IF(0=LEN(ReferenceData!$BG$255),"",ReferenceData!$BG$255),"")</f>
        <v>-42.156999999999996</v>
      </c>
      <c r="BH255">
        <f ca="1">IFERROR(IF(0=LEN(ReferenceData!$BH$255),"",ReferenceData!$BH$255),"")</f>
        <v>-243.86099999999999</v>
      </c>
      <c r="BI255">
        <f ca="1">IFERROR(IF(0=LEN(ReferenceData!$BI$255),"",ReferenceData!$BI$255),"")</f>
        <v>2.7690000000000001</v>
      </c>
      <c r="BJ255">
        <f ca="1">IFERROR(IF(0=LEN(ReferenceData!$BJ$255),"",ReferenceData!$BJ$255),"")</f>
        <v>28.254999999999999</v>
      </c>
      <c r="BK255">
        <f ca="1">IFERROR(IF(0=LEN(ReferenceData!$BK$255),"",ReferenceData!$BK$255),"")</f>
        <v>-51.715999600000004</v>
      </c>
      <c r="BL255">
        <f ca="1">IFERROR(IF(0=LEN(ReferenceData!$BL$255),"",ReferenceData!$BL$255),"")</f>
        <v>13.471</v>
      </c>
      <c r="BM255">
        <f ca="1">IFERROR(IF(0=LEN(ReferenceData!$BM$255),"",ReferenceData!$BM$255),"")</f>
        <v>21.861000000000001</v>
      </c>
    </row>
    <row r="256" spans="1:65">
      <c r="A256" t="str">
        <f>IFERROR(IF(0=LEN(ReferenceData!$A$256),"",ReferenceData!$A$256),"")</f>
        <v xml:space="preserve">    Vornado Realty Trust</v>
      </c>
      <c r="B256" t="str">
        <f>IFERROR(IF(0=LEN(ReferenceData!$B$256),"",ReferenceData!$B$256),"")</f>
        <v>VNO US Equity</v>
      </c>
      <c r="C256" t="str">
        <f>IFERROR(IF(0=LEN(ReferenceData!$C$256),"",ReferenceData!$C$256),"")</f>
        <v>RR008</v>
      </c>
      <c r="D256" t="str">
        <f>IFERROR(IF(0=LEN(ReferenceData!$D$256),"",ReferenceData!$D$256),"")</f>
        <v>CF_FREE_CASH_FLOW</v>
      </c>
      <c r="E256" t="str">
        <f>IFERROR(IF(0=LEN(ReferenceData!$E$256),"",ReferenceData!$E$256),"")</f>
        <v>动态</v>
      </c>
      <c r="F256" t="str">
        <f ca="1">IFERROR(IF(0=LEN(ReferenceData!$F$256),"",ReferenceData!$F$256),"")</f>
        <v/>
      </c>
      <c r="G256">
        <f ca="1">IFERROR(IF(0=LEN(ReferenceData!$G$256),"",ReferenceData!$G$256),"")</f>
        <v>35.066000000000003</v>
      </c>
      <c r="H256">
        <f ca="1">IFERROR(IF(0=LEN(ReferenceData!$H$256),"",ReferenceData!$H$256),"")</f>
        <v>193.61699999999999</v>
      </c>
      <c r="I256">
        <f ca="1">IFERROR(IF(0=LEN(ReferenceData!$I$256),"",ReferenceData!$I$256),"")</f>
        <v>-160.83199999999999</v>
      </c>
      <c r="J256">
        <f ca="1">IFERROR(IF(0=LEN(ReferenceData!$J$256),"",ReferenceData!$J$256),"")</f>
        <v>134.524</v>
      </c>
      <c r="K256">
        <f ca="1">IFERROR(IF(0=LEN(ReferenceData!$K$256),"",ReferenceData!$K$256),"")</f>
        <v>106.259</v>
      </c>
      <c r="L256">
        <f ca="1">IFERROR(IF(0=LEN(ReferenceData!$L$256),"",ReferenceData!$L$256),"")</f>
        <v>9.827</v>
      </c>
      <c r="M256">
        <f ca="1">IFERROR(IF(0=LEN(ReferenceData!$M$256),"",ReferenceData!$M$256),"")</f>
        <v>-285.84199999999998</v>
      </c>
      <c r="N256">
        <f ca="1">IFERROR(IF(0=LEN(ReferenceData!$N$256),"",ReferenceData!$N$256),"")</f>
        <v>66.067999999999998</v>
      </c>
      <c r="O256">
        <f ca="1">IFERROR(IF(0=LEN(ReferenceData!$O$256),"",ReferenceData!$O$256),"")</f>
        <v>-105.82599999999999</v>
      </c>
      <c r="P256">
        <f ca="1">IFERROR(IF(0=LEN(ReferenceData!$P$256),"",ReferenceData!$P$256),"")</f>
        <v>42.411999999999999</v>
      </c>
      <c r="Q256">
        <f ca="1">IFERROR(IF(0=LEN(ReferenceData!$Q$256),"",ReferenceData!$Q$256),"")</f>
        <v>-537.00300000000004</v>
      </c>
      <c r="R256">
        <f ca="1">IFERROR(IF(0=LEN(ReferenceData!$R$256),"",ReferenceData!$R$256),"")</f>
        <v>2.12</v>
      </c>
      <c r="S256">
        <f ca="1">IFERROR(IF(0=LEN(ReferenceData!$S$256),"",ReferenceData!$S$256),"")</f>
        <v>-187.77500000000001</v>
      </c>
      <c r="T256">
        <f ca="1">IFERROR(IF(0=LEN(ReferenceData!$T$256),"",ReferenceData!$T$256),"")</f>
        <v>160.42599999999999</v>
      </c>
      <c r="U256">
        <f ca="1">IFERROR(IF(0=LEN(ReferenceData!$U$256),"",ReferenceData!$U$256),"")</f>
        <v>-37.463000000000001</v>
      </c>
      <c r="V256">
        <f ca="1">IFERROR(IF(0=LEN(ReferenceData!$V$256),"",ReferenceData!$V$256),"")</f>
        <v>165.375</v>
      </c>
      <c r="W256">
        <f ca="1">IFERROR(IF(0=LEN(ReferenceData!$W$256),"",ReferenceData!$W$256),"")</f>
        <v>-352.54599999999999</v>
      </c>
      <c r="X256">
        <f ca="1">IFERROR(IF(0=LEN(ReferenceData!$X$256),"",ReferenceData!$X$256),"")</f>
        <v>227.828</v>
      </c>
      <c r="Y256">
        <f ca="1">IFERROR(IF(0=LEN(ReferenceData!$Y$256),"",ReferenceData!$Y$256),"")</f>
        <v>-79.802999999999997</v>
      </c>
      <c r="Z256">
        <f ca="1">IFERROR(IF(0=LEN(ReferenceData!$Z$256),"",ReferenceData!$Z$256),"")</f>
        <v>322.13299999999998</v>
      </c>
      <c r="AA256">
        <f ca="1">IFERROR(IF(0=LEN(ReferenceData!$AA$256),"",ReferenceData!$AA$256),"")</f>
        <v>-477.24400000000003</v>
      </c>
      <c r="AB256">
        <f ca="1">IFERROR(IF(0=LEN(ReferenceData!$AB$256),"",ReferenceData!$AB$256),"")</f>
        <v>143.65700000000001</v>
      </c>
      <c r="AC256">
        <f ca="1">IFERROR(IF(0=LEN(ReferenceData!$AC$256),"",ReferenceData!$AC$256),"")</f>
        <v>-98.956000000000003</v>
      </c>
      <c r="AD256">
        <f ca="1">IFERROR(IF(0=LEN(ReferenceData!$AD$256),"",ReferenceData!$AD$256),"")</f>
        <v>221.38300000000001</v>
      </c>
      <c r="AE256">
        <f ca="1">IFERROR(IF(0=LEN(ReferenceData!$AE$256),"",ReferenceData!$AE$256),"")</f>
        <v>-63.47</v>
      </c>
      <c r="AF256">
        <f ca="1">IFERROR(IF(0=LEN(ReferenceData!$AF$256),"",ReferenceData!$AF$256),"")</f>
        <v>284.70299999999997</v>
      </c>
      <c r="AG256">
        <f ca="1">IFERROR(IF(0=LEN(ReferenceData!$AG$256),"",ReferenceData!$AG$256),"")</f>
        <v>-69.766000000000005</v>
      </c>
      <c r="AH256">
        <f ca="1">IFERROR(IF(0=LEN(ReferenceData!$AH$256),"",ReferenceData!$AH$256),"")</f>
        <v>154.827</v>
      </c>
      <c r="AI256">
        <f ca="1">IFERROR(IF(0=LEN(ReferenceData!$AI$256),"",ReferenceData!$AI$256),"")</f>
        <v>-77.433999999999997</v>
      </c>
      <c r="AJ256">
        <f ca="1">IFERROR(IF(0=LEN(ReferenceData!$AJ$256),"",ReferenceData!$AJ$256),"")</f>
        <v>-21.402999999999999</v>
      </c>
      <c r="AK256">
        <f ca="1">IFERROR(IF(0=LEN(ReferenceData!$AK$256),"",ReferenceData!$AK$256),"")</f>
        <v>174.738</v>
      </c>
      <c r="AL256">
        <f ca="1">IFERROR(IF(0=LEN(ReferenceData!$AL$256),"",ReferenceData!$AL$256),"")</f>
        <v>220.203</v>
      </c>
      <c r="AM256">
        <f ca="1">IFERROR(IF(0=LEN(ReferenceData!$AM$256),"",ReferenceData!$AM$256),"")</f>
        <v>-11.577999999999999</v>
      </c>
      <c r="AN256">
        <f ca="1">IFERROR(IF(0=LEN(ReferenceData!$AN$256),"",ReferenceData!$AN$256),"")</f>
        <v>-93.09</v>
      </c>
      <c r="AO256">
        <f ca="1">IFERROR(IF(0=LEN(ReferenceData!$AO$256),"",ReferenceData!$AO$256),"")</f>
        <v>26.722000000000001</v>
      </c>
      <c r="AP256">
        <f ca="1">IFERROR(IF(0=LEN(ReferenceData!$AP$256),"",ReferenceData!$AP$256),"")</f>
        <v>0.84299999999999997</v>
      </c>
      <c r="AQ256">
        <f ca="1">IFERROR(IF(0=LEN(ReferenceData!$AQ$256),"",ReferenceData!$AQ$256),"")</f>
        <v>-55.078000000000003</v>
      </c>
      <c r="AR256">
        <f ca="1">IFERROR(IF(0=LEN(ReferenceData!$AR$256),"",ReferenceData!$AR$256),"")</f>
        <v>-37.947000000000003</v>
      </c>
      <c r="AS256">
        <f ca="1">IFERROR(IF(0=LEN(ReferenceData!$AS$256),"",ReferenceData!$AS$256),"")</f>
        <v>-49.701000000000001</v>
      </c>
      <c r="AT256">
        <f ca="1">IFERROR(IF(0=LEN(ReferenceData!$AT$256),"",ReferenceData!$AT$256),"")</f>
        <v>59.174999999999997</v>
      </c>
      <c r="AU256">
        <f ca="1">IFERROR(IF(0=LEN(ReferenceData!$AU$256),"",ReferenceData!$AU$256),"")</f>
        <v>-9.6280000000000001</v>
      </c>
      <c r="AV256">
        <f ca="1">IFERROR(IF(0=LEN(ReferenceData!$AV$256),"",ReferenceData!$AV$256),"")</f>
        <v>-126.492</v>
      </c>
      <c r="AW256">
        <f ca="1">IFERROR(IF(0=LEN(ReferenceData!$AW$256),"",ReferenceData!$AW$256),"")</f>
        <v>-1632.768</v>
      </c>
      <c r="AX256">
        <f ca="1">IFERROR(IF(0=LEN(ReferenceData!$AX$256),"",ReferenceData!$AX$256),"")</f>
        <v>-1010.3920000000001</v>
      </c>
      <c r="AY256">
        <f ca="1">IFERROR(IF(0=LEN(ReferenceData!$AY$256),"",ReferenceData!$AY$256),"")</f>
        <v>-751.18</v>
      </c>
      <c r="AZ256">
        <f ca="1">IFERROR(IF(0=LEN(ReferenceData!$AZ$256),"",ReferenceData!$AZ$256),"")</f>
        <v>-166.39500000000001</v>
      </c>
      <c r="BA256">
        <f ca="1">IFERROR(IF(0=LEN(ReferenceData!$BA$256),"",ReferenceData!$BA$256),"")</f>
        <v>-31.321999999999999</v>
      </c>
      <c r="BB256">
        <f ca="1">IFERROR(IF(0=LEN(ReferenceData!$BB$256),"",ReferenceData!$BB$256),"")</f>
        <v>-57.468000000000004</v>
      </c>
      <c r="BC256">
        <f ca="1">IFERROR(IF(0=LEN(ReferenceData!$BC$256),"",ReferenceData!$BC$256),"")</f>
        <v>130.691</v>
      </c>
      <c r="BD256">
        <f ca="1">IFERROR(IF(0=LEN(ReferenceData!$BD$256),"",ReferenceData!$BD$256),"")</f>
        <v>-323.84100000000001</v>
      </c>
      <c r="BE256">
        <f ca="1">IFERROR(IF(0=LEN(ReferenceData!$BE$256),"",ReferenceData!$BE$256),"")</f>
        <v>-93.724000000000004</v>
      </c>
      <c r="BF256">
        <f ca="1">IFERROR(IF(0=LEN(ReferenceData!$BF$256),"",ReferenceData!$BF$256),"")</f>
        <v>91.74</v>
      </c>
      <c r="BG256">
        <f ca="1">IFERROR(IF(0=LEN(ReferenceData!$BG$256),"",ReferenceData!$BG$256),"")</f>
        <v>156.458</v>
      </c>
      <c r="BH256">
        <f ca="1">IFERROR(IF(0=LEN(ReferenceData!$BH$256),"",ReferenceData!$BH$256),"")</f>
        <v>8.0869999999999997</v>
      </c>
      <c r="BI256">
        <f ca="1">IFERROR(IF(0=LEN(ReferenceData!$BI$256),"",ReferenceData!$BI$256),"")</f>
        <v>69.610007999999993</v>
      </c>
      <c r="BJ256">
        <f ca="1">IFERROR(IF(0=LEN(ReferenceData!$BJ$256),"",ReferenceData!$BJ$256),"")</f>
        <v>45.086998000000001</v>
      </c>
      <c r="BK256">
        <f ca="1">IFERROR(IF(0=LEN(ReferenceData!$BK$256),"",ReferenceData!$BK$256),"")</f>
        <v>-145.251</v>
      </c>
      <c r="BL256">
        <f ca="1">IFERROR(IF(0=LEN(ReferenceData!$BL$256),"",ReferenceData!$BL$256),"")</f>
        <v>53.550997000000002</v>
      </c>
      <c r="BM256">
        <f ca="1">IFERROR(IF(0=LEN(ReferenceData!$BM$256),"",ReferenceData!$BM$256),"")</f>
        <v>70.625</v>
      </c>
    </row>
    <row r="257" spans="1:65">
      <c r="A257" t="str">
        <f>IFERROR(IF(0=LEN(ReferenceData!$A$257),"",ReferenceData!$A$257),"")</f>
        <v>总可用流动性</v>
      </c>
      <c r="B257" t="str">
        <f>IFERROR(IF(0=LEN(ReferenceData!$B$257),"",ReferenceData!$B$257),"")</f>
        <v/>
      </c>
      <c r="C257" t="str">
        <f>IFERROR(IF(0=LEN(ReferenceData!$C$257),"",ReferenceData!$C$257),"")</f>
        <v/>
      </c>
      <c r="D257" t="str">
        <f>IFERROR(IF(0=LEN(ReferenceData!$D$257),"",ReferenceData!$D$257),"")</f>
        <v/>
      </c>
      <c r="E257" t="str">
        <f>IFERROR(IF(0=LEN(ReferenceData!$E$257),"",ReferenceData!$E$257),"")</f>
        <v>Median</v>
      </c>
      <c r="F257" t="str">
        <f ca="1">IFERROR(IF(0=LEN(ReferenceData!$F$257),"",ReferenceData!$F$257),"")</f>
        <v/>
      </c>
      <c r="G257">
        <f ca="1">IFERROR(IF(0=LEN(ReferenceData!$G$257),"",ReferenceData!$G$257),"")</f>
        <v>798.13499999999999</v>
      </c>
      <c r="H257">
        <f ca="1">IFERROR(IF(0=LEN(ReferenceData!$H$257),"",ReferenceData!$H$257),"")</f>
        <v>781.61699999999996</v>
      </c>
      <c r="I257">
        <f ca="1">IFERROR(IF(0=LEN(ReferenceData!$I$257),"",ReferenceData!$I$257),"")</f>
        <v>881.69200000000001</v>
      </c>
      <c r="J257">
        <f ca="1">IFERROR(IF(0=LEN(ReferenceData!$J$257),"",ReferenceData!$J$257),"")</f>
        <v>759.91699999999992</v>
      </c>
      <c r="K257">
        <f ca="1">IFERROR(IF(0=LEN(ReferenceData!$K$257),"",ReferenceData!$K$257),"")</f>
        <v>485.96199999999999</v>
      </c>
      <c r="L257">
        <f ca="1">IFERROR(IF(0=LEN(ReferenceData!$L$257),"",ReferenceData!$L$257),"")</f>
        <v>827.96450000000004</v>
      </c>
      <c r="M257">
        <f ca="1">IFERROR(IF(0=LEN(ReferenceData!$M$257),"",ReferenceData!$M$257),"")</f>
        <v>705.57300000000009</v>
      </c>
      <c r="N257">
        <f ca="1">IFERROR(IF(0=LEN(ReferenceData!$N$257),"",ReferenceData!$N$257),"")</f>
        <v>635.69200000000001</v>
      </c>
      <c r="O257">
        <f ca="1">IFERROR(IF(0=LEN(ReferenceData!$O$257),"",ReferenceData!$O$257),"")</f>
        <v>392.79500000000002</v>
      </c>
      <c r="P257">
        <f ca="1">IFERROR(IF(0=LEN(ReferenceData!$P$257),"",ReferenceData!$P$257),"")</f>
        <v>734.83749999999998</v>
      </c>
      <c r="Q257">
        <f ca="1">IFERROR(IF(0=LEN(ReferenceData!$Q$257),"",ReferenceData!$Q$257),"")</f>
        <v>558.12349999999992</v>
      </c>
      <c r="R257">
        <f ca="1">IFERROR(IF(0=LEN(ReferenceData!$R$257),"",ReferenceData!$R$257),"")</f>
        <v>540.08050000000003</v>
      </c>
      <c r="S257">
        <f ca="1">IFERROR(IF(0=LEN(ReferenceData!$S$257),"",ReferenceData!$S$257),"")</f>
        <v>581.40899999999999</v>
      </c>
      <c r="T257">
        <f ca="1">IFERROR(IF(0=LEN(ReferenceData!$T$257),"",ReferenceData!$T$257),"")</f>
        <v>784.89799999999991</v>
      </c>
      <c r="U257">
        <f ca="1">IFERROR(IF(0=LEN(ReferenceData!$U$257),"",ReferenceData!$U$257),"")</f>
        <v>733.07249999999999</v>
      </c>
      <c r="V257">
        <f ca="1">IFERROR(IF(0=LEN(ReferenceData!$V$257),"",ReferenceData!$V$257),"")</f>
        <v>660.81099999999992</v>
      </c>
      <c r="W257">
        <f ca="1">IFERROR(IF(0=LEN(ReferenceData!$W$257),"",ReferenceData!$W$257),"")</f>
        <v>584.53549999999996</v>
      </c>
      <c r="X257">
        <f ca="1">IFERROR(IF(0=LEN(ReferenceData!$X$257),"",ReferenceData!$X$257),"")</f>
        <v>738.04700000000003</v>
      </c>
      <c r="Y257">
        <f ca="1">IFERROR(IF(0=LEN(ReferenceData!$Y$257),"",ReferenceData!$Y$257),"")</f>
        <v>669.58600000000001</v>
      </c>
      <c r="Z257">
        <f ca="1">IFERROR(IF(0=LEN(ReferenceData!$Z$257),"",ReferenceData!$Z$257),"")</f>
        <v>683.26</v>
      </c>
      <c r="AA257">
        <f ca="1">IFERROR(IF(0=LEN(ReferenceData!$AA$257),"",ReferenceData!$AA$257),"")</f>
        <v>501.65700000000004</v>
      </c>
      <c r="AB257">
        <f ca="1">IFERROR(IF(0=LEN(ReferenceData!$AB$257),"",ReferenceData!$AB$257),"")</f>
        <v>622.21199999999999</v>
      </c>
      <c r="AC257">
        <f ca="1">IFERROR(IF(0=LEN(ReferenceData!$AC$257),"",ReferenceData!$AC$257),"")</f>
        <v>681.3655</v>
      </c>
      <c r="AD257">
        <f ca="1">IFERROR(IF(0=LEN(ReferenceData!$AD$257),"",ReferenceData!$AD$257),"")</f>
        <v>579.19499999999994</v>
      </c>
      <c r="AE257">
        <f ca="1">IFERROR(IF(0=LEN(ReferenceData!$AE$257),"",ReferenceData!$AE$257),"")</f>
        <v>366.09299999999996</v>
      </c>
      <c r="AF257">
        <f ca="1">IFERROR(IF(0=LEN(ReferenceData!$AF$257),"",ReferenceData!$AF$257),"")</f>
        <v>405.74200000000002</v>
      </c>
      <c r="AG257">
        <f ca="1">IFERROR(IF(0=LEN(ReferenceData!$AG$257),"",ReferenceData!$AG$257),"")</f>
        <v>456.04349999999999</v>
      </c>
      <c r="AH257">
        <f ca="1">IFERROR(IF(0=LEN(ReferenceData!$AH$257),"",ReferenceData!$AH$257),"")</f>
        <v>377.24549999999999</v>
      </c>
      <c r="AI257">
        <f ca="1">IFERROR(IF(0=LEN(ReferenceData!$AI$257),"",ReferenceData!$AI$257),"")</f>
        <v>293.77049999999997</v>
      </c>
      <c r="AJ257">
        <f ca="1">IFERROR(IF(0=LEN(ReferenceData!$AJ$257),"",ReferenceData!$AJ$257),"")</f>
        <v>532.29949999999997</v>
      </c>
      <c r="AK257">
        <f ca="1">IFERROR(IF(0=LEN(ReferenceData!$AK$257),"",ReferenceData!$AK$257),"")</f>
        <v>526.79700000000003</v>
      </c>
      <c r="AL257">
        <f ca="1">IFERROR(IF(0=LEN(ReferenceData!$AL$257),"",ReferenceData!$AL$257),"")</f>
        <v>417.24549999999999</v>
      </c>
      <c r="AM257">
        <f ca="1">IFERROR(IF(0=LEN(ReferenceData!$AM$257),"",ReferenceData!$AM$257),"")</f>
        <v>291.52850000000001</v>
      </c>
      <c r="AN257">
        <f ca="1">IFERROR(IF(0=LEN(ReferenceData!$AN$257),"",ReferenceData!$AN$257),"")</f>
        <v>559.29</v>
      </c>
      <c r="AO257">
        <f ca="1">IFERROR(IF(0=LEN(ReferenceData!$AO$257),"",ReferenceData!$AO$257),"")</f>
        <v>348.084</v>
      </c>
      <c r="AP257">
        <f ca="1">IFERROR(IF(0=LEN(ReferenceData!$AP$257),"",ReferenceData!$AP$257),"")</f>
        <v>315.36099999999999</v>
      </c>
      <c r="AQ257">
        <f ca="1">IFERROR(IF(0=LEN(ReferenceData!$AQ$257),"",ReferenceData!$AQ$257),"")</f>
        <v>256.41300000000001</v>
      </c>
      <c r="AR257">
        <f ca="1">IFERROR(IF(0=LEN(ReferenceData!$AR$257),"",ReferenceData!$AR$257),"")</f>
        <v>402.15199999999999</v>
      </c>
      <c r="AS257">
        <f ca="1">IFERROR(IF(0=LEN(ReferenceData!$AS$257),"",ReferenceData!$AS$257),"")</f>
        <v>-114.854</v>
      </c>
      <c r="AT257">
        <f ca="1">IFERROR(IF(0=LEN(ReferenceData!$AT$257),"",ReferenceData!$AT$257),"")</f>
        <v>185.381</v>
      </c>
      <c r="AU257">
        <f ca="1">IFERROR(IF(0=LEN(ReferenceData!$AU$257),"",ReferenceData!$AU$257),"")</f>
        <v>114.203</v>
      </c>
      <c r="AV257">
        <f ca="1">IFERROR(IF(0=LEN(ReferenceData!$AV$257),"",ReferenceData!$AV$257),"")</f>
        <v>491.48</v>
      </c>
      <c r="AW257">
        <f ca="1">IFERROR(IF(0=LEN(ReferenceData!$AW$257),"",ReferenceData!$AW$257),"")</f>
        <v>252.786</v>
      </c>
      <c r="AX257">
        <f ca="1">IFERROR(IF(0=LEN(ReferenceData!$AX$257),"",ReferenceData!$AX$257),"")</f>
        <v>195.96700000000001</v>
      </c>
      <c r="AY257">
        <f ca="1">IFERROR(IF(0=LEN(ReferenceData!$AY$257),"",ReferenceData!$AY$257),"")</f>
        <v>450.35849999999999</v>
      </c>
      <c r="AZ257">
        <f ca="1">IFERROR(IF(0=LEN(ReferenceData!$AZ$257),"",ReferenceData!$AZ$257),"")</f>
        <v>241.05600000000001</v>
      </c>
      <c r="BA257">
        <f ca="1">IFERROR(IF(0=LEN(ReferenceData!$BA$257),"",ReferenceData!$BA$257),"")</f>
        <v>351.38299999999998</v>
      </c>
      <c r="BB257">
        <f ca="1">IFERROR(IF(0=LEN(ReferenceData!$BB$257),"",ReferenceData!$BB$257),"")</f>
        <v>207.388665</v>
      </c>
      <c r="BC257">
        <f ca="1">IFERROR(IF(0=LEN(ReferenceData!$BC$257),"",ReferenceData!$BC$257),"")</f>
        <v>-165.685</v>
      </c>
      <c r="BD257">
        <f ca="1">IFERROR(IF(0=LEN(ReferenceData!$BD$257),"",ReferenceData!$BD$257),"")</f>
        <v>378.23899999999998</v>
      </c>
      <c r="BE257">
        <f ca="1">IFERROR(IF(0=LEN(ReferenceData!$BE$257),"",ReferenceData!$BE$257),"")</f>
        <v>280.012</v>
      </c>
      <c r="BF257" t="str">
        <f ca="1">IFERROR(IF(0=LEN(ReferenceData!$BF$257),"",ReferenceData!$BF$257),"")</f>
        <v/>
      </c>
      <c r="BG257">
        <f ca="1">IFERROR(IF(0=LEN(ReferenceData!$BG$257),"",ReferenceData!$BG$257),"")</f>
        <v>122.184</v>
      </c>
      <c r="BH257">
        <f ca="1">IFERROR(IF(0=LEN(ReferenceData!$BH$257),"",ReferenceData!$BH$257),"")</f>
        <v>299.52100000000002</v>
      </c>
      <c r="BI257">
        <f ca="1">IFERROR(IF(0=LEN(ReferenceData!$BI$257),"",ReferenceData!$BI$257),"")</f>
        <v>80.143500000000003</v>
      </c>
      <c r="BJ257">
        <f ca="1">IFERROR(IF(0=LEN(ReferenceData!$BJ$257),"",ReferenceData!$BJ$257),"")</f>
        <v>-2.1809999999999974</v>
      </c>
      <c r="BK257" t="str">
        <f ca="1">IFERROR(IF(0=LEN(ReferenceData!$BK$257),"",ReferenceData!$BK$257),"")</f>
        <v/>
      </c>
      <c r="BL257">
        <f ca="1">IFERROR(IF(0=LEN(ReferenceData!$BL$257),"",ReferenceData!$BL$257),"")</f>
        <v>179.56299999999999</v>
      </c>
      <c r="BM257">
        <f ca="1">IFERROR(IF(0=LEN(ReferenceData!$BM$257),"",ReferenceData!$BM$257),"")</f>
        <v>145.53550000000001</v>
      </c>
    </row>
    <row r="258" spans="1:65">
      <c r="A258" t="str">
        <f>IFERROR(IF(0=LEN(ReferenceData!$A$258),"",ReferenceData!$A$258),"")</f>
        <v xml:space="preserve">    Boston Properties Inc</v>
      </c>
      <c r="B258" t="str">
        <f>IFERROR(IF(0=LEN(ReferenceData!$B$258),"",ReferenceData!$B$258),"")</f>
        <v>BXP US Equity</v>
      </c>
      <c r="C258" t="str">
        <f>IFERROR(IF(0=LEN(ReferenceData!$C$258),"",ReferenceData!$C$258),"")</f>
        <v/>
      </c>
      <c r="D258" t="str">
        <f>IFERROR(IF(0=LEN(ReferenceData!$D$258),"",ReferenceData!$D$258),"")</f>
        <v/>
      </c>
      <c r="E258" t="str">
        <f>IFERROR(IF(0=LEN(ReferenceData!$E$258),"",ReferenceData!$E$258),"")</f>
        <v>Expression</v>
      </c>
      <c r="F258" t="str">
        <f ca="1">IFERROR(IF(0=LEN(ReferenceData!$F$258),"",ReferenceData!$F$258),"")</f>
        <v/>
      </c>
      <c r="G258">
        <f ca="1">IFERROR(IF(0=LEN(ReferenceData!$G$258),"",ReferenceData!$G$258),"")</f>
        <v>1882.249</v>
      </c>
      <c r="H258">
        <f ca="1">IFERROR(IF(0=LEN(ReferenceData!$H$258),"",ReferenceData!$H$258),"")</f>
        <v>1990.8789999999999</v>
      </c>
      <c r="I258">
        <f ca="1">IFERROR(IF(0=LEN(ReferenceData!$I$258),"",ReferenceData!$I$258),"")</f>
        <v>1988.35</v>
      </c>
      <c r="J258">
        <f ca="1">IFERROR(IF(0=LEN(ReferenceData!$J$258),"",ReferenceData!$J$258),"")</f>
        <v>-442.88299999999998</v>
      </c>
      <c r="K258">
        <f ca="1">IFERROR(IF(0=LEN(ReferenceData!$K$258),"",ReferenceData!$K$258),"")</f>
        <v>-298.19600000000003</v>
      </c>
      <c r="L258">
        <f ca="1">IFERROR(IF(0=LEN(ReferenceData!$L$258),"",ReferenceData!$L$258),"")</f>
        <v>1399.8330000000001</v>
      </c>
      <c r="M258">
        <f ca="1">IFERROR(IF(0=LEN(ReferenceData!$M$258),"",ReferenceData!$M$258),"")</f>
        <v>1790.92</v>
      </c>
      <c r="N258">
        <f ca="1">IFERROR(IF(0=LEN(ReferenceData!$N$258),"",ReferenceData!$N$258),"")</f>
        <v>1990.259</v>
      </c>
      <c r="O258" t="str">
        <f ca="1">IFERROR(IF(0=LEN(ReferenceData!$O$258),"",ReferenceData!$O$258),"")</f>
        <v/>
      </c>
      <c r="P258">
        <f ca="1">IFERROR(IF(0=LEN(ReferenceData!$P$258),"",ReferenceData!$P$258),"")</f>
        <v>2338.1219999999998</v>
      </c>
      <c r="Q258">
        <f ca="1">IFERROR(IF(0=LEN(ReferenceData!$Q$258),"",ReferenceData!$Q$258),"")</f>
        <v>2286.0349999999999</v>
      </c>
      <c r="R258">
        <f ca="1">IFERROR(IF(0=LEN(ReferenceData!$R$258),"",ReferenceData!$R$258),"")</f>
        <v>1988.443</v>
      </c>
      <c r="S258">
        <f ca="1">IFERROR(IF(0=LEN(ReferenceData!$S$258),"",ReferenceData!$S$258),"")</f>
        <v>2666.8380000000002</v>
      </c>
      <c r="T258">
        <f ca="1">IFERROR(IF(0=LEN(ReferenceData!$T$258),"",ReferenceData!$T$258),"")</f>
        <v>1812.0550000000001</v>
      </c>
      <c r="U258">
        <f ca="1">IFERROR(IF(0=LEN(ReferenceData!$U$258),"",ReferenceData!$U$258),"")</f>
        <v>1925.008</v>
      </c>
      <c r="V258">
        <f ca="1">IFERROR(IF(0=LEN(ReferenceData!$V$258),"",ReferenceData!$V$258),"")</f>
        <v>2049.4789999999998</v>
      </c>
      <c r="W258">
        <f ca="1">IFERROR(IF(0=LEN(ReferenceData!$W$258),"",ReferenceData!$W$258),"")</f>
        <v>2468.1619999999998</v>
      </c>
      <c r="X258">
        <f ca="1">IFERROR(IF(0=LEN(ReferenceData!$X$258),"",ReferenceData!$X$258),"")</f>
        <v>2617.0100000000002</v>
      </c>
      <c r="Y258">
        <f ca="1">IFERROR(IF(0=LEN(ReferenceData!$Y$258),"",ReferenceData!$Y$258),"")</f>
        <v>2322.692</v>
      </c>
      <c r="Z258">
        <f ca="1">IFERROR(IF(0=LEN(ReferenceData!$Z$258),"",ReferenceData!$Z$258),"")</f>
        <v>1143.0630000000001</v>
      </c>
      <c r="AA258">
        <f ca="1">IFERROR(IF(0=LEN(ReferenceData!$AA$258),"",ReferenceData!$AA$258),"")</f>
        <v>1249.136</v>
      </c>
      <c r="AB258">
        <f ca="1">IFERROR(IF(0=LEN(ReferenceData!$AB$258),"",ReferenceData!$AB$258),"")</f>
        <v>1960.69</v>
      </c>
      <c r="AC258">
        <f ca="1">IFERROR(IF(0=LEN(ReferenceData!$AC$258),"",ReferenceData!$AC$258),"")</f>
        <v>2404.5839999999998</v>
      </c>
      <c r="AD258">
        <f ca="1">IFERROR(IF(0=LEN(ReferenceData!$AD$258),"",ReferenceData!$AD$258),"")</f>
        <v>1268.7940000000001</v>
      </c>
      <c r="AE258">
        <f ca="1">IFERROR(IF(0=LEN(ReferenceData!$AE$258),"",ReferenceData!$AE$258),"")</f>
        <v>1744.462</v>
      </c>
      <c r="AF258">
        <f ca="1">IFERROR(IF(0=LEN(ReferenceData!$AF$258),"",ReferenceData!$AF$258),"")</f>
        <v>1778.5260000000001</v>
      </c>
      <c r="AG258">
        <f ca="1">IFERROR(IF(0=LEN(ReferenceData!$AG$258),"",ReferenceData!$AG$258),"")</f>
        <v>1069.8979999999999</v>
      </c>
      <c r="AH258">
        <f ca="1">IFERROR(IF(0=LEN(ReferenceData!$AH$258),"",ReferenceData!$AH$258),"")</f>
        <v>1280.287</v>
      </c>
      <c r="AI258">
        <f ca="1">IFERROR(IF(0=LEN(ReferenceData!$AI$258),"",ReferenceData!$AI$258),"")</f>
        <v>1015.801</v>
      </c>
      <c r="AJ258">
        <f ca="1">IFERROR(IF(0=LEN(ReferenceData!$AJ$258),"",ReferenceData!$AJ$258),"")</f>
        <v>2011.67</v>
      </c>
      <c r="AK258">
        <f ca="1">IFERROR(IF(0=LEN(ReferenceData!$AK$258),"",ReferenceData!$AK$258),"")</f>
        <v>2396.0619999999999</v>
      </c>
      <c r="AL258">
        <f ca="1">IFERROR(IF(0=LEN(ReferenceData!$AL$258),"",ReferenceData!$AL$258),"")</f>
        <v>1895.5029999999999</v>
      </c>
      <c r="AM258">
        <f ca="1">IFERROR(IF(0=LEN(ReferenceData!$AM$258),"",ReferenceData!$AM$258),"")</f>
        <v>2128.56</v>
      </c>
      <c r="AN258">
        <f ca="1">IFERROR(IF(0=LEN(ReferenceData!$AN$258),"",ReferenceData!$AN$258),"")</f>
        <v>1588.4280000000001</v>
      </c>
      <c r="AO258">
        <f ca="1">IFERROR(IF(0=LEN(ReferenceData!$AO$258),"",ReferenceData!$AO$258),"")</f>
        <v>1606.58187</v>
      </c>
      <c r="AP258">
        <f ca="1">IFERROR(IF(0=LEN(ReferenceData!$AP$258),"",ReferenceData!$AP$258),"")</f>
        <v>754.49800000000005</v>
      </c>
      <c r="AQ258" t="str">
        <f ca="1">IFERROR(IF(0=LEN(ReferenceData!$AQ$258),"",ReferenceData!$AQ$258),"")</f>
        <v/>
      </c>
      <c r="AR258">
        <f ca="1">IFERROR(IF(0=LEN(ReferenceData!$AR$258),"",ReferenceData!$AR$258),"")</f>
        <v>667.55399999999997</v>
      </c>
      <c r="AS258" t="str">
        <f ca="1">IFERROR(IF(0=LEN(ReferenceData!$AS$258),"",ReferenceData!$AS$258),"")</f>
        <v/>
      </c>
      <c r="AT258" t="str">
        <f ca="1">IFERROR(IF(0=LEN(ReferenceData!$AT$258),"",ReferenceData!$AT$258),"")</f>
        <v/>
      </c>
      <c r="AU258">
        <f ca="1">IFERROR(IF(0=LEN(ReferenceData!$AU$258),"",ReferenceData!$AU$258),"")</f>
        <v>1288.3150000000001</v>
      </c>
      <c r="AV258">
        <f ca="1">IFERROR(IF(0=LEN(ReferenceData!$AV$258),"",ReferenceData!$AV$258),"")</f>
        <v>2460.5070000000001</v>
      </c>
      <c r="AW258">
        <f ca="1">IFERROR(IF(0=LEN(ReferenceData!$AW$258),"",ReferenceData!$AW$258),"")</f>
        <v>2466.0855299999998</v>
      </c>
      <c r="AX258">
        <f ca="1">IFERROR(IF(0=LEN(ReferenceData!$AX$258),"",ReferenceData!$AX$258),"")</f>
        <v>2586.1570000000002</v>
      </c>
      <c r="AY258">
        <f ca="1">IFERROR(IF(0=LEN(ReferenceData!$AY$258),"",ReferenceData!$AY$258),"")</f>
        <v>1064.296</v>
      </c>
      <c r="AZ258">
        <f ca="1">IFERROR(IF(0=LEN(ReferenceData!$AZ$258),"",ReferenceData!$AZ$258),"")</f>
        <v>1642.682</v>
      </c>
      <c r="BA258">
        <f ca="1">IFERROR(IF(0=LEN(ReferenceData!$BA$258),"",ReferenceData!$BA$258),"")</f>
        <v>847.87099999999998</v>
      </c>
      <c r="BB258">
        <f ca="1">IFERROR(IF(0=LEN(ReferenceData!$BB$258),"",ReferenceData!$BB$258),"")</f>
        <v>285.64132999999998</v>
      </c>
      <c r="BC258" t="str">
        <f ca="1">IFERROR(IF(0=LEN(ReferenceData!$BC$258),"",ReferenceData!$BC$258),"")</f>
        <v/>
      </c>
      <c r="BD258">
        <f ca="1">IFERROR(IF(0=LEN(ReferenceData!$BD$258),"",ReferenceData!$BD$258),"")</f>
        <v>723.79</v>
      </c>
      <c r="BE258" t="str">
        <f ca="1">IFERROR(IF(0=LEN(ReferenceData!$BE$258),"",ReferenceData!$BE$258),"")</f>
        <v/>
      </c>
      <c r="BF258" t="str">
        <f ca="1">IFERROR(IF(0=LEN(ReferenceData!$BF$258),"",ReferenceData!$BF$258),"")</f>
        <v/>
      </c>
      <c r="BG258" t="str">
        <f ca="1">IFERROR(IF(0=LEN(ReferenceData!$BG$258),"",ReferenceData!$BG$258),"")</f>
        <v/>
      </c>
      <c r="BH258" t="str">
        <f ca="1">IFERROR(IF(0=LEN(ReferenceData!$BH$258),"",ReferenceData!$BH$258),"")</f>
        <v/>
      </c>
      <c r="BI258" t="str">
        <f ca="1">IFERROR(IF(0=LEN(ReferenceData!$BI$258),"",ReferenceData!$BI$258),"")</f>
        <v/>
      </c>
      <c r="BJ258" t="str">
        <f ca="1">IFERROR(IF(0=LEN(ReferenceData!$BJ$258),"",ReferenceData!$BJ$258),"")</f>
        <v/>
      </c>
      <c r="BK258" t="str">
        <f ca="1">IFERROR(IF(0=LEN(ReferenceData!$BK$258),"",ReferenceData!$BK$258),"")</f>
        <v/>
      </c>
      <c r="BL258" t="str">
        <f ca="1">IFERROR(IF(0=LEN(ReferenceData!$BL$258),"",ReferenceData!$BL$258),"")</f>
        <v/>
      </c>
      <c r="BM258" t="str">
        <f ca="1">IFERROR(IF(0=LEN(ReferenceData!$BM$258),"",ReferenceData!$BM$258),"")</f>
        <v/>
      </c>
    </row>
    <row r="259" spans="1:65">
      <c r="A259" t="str">
        <f>IFERROR(IF(0=LEN(ReferenceData!$A$259),"",ReferenceData!$A$259),"")</f>
        <v xml:space="preserve">    Brandywine Realty Trust</v>
      </c>
      <c r="B259" t="str">
        <f>IFERROR(IF(0=LEN(ReferenceData!$B$259),"",ReferenceData!$B$259),"")</f>
        <v>BDN US Equity</v>
      </c>
      <c r="C259" t="str">
        <f>IFERROR(IF(0=LEN(ReferenceData!$C$259),"",ReferenceData!$C$259),"")</f>
        <v/>
      </c>
      <c r="D259" t="str">
        <f>IFERROR(IF(0=LEN(ReferenceData!$D$259),"",ReferenceData!$D$259),"")</f>
        <v/>
      </c>
      <c r="E259" t="str">
        <f>IFERROR(IF(0=LEN(ReferenceData!$E$259),"",ReferenceData!$E$259),"")</f>
        <v>Expression</v>
      </c>
      <c r="F259" t="str">
        <f ca="1">IFERROR(IF(0=LEN(ReferenceData!$F$259),"",ReferenceData!$F$259),"")</f>
        <v/>
      </c>
      <c r="G259">
        <f ca="1">IFERROR(IF(0=LEN(ReferenceData!$G$259),"",ReferenceData!$G$259),"")</f>
        <v>792.20500000000004</v>
      </c>
      <c r="H259">
        <f ca="1">IFERROR(IF(0=LEN(ReferenceData!$H$259),"",ReferenceData!$H$259),"")</f>
        <v>432.55200000000002</v>
      </c>
      <c r="I259">
        <f ca="1">IFERROR(IF(0=LEN(ReferenceData!$I$259),"",ReferenceData!$I$259),"")</f>
        <v>422.97500000000002</v>
      </c>
      <c r="J259">
        <f ca="1">IFERROR(IF(0=LEN(ReferenceData!$J$259),"",ReferenceData!$J$259),"")</f>
        <v>518.50099999999998</v>
      </c>
      <c r="K259">
        <f ca="1">IFERROR(IF(0=LEN(ReferenceData!$K$259),"",ReferenceData!$K$259),"")</f>
        <v>475.84100000000001</v>
      </c>
      <c r="L259">
        <f ca="1">IFERROR(IF(0=LEN(ReferenceData!$L$259),"",ReferenceData!$L$259),"")</f>
        <v>803.601</v>
      </c>
      <c r="M259">
        <f ca="1">IFERROR(IF(0=LEN(ReferenceData!$M$259),"",ReferenceData!$M$259),"")</f>
        <v>848.65300000000002</v>
      </c>
      <c r="N259">
        <f ca="1">IFERROR(IF(0=LEN(ReferenceData!$N$259),"",ReferenceData!$N$259),"")</f>
        <v>769.89</v>
      </c>
      <c r="O259">
        <f ca="1">IFERROR(IF(0=LEN(ReferenceData!$O$259),"",ReferenceData!$O$259),"")</f>
        <v>392.79500000000002</v>
      </c>
      <c r="P259">
        <f ca="1">IFERROR(IF(0=LEN(ReferenceData!$P$259),"",ReferenceData!$P$259),"")</f>
        <v>545.34100000000001</v>
      </c>
      <c r="Q259">
        <f ca="1">IFERROR(IF(0=LEN(ReferenceData!$Q$259),"",ReferenceData!$Q$259),"")</f>
        <v>616.52599999999995</v>
      </c>
      <c r="R259">
        <f ca="1">IFERROR(IF(0=LEN(ReferenceData!$R$259),"",ReferenceData!$R$259),"")</f>
        <v>796.37800000000004</v>
      </c>
      <c r="S259" t="str">
        <f ca="1">IFERROR(IF(0=LEN(ReferenceData!$S$259),"",ReferenceData!$S$259),"")</f>
        <v/>
      </c>
      <c r="T259">
        <f ca="1">IFERROR(IF(0=LEN(ReferenceData!$T$259),"",ReferenceData!$T$259),"")</f>
        <v>1007.162</v>
      </c>
      <c r="U259">
        <f ca="1">IFERROR(IF(0=LEN(ReferenceData!$U$259),"",ReferenceData!$U$259),"")</f>
        <v>607.76599999999996</v>
      </c>
      <c r="V259">
        <f ca="1">IFERROR(IF(0=LEN(ReferenceData!$V$259),"",ReferenceData!$V$259),"")</f>
        <v>605.62699999999995</v>
      </c>
      <c r="W259">
        <f ca="1">IFERROR(IF(0=LEN(ReferenceData!$W$259),"",ReferenceData!$W$259),"")</f>
        <v>630.83199999999999</v>
      </c>
      <c r="X259">
        <f ca="1">IFERROR(IF(0=LEN(ReferenceData!$X$259),"",ReferenceData!$X$259),"")</f>
        <v>781.33100000000002</v>
      </c>
      <c r="Y259">
        <f ca="1">IFERROR(IF(0=LEN(ReferenceData!$Y$259),"",ReferenceData!$Y$259),"")</f>
        <v>809.34799999999996</v>
      </c>
      <c r="Z259">
        <f ca="1">IFERROR(IF(0=LEN(ReferenceData!$Z$259),"",ReferenceData!$Z$259),"")</f>
        <v>638.50099999999998</v>
      </c>
      <c r="AA259">
        <f ca="1">IFERROR(IF(0=LEN(ReferenceData!$AA$259),"",ReferenceData!$AA$259),"")</f>
        <v>520.41200000000003</v>
      </c>
      <c r="AB259">
        <f ca="1">IFERROR(IF(0=LEN(ReferenceData!$AB$259),"",ReferenceData!$AB$259),"")</f>
        <v>835.55399999999997</v>
      </c>
      <c r="AC259">
        <f ca="1">IFERROR(IF(0=LEN(ReferenceData!$AC$259),"",ReferenceData!$AC$259),"")</f>
        <v>780.41099999999994</v>
      </c>
      <c r="AD259">
        <f ca="1">IFERROR(IF(0=LEN(ReferenceData!$AD$259),"",ReferenceData!$AD$259),"")</f>
        <v>720.38900000000001</v>
      </c>
      <c r="AE259">
        <f ca="1">IFERROR(IF(0=LEN(ReferenceData!$AE$259),"",ReferenceData!$AE$259),"")</f>
        <v>-154.47900000000001</v>
      </c>
      <c r="AF259">
        <f ca="1">IFERROR(IF(0=LEN(ReferenceData!$AF$259),"",ReferenceData!$AF$259),"")</f>
        <v>366.37400000000002</v>
      </c>
      <c r="AG259">
        <f ca="1">IFERROR(IF(0=LEN(ReferenceData!$AG$259),"",ReferenceData!$AG$259),"")</f>
        <v>542.09400000000005</v>
      </c>
      <c r="AH259">
        <f ca="1">IFERROR(IF(0=LEN(ReferenceData!$AH$259),"",ReferenceData!$AH$259),"")</f>
        <v>208.524</v>
      </c>
      <c r="AI259">
        <f ca="1">IFERROR(IF(0=LEN(ReferenceData!$AI$259),"",ReferenceData!$AI$259),"")</f>
        <v>-132.01300000000001</v>
      </c>
      <c r="AJ259">
        <f ca="1">IFERROR(IF(0=LEN(ReferenceData!$AJ$259),"",ReferenceData!$AJ$259),"")</f>
        <v>426.09</v>
      </c>
      <c r="AK259">
        <f ca="1">IFERROR(IF(0=LEN(ReferenceData!$AK$259),"",ReferenceData!$AK$259),"")</f>
        <v>91.712999999999994</v>
      </c>
      <c r="AL259">
        <f ca="1">IFERROR(IF(0=LEN(ReferenceData!$AL$259),"",ReferenceData!$AL$259),"")</f>
        <v>-46.100999999999999</v>
      </c>
      <c r="AM259">
        <f ca="1">IFERROR(IF(0=LEN(ReferenceData!$AM$259),"",ReferenceData!$AM$259),"")</f>
        <v>12.306100000000001</v>
      </c>
      <c r="AN259">
        <f ca="1">IFERROR(IF(0=LEN(ReferenceData!$AN$259),"",ReferenceData!$AN$259),"")</f>
        <v>355.59199999999998</v>
      </c>
      <c r="AO259">
        <f ca="1">IFERROR(IF(0=LEN(ReferenceData!$AO$259),"",ReferenceData!$AO$259),"")</f>
        <v>179.05</v>
      </c>
      <c r="AP259">
        <f ca="1">IFERROR(IF(0=LEN(ReferenceData!$AP$259),"",ReferenceData!$AP$259),"")</f>
        <v>-82.284000000000006</v>
      </c>
      <c r="AQ259" t="str">
        <f ca="1">IFERROR(IF(0=LEN(ReferenceData!$AQ$259),"",ReferenceData!$AQ$259),"")</f>
        <v/>
      </c>
      <c r="AR259">
        <f ca="1">IFERROR(IF(0=LEN(ReferenceData!$AR$259),"",ReferenceData!$AR$259),"")</f>
        <v>104.295</v>
      </c>
      <c r="AS259">
        <f ca="1">IFERROR(IF(0=LEN(ReferenceData!$AS$259),"",ReferenceData!$AS$259),"")</f>
        <v>-166.77199999999999</v>
      </c>
      <c r="AT259">
        <f ca="1">IFERROR(IF(0=LEN(ReferenceData!$AT$259),"",ReferenceData!$AT$259),"")</f>
        <v>185.381</v>
      </c>
      <c r="AU259">
        <f ca="1">IFERROR(IF(0=LEN(ReferenceData!$AU$259),"",ReferenceData!$AU$259),"")</f>
        <v>91.14</v>
      </c>
      <c r="AV259">
        <f ca="1">IFERROR(IF(0=LEN(ReferenceData!$AV$259),"",ReferenceData!$AV$259),"")</f>
        <v>171.24799999999999</v>
      </c>
      <c r="AW259">
        <f ca="1">IFERROR(IF(0=LEN(ReferenceData!$AW$259),"",ReferenceData!$AW$259),"")</f>
        <v>252.786</v>
      </c>
      <c r="AX259">
        <f ca="1">IFERROR(IF(0=LEN(ReferenceData!$AX$259),"",ReferenceData!$AX$259),"")</f>
        <v>-92.224999999999994</v>
      </c>
      <c r="AY259">
        <f ca="1">IFERROR(IF(0=LEN(ReferenceData!$AY$259),"",ReferenceData!$AY$259),"")</f>
        <v>520.73599999999999</v>
      </c>
      <c r="AZ259" t="str">
        <f ca="1">IFERROR(IF(0=LEN(ReferenceData!$AZ$259),"",ReferenceData!$AZ$259),"")</f>
        <v/>
      </c>
      <c r="BA259" t="str">
        <f ca="1">IFERROR(IF(0=LEN(ReferenceData!$BA$259),"",ReferenceData!$BA$259),"")</f>
        <v/>
      </c>
      <c r="BB259">
        <f ca="1">IFERROR(IF(0=LEN(ReferenceData!$BB$259),"",ReferenceData!$BB$259),"")</f>
        <v>324.315</v>
      </c>
      <c r="BC259" t="str">
        <f ca="1">IFERROR(IF(0=LEN(ReferenceData!$BC$259),"",ReferenceData!$BC$259),"")</f>
        <v/>
      </c>
      <c r="BD259" t="str">
        <f ca="1">IFERROR(IF(0=LEN(ReferenceData!$BD$259),"",ReferenceData!$BD$259),"")</f>
        <v/>
      </c>
      <c r="BE259">
        <f ca="1">IFERROR(IF(0=LEN(ReferenceData!$BE$259),"",ReferenceData!$BE$259),"")</f>
        <v>168.733</v>
      </c>
      <c r="BF259" t="str">
        <f ca="1">IFERROR(IF(0=LEN(ReferenceData!$BF$259),"",ReferenceData!$BF$259),"")</f>
        <v/>
      </c>
      <c r="BG259">
        <f ca="1">IFERROR(IF(0=LEN(ReferenceData!$BG$259),"",ReferenceData!$BG$259),"")</f>
        <v>294.00299999999999</v>
      </c>
      <c r="BH259" t="str">
        <f ca="1">IFERROR(IF(0=LEN(ReferenceData!$BH$259),"",ReferenceData!$BH$259),"")</f>
        <v/>
      </c>
      <c r="BI259" t="str">
        <f ca="1">IFERROR(IF(0=LEN(ReferenceData!$BI$259),"",ReferenceData!$BI$259),"")</f>
        <v/>
      </c>
      <c r="BJ259" t="str">
        <f ca="1">IFERROR(IF(0=LEN(ReferenceData!$BJ$259),"",ReferenceData!$BJ$259),"")</f>
        <v/>
      </c>
      <c r="BK259" t="str">
        <f ca="1">IFERROR(IF(0=LEN(ReferenceData!$BK$259),"",ReferenceData!$BK$259),"")</f>
        <v/>
      </c>
      <c r="BL259" t="str">
        <f ca="1">IFERROR(IF(0=LEN(ReferenceData!$BL$259),"",ReferenceData!$BL$259),"")</f>
        <v/>
      </c>
      <c r="BM259" t="str">
        <f ca="1">IFERROR(IF(0=LEN(ReferenceData!$BM$259),"",ReferenceData!$BM$259),"")</f>
        <v/>
      </c>
    </row>
    <row r="260" spans="1:65">
      <c r="A260" t="str">
        <f>IFERROR(IF(0=LEN(ReferenceData!$A$260),"",ReferenceData!$A$260),"")</f>
        <v xml:space="preserve">    Columbia Property Trust Inc</v>
      </c>
      <c r="B260" t="str">
        <f>IFERROR(IF(0=LEN(ReferenceData!$B$260),"",ReferenceData!$B$260),"")</f>
        <v>CXP US Equity</v>
      </c>
      <c r="C260" t="str">
        <f>IFERROR(IF(0=LEN(ReferenceData!$C$260),"",ReferenceData!$C$260),"")</f>
        <v/>
      </c>
      <c r="D260" t="str">
        <f>IFERROR(IF(0=LEN(ReferenceData!$D$260),"",ReferenceData!$D$260),"")</f>
        <v/>
      </c>
      <c r="E260" t="str">
        <f>IFERROR(IF(0=LEN(ReferenceData!$E$260),"",ReferenceData!$E$260),"")</f>
        <v>Expression</v>
      </c>
      <c r="F260" t="str">
        <f ca="1">IFERROR(IF(0=LEN(ReferenceData!$F$260),"",ReferenceData!$F$260),"")</f>
        <v/>
      </c>
      <c r="G260">
        <f ca="1">IFERROR(IF(0=LEN(ReferenceData!$G$260),"",ReferenceData!$G$260),"")</f>
        <v>186.39099999999999</v>
      </c>
      <c r="H260">
        <f ca="1">IFERROR(IF(0=LEN(ReferenceData!$H$260),"",ReferenceData!$H$260),"")</f>
        <v>832.928</v>
      </c>
      <c r="I260">
        <f ca="1">IFERROR(IF(0=LEN(ReferenceData!$I$260),"",ReferenceData!$I$260),"")</f>
        <v>954.64</v>
      </c>
      <c r="J260">
        <f ca="1">IFERROR(IF(0=LEN(ReferenceData!$J$260),"",ReferenceData!$J$260),"")</f>
        <v>1001.333</v>
      </c>
      <c r="K260">
        <f ca="1">IFERROR(IF(0=LEN(ReferenceData!$K$260),"",ReferenceData!$K$260),"")</f>
        <v>588.35699999999997</v>
      </c>
      <c r="L260">
        <f ca="1">IFERROR(IF(0=LEN(ReferenceData!$L$260),"",ReferenceData!$L$260),"")</f>
        <v>590.46600000000001</v>
      </c>
      <c r="M260">
        <f ca="1">IFERROR(IF(0=LEN(ReferenceData!$M$260),"",ReferenceData!$M$260),"")</f>
        <v>188.041</v>
      </c>
      <c r="N260">
        <f ca="1">IFERROR(IF(0=LEN(ReferenceData!$N$260),"",ReferenceData!$N$260),"")</f>
        <v>201.25700000000001</v>
      </c>
      <c r="O260">
        <f ca="1">IFERROR(IF(0=LEN(ReferenceData!$O$260),"",ReferenceData!$O$260),"")</f>
        <v>122.185</v>
      </c>
      <c r="P260">
        <f ca="1">IFERROR(IF(0=LEN(ReferenceData!$P$260),"",ReferenceData!$P$260),"")</f>
        <v>279.49799999999999</v>
      </c>
      <c r="Q260">
        <f ca="1">IFERROR(IF(0=LEN(ReferenceData!$Q$260),"",ReferenceData!$Q$260),"")</f>
        <v>215.108</v>
      </c>
      <c r="R260">
        <f ca="1">IFERROR(IF(0=LEN(ReferenceData!$R$260),"",ReferenceData!$R$260),"")</f>
        <v>216.40899999999999</v>
      </c>
      <c r="S260">
        <f ca="1">IFERROR(IF(0=LEN(ReferenceData!$S$260),"",ReferenceData!$S$260),"")</f>
        <v>438.96899999999999</v>
      </c>
      <c r="T260">
        <f ca="1">IFERROR(IF(0=LEN(ReferenceData!$T$260),"",ReferenceData!$T$260),"")</f>
        <v>386.65899999999999</v>
      </c>
      <c r="U260">
        <f ca="1">IFERROR(IF(0=LEN(ReferenceData!$U$260),"",ReferenceData!$U$260),"")</f>
        <v>463.89499999999998</v>
      </c>
      <c r="V260">
        <f ca="1">IFERROR(IF(0=LEN(ReferenceData!$V$260),"",ReferenceData!$V$260),"")</f>
        <v>574.62699999999995</v>
      </c>
      <c r="W260">
        <f ca="1">IFERROR(IF(0=LEN(ReferenceData!$W$260),"",ReferenceData!$W$260),"")</f>
        <v>538.23900000000003</v>
      </c>
      <c r="X260">
        <f ca="1">IFERROR(IF(0=LEN(ReferenceData!$X$260),"",ReferenceData!$X$260),"")</f>
        <v>429.27199999999999</v>
      </c>
      <c r="Y260">
        <f ca="1">IFERROR(IF(0=LEN(ReferenceData!$Y$260),"",ReferenceData!$Y$260),"")</f>
        <v>482.98</v>
      </c>
      <c r="Z260">
        <f ca="1">IFERROR(IF(0=LEN(ReferenceData!$Z$260),"",ReferenceData!$Z$260),"")</f>
        <v>515.4</v>
      </c>
      <c r="AA260">
        <f ca="1">IFERROR(IF(0=LEN(ReferenceData!$AA$260),"",ReferenceData!$AA$260),"")</f>
        <v>482.90199999999999</v>
      </c>
      <c r="AB260">
        <f ca="1">IFERROR(IF(0=LEN(ReferenceData!$AB$260),"",ReferenceData!$AB$260),"")</f>
        <v>482.83600000000001</v>
      </c>
      <c r="AC260">
        <f ca="1">IFERROR(IF(0=LEN(ReferenceData!$AC$260),"",ReferenceData!$AC$260),"")</f>
        <v>462.42599999999999</v>
      </c>
      <c r="AD260">
        <f ca="1">IFERROR(IF(0=LEN(ReferenceData!$AD$260),"",ReferenceData!$AD$260),"")</f>
        <v>447.38099999999997</v>
      </c>
      <c r="AE260">
        <f ca="1">IFERROR(IF(0=LEN(ReferenceData!$AE$260),"",ReferenceData!$AE$260),"")</f>
        <v>19.277000000000001</v>
      </c>
      <c r="AF260">
        <f ca="1">IFERROR(IF(0=LEN(ReferenceData!$AF$260),"",ReferenceData!$AF$260),"")</f>
        <v>310.803</v>
      </c>
      <c r="AG260">
        <f ca="1">IFERROR(IF(0=LEN(ReferenceData!$AG$260),"",ReferenceData!$AG$260),"")</f>
        <v>369.99299999999999</v>
      </c>
      <c r="AH260">
        <f ca="1">IFERROR(IF(0=LEN(ReferenceData!$AH$260),"",ReferenceData!$AH$260),"")</f>
        <v>-191.47200000000001</v>
      </c>
      <c r="AI260">
        <f ca="1">IFERROR(IF(0=LEN(ReferenceData!$AI$260),"",ReferenceData!$AI$260),"")</f>
        <v>418.49900000000002</v>
      </c>
      <c r="AJ260">
        <f ca="1">IFERROR(IF(0=LEN(ReferenceData!$AJ$260),"",ReferenceData!$AJ$260),"")</f>
        <v>497.06</v>
      </c>
      <c r="AK260">
        <f ca="1">IFERROR(IF(0=LEN(ReferenceData!$AK$260),"",ReferenceData!$AK$260),"")</f>
        <v>472.52800000000002</v>
      </c>
      <c r="AL260">
        <f ca="1">IFERROR(IF(0=LEN(ReferenceData!$AL$260),"",ReferenceData!$AL$260),"")</f>
        <v>264.45600000000002</v>
      </c>
      <c r="AM260">
        <f ca="1">IFERROR(IF(0=LEN(ReferenceData!$AM$260),"",ReferenceData!$AM$260),"")</f>
        <v>212.81899999999999</v>
      </c>
      <c r="AN260">
        <f ca="1">IFERROR(IF(0=LEN(ReferenceData!$AN$260),"",ReferenceData!$AN$260),"")</f>
        <v>165.29599999999999</v>
      </c>
      <c r="AO260">
        <f ca="1">IFERROR(IF(0=LEN(ReferenceData!$AO$260),"",ReferenceData!$AO$260),"")</f>
        <v>47.012</v>
      </c>
      <c r="AP260">
        <f ca="1">IFERROR(IF(0=LEN(ReferenceData!$AP$260),"",ReferenceData!$AP$260),"")</f>
        <v>-96.304000000000002</v>
      </c>
      <c r="AQ260" t="str">
        <f ca="1">IFERROR(IF(0=LEN(ReferenceData!$AQ$260),"",ReferenceData!$AQ$260),"")</f>
        <v/>
      </c>
      <c r="AR260" t="str">
        <f ca="1">IFERROR(IF(0=LEN(ReferenceData!$AR$260),"",ReferenceData!$AR$260),"")</f>
        <v/>
      </c>
      <c r="AS260" t="str">
        <f ca="1">IFERROR(IF(0=LEN(ReferenceData!$AS$260),"",ReferenceData!$AS$260),"")</f>
        <v/>
      </c>
      <c r="AT260" t="str">
        <f ca="1">IFERROR(IF(0=LEN(ReferenceData!$AT$260),"",ReferenceData!$AT$260),"")</f>
        <v/>
      </c>
      <c r="AU260" t="str">
        <f ca="1">IFERROR(IF(0=LEN(ReferenceData!$AU$260),"",ReferenceData!$AU$260),"")</f>
        <v/>
      </c>
      <c r="AV260" t="str">
        <f ca="1">IFERROR(IF(0=LEN(ReferenceData!$AV$260),"",ReferenceData!$AV$260),"")</f>
        <v/>
      </c>
      <c r="AW260" t="str">
        <f ca="1">IFERROR(IF(0=LEN(ReferenceData!$AW$260),"",ReferenceData!$AW$260),"")</f>
        <v/>
      </c>
      <c r="AX260" t="str">
        <f ca="1">IFERROR(IF(0=LEN(ReferenceData!$AX$260),"",ReferenceData!$AX$260),"")</f>
        <v/>
      </c>
      <c r="AY260" t="str">
        <f ca="1">IFERROR(IF(0=LEN(ReferenceData!$AY$260),"",ReferenceData!$AY$260),"")</f>
        <v/>
      </c>
      <c r="AZ260" t="str">
        <f ca="1">IFERROR(IF(0=LEN(ReferenceData!$AZ$260),"",ReferenceData!$AZ$260),"")</f>
        <v/>
      </c>
      <c r="BA260" t="str">
        <f ca="1">IFERROR(IF(0=LEN(ReferenceData!$BA$260),"",ReferenceData!$BA$260),"")</f>
        <v/>
      </c>
      <c r="BB260" t="str">
        <f ca="1">IFERROR(IF(0=LEN(ReferenceData!$BB$260),"",ReferenceData!$BB$260),"")</f>
        <v/>
      </c>
      <c r="BC260" t="str">
        <f ca="1">IFERROR(IF(0=LEN(ReferenceData!$BC$260),"",ReferenceData!$BC$260),"")</f>
        <v/>
      </c>
      <c r="BD260" t="str">
        <f ca="1">IFERROR(IF(0=LEN(ReferenceData!$BD$260),"",ReferenceData!$BD$260),"")</f>
        <v/>
      </c>
      <c r="BE260" t="str">
        <f ca="1">IFERROR(IF(0=LEN(ReferenceData!$BE$260),"",ReferenceData!$BE$260),"")</f>
        <v/>
      </c>
      <c r="BF260" t="str">
        <f ca="1">IFERROR(IF(0=LEN(ReferenceData!$BF$260),"",ReferenceData!$BF$260),"")</f>
        <v/>
      </c>
      <c r="BG260" t="str">
        <f ca="1">IFERROR(IF(0=LEN(ReferenceData!$BG$260),"",ReferenceData!$BG$260),"")</f>
        <v/>
      </c>
      <c r="BH260" t="str">
        <f ca="1">IFERROR(IF(0=LEN(ReferenceData!$BH$260),"",ReferenceData!$BH$260),"")</f>
        <v/>
      </c>
      <c r="BI260" t="str">
        <f ca="1">IFERROR(IF(0=LEN(ReferenceData!$BI$260),"",ReferenceData!$BI$260),"")</f>
        <v/>
      </c>
      <c r="BJ260" t="str">
        <f ca="1">IFERROR(IF(0=LEN(ReferenceData!$BJ$260),"",ReferenceData!$BJ$260),"")</f>
        <v/>
      </c>
      <c r="BK260" t="str">
        <f ca="1">IFERROR(IF(0=LEN(ReferenceData!$BK$260),"",ReferenceData!$BK$260),"")</f>
        <v/>
      </c>
      <c r="BL260" t="str">
        <f ca="1">IFERROR(IF(0=LEN(ReferenceData!$BL$260),"",ReferenceData!$BL$260),"")</f>
        <v/>
      </c>
      <c r="BM260" t="str">
        <f ca="1">IFERROR(IF(0=LEN(ReferenceData!$BM$260),"",ReferenceData!$BM$260),"")</f>
        <v/>
      </c>
    </row>
    <row r="261" spans="1:65">
      <c r="A261" t="str">
        <f>IFERROR(IF(0=LEN(ReferenceData!$A$261),"",ReferenceData!$A$261),"")</f>
        <v xml:space="preserve">    Corporate Office Properties Tr</v>
      </c>
      <c r="B261" t="str">
        <f>IFERROR(IF(0=LEN(ReferenceData!$B$261),"",ReferenceData!$B$261),"")</f>
        <v>OFC US Equity</v>
      </c>
      <c r="C261" t="str">
        <f>IFERROR(IF(0=LEN(ReferenceData!$C$261),"",ReferenceData!$C$261),"")</f>
        <v/>
      </c>
      <c r="D261" t="str">
        <f>IFERROR(IF(0=LEN(ReferenceData!$D$261),"",ReferenceData!$D$261),"")</f>
        <v/>
      </c>
      <c r="E261" t="str">
        <f>IFERROR(IF(0=LEN(ReferenceData!$E$261),"",ReferenceData!$E$261),"")</f>
        <v>Expression</v>
      </c>
      <c r="F261" t="str">
        <f ca="1">IFERROR(IF(0=LEN(ReferenceData!$F$261),"",ReferenceData!$F$261),"")</f>
        <v/>
      </c>
      <c r="G261">
        <f ca="1">IFERROR(IF(0=LEN(ReferenceData!$G$261),"",ReferenceData!$G$261),"")</f>
        <v>808.02</v>
      </c>
      <c r="H261">
        <f ca="1">IFERROR(IF(0=LEN(ReferenceData!$H$261),"",ReferenceData!$H$261),"")</f>
        <v>809.82500000000005</v>
      </c>
      <c r="I261">
        <f ca="1">IFERROR(IF(0=LEN(ReferenceData!$I$261),"",ReferenceData!$I$261),"")</f>
        <v>808.74400000000003</v>
      </c>
      <c r="J261">
        <f ca="1">IFERROR(IF(0=LEN(ReferenceData!$J$261),"",ReferenceData!$J$261),"")</f>
        <v>1023.417</v>
      </c>
      <c r="K261">
        <f ca="1">IFERROR(IF(0=LEN(ReferenceData!$K$261),"",ReferenceData!$K$261),"")</f>
        <v>1005.802</v>
      </c>
      <c r="L261">
        <f ca="1">IFERROR(IF(0=LEN(ReferenceData!$L$261),"",ReferenceData!$L$261),"")</f>
        <v>846.58500000000004</v>
      </c>
      <c r="M261">
        <f ca="1">IFERROR(IF(0=LEN(ReferenceData!$M$261),"",ReferenceData!$M$261),"")</f>
        <v>576.04700000000003</v>
      </c>
      <c r="N261">
        <f ca="1">IFERROR(IF(0=LEN(ReferenceData!$N$261),"",ReferenceData!$N$261),"")</f>
        <v>534.42999999999995</v>
      </c>
      <c r="O261">
        <f ca="1">IFERROR(IF(0=LEN(ReferenceData!$O$261),"",ReferenceData!$O$261),"")</f>
        <v>593.90099999999995</v>
      </c>
      <c r="P261">
        <f ca="1">IFERROR(IF(0=LEN(ReferenceData!$P$261),"",ReferenceData!$P$261),"")</f>
        <v>664.23099999999999</v>
      </c>
      <c r="Q261">
        <f ca="1">IFERROR(IF(0=LEN(ReferenceData!$Q$261),"",ReferenceData!$Q$261),"")</f>
        <v>632.72299999999996</v>
      </c>
      <c r="R261">
        <f ca="1">IFERROR(IF(0=LEN(ReferenceData!$R$261),"",ReferenceData!$R$261),"")</f>
        <v>283.78300000000002</v>
      </c>
      <c r="S261" t="str">
        <f ca="1">IFERROR(IF(0=LEN(ReferenceData!$S$261),"",ReferenceData!$S$261),"")</f>
        <v/>
      </c>
      <c r="T261">
        <f ca="1">IFERROR(IF(0=LEN(ReferenceData!$T$261),"",ReferenceData!$T$261),"")</f>
        <v>673.56399999999996</v>
      </c>
      <c r="U261">
        <f ca="1">IFERROR(IF(0=LEN(ReferenceData!$U$261),"",ReferenceData!$U$261),"")</f>
        <v>858.37900000000002</v>
      </c>
      <c r="V261">
        <f ca="1">IFERROR(IF(0=LEN(ReferenceData!$V$261),"",ReferenceData!$V$261),"")</f>
        <v>715.995</v>
      </c>
      <c r="W261">
        <f ca="1">IFERROR(IF(0=LEN(ReferenceData!$W$261),"",ReferenceData!$W$261),"")</f>
        <v>749.49</v>
      </c>
      <c r="X261">
        <f ca="1">IFERROR(IF(0=LEN(ReferenceData!$X$261),"",ReferenceData!$X$261),"")</f>
        <v>825.00699999999995</v>
      </c>
      <c r="Y261">
        <f ca="1">IFERROR(IF(0=LEN(ReferenceData!$Y$261),"",ReferenceData!$Y$261),"")</f>
        <v>649.82899999999995</v>
      </c>
      <c r="Z261">
        <f ca="1">IFERROR(IF(0=LEN(ReferenceData!$Z$261),"",ReferenceData!$Z$261),"")</f>
        <v>728.01900000000001</v>
      </c>
      <c r="AA261">
        <f ca="1">IFERROR(IF(0=LEN(ReferenceData!$AA$261),"",ReferenceData!$AA$261),"")</f>
        <v>681.76499999999999</v>
      </c>
      <c r="AB261">
        <f ca="1">IFERROR(IF(0=LEN(ReferenceData!$AB$261),"",ReferenceData!$AB$261),"")</f>
        <v>703.61900000000003</v>
      </c>
      <c r="AC261">
        <f ca="1">IFERROR(IF(0=LEN(ReferenceData!$AC$261),"",ReferenceData!$AC$261),"")</f>
        <v>769.976</v>
      </c>
      <c r="AD261">
        <f ca="1">IFERROR(IF(0=LEN(ReferenceData!$AD$261),"",ReferenceData!$AD$261),"")</f>
        <v>535.78</v>
      </c>
      <c r="AE261">
        <f ca="1">IFERROR(IF(0=LEN(ReferenceData!$AE$261),"",ReferenceData!$AE$261),"")</f>
        <v>277.49599999999998</v>
      </c>
      <c r="AF261">
        <f ca="1">IFERROR(IF(0=LEN(ReferenceData!$AF$261),"",ReferenceData!$AF$261),"")</f>
        <v>331.34300000000002</v>
      </c>
      <c r="AG261">
        <f ca="1">IFERROR(IF(0=LEN(ReferenceData!$AG$261),"",ReferenceData!$AG$261),"")</f>
        <v>-47.511000000000003</v>
      </c>
      <c r="AH261">
        <f ca="1">IFERROR(IF(0=LEN(ReferenceData!$AH$261),"",ReferenceData!$AH$261),"")</f>
        <v>-180.14599999999999</v>
      </c>
      <c r="AI261">
        <f ca="1">IFERROR(IF(0=LEN(ReferenceData!$AI$261),"",ReferenceData!$AI$261),"")</f>
        <v>-135.976</v>
      </c>
      <c r="AJ261">
        <f ca="1">IFERROR(IF(0=LEN(ReferenceData!$AJ$261),"",ReferenceData!$AJ$261),"")</f>
        <v>208.24100000000001</v>
      </c>
      <c r="AK261">
        <f ca="1">IFERROR(IF(0=LEN(ReferenceData!$AK$261),"",ReferenceData!$AK$261),"")</f>
        <v>400.10700000000003</v>
      </c>
      <c r="AL261">
        <f ca="1">IFERROR(IF(0=LEN(ReferenceData!$AL$261),"",ReferenceData!$AL$261),"")</f>
        <v>149.857</v>
      </c>
      <c r="AM261">
        <f ca="1">IFERROR(IF(0=LEN(ReferenceData!$AM$261),"",ReferenceData!$AM$261),"")</f>
        <v>306.92</v>
      </c>
      <c r="AN261">
        <f ca="1">IFERROR(IF(0=LEN(ReferenceData!$AN$261),"",ReferenceData!$AN$261),"")</f>
        <v>559.29</v>
      </c>
      <c r="AO261">
        <f ca="1">IFERROR(IF(0=LEN(ReferenceData!$AO$261),"",ReferenceData!$AO$261),"")</f>
        <v>198.155</v>
      </c>
      <c r="AP261">
        <f ca="1">IFERROR(IF(0=LEN(ReferenceData!$AP$261),"",ReferenceData!$AP$261),"")</f>
        <v>1.4019999999999999</v>
      </c>
      <c r="AQ261">
        <f ca="1">IFERROR(IF(0=LEN(ReferenceData!$AQ$261),"",ReferenceData!$AQ$261),"")</f>
        <v>110.29300000000001</v>
      </c>
      <c r="AR261">
        <f ca="1">IFERROR(IF(0=LEN(ReferenceData!$AR$261),"",ReferenceData!$AR$261),"")</f>
        <v>202.7</v>
      </c>
      <c r="AS261">
        <f ca="1">IFERROR(IF(0=LEN(ReferenceData!$AS$261),"",ReferenceData!$AS$261),"")</f>
        <v>-162.959</v>
      </c>
      <c r="AT261">
        <f ca="1">IFERROR(IF(0=LEN(ReferenceData!$AT$261),"",ReferenceData!$AT$261),"")</f>
        <v>-340.94099999999997</v>
      </c>
      <c r="AU261">
        <f ca="1">IFERROR(IF(0=LEN(ReferenceData!$AU$261),"",ReferenceData!$AU$261),"")</f>
        <v>-34.481999999999999</v>
      </c>
      <c r="AV261">
        <f ca="1">IFERROR(IF(0=LEN(ReferenceData!$AV$261),"",ReferenceData!$AV$261),"")</f>
        <v>263.69200000000001</v>
      </c>
      <c r="AW261">
        <f ca="1">IFERROR(IF(0=LEN(ReferenceData!$AW$261),"",ReferenceData!$AW$261),"")</f>
        <v>111.188</v>
      </c>
      <c r="AX261">
        <f ca="1">IFERROR(IF(0=LEN(ReferenceData!$AX$261),"",ReferenceData!$AX$261),"")</f>
        <v>3.3530000000000002</v>
      </c>
      <c r="AY261">
        <f ca="1">IFERROR(IF(0=LEN(ReferenceData!$AY$261),"",ReferenceData!$AY$261),"")</f>
        <v>281.97300000000001</v>
      </c>
      <c r="AZ261" t="str">
        <f ca="1">IFERROR(IF(0=LEN(ReferenceData!$AZ$261),"",ReferenceData!$AZ$261),"")</f>
        <v/>
      </c>
      <c r="BA261" t="str">
        <f ca="1">IFERROR(IF(0=LEN(ReferenceData!$BA$261),"",ReferenceData!$BA$261),"")</f>
        <v/>
      </c>
      <c r="BB261" t="str">
        <f ca="1">IFERROR(IF(0=LEN(ReferenceData!$BB$261),"",ReferenceData!$BB$261),"")</f>
        <v/>
      </c>
      <c r="BC261" t="str">
        <f ca="1">IFERROR(IF(0=LEN(ReferenceData!$BC$261),"",ReferenceData!$BC$261),"")</f>
        <v/>
      </c>
      <c r="BD261" t="str">
        <f ca="1">IFERROR(IF(0=LEN(ReferenceData!$BD$261),"",ReferenceData!$BD$261),"")</f>
        <v/>
      </c>
      <c r="BE261" t="str">
        <f ca="1">IFERROR(IF(0=LEN(ReferenceData!$BE$261),"",ReferenceData!$BE$261),"")</f>
        <v/>
      </c>
      <c r="BF261" t="str">
        <f ca="1">IFERROR(IF(0=LEN(ReferenceData!$BF$261),"",ReferenceData!$BF$261),"")</f>
        <v/>
      </c>
      <c r="BG261">
        <f ca="1">IFERROR(IF(0=LEN(ReferenceData!$BG$261),"",ReferenceData!$BG$261),"")</f>
        <v>50.195</v>
      </c>
      <c r="BH261" t="str">
        <f ca="1">IFERROR(IF(0=LEN(ReferenceData!$BH$261),"",ReferenceData!$BH$261),"")</f>
        <v/>
      </c>
      <c r="BI261">
        <f ca="1">IFERROR(IF(0=LEN(ReferenceData!$BI$261),"",ReferenceData!$BI$261),"")</f>
        <v>111.846</v>
      </c>
      <c r="BJ261">
        <f ca="1">IFERROR(IF(0=LEN(ReferenceData!$BJ$261),"",ReferenceData!$BJ$261),"")</f>
        <v>39.197000000000003</v>
      </c>
      <c r="BK261" t="str">
        <f ca="1">IFERROR(IF(0=LEN(ReferenceData!$BK$261),"",ReferenceData!$BK$261),"")</f>
        <v/>
      </c>
      <c r="BL261">
        <f ca="1">IFERROR(IF(0=LEN(ReferenceData!$BL$261),"",ReferenceData!$BL$261),"")</f>
        <v>59.930999999999997</v>
      </c>
      <c r="BM261">
        <f ca="1">IFERROR(IF(0=LEN(ReferenceData!$BM$261),"",ReferenceData!$BM$261),"")</f>
        <v>10.342000000000001</v>
      </c>
    </row>
    <row r="262" spans="1:65">
      <c r="A262" t="str">
        <f>IFERROR(IF(0=LEN(ReferenceData!$A$262),"",ReferenceData!$A$262),"")</f>
        <v xml:space="preserve">    Highwoods Properties Inc</v>
      </c>
      <c r="B262" t="str">
        <f>IFERROR(IF(0=LEN(ReferenceData!$B$262),"",ReferenceData!$B$262),"")</f>
        <v>HIW US Equity</v>
      </c>
      <c r="C262" t="str">
        <f>IFERROR(IF(0=LEN(ReferenceData!$C$262),"",ReferenceData!$C$262),"")</f>
        <v/>
      </c>
      <c r="D262" t="str">
        <f>IFERROR(IF(0=LEN(ReferenceData!$D$262),"",ReferenceData!$D$262),"")</f>
        <v/>
      </c>
      <c r="E262" t="str">
        <f>IFERROR(IF(0=LEN(ReferenceData!$E$262),"",ReferenceData!$E$262),"")</f>
        <v>Expression</v>
      </c>
      <c r="F262" t="str">
        <f ca="1">IFERROR(IF(0=LEN(ReferenceData!$F$262),"",ReferenceData!$F$262),"")</f>
        <v/>
      </c>
      <c r="G262">
        <f ca="1">IFERROR(IF(0=LEN(ReferenceData!$G$262),"",ReferenceData!$G$262),"")</f>
        <v>147.06399999999999</v>
      </c>
      <c r="H262">
        <f ca="1">IFERROR(IF(0=LEN(ReferenceData!$H$262),"",ReferenceData!$H$262),"")</f>
        <v>407.26400000000001</v>
      </c>
      <c r="I262">
        <f ca="1">IFERROR(IF(0=LEN(ReferenceData!$I$262),"",ReferenceData!$I$262),"")</f>
        <v>376.74599999999998</v>
      </c>
      <c r="J262">
        <f ca="1">IFERROR(IF(0=LEN(ReferenceData!$J$262),"",ReferenceData!$J$262),"")</f>
        <v>221.36</v>
      </c>
      <c r="K262">
        <f ca="1">IFERROR(IF(0=LEN(ReferenceData!$K$262),"",ReferenceData!$K$262),"")</f>
        <v>17.12</v>
      </c>
      <c r="L262">
        <f ca="1">IFERROR(IF(0=LEN(ReferenceData!$L$262),"",ReferenceData!$L$262),"")</f>
        <v>453.18700000000001</v>
      </c>
      <c r="M262">
        <f ca="1">IFERROR(IF(0=LEN(ReferenceData!$M$262),"",ReferenceData!$M$262),"")</f>
        <v>194.244</v>
      </c>
      <c r="N262">
        <f ca="1">IFERROR(IF(0=LEN(ReferenceData!$N$262),"",ReferenceData!$N$262),"")</f>
        <v>176.46299999999999</v>
      </c>
      <c r="O262" t="str">
        <f ca="1">IFERROR(IF(0=LEN(ReferenceData!$O$262),"",ReferenceData!$O$262),"")</f>
        <v/>
      </c>
      <c r="P262">
        <f ca="1">IFERROR(IF(0=LEN(ReferenceData!$P$262),"",ReferenceData!$P$262),"")</f>
        <v>214.98400000000001</v>
      </c>
      <c r="Q262">
        <f ca="1">IFERROR(IF(0=LEN(ReferenceData!$Q$262),"",ReferenceData!$Q$262),"")</f>
        <v>320.53899999999999</v>
      </c>
      <c r="R262">
        <f ca="1">IFERROR(IF(0=LEN(ReferenceData!$R$262),"",ReferenceData!$R$262),"")</f>
        <v>218.941</v>
      </c>
      <c r="S262">
        <f ca="1">IFERROR(IF(0=LEN(ReferenceData!$S$262),"",ReferenceData!$S$262),"")</f>
        <v>230.58699999999999</v>
      </c>
      <c r="T262">
        <f ca="1">IFERROR(IF(0=LEN(ReferenceData!$T$262),"",ReferenceData!$T$262),"")</f>
        <v>297.09899999999999</v>
      </c>
      <c r="U262">
        <f ca="1">IFERROR(IF(0=LEN(ReferenceData!$U$262),"",ReferenceData!$U$262),"")</f>
        <v>297.13</v>
      </c>
      <c r="V262">
        <f ca="1">IFERROR(IF(0=LEN(ReferenceData!$V$262),"",ReferenceData!$V$262),"")</f>
        <v>173.71</v>
      </c>
      <c r="W262">
        <f ca="1">IFERROR(IF(0=LEN(ReferenceData!$W$262),"",ReferenceData!$W$262),"")</f>
        <v>130.62100000000001</v>
      </c>
      <c r="X262">
        <f ca="1">IFERROR(IF(0=LEN(ReferenceData!$X$262),"",ReferenceData!$X$262),"")</f>
        <v>300.18900000000002</v>
      </c>
      <c r="Y262">
        <f ca="1">IFERROR(IF(0=LEN(ReferenceData!$Y$262),"",ReferenceData!$Y$262),"")</f>
        <v>234.358</v>
      </c>
      <c r="Z262">
        <f ca="1">IFERROR(IF(0=LEN(ReferenceData!$Z$262),"",ReferenceData!$Z$262),"")</f>
        <v>276.39999999999998</v>
      </c>
      <c r="AA262">
        <f ca="1">IFERROR(IF(0=LEN(ReferenceData!$AA$262),"",ReferenceData!$AA$262),"")</f>
        <v>342.226</v>
      </c>
      <c r="AB262">
        <f ca="1">IFERROR(IF(0=LEN(ReferenceData!$AB$262),"",ReferenceData!$AB$262),"")</f>
        <v>377.18400000000003</v>
      </c>
      <c r="AC262">
        <f ca="1">IFERROR(IF(0=LEN(ReferenceData!$AC$262),"",ReferenceData!$AC$262),"")</f>
        <v>333.00599999999997</v>
      </c>
      <c r="AD262">
        <f ca="1">IFERROR(IF(0=LEN(ReferenceData!$AD$262),"",ReferenceData!$AD$262),"")</f>
        <v>272.97500000000002</v>
      </c>
      <c r="AE262">
        <f ca="1">IFERROR(IF(0=LEN(ReferenceData!$AE$262),"",ReferenceData!$AE$262),"")</f>
        <v>38.363999999999997</v>
      </c>
      <c r="AF262">
        <f ca="1">IFERROR(IF(0=LEN(ReferenceData!$AF$262),"",ReferenceData!$AF$262),"")</f>
        <v>268.779</v>
      </c>
      <c r="AG262">
        <f ca="1">IFERROR(IF(0=LEN(ReferenceData!$AG$262),"",ReferenceData!$AG$262),"")</f>
        <v>281.52999999999997</v>
      </c>
      <c r="AH262">
        <f ca="1">IFERROR(IF(0=LEN(ReferenceData!$AH$262),"",ReferenceData!$AH$262),"")</f>
        <v>378.20100000000002</v>
      </c>
      <c r="AI262">
        <f ca="1">IFERROR(IF(0=LEN(ReferenceData!$AI$262),"",ReferenceData!$AI$262),"")</f>
        <v>182.33099999999999</v>
      </c>
      <c r="AJ262">
        <f ca="1">IFERROR(IF(0=LEN(ReferenceData!$AJ$262),"",ReferenceData!$AJ$262),"")</f>
        <v>367.76</v>
      </c>
      <c r="AK262">
        <f ca="1">IFERROR(IF(0=LEN(ReferenceData!$AK$262),"",ReferenceData!$AK$262),"")</f>
        <v>393.00200000000001</v>
      </c>
      <c r="AL262">
        <f ca="1">IFERROR(IF(0=LEN(ReferenceData!$AL$262),"",ReferenceData!$AL$262),"")</f>
        <v>371.49700000000001</v>
      </c>
      <c r="AM262">
        <f ca="1">IFERROR(IF(0=LEN(ReferenceData!$AM$262),"",ReferenceData!$AM$262),"")</f>
        <v>369.13900000000001</v>
      </c>
      <c r="AN262">
        <f ca="1">IFERROR(IF(0=LEN(ReferenceData!$AN$262),"",ReferenceData!$AN$262),"")</f>
        <v>490.089</v>
      </c>
      <c r="AO262">
        <f ca="1">IFERROR(IF(0=LEN(ReferenceData!$AO$262),"",ReferenceData!$AO$262),"")</f>
        <v>348.084</v>
      </c>
      <c r="AP262">
        <f ca="1">IFERROR(IF(0=LEN(ReferenceData!$AP$262),"",ReferenceData!$AP$262),"")</f>
        <v>142.65</v>
      </c>
      <c r="AQ262">
        <f ca="1">IFERROR(IF(0=LEN(ReferenceData!$AQ$262),"",ReferenceData!$AQ$262),"")</f>
        <v>123.70399999999999</v>
      </c>
      <c r="AR262" t="str">
        <f ca="1">IFERROR(IF(0=LEN(ReferenceData!$AR$262),"",ReferenceData!$AR$262),"")</f>
        <v/>
      </c>
      <c r="AS262" t="str">
        <f ca="1">IFERROR(IF(0=LEN(ReferenceData!$AS$262),"",ReferenceData!$AS$262),"")</f>
        <v/>
      </c>
      <c r="AT262" t="str">
        <f ca="1">IFERROR(IF(0=LEN(ReferenceData!$AT$262),"",ReferenceData!$AT$262),"")</f>
        <v/>
      </c>
      <c r="AU262">
        <f ca="1">IFERROR(IF(0=LEN(ReferenceData!$AU$262),"",ReferenceData!$AU$262),"")</f>
        <v>114.203</v>
      </c>
      <c r="AV262" t="str">
        <f ca="1">IFERROR(IF(0=LEN(ReferenceData!$AV$262),"",ReferenceData!$AV$262),"")</f>
        <v/>
      </c>
      <c r="AW262" t="str">
        <f ca="1">IFERROR(IF(0=LEN(ReferenceData!$AW$262),"",ReferenceData!$AW$262),"")</f>
        <v/>
      </c>
      <c r="AX262" t="str">
        <f ca="1">IFERROR(IF(0=LEN(ReferenceData!$AX$262),"",ReferenceData!$AX$262),"")</f>
        <v/>
      </c>
      <c r="AY262">
        <f ca="1">IFERROR(IF(0=LEN(ReferenceData!$AY$262),"",ReferenceData!$AY$262),"")</f>
        <v>379.98099999999999</v>
      </c>
      <c r="AZ262">
        <f ca="1">IFERROR(IF(0=LEN(ReferenceData!$AZ$262),"",ReferenceData!$AZ$262),"")</f>
        <v>65.224000000000004</v>
      </c>
      <c r="BA262">
        <f ca="1">IFERROR(IF(0=LEN(ReferenceData!$BA$262),"",ReferenceData!$BA$262),"")</f>
        <v>57.628</v>
      </c>
      <c r="BB262" t="str">
        <f ca="1">IFERROR(IF(0=LEN(ReferenceData!$BB$262),"",ReferenceData!$BB$262),"")</f>
        <v/>
      </c>
      <c r="BC262">
        <f ca="1">IFERROR(IF(0=LEN(ReferenceData!$BC$262),"",ReferenceData!$BC$262),"")</f>
        <v>-165.685</v>
      </c>
      <c r="BD262" t="str">
        <f ca="1">IFERROR(IF(0=LEN(ReferenceData!$BD$262),"",ReferenceData!$BD$262),"")</f>
        <v/>
      </c>
      <c r="BE262" t="str">
        <f ca="1">IFERROR(IF(0=LEN(ReferenceData!$BE$262),"",ReferenceData!$BE$262),"")</f>
        <v/>
      </c>
      <c r="BF262" t="str">
        <f ca="1">IFERROR(IF(0=LEN(ReferenceData!$BF$262),"",ReferenceData!$BF$262),"")</f>
        <v/>
      </c>
      <c r="BG262">
        <f ca="1">IFERROR(IF(0=LEN(ReferenceData!$BG$262),"",ReferenceData!$BG$262),"")</f>
        <v>-98.131</v>
      </c>
      <c r="BH262" t="str">
        <f ca="1">IFERROR(IF(0=LEN(ReferenceData!$BH$262),"",ReferenceData!$BH$262),"")</f>
        <v/>
      </c>
      <c r="BI262" t="str">
        <f ca="1">IFERROR(IF(0=LEN(ReferenceData!$BI$262),"",ReferenceData!$BI$262),"")</f>
        <v/>
      </c>
      <c r="BJ262" t="str">
        <f ca="1">IFERROR(IF(0=LEN(ReferenceData!$BJ$262),"",ReferenceData!$BJ$262),"")</f>
        <v/>
      </c>
      <c r="BK262" t="str">
        <f ca="1">IFERROR(IF(0=LEN(ReferenceData!$BK$262),"",ReferenceData!$BK$262),"")</f>
        <v/>
      </c>
      <c r="BL262" t="str">
        <f ca="1">IFERROR(IF(0=LEN(ReferenceData!$BL$262),"",ReferenceData!$BL$262),"")</f>
        <v/>
      </c>
      <c r="BM262" t="str">
        <f ca="1">IFERROR(IF(0=LEN(ReferenceData!$BM$262),"",ReferenceData!$BM$262),"")</f>
        <v/>
      </c>
    </row>
    <row r="263" spans="1:65">
      <c r="A263" t="str">
        <f>IFERROR(IF(0=LEN(ReferenceData!$A$263),"",ReferenceData!$A$263),"")</f>
        <v xml:space="preserve">    Kilroy Realty Corp</v>
      </c>
      <c r="B263" t="str">
        <f>IFERROR(IF(0=LEN(ReferenceData!$B$263),"",ReferenceData!$B$263),"")</f>
        <v>KRC US Equity</v>
      </c>
      <c r="C263" t="str">
        <f>IFERROR(IF(0=LEN(ReferenceData!$C$263),"",ReferenceData!$C$263),"")</f>
        <v/>
      </c>
      <c r="D263" t="str">
        <f>IFERROR(IF(0=LEN(ReferenceData!$D$263),"",ReferenceData!$D$263),"")</f>
        <v/>
      </c>
      <c r="E263" t="str">
        <f>IFERROR(IF(0=LEN(ReferenceData!$E$263),"",ReferenceData!$E$263),"")</f>
        <v>Expression</v>
      </c>
      <c r="F263" t="str">
        <f ca="1">IFERROR(IF(0=LEN(ReferenceData!$F$263),"",ReferenceData!$F$263),"")</f>
        <v/>
      </c>
      <c r="G263">
        <f ca="1">IFERROR(IF(0=LEN(ReferenceData!$G$263),"",ReferenceData!$G$263),"")</f>
        <v>804.06500000000005</v>
      </c>
      <c r="H263">
        <f ca="1">IFERROR(IF(0=LEN(ReferenceData!$H$263),"",ReferenceData!$H$263),"")</f>
        <v>753.40899999999999</v>
      </c>
      <c r="I263">
        <f ca="1">IFERROR(IF(0=LEN(ReferenceData!$I$263),"",ReferenceData!$I$263),"")</f>
        <v>984.54399999999998</v>
      </c>
      <c r="J263">
        <f ca="1">IFERROR(IF(0=LEN(ReferenceData!$J$263),"",ReferenceData!$J$263),"")</f>
        <v>1073.81</v>
      </c>
      <c r="K263">
        <f ca="1">IFERROR(IF(0=LEN(ReferenceData!$K$263),"",ReferenceData!$K$263),"")</f>
        <v>786.13199999999995</v>
      </c>
      <c r="L263">
        <f ca="1">IFERROR(IF(0=LEN(ReferenceData!$L$263),"",ReferenceData!$L$263),"")</f>
        <v>848.04300000000001</v>
      </c>
      <c r="M263">
        <f ca="1">IFERROR(IF(0=LEN(ReferenceData!$M$263),"",ReferenceData!$M$263),"")</f>
        <v>401.40600000000001</v>
      </c>
      <c r="N263">
        <f ca="1">IFERROR(IF(0=LEN(ReferenceData!$N$263),"",ReferenceData!$N$263),"")</f>
        <v>556.28899999999999</v>
      </c>
      <c r="O263" t="str">
        <f ca="1">IFERROR(IF(0=LEN(ReferenceData!$O$263),"",ReferenceData!$O$263),"")</f>
        <v/>
      </c>
      <c r="P263">
        <f ca="1">IFERROR(IF(0=LEN(ReferenceData!$P$263),"",ReferenceData!$P$263),"")</f>
        <v>840.17200000000003</v>
      </c>
      <c r="Q263">
        <f ca="1">IFERROR(IF(0=LEN(ReferenceData!$Q$263),"",ReferenceData!$Q$263),"")</f>
        <v>197.81</v>
      </c>
      <c r="R263">
        <f ca="1">IFERROR(IF(0=LEN(ReferenceData!$R$263),"",ReferenceData!$R$263),"")</f>
        <v>153.55099999999999</v>
      </c>
      <c r="S263">
        <f ca="1">IFERROR(IF(0=LEN(ReferenceData!$S$263),"",ReferenceData!$S$263),"")</f>
        <v>88.677999999999997</v>
      </c>
      <c r="T263">
        <f ca="1">IFERROR(IF(0=LEN(ReferenceData!$T$263),"",ReferenceData!$T$263),"")</f>
        <v>662.42200000000003</v>
      </c>
      <c r="U263">
        <f ca="1">IFERROR(IF(0=LEN(ReferenceData!$U$263),"",ReferenceData!$U$263),"")</f>
        <v>274.08600000000001</v>
      </c>
      <c r="V263">
        <f ca="1">IFERROR(IF(0=LEN(ReferenceData!$V$263),"",ReferenceData!$V$263),"")</f>
        <v>332.60199999999998</v>
      </c>
      <c r="W263">
        <f ca="1">IFERROR(IF(0=LEN(ReferenceData!$W$263),"",ReferenceData!$W$263),"")</f>
        <v>225.03100000000001</v>
      </c>
      <c r="X263">
        <f ca="1">IFERROR(IF(0=LEN(ReferenceData!$X$263),"",ReferenceData!$X$263),"")</f>
        <v>694.76300000000003</v>
      </c>
      <c r="Y263">
        <f ca="1">IFERROR(IF(0=LEN(ReferenceData!$Y$263),"",ReferenceData!$Y$263),"")</f>
        <v>601.36500000000001</v>
      </c>
      <c r="Z263">
        <f ca="1">IFERROR(IF(0=LEN(ReferenceData!$Z$263),"",ReferenceData!$Z$263),"")</f>
        <v>628.66</v>
      </c>
      <c r="AA263">
        <f ca="1">IFERROR(IF(0=LEN(ReferenceData!$AA$263),"",ReferenceData!$AA$263),"")</f>
        <v>240.81899999999999</v>
      </c>
      <c r="AB263">
        <f ca="1">IFERROR(IF(0=LEN(ReferenceData!$AB$263),"",ReferenceData!$AB$263),"")</f>
        <v>487.46699999999998</v>
      </c>
      <c r="AC263">
        <f ca="1">IFERROR(IF(0=LEN(ReferenceData!$AC$263),"",ReferenceData!$AC$263),"")</f>
        <v>414.06</v>
      </c>
      <c r="AD263">
        <f ca="1">IFERROR(IF(0=LEN(ReferenceData!$AD$263),"",ReferenceData!$AD$263),"")</f>
        <v>622.61</v>
      </c>
      <c r="AE263">
        <f ca="1">IFERROR(IF(0=LEN(ReferenceData!$AE$263),"",ReferenceData!$AE$263),"")</f>
        <v>69.472999999999999</v>
      </c>
      <c r="AF263">
        <f ca="1">IFERROR(IF(0=LEN(ReferenceData!$AF$263),"",ReferenceData!$AF$263),"")</f>
        <v>445.11</v>
      </c>
      <c r="AG263">
        <f ca="1">IFERROR(IF(0=LEN(ReferenceData!$AG$263),"",ReferenceData!$AG$263),"")</f>
        <v>208.15</v>
      </c>
      <c r="AH263">
        <f ca="1">IFERROR(IF(0=LEN(ReferenceData!$AH$263),"",ReferenceData!$AH$263),"")</f>
        <v>376.29</v>
      </c>
      <c r="AI263">
        <f ca="1">IFERROR(IF(0=LEN(ReferenceData!$AI$263),"",ReferenceData!$AI$263),"")</f>
        <v>280.82299999999998</v>
      </c>
      <c r="AJ263">
        <f ca="1">IFERROR(IF(0=LEN(ReferenceData!$AJ$263),"",ReferenceData!$AJ$263),"")</f>
        <v>301.72300000000001</v>
      </c>
      <c r="AK263">
        <f ca="1">IFERROR(IF(0=LEN(ReferenceData!$AK$263),"",ReferenceData!$AK$263),"")</f>
        <v>365.28899999999999</v>
      </c>
      <c r="AL263">
        <f ca="1">IFERROR(IF(0=LEN(ReferenceData!$AL$263),"",ReferenceData!$AL$263),"")</f>
        <v>345.053</v>
      </c>
      <c r="AM263">
        <f ca="1">IFERROR(IF(0=LEN(ReferenceData!$AM$263),"",ReferenceData!$AM$263),"")</f>
        <v>202.29599999999999</v>
      </c>
      <c r="AN263">
        <f ca="1">IFERROR(IF(0=LEN(ReferenceData!$AN$263),"",ReferenceData!$AN$263),"")</f>
        <v>428.88099999999997</v>
      </c>
      <c r="AO263">
        <f ca="1">IFERROR(IF(0=LEN(ReferenceData!$AO$263),"",ReferenceData!$AO$263),"")</f>
        <v>465</v>
      </c>
      <c r="AP263">
        <f ca="1">IFERROR(IF(0=LEN(ReferenceData!$AP$263),"",ReferenceData!$AP$263),"")</f>
        <v>211.797</v>
      </c>
      <c r="AQ263">
        <f ca="1">IFERROR(IF(0=LEN(ReferenceData!$AQ$263),"",ReferenceData!$AQ$263),"")</f>
        <v>226.00299999999999</v>
      </c>
      <c r="AR263">
        <f ca="1">IFERROR(IF(0=LEN(ReferenceData!$AR$263),"",ReferenceData!$AR$263),"")</f>
        <v>320.95499999999998</v>
      </c>
      <c r="AS263">
        <f ca="1">IFERROR(IF(0=LEN(ReferenceData!$AS$263),"",ReferenceData!$AS$263),"")</f>
        <v>318.66699999999997</v>
      </c>
      <c r="AT263">
        <f ca="1">IFERROR(IF(0=LEN(ReferenceData!$AT$263),"",ReferenceData!$AT$263),"")</f>
        <v>338.68099999999998</v>
      </c>
      <c r="AU263">
        <f ca="1">IFERROR(IF(0=LEN(ReferenceData!$AU$263),"",ReferenceData!$AU$263),"")</f>
        <v>369.18400000000003</v>
      </c>
      <c r="AV263">
        <f ca="1">IFERROR(IF(0=LEN(ReferenceData!$AV$263),"",ReferenceData!$AV$263),"")</f>
        <v>501.65269999999998</v>
      </c>
      <c r="AW263">
        <f ca="1">IFERROR(IF(0=LEN(ReferenceData!$AW$263),"",ReferenceData!$AW$263),"")</f>
        <v>538.53399999999999</v>
      </c>
      <c r="AX263">
        <f ca="1">IFERROR(IF(0=LEN(ReferenceData!$AX$263),"",ReferenceData!$AX$263),"")</f>
        <v>195.96700000000001</v>
      </c>
      <c r="AY263">
        <f ca="1">IFERROR(IF(0=LEN(ReferenceData!$AY$263),"",ReferenceData!$AY$263),"")</f>
        <v>255.04400000000001</v>
      </c>
      <c r="AZ263">
        <f ca="1">IFERROR(IF(0=LEN(ReferenceData!$AZ$263),"",ReferenceData!$AZ$263),"")</f>
        <v>293.57600000000002</v>
      </c>
      <c r="BA263">
        <f ca="1">IFERROR(IF(0=LEN(ReferenceData!$BA$263),"",ReferenceData!$BA$263),"")</f>
        <v>351.38299999999998</v>
      </c>
      <c r="BB263">
        <f ca="1">IFERROR(IF(0=LEN(ReferenceData!$BB$263),"",ReferenceData!$BB$263),"")</f>
        <v>111.19499999999999</v>
      </c>
      <c r="BC263" t="str">
        <f ca="1">IFERROR(IF(0=LEN(ReferenceData!$BC$263),"",ReferenceData!$BC$263),"")</f>
        <v/>
      </c>
      <c r="BD263">
        <f ca="1">IFERROR(IF(0=LEN(ReferenceData!$BD$263),"",ReferenceData!$BD$263),"")</f>
        <v>215.56</v>
      </c>
      <c r="BE263">
        <f ca="1">IFERROR(IF(0=LEN(ReferenceData!$BE$263),"",ReferenceData!$BE$263),"")</f>
        <v>233.613</v>
      </c>
      <c r="BF263" t="str">
        <f ca="1">IFERROR(IF(0=LEN(ReferenceData!$BF$263),"",ReferenceData!$BF$263),"")</f>
        <v/>
      </c>
      <c r="BG263">
        <f ca="1">IFERROR(IF(0=LEN(ReferenceData!$BG$263),"",ReferenceData!$BG$263),"")</f>
        <v>213.62</v>
      </c>
      <c r="BH263" t="str">
        <f ca="1">IFERROR(IF(0=LEN(ReferenceData!$BH$263),"",ReferenceData!$BH$263),"")</f>
        <v/>
      </c>
      <c r="BI263" t="str">
        <f ca="1">IFERROR(IF(0=LEN(ReferenceData!$BI$263),"",ReferenceData!$BI$263),"")</f>
        <v/>
      </c>
      <c r="BJ263" t="str">
        <f ca="1">IFERROR(IF(0=LEN(ReferenceData!$BJ$263),"",ReferenceData!$BJ$263),"")</f>
        <v/>
      </c>
      <c r="BK263" t="str">
        <f ca="1">IFERROR(IF(0=LEN(ReferenceData!$BK$263),"",ReferenceData!$BK$263),"")</f>
        <v/>
      </c>
      <c r="BL263" t="str">
        <f ca="1">IFERROR(IF(0=LEN(ReferenceData!$BL$263),"",ReferenceData!$BL$263),"")</f>
        <v/>
      </c>
      <c r="BM263" t="str">
        <f ca="1">IFERROR(IF(0=LEN(ReferenceData!$BM$263),"",ReferenceData!$BM$263),"")</f>
        <v/>
      </c>
    </row>
    <row r="264" spans="1:65">
      <c r="A264" t="str">
        <f>IFERROR(IF(0=LEN(ReferenceData!$A$264),"",ReferenceData!$A$264),"")</f>
        <v xml:space="preserve">    Mack-Cali Realty Corp</v>
      </c>
      <c r="B264" t="str">
        <f>IFERROR(IF(0=LEN(ReferenceData!$B$264),"",ReferenceData!$B$264),"")</f>
        <v>CLI US Equity</v>
      </c>
      <c r="C264" t="str">
        <f>IFERROR(IF(0=LEN(ReferenceData!$C$264),"",ReferenceData!$C$264),"")</f>
        <v/>
      </c>
      <c r="D264" t="str">
        <f>IFERROR(IF(0=LEN(ReferenceData!$D$264),"",ReferenceData!$D$264),"")</f>
        <v/>
      </c>
      <c r="E264" t="str">
        <f>IFERROR(IF(0=LEN(ReferenceData!$E$264),"",ReferenceData!$E$264),"")</f>
        <v>Expression</v>
      </c>
      <c r="F264" t="str">
        <f ca="1">IFERROR(IF(0=LEN(ReferenceData!$F$264),"",ReferenceData!$F$264),"")</f>
        <v/>
      </c>
      <c r="G264">
        <f ca="1">IFERROR(IF(0=LEN(ReferenceData!$G$264),"",ReferenceData!$G$264),"")</f>
        <v>-0.84499999999999997</v>
      </c>
      <c r="H264">
        <f ca="1">IFERROR(IF(0=LEN(ReferenceData!$H$264),"",ReferenceData!$H$264),"")</f>
        <v>90.102000000000004</v>
      </c>
      <c r="I264">
        <f ca="1">IFERROR(IF(0=LEN(ReferenceData!$I$264),"",ReferenceData!$I$264),"")</f>
        <v>165.511</v>
      </c>
      <c r="J264">
        <f ca="1">IFERROR(IF(0=LEN(ReferenceData!$J$264),"",ReferenceData!$J$264),"")</f>
        <v>319.43</v>
      </c>
      <c r="K264">
        <f ca="1">IFERROR(IF(0=LEN(ReferenceData!$K$264),"",ReferenceData!$K$264),"")</f>
        <v>-548.80799999999999</v>
      </c>
      <c r="L264">
        <f ca="1">IFERROR(IF(0=LEN(ReferenceData!$L$264),"",ReferenceData!$L$264),"")</f>
        <v>809.34400000000005</v>
      </c>
      <c r="M264">
        <f ca="1">IFERROR(IF(0=LEN(ReferenceData!$M$264),"",ReferenceData!$M$264),"")</f>
        <v>835.09900000000005</v>
      </c>
      <c r="N264">
        <f ca="1">IFERROR(IF(0=LEN(ReferenceData!$N$264),"",ReferenceData!$N$264),"")</f>
        <v>848.88</v>
      </c>
      <c r="O264" t="str">
        <f ca="1">IFERROR(IF(0=LEN(ReferenceData!$O$264),"",ReferenceData!$O$264),"")</f>
        <v/>
      </c>
      <c r="P264">
        <f ca="1">IFERROR(IF(0=LEN(ReferenceData!$P$264),"",ReferenceData!$P$264),"")</f>
        <v>915.197</v>
      </c>
      <c r="Q264">
        <f ca="1">IFERROR(IF(0=LEN(ReferenceData!$Q$264),"",ReferenceData!$Q$264),"")</f>
        <v>901.56500000000005</v>
      </c>
      <c r="R264">
        <f ca="1">IFERROR(IF(0=LEN(ReferenceData!$R$264),"",ReferenceData!$R$264),"")</f>
        <v>825.76300000000003</v>
      </c>
      <c r="S264">
        <f ca="1">IFERROR(IF(0=LEN(ReferenceData!$S$264),"",ReferenceData!$S$264),"")</f>
        <v>853.149</v>
      </c>
      <c r="T264">
        <f ca="1">IFERROR(IF(0=LEN(ReferenceData!$T$264),"",ReferenceData!$T$264),"")</f>
        <v>969.73900000000003</v>
      </c>
      <c r="U264">
        <f ca="1">IFERROR(IF(0=LEN(ReferenceData!$U$264),"",ReferenceData!$U$264),"")</f>
        <v>891.45899999999995</v>
      </c>
      <c r="V264">
        <f ca="1">IFERROR(IF(0=LEN(ReferenceData!$V$264),"",ReferenceData!$V$264),"")</f>
        <v>810.76599999999996</v>
      </c>
      <c r="W264">
        <f ca="1">IFERROR(IF(0=LEN(ReferenceData!$W$264),"",ReferenceData!$W$264),"")</f>
        <v>451.11</v>
      </c>
      <c r="X264">
        <f ca="1">IFERROR(IF(0=LEN(ReferenceData!$X$264),"",ReferenceData!$X$264),"")</f>
        <v>1258.9659999999999</v>
      </c>
      <c r="Y264">
        <f ca="1">IFERROR(IF(0=LEN(ReferenceData!$Y$264),"",ReferenceData!$Y$264),"")</f>
        <v>689.34299999999996</v>
      </c>
      <c r="Z264">
        <f ca="1">IFERROR(IF(0=LEN(ReferenceData!$Z$264),"",ReferenceData!$Z$264),"")</f>
        <v>741.29</v>
      </c>
      <c r="AA264">
        <f ca="1">IFERROR(IF(0=LEN(ReferenceData!$AA$264),"",ReferenceData!$AA$264),"")</f>
        <v>466.072</v>
      </c>
      <c r="AB264">
        <f ca="1">IFERROR(IF(0=LEN(ReferenceData!$AB$264),"",ReferenceData!$AB$264),"")</f>
        <v>540.80499999999995</v>
      </c>
      <c r="AC264">
        <f ca="1">IFERROR(IF(0=LEN(ReferenceData!$AC$264),"",ReferenceData!$AC$264),"")</f>
        <v>592.755</v>
      </c>
      <c r="AD264">
        <f ca="1">IFERROR(IF(0=LEN(ReferenceData!$AD$264),"",ReferenceData!$AD$264),"")</f>
        <v>506.72699999999998</v>
      </c>
      <c r="AE264">
        <f ca="1">IFERROR(IF(0=LEN(ReferenceData!$AE$264),"",ReferenceData!$AE$264),"")</f>
        <v>732.18899999999996</v>
      </c>
      <c r="AF264">
        <f ca="1">IFERROR(IF(0=LEN(ReferenceData!$AF$264),"",ReferenceData!$AF$264),"")</f>
        <v>707.01900000000001</v>
      </c>
      <c r="AG264">
        <f ca="1">IFERROR(IF(0=LEN(ReferenceData!$AG$264),"",ReferenceData!$AG$264),"")</f>
        <v>777.03700000000003</v>
      </c>
      <c r="AH264">
        <f ca="1">IFERROR(IF(0=LEN(ReferenceData!$AH$264),"",ReferenceData!$AH$264),"")</f>
        <v>751.58500000000004</v>
      </c>
      <c r="AI264">
        <f ca="1">IFERROR(IF(0=LEN(ReferenceData!$AI$264),"",ReferenceData!$AI$264),"")</f>
        <v>548.63400000000001</v>
      </c>
      <c r="AJ264">
        <f ca="1">IFERROR(IF(0=LEN(ReferenceData!$AJ$264),"",ReferenceData!$AJ$264),"")</f>
        <v>863.69</v>
      </c>
      <c r="AK264">
        <f ca="1">IFERROR(IF(0=LEN(ReferenceData!$AK$264),"",ReferenceData!$AK$264),"")</f>
        <v>896.81299999999999</v>
      </c>
      <c r="AL264">
        <f ca="1">IFERROR(IF(0=LEN(ReferenceData!$AL$264),"",ReferenceData!$AL$264),"")</f>
        <v>858.36699999999996</v>
      </c>
      <c r="AM264">
        <f ca="1">IFERROR(IF(0=LEN(ReferenceData!$AM$264),"",ReferenceData!$AM$264),"")</f>
        <v>423.404</v>
      </c>
      <c r="AN264">
        <f ca="1">IFERROR(IF(0=LEN(ReferenceData!$AN$264),"",ReferenceData!$AN$264),"")</f>
        <v>1052.3140000000001</v>
      </c>
      <c r="AO264">
        <f ca="1">IFERROR(IF(0=LEN(ReferenceData!$AO$264),"",ReferenceData!$AO$264),"")</f>
        <v>304.548</v>
      </c>
      <c r="AP264">
        <f ca="1">IFERROR(IF(0=LEN(ReferenceData!$AP$264),"",ReferenceData!$AP$264),"")</f>
        <v>471.95400000000001</v>
      </c>
      <c r="AQ264">
        <f ca="1">IFERROR(IF(0=LEN(ReferenceData!$AQ$264),"",ReferenceData!$AQ$264),"")</f>
        <v>286.82299999999998</v>
      </c>
      <c r="AR264">
        <f ca="1">IFERROR(IF(0=LEN(ReferenceData!$AR$264),"",ReferenceData!$AR$264),"")</f>
        <v>483.34899999999999</v>
      </c>
      <c r="AS264">
        <f ca="1">IFERROR(IF(0=LEN(ReferenceData!$AS$264),"",ReferenceData!$AS$264),"")</f>
        <v>552.899</v>
      </c>
      <c r="AT264">
        <f ca="1">IFERROR(IF(0=LEN(ReferenceData!$AT$264),"",ReferenceData!$AT$264),"")</f>
        <v>464.58</v>
      </c>
      <c r="AU264">
        <f ca="1">IFERROR(IF(0=LEN(ReferenceData!$AU$264),"",ReferenceData!$AU$264),"")</f>
        <v>515.96199999999999</v>
      </c>
      <c r="AV264">
        <f ca="1">IFERROR(IF(0=LEN(ReferenceData!$AV$264),"",ReferenceData!$AV$264),"")</f>
        <v>625.79</v>
      </c>
      <c r="AW264">
        <f ca="1">IFERROR(IF(0=LEN(ReferenceData!$AW$264),"",ReferenceData!$AW$264),"")</f>
        <v>492.32100000000003</v>
      </c>
      <c r="AX264">
        <f ca="1">IFERROR(IF(0=LEN(ReferenceData!$AX$264),"",ReferenceData!$AX$264),"")</f>
        <v>735.39800000000002</v>
      </c>
      <c r="AY264">
        <f ca="1">IFERROR(IF(0=LEN(ReferenceData!$AY$264),"",ReferenceData!$AY$264),"")</f>
        <v>666.94500000000005</v>
      </c>
      <c r="AZ264">
        <f ca="1">IFERROR(IF(0=LEN(ReferenceData!$AZ$264),"",ReferenceData!$AZ$264),"")</f>
        <v>613.93100000000004</v>
      </c>
      <c r="BA264">
        <f ca="1">IFERROR(IF(0=LEN(ReferenceData!$BA$264),"",ReferenceData!$BA$264),"")</f>
        <v>583.14599999999996</v>
      </c>
      <c r="BB264">
        <f ca="1">IFERROR(IF(0=LEN(ReferenceData!$BB$264),"",ReferenceData!$BB$264),"")</f>
        <v>586.83000000000004</v>
      </c>
      <c r="BC264" t="str">
        <f ca="1">IFERROR(IF(0=LEN(ReferenceData!$BC$264),"",ReferenceData!$BC$264),"")</f>
        <v/>
      </c>
      <c r="BD264" t="str">
        <f ca="1">IFERROR(IF(0=LEN(ReferenceData!$BD$264),"",ReferenceData!$BD$264),"")</f>
        <v/>
      </c>
      <c r="BE264">
        <f ca="1">IFERROR(IF(0=LEN(ReferenceData!$BE$264),"",ReferenceData!$BE$264),"")</f>
        <v>534.80799999999999</v>
      </c>
      <c r="BF264" t="str">
        <f ca="1">IFERROR(IF(0=LEN(ReferenceData!$BF$264),"",ReferenceData!$BF$264),"")</f>
        <v/>
      </c>
      <c r="BG264" t="str">
        <f ca="1">IFERROR(IF(0=LEN(ReferenceData!$BG$264),"",ReferenceData!$BG$264),"")</f>
        <v/>
      </c>
      <c r="BH264" t="str">
        <f ca="1">IFERROR(IF(0=LEN(ReferenceData!$BH$264),"",ReferenceData!$BH$264),"")</f>
        <v/>
      </c>
      <c r="BI264" t="str">
        <f ca="1">IFERROR(IF(0=LEN(ReferenceData!$BI$264),"",ReferenceData!$BI$264),"")</f>
        <v/>
      </c>
      <c r="BJ264" t="str">
        <f ca="1">IFERROR(IF(0=LEN(ReferenceData!$BJ$264),"",ReferenceData!$BJ$264),"")</f>
        <v/>
      </c>
      <c r="BK264" t="str">
        <f ca="1">IFERROR(IF(0=LEN(ReferenceData!$BK$264),"",ReferenceData!$BK$264),"")</f>
        <v/>
      </c>
      <c r="BL264" t="str">
        <f ca="1">IFERROR(IF(0=LEN(ReferenceData!$BL$264),"",ReferenceData!$BL$264),"")</f>
        <v/>
      </c>
      <c r="BM264" t="str">
        <f ca="1">IFERROR(IF(0=LEN(ReferenceData!$BM$264),"",ReferenceData!$BM$264),"")</f>
        <v/>
      </c>
    </row>
    <row r="265" spans="1:65">
      <c r="A265" t="str">
        <f>IFERROR(IF(0=LEN(ReferenceData!$A$265),"",ReferenceData!$A$265),"")</f>
        <v xml:space="preserve">    Piedmont Office Realty Trust I</v>
      </c>
      <c r="B265" t="str">
        <f>IFERROR(IF(0=LEN(ReferenceData!$B$265),"",ReferenceData!$B$265),"")</f>
        <v>PDM US Equity</v>
      </c>
      <c r="C265" t="str">
        <f>IFERROR(IF(0=LEN(ReferenceData!$C$265),"",ReferenceData!$C$265),"")</f>
        <v/>
      </c>
      <c r="D265" t="str">
        <f>IFERROR(IF(0=LEN(ReferenceData!$D$265),"",ReferenceData!$D$265),"")</f>
        <v/>
      </c>
      <c r="E265" t="str">
        <f>IFERROR(IF(0=LEN(ReferenceData!$E$265),"",ReferenceData!$E$265),"")</f>
        <v>Expression</v>
      </c>
      <c r="F265" t="str">
        <f ca="1">IFERROR(IF(0=LEN(ReferenceData!$F$265),"",ReferenceData!$F$265),"")</f>
        <v/>
      </c>
      <c r="G265">
        <f ca="1">IFERROR(IF(0=LEN(ReferenceData!$G$265),"",ReferenceData!$G$265),"")</f>
        <v>314.38200000000001</v>
      </c>
      <c r="H265">
        <f ca="1">IFERROR(IF(0=LEN(ReferenceData!$H$265),"",ReferenceData!$H$265),"")</f>
        <v>536.10799999999995</v>
      </c>
      <c r="I265">
        <f ca="1">IFERROR(IF(0=LEN(ReferenceData!$I$265),"",ReferenceData!$I$265),"")</f>
        <v>299.596</v>
      </c>
      <c r="J265">
        <f ca="1">IFERROR(IF(0=LEN(ReferenceData!$J$265),"",ReferenceData!$J$265),"")</f>
        <v>143.80799999999999</v>
      </c>
      <c r="K265">
        <f ca="1">IFERROR(IF(0=LEN(ReferenceData!$K$265),"",ReferenceData!$K$265),"")</f>
        <v>188.15799999999999</v>
      </c>
      <c r="L265">
        <f ca="1">IFERROR(IF(0=LEN(ReferenceData!$L$265),"",ReferenceData!$L$265),"")</f>
        <v>354.03199999999998</v>
      </c>
      <c r="M265">
        <f ca="1">IFERROR(IF(0=LEN(ReferenceData!$M$265),"",ReferenceData!$M$265),"")</f>
        <v>478.584</v>
      </c>
      <c r="N265">
        <f ca="1">IFERROR(IF(0=LEN(ReferenceData!$N$265),"",ReferenceData!$N$265),"")</f>
        <v>343.20699999999999</v>
      </c>
      <c r="O265">
        <f ca="1">IFERROR(IF(0=LEN(ReferenceData!$O$265),"",ReferenceData!$O$265),"")</f>
        <v>336.72699999999998</v>
      </c>
      <c r="P265">
        <f ca="1">IFERROR(IF(0=LEN(ReferenceData!$P$265),"",ReferenceData!$P$265),"")</f>
        <v>88.302000000000007</v>
      </c>
      <c r="Q265">
        <f ca="1">IFERROR(IF(0=LEN(ReferenceData!$Q$265),"",ReferenceData!$Q$265),"")</f>
        <v>199.797</v>
      </c>
      <c r="R265">
        <f ca="1">IFERROR(IF(0=LEN(ReferenceData!$R$265),"",ReferenceData!$R$265),"")</f>
        <v>-60.521000000000001</v>
      </c>
      <c r="S265">
        <f ca="1">IFERROR(IF(0=LEN(ReferenceData!$S$265),"",ReferenceData!$S$265),"")</f>
        <v>-94.840999999999994</v>
      </c>
      <c r="T265">
        <f ca="1">IFERROR(IF(0=LEN(ReferenceData!$T$265),"",ReferenceData!$T$265),"")</f>
        <v>53.414999999999999</v>
      </c>
      <c r="U265">
        <f ca="1">IFERROR(IF(0=LEN(ReferenceData!$U$265),"",ReferenceData!$U$265),"")</f>
        <v>196.16300000000001</v>
      </c>
      <c r="V265">
        <f ca="1">IFERROR(IF(0=LEN(ReferenceData!$V$265),"",ReferenceData!$V$265),"")</f>
        <v>239.87100000000001</v>
      </c>
      <c r="W265">
        <f ca="1">IFERROR(IF(0=LEN(ReferenceData!$W$265),"",ReferenceData!$W$265),"")</f>
        <v>-408.42700000000002</v>
      </c>
      <c r="X265">
        <f ca="1">IFERROR(IF(0=LEN(ReferenceData!$X$265),"",ReferenceData!$X$265),"")</f>
        <v>328.97199999999998</v>
      </c>
      <c r="Y265">
        <f ca="1">IFERROR(IF(0=LEN(ReferenceData!$Y$265),"",ReferenceData!$Y$265),"")</f>
        <v>405.1</v>
      </c>
      <c r="Z265">
        <f ca="1">IFERROR(IF(0=LEN(ReferenceData!$Z$265),"",ReferenceData!$Z$265),"")</f>
        <v>76.174999999999997</v>
      </c>
      <c r="AA265">
        <f ca="1">IFERROR(IF(0=LEN(ReferenceData!$AA$265),"",ReferenceData!$AA$265),"")</f>
        <v>383.95699999999999</v>
      </c>
      <c r="AB265">
        <f ca="1">IFERROR(IF(0=LEN(ReferenceData!$AB$265),"",ReferenceData!$AB$265),"")</f>
        <v>372.26299999999998</v>
      </c>
      <c r="AC265">
        <f ca="1">IFERROR(IF(0=LEN(ReferenceData!$AC$265),"",ReferenceData!$AC$265),"")</f>
        <v>300.86900000000003</v>
      </c>
      <c r="AD265">
        <f ca="1">IFERROR(IF(0=LEN(ReferenceData!$AD$265),"",ReferenceData!$AD$265),"")</f>
        <v>384.279</v>
      </c>
      <c r="AE265">
        <f ca="1">IFERROR(IF(0=LEN(ReferenceData!$AE$265),"",ReferenceData!$AE$265),"")</f>
        <v>454.69</v>
      </c>
      <c r="AF265">
        <f ca="1">IFERROR(IF(0=LEN(ReferenceData!$AF$265),"",ReferenceData!$AF$265),"")</f>
        <v>189.12799999999999</v>
      </c>
      <c r="AG265">
        <f ca="1">IFERROR(IF(0=LEN(ReferenceData!$AG$265),"",ReferenceData!$AG$265),"")</f>
        <v>221.404</v>
      </c>
      <c r="AH265">
        <f ca="1">IFERROR(IF(0=LEN(ReferenceData!$AH$265),"",ReferenceData!$AH$265),"")</f>
        <v>277.15100000000001</v>
      </c>
      <c r="AI265">
        <f ca="1">IFERROR(IF(0=LEN(ReferenceData!$AI$265),"",ReferenceData!$AI$265),"")</f>
        <v>306.71800000000002</v>
      </c>
      <c r="AJ265">
        <f ca="1">IFERROR(IF(0=LEN(ReferenceData!$AJ$265),"",ReferenceData!$AJ$265),"")</f>
        <v>567.53899999999999</v>
      </c>
      <c r="AK265">
        <f ca="1">IFERROR(IF(0=LEN(ReferenceData!$AK$265),"",ReferenceData!$AK$265),"")</f>
        <v>581.06600000000003</v>
      </c>
      <c r="AL265">
        <f ca="1">IFERROR(IF(0=LEN(ReferenceData!$AL$265),"",ReferenceData!$AL$265),"")</f>
        <v>462.99400000000003</v>
      </c>
      <c r="AM265">
        <f ca="1">IFERROR(IF(0=LEN(ReferenceData!$AM$265),"",ReferenceData!$AM$265),"")</f>
        <v>146.00399999999999</v>
      </c>
      <c r="AN265" t="str">
        <f ca="1">IFERROR(IF(0=LEN(ReferenceData!$AN$265),"",ReferenceData!$AN$265),"")</f>
        <v/>
      </c>
      <c r="AO265" t="str">
        <f ca="1">IFERROR(IF(0=LEN(ReferenceData!$AO$265),"",ReferenceData!$AO$265),"")</f>
        <v/>
      </c>
      <c r="AP265">
        <f ca="1">IFERROR(IF(0=LEN(ReferenceData!$AP$265),"",ReferenceData!$AP$265),"")</f>
        <v>418.92500000000001</v>
      </c>
      <c r="AQ265" t="str">
        <f ca="1">IFERROR(IF(0=LEN(ReferenceData!$AQ$265),"",ReferenceData!$AQ$265),"")</f>
        <v/>
      </c>
      <c r="AR265" t="str">
        <f ca="1">IFERROR(IF(0=LEN(ReferenceData!$AR$265),"",ReferenceData!$AR$265),"")</f>
        <v/>
      </c>
      <c r="AS265" t="str">
        <f ca="1">IFERROR(IF(0=LEN(ReferenceData!$AS$265),"",ReferenceData!$AS$265),"")</f>
        <v/>
      </c>
      <c r="AT265" t="str">
        <f ca="1">IFERROR(IF(0=LEN(ReferenceData!$AT$265),"",ReferenceData!$AT$265),"")</f>
        <v/>
      </c>
      <c r="AU265">
        <f ca="1">IFERROR(IF(0=LEN(ReferenceData!$AU$265),"",ReferenceData!$AU$265),"")</f>
        <v>128.88499999999999</v>
      </c>
      <c r="AV265">
        <f ca="1">IFERROR(IF(0=LEN(ReferenceData!$AV$265),"",ReferenceData!$AV$265),"")</f>
        <v>491.48</v>
      </c>
      <c r="AW265">
        <f ca="1">IFERROR(IF(0=LEN(ReferenceData!$AW$265),"",ReferenceData!$AW$265),"")</f>
        <v>16.367999999999999</v>
      </c>
      <c r="AX265">
        <f ca="1">IFERROR(IF(0=LEN(ReferenceData!$AX$265),"",ReferenceData!$AX$265),"")</f>
        <v>28.306000000000001</v>
      </c>
      <c r="AY265">
        <f ca="1">IFERROR(IF(0=LEN(ReferenceData!$AY$265),"",ReferenceData!$AY$265),"")</f>
        <v>61.222999999999999</v>
      </c>
      <c r="AZ265">
        <f ca="1">IFERROR(IF(0=LEN(ReferenceData!$AZ$265),"",ReferenceData!$AZ$265),"")</f>
        <v>121.627</v>
      </c>
      <c r="BA265" t="str">
        <f ca="1">IFERROR(IF(0=LEN(ReferenceData!$BA$265),"",ReferenceData!$BA$265),"")</f>
        <v/>
      </c>
      <c r="BB265">
        <f ca="1">IFERROR(IF(0=LEN(ReferenceData!$BB$265),"",ReferenceData!$BB$265),"")</f>
        <v>129.136</v>
      </c>
      <c r="BC265" t="str">
        <f ca="1">IFERROR(IF(0=LEN(ReferenceData!$BC$265),"",ReferenceData!$BC$265),"")</f>
        <v/>
      </c>
      <c r="BD265" t="str">
        <f ca="1">IFERROR(IF(0=LEN(ReferenceData!$BD$265),"",ReferenceData!$BD$265),"")</f>
        <v/>
      </c>
      <c r="BE265" t="str">
        <f ca="1">IFERROR(IF(0=LEN(ReferenceData!$BE$265),"",ReferenceData!$BE$265),"")</f>
        <v/>
      </c>
      <c r="BF265" t="str">
        <f ca="1">IFERROR(IF(0=LEN(ReferenceData!$BF$265),"",ReferenceData!$BF$265),"")</f>
        <v/>
      </c>
      <c r="BG265">
        <f ca="1">IFERROR(IF(0=LEN(ReferenceData!$BG$265),"",ReferenceData!$BG$265),"")</f>
        <v>122.184</v>
      </c>
      <c r="BH265" t="str">
        <f ca="1">IFERROR(IF(0=LEN(ReferenceData!$BH$265),"",ReferenceData!$BH$265),"")</f>
        <v/>
      </c>
      <c r="BI265" t="str">
        <f ca="1">IFERROR(IF(0=LEN(ReferenceData!$BI$265),"",ReferenceData!$BI$265),"")</f>
        <v/>
      </c>
      <c r="BJ265" t="str">
        <f ca="1">IFERROR(IF(0=LEN(ReferenceData!$BJ$265),"",ReferenceData!$BJ$265),"")</f>
        <v/>
      </c>
      <c r="BK265" t="str">
        <f ca="1">IFERROR(IF(0=LEN(ReferenceData!$BK$265),"",ReferenceData!$BK$265),"")</f>
        <v/>
      </c>
      <c r="BL265" t="str">
        <f ca="1">IFERROR(IF(0=LEN(ReferenceData!$BL$265),"",ReferenceData!$BL$265),"")</f>
        <v/>
      </c>
      <c r="BM265" t="str">
        <f ca="1">IFERROR(IF(0=LEN(ReferenceData!$BM$265),"",ReferenceData!$BM$265),"")</f>
        <v/>
      </c>
    </row>
    <row r="266" spans="1:65">
      <c r="A266" t="str">
        <f>IFERROR(IF(0=LEN(ReferenceData!$A$266),"",ReferenceData!$A$266),"")</f>
        <v xml:space="preserve">    SL Green Realty Corp</v>
      </c>
      <c r="B266" t="str">
        <f>IFERROR(IF(0=LEN(ReferenceData!$B$266),"",ReferenceData!$B$266),"")</f>
        <v>SLG US Equity</v>
      </c>
      <c r="C266" t="str">
        <f>IFERROR(IF(0=LEN(ReferenceData!$C$266),"",ReferenceData!$C$266),"")</f>
        <v/>
      </c>
      <c r="D266" t="str">
        <f>IFERROR(IF(0=LEN(ReferenceData!$D$266),"",ReferenceData!$D$266),"")</f>
        <v/>
      </c>
      <c r="E266" t="str">
        <f>IFERROR(IF(0=LEN(ReferenceData!$E$266),"",ReferenceData!$E$266),"")</f>
        <v>Expression</v>
      </c>
      <c r="F266" t="str">
        <f ca="1">IFERROR(IF(0=LEN(ReferenceData!$F$266),"",ReferenceData!$F$266),"")</f>
        <v/>
      </c>
      <c r="G266">
        <f ca="1">IFERROR(IF(0=LEN(ReferenceData!$G$266),"",ReferenceData!$G$266),"")</f>
        <v>1121.6859999999999</v>
      </c>
      <c r="H266">
        <f ca="1">IFERROR(IF(0=LEN(ReferenceData!$H$266),"",ReferenceData!$H$266),"")</f>
        <v>1159.643</v>
      </c>
      <c r="I266">
        <f ca="1">IFERROR(IF(0=LEN(ReferenceData!$I$266),"",ReferenceData!$I$266),"")</f>
        <v>1250.3389999999999</v>
      </c>
      <c r="J266">
        <f ca="1">IFERROR(IF(0=LEN(ReferenceData!$J$266),"",ReferenceData!$J$266),"")</f>
        <v>1317.0550000000001</v>
      </c>
      <c r="K266">
        <f ca="1">IFERROR(IF(0=LEN(ReferenceData!$K$266),"",ReferenceData!$K$266),"")</f>
        <v>496.08300000000003</v>
      </c>
      <c r="L266">
        <f ca="1">IFERROR(IF(0=LEN(ReferenceData!$L$266),"",ReferenceData!$L$266),"")</f>
        <v>1791.2660000000001</v>
      </c>
      <c r="M266">
        <f ca="1">IFERROR(IF(0=LEN(ReferenceData!$M$266),"",ReferenceData!$M$266),"")</f>
        <v>1210.173</v>
      </c>
      <c r="N266">
        <f ca="1">IFERROR(IF(0=LEN(ReferenceData!$N$266),"",ReferenceData!$N$266),"")</f>
        <v>715.09500000000003</v>
      </c>
      <c r="O266" t="str">
        <f ca="1">IFERROR(IF(0=LEN(ReferenceData!$O$266),"",ReferenceData!$O$266),"")</f>
        <v/>
      </c>
      <c r="P266">
        <f ca="1">IFERROR(IF(0=LEN(ReferenceData!$P$266),"",ReferenceData!$P$266),"")</f>
        <v>805.44399999999996</v>
      </c>
      <c r="Q266">
        <f ca="1">IFERROR(IF(0=LEN(ReferenceData!$Q$266),"",ReferenceData!$Q$266),"")</f>
        <v>499.721</v>
      </c>
      <c r="R266">
        <f ca="1">IFERROR(IF(0=LEN(ReferenceData!$R$266),"",ReferenceData!$R$266),"")</f>
        <v>880.28099999999995</v>
      </c>
      <c r="S266">
        <f ca="1">IFERROR(IF(0=LEN(ReferenceData!$S$266),"",ReferenceData!$S$266),"")</f>
        <v>723.84900000000005</v>
      </c>
      <c r="T266">
        <f ca="1">IFERROR(IF(0=LEN(ReferenceData!$T$266),"",ReferenceData!$T$266),"")</f>
        <v>896.23199999999997</v>
      </c>
      <c r="U266">
        <f ca="1">IFERROR(IF(0=LEN(ReferenceData!$U$266),"",ReferenceData!$U$266),"")</f>
        <v>1162.7919999999999</v>
      </c>
      <c r="V266">
        <f ca="1">IFERROR(IF(0=LEN(ReferenceData!$V$266),"",ReferenceData!$V$266),"")</f>
        <v>1079.038</v>
      </c>
      <c r="W266">
        <f ca="1">IFERROR(IF(0=LEN(ReferenceData!$W$266),"",ReferenceData!$W$266),"")</f>
        <v>680.34500000000003</v>
      </c>
      <c r="X266">
        <f ca="1">IFERROR(IF(0=LEN(ReferenceData!$X$266),"",ReferenceData!$X$266),"")</f>
        <v>684.48500000000001</v>
      </c>
      <c r="Y266">
        <f ca="1">IFERROR(IF(0=LEN(ReferenceData!$Y$266),"",ReferenceData!$Y$266),"")</f>
        <v>756.23699999999997</v>
      </c>
      <c r="Z266">
        <f ca="1">IFERROR(IF(0=LEN(ReferenceData!$Z$266),"",ReferenceData!$Z$266),"")</f>
        <v>818.11800000000005</v>
      </c>
      <c r="AA266">
        <f ca="1">IFERROR(IF(0=LEN(ReferenceData!$AA$266),"",ReferenceData!$AA$266),"")</f>
        <v>941.47900000000004</v>
      </c>
      <c r="AB266">
        <f ca="1">IFERROR(IF(0=LEN(ReferenceData!$AB$266),"",ReferenceData!$AB$266),"")</f>
        <v>1265.078</v>
      </c>
      <c r="AC266">
        <f ca="1">IFERROR(IF(0=LEN(ReferenceData!$AC$266),"",ReferenceData!$AC$266),"")</f>
        <v>1433.1489999999999</v>
      </c>
      <c r="AD266">
        <f ca="1">IFERROR(IF(0=LEN(ReferenceData!$AD$266),"",ReferenceData!$AD$266),"")</f>
        <v>1092.953</v>
      </c>
      <c r="AE266">
        <f ca="1">IFERROR(IF(0=LEN(ReferenceData!$AE$266),"",ReferenceData!$AE$266),"")</f>
        <v>1017.026</v>
      </c>
      <c r="AF266">
        <f ca="1">IFERROR(IF(0=LEN(ReferenceData!$AF$266),"",ReferenceData!$AF$266),"")</f>
        <v>1283.3969999999999</v>
      </c>
      <c r="AG266">
        <f ca="1">IFERROR(IF(0=LEN(ReferenceData!$AG$266),"",ReferenceData!$AG$266),"")</f>
        <v>1261.68</v>
      </c>
      <c r="AH266">
        <f ca="1">IFERROR(IF(0=LEN(ReferenceData!$AH$266),"",ReferenceData!$AH$266),"")</f>
        <v>802.15800000000002</v>
      </c>
      <c r="AI266">
        <f ca="1">IFERROR(IF(0=LEN(ReferenceData!$AI$266),"",ReferenceData!$AI$266),"")</f>
        <v>851.39200000000005</v>
      </c>
      <c r="AJ266">
        <f ca="1">IFERROR(IF(0=LEN(ReferenceData!$AJ$266),"",ReferenceData!$AJ$266),"")</f>
        <v>939.17100000000005</v>
      </c>
      <c r="AK266">
        <f ca="1">IFERROR(IF(0=LEN(ReferenceData!$AK$266),"",ReferenceData!$AK$266),"")</f>
        <v>975.00699999999995</v>
      </c>
      <c r="AL266">
        <f ca="1">IFERROR(IF(0=LEN(ReferenceData!$AL$266),"",ReferenceData!$AL$266),"")</f>
        <v>599.74599999999998</v>
      </c>
      <c r="AM266">
        <f ca="1">IFERROR(IF(0=LEN(ReferenceData!$AM$266),"",ReferenceData!$AM$266),"")</f>
        <v>276.137</v>
      </c>
      <c r="AN266">
        <f ca="1">IFERROR(IF(0=LEN(ReferenceData!$AN$266),"",ReferenceData!$AN$266),"")</f>
        <v>700.73400000000004</v>
      </c>
      <c r="AO266">
        <f ca="1">IFERROR(IF(0=LEN(ReferenceData!$AO$266),"",ReferenceData!$AO$266),"")</f>
        <v>683.39700000000005</v>
      </c>
      <c r="AP266">
        <f ca="1">IFERROR(IF(0=LEN(ReferenceData!$AP$266),"",ReferenceData!$AP$266),"")</f>
        <v>433.48399999999998</v>
      </c>
      <c r="AQ266">
        <f ca="1">IFERROR(IF(0=LEN(ReferenceData!$AQ$266),"",ReferenceData!$AQ$266),"")</f>
        <v>554.26499999999999</v>
      </c>
      <c r="AR266">
        <f ca="1">IFERROR(IF(0=LEN(ReferenceData!$AR$266),"",ReferenceData!$AR$266),"")</f>
        <v>733.476</v>
      </c>
      <c r="AS266">
        <f ca="1">IFERROR(IF(0=LEN(ReferenceData!$AS$266),"",ReferenceData!$AS$266),"")</f>
        <v>-114.854</v>
      </c>
      <c r="AT266">
        <f ca="1">IFERROR(IF(0=LEN(ReferenceData!$AT$266),"",ReferenceData!$AT$266),"")</f>
        <v>-221.279</v>
      </c>
      <c r="AU266">
        <f ca="1">IFERROR(IF(0=LEN(ReferenceData!$AU$266),"",ReferenceData!$AU$266),"")</f>
        <v>60.966000000000001</v>
      </c>
      <c r="AV266">
        <f ca="1">IFERROR(IF(0=LEN(ReferenceData!$AV$266),"",ReferenceData!$AV$266),"")</f>
        <v>133.34</v>
      </c>
      <c r="AW266">
        <f ca="1">IFERROR(IF(0=LEN(ReferenceData!$AW$266),"",ReferenceData!$AW$266),"")</f>
        <v>93.742999999999995</v>
      </c>
      <c r="AX266">
        <f ca="1">IFERROR(IF(0=LEN(ReferenceData!$AX$266),"",ReferenceData!$AX$266),"")</f>
        <v>281.85000000000002</v>
      </c>
      <c r="AY266" t="str">
        <f ca="1">IFERROR(IF(0=LEN(ReferenceData!$AY$266),"",ReferenceData!$AY$266),"")</f>
        <v/>
      </c>
      <c r="AZ266">
        <f ca="1">IFERROR(IF(0=LEN(ReferenceData!$AZ$266),"",ReferenceData!$AZ$266),"")</f>
        <v>188.536</v>
      </c>
      <c r="BA266">
        <f ca="1">IFERROR(IF(0=LEN(ReferenceData!$BA$266),"",ReferenceData!$BA$266),"")</f>
        <v>25.315999999999999</v>
      </c>
      <c r="BB266">
        <f ca="1">IFERROR(IF(0=LEN(ReferenceData!$BB$266),"",ReferenceData!$BB$266),"")</f>
        <v>31.535</v>
      </c>
      <c r="BC266" t="str">
        <f ca="1">IFERROR(IF(0=LEN(ReferenceData!$BC$266),"",ReferenceData!$BC$266),"")</f>
        <v/>
      </c>
      <c r="BD266">
        <f ca="1">IFERROR(IF(0=LEN(ReferenceData!$BD$266),"",ReferenceData!$BD$266),"")</f>
        <v>378.23899999999998</v>
      </c>
      <c r="BE266">
        <f ca="1">IFERROR(IF(0=LEN(ReferenceData!$BE$266),"",ReferenceData!$BE$266),"")</f>
        <v>326.411</v>
      </c>
      <c r="BF266" t="str">
        <f ca="1">IFERROR(IF(0=LEN(ReferenceData!$BF$266),"",ReferenceData!$BF$266),"")</f>
        <v/>
      </c>
      <c r="BG266" t="str">
        <f ca="1">IFERROR(IF(0=LEN(ReferenceData!$BG$266),"",ReferenceData!$BG$266),"")</f>
        <v/>
      </c>
      <c r="BH266">
        <f ca="1">IFERROR(IF(0=LEN(ReferenceData!$BH$266),"",ReferenceData!$BH$266),"")</f>
        <v>299.52100000000002</v>
      </c>
      <c r="BI266">
        <f ca="1">IFERROR(IF(0=LEN(ReferenceData!$BI$266),"",ReferenceData!$BI$266),"")</f>
        <v>48.441000000000003</v>
      </c>
      <c r="BJ266">
        <f ca="1">IFERROR(IF(0=LEN(ReferenceData!$BJ$266),"",ReferenceData!$BJ$266),"")</f>
        <v>-43.558999999999997</v>
      </c>
      <c r="BK266" t="str">
        <f ca="1">IFERROR(IF(0=LEN(ReferenceData!$BK$266),"",ReferenceData!$BK$266),"")</f>
        <v/>
      </c>
      <c r="BL266">
        <f ca="1">IFERROR(IF(0=LEN(ReferenceData!$BL$266),"",ReferenceData!$BL$266),"")</f>
        <v>299.19499999999999</v>
      </c>
      <c r="BM266">
        <f ca="1">IFERROR(IF(0=LEN(ReferenceData!$BM$266),"",ReferenceData!$BM$266),"")</f>
        <v>280.72899999999998</v>
      </c>
    </row>
    <row r="267" spans="1:65">
      <c r="A267" t="str">
        <f>IFERROR(IF(0=LEN(ReferenceData!$A$267),"",ReferenceData!$A$267),"")</f>
        <v xml:space="preserve">    Vornado Realty Trust</v>
      </c>
      <c r="B267" t="str">
        <f>IFERROR(IF(0=LEN(ReferenceData!$B$267),"",ReferenceData!$B$267),"")</f>
        <v>VNO US Equity</v>
      </c>
      <c r="C267" t="str">
        <f>IFERROR(IF(0=LEN(ReferenceData!$C$267),"",ReferenceData!$C$267),"")</f>
        <v/>
      </c>
      <c r="D267" t="str">
        <f>IFERROR(IF(0=LEN(ReferenceData!$D$267),"",ReferenceData!$D$267),"")</f>
        <v/>
      </c>
      <c r="E267" t="str">
        <f>IFERROR(IF(0=LEN(ReferenceData!$E$267),"",ReferenceData!$E$267),"")</f>
        <v>Expression</v>
      </c>
      <c r="F267" t="str">
        <f ca="1">IFERROR(IF(0=LEN(ReferenceData!$F$267),"",ReferenceData!$F$267),"")</f>
        <v/>
      </c>
      <c r="G267">
        <f ca="1">IFERROR(IF(0=LEN(ReferenceData!$G$267),"",ReferenceData!$G$267),"")</f>
        <v>1558.625</v>
      </c>
      <c r="H267">
        <f ca="1">IFERROR(IF(0=LEN(ReferenceData!$H$267),"",ReferenceData!$H$267),"")</f>
        <v>3782.23</v>
      </c>
      <c r="I267">
        <f ca="1">IFERROR(IF(0=LEN(ReferenceData!$I$267),"",ReferenceData!$I$267),"")</f>
        <v>3737.7539999999999</v>
      </c>
      <c r="J267">
        <f ca="1">IFERROR(IF(0=LEN(ReferenceData!$J$267),"",ReferenceData!$J$267),"")</f>
        <v>3750.9290000000001</v>
      </c>
      <c r="K267">
        <f ca="1">IFERROR(IF(0=LEN(ReferenceData!$K$267),"",ReferenceData!$K$267),"")</f>
        <v>3728.6950000000002</v>
      </c>
      <c r="L267">
        <f ca="1">IFERROR(IF(0=LEN(ReferenceData!$L$267),"",ReferenceData!$L$267),"")</f>
        <v>2999.4259999999999</v>
      </c>
      <c r="M267">
        <f ca="1">IFERROR(IF(0=LEN(ReferenceData!$M$267),"",ReferenceData!$M$267),"")</f>
        <v>2740.0430000000001</v>
      </c>
      <c r="N267">
        <f ca="1">IFERROR(IF(0=LEN(ReferenceData!$N$267),"",ReferenceData!$N$267),"")</f>
        <v>3464.9630000000002</v>
      </c>
      <c r="O267">
        <f ca="1">IFERROR(IF(0=LEN(ReferenceData!$O$267),"",ReferenceData!$O$267),"")</f>
        <v>2140.3409999999999</v>
      </c>
      <c r="P267">
        <f ca="1">IFERROR(IF(0=LEN(ReferenceData!$P$267),"",ReferenceData!$P$267),"")</f>
        <v>3288.1370000000002</v>
      </c>
      <c r="Q267">
        <f ca="1">IFERROR(IF(0=LEN(ReferenceData!$Q$267),"",ReferenceData!$Q$267),"")</f>
        <v>2616.337</v>
      </c>
      <c r="R267">
        <f ca="1">IFERROR(IF(0=LEN(ReferenceData!$R$267),"",ReferenceData!$R$267),"")</f>
        <v>2938.4360000000001</v>
      </c>
      <c r="S267">
        <f ca="1">IFERROR(IF(0=LEN(ReferenceData!$S$267),"",ReferenceData!$S$267),"")</f>
        <v>2764.7779999999998</v>
      </c>
      <c r="T267">
        <f ca="1">IFERROR(IF(0=LEN(ReferenceData!$T$267),"",ReferenceData!$T$267),"")</f>
        <v>4095.0039999999999</v>
      </c>
      <c r="U267">
        <f ca="1">IFERROR(IF(0=LEN(ReferenceData!$U$267),"",ReferenceData!$U$267),"")</f>
        <v>3763.3519999999999</v>
      </c>
      <c r="V267">
        <f ca="1">IFERROR(IF(0=LEN(ReferenceData!$V$267),"",ReferenceData!$V$267),"")</f>
        <v>3434.8939999999998</v>
      </c>
      <c r="W267">
        <f ca="1">IFERROR(IF(0=LEN(ReferenceData!$W$267),"",ReferenceData!$W$267),"")</f>
        <v>2597.4670000000001</v>
      </c>
      <c r="X267">
        <f ca="1">IFERROR(IF(0=LEN(ReferenceData!$X$267),"",ReferenceData!$X$267),"")</f>
        <v>3111.7689999999998</v>
      </c>
      <c r="Y267">
        <f ca="1">IFERROR(IF(0=LEN(ReferenceData!$Y$267),"",ReferenceData!$Y$267),"")</f>
        <v>2998.5619999999999</v>
      </c>
      <c r="Z267">
        <f ca="1">IFERROR(IF(0=LEN(ReferenceData!$Z$267),"",ReferenceData!$Z$267),"")</f>
        <v>2386.7759999999998</v>
      </c>
      <c r="AA267">
        <f ca="1">IFERROR(IF(0=LEN(ReferenceData!$AA$267),"",ReferenceData!$AA$267),"")</f>
        <v>1117.0730000000001</v>
      </c>
      <c r="AB267">
        <f ca="1">IFERROR(IF(0=LEN(ReferenceData!$AB$267),"",ReferenceData!$AB$267),"")</f>
        <v>2323.8809999999999</v>
      </c>
      <c r="AC267">
        <f ca="1">IFERROR(IF(0=LEN(ReferenceData!$AC$267),"",ReferenceData!$AC$267),"")</f>
        <v>2856.76</v>
      </c>
      <c r="AD267">
        <f ca="1">IFERROR(IF(0=LEN(ReferenceData!$AD$267),"",ReferenceData!$AD$267),"")</f>
        <v>2511.59</v>
      </c>
      <c r="AE267">
        <f ca="1">IFERROR(IF(0=LEN(ReferenceData!$AE$267),"",ReferenceData!$AE$267),"")</f>
        <v>2118.0639999999999</v>
      </c>
      <c r="AF267">
        <f ca="1">IFERROR(IF(0=LEN(ReferenceData!$AF$267),"",ReferenceData!$AF$267),"")</f>
        <v>2484.3890000000001</v>
      </c>
      <c r="AG267">
        <f ca="1">IFERROR(IF(0=LEN(ReferenceData!$AG$267),"",ReferenceData!$AG$267),"")</f>
        <v>1880.021</v>
      </c>
      <c r="AH267">
        <f ca="1">IFERROR(IF(0=LEN(ReferenceData!$AH$267),"",ReferenceData!$AH$267),"")</f>
        <v>1391.796</v>
      </c>
      <c r="AI267">
        <f ca="1">IFERROR(IF(0=LEN(ReferenceData!$AI$267),"",ReferenceData!$AI$267),"")</f>
        <v>203.84299999999999</v>
      </c>
      <c r="AJ267">
        <f ca="1">IFERROR(IF(0=LEN(ReferenceData!$AJ$267),"",ReferenceData!$AJ$267),"")</f>
        <v>3242.703</v>
      </c>
      <c r="AK267">
        <f ca="1">IFERROR(IF(0=LEN(ReferenceData!$AK$267),"",ReferenceData!$AK$267),"")</f>
        <v>2671.1790000000001</v>
      </c>
      <c r="AL267">
        <f ca="1">IFERROR(IF(0=LEN(ReferenceData!$AL$267),"",ReferenceData!$AL$267),"")</f>
        <v>2285.933</v>
      </c>
      <c r="AM267">
        <f ca="1">IFERROR(IF(0=LEN(ReferenceData!$AM$267),"",ReferenceData!$AM$267),"")</f>
        <v>1865.8019999999999</v>
      </c>
      <c r="AN267">
        <f ca="1">IFERROR(IF(0=LEN(ReferenceData!$AN$267),"",ReferenceData!$AN$267),"")</f>
        <v>4347.6689999999999</v>
      </c>
      <c r="AO267">
        <f ca="1">IFERROR(IF(0=LEN(ReferenceData!$AO$267),"",ReferenceData!$AO$267),"")</f>
        <v>3727.3719999999998</v>
      </c>
      <c r="AP267">
        <f ca="1">IFERROR(IF(0=LEN(ReferenceData!$AP$267),"",ReferenceData!$AP$267),"")</f>
        <v>3042.5639999999999</v>
      </c>
      <c r="AQ267">
        <f ca="1">IFERROR(IF(0=LEN(ReferenceData!$AQ$267),"",ReferenceData!$AQ$267),"")</f>
        <v>3121.5459999999998</v>
      </c>
      <c r="AR267" t="str">
        <f ca="1">IFERROR(IF(0=LEN(ReferenceData!$AR$267),"",ReferenceData!$AR$267),"")</f>
        <v/>
      </c>
      <c r="AS267" t="str">
        <f ca="1">IFERROR(IF(0=LEN(ReferenceData!$AS$267),"",ReferenceData!$AS$267),"")</f>
        <v/>
      </c>
      <c r="AT267" t="str">
        <f ca="1">IFERROR(IF(0=LEN(ReferenceData!$AT$267),"",ReferenceData!$AT$267),"")</f>
        <v/>
      </c>
      <c r="AU267">
        <f ca="1">IFERROR(IF(0=LEN(ReferenceData!$AU$267),"",ReferenceData!$AU$267),"")</f>
        <v>88.346000000000004</v>
      </c>
      <c r="AV267" t="str">
        <f ca="1">IFERROR(IF(0=LEN(ReferenceData!$AV$267),"",ReferenceData!$AV$267),"")</f>
        <v/>
      </c>
      <c r="AW267" t="str">
        <f ca="1">IFERROR(IF(0=LEN(ReferenceData!$AW$267),"",ReferenceData!$AW$267),"")</f>
        <v/>
      </c>
      <c r="AX267" t="str">
        <f ca="1">IFERROR(IF(0=LEN(ReferenceData!$AX$267),"",ReferenceData!$AX$267),"")</f>
        <v/>
      </c>
      <c r="AY267">
        <f ca="1">IFERROR(IF(0=LEN(ReferenceData!$AY$267),"",ReferenceData!$AY$267),"")</f>
        <v>1842.384</v>
      </c>
      <c r="AZ267" t="str">
        <f ca="1">IFERROR(IF(0=LEN(ReferenceData!$AZ$267),"",ReferenceData!$AZ$267),"")</f>
        <v/>
      </c>
      <c r="BA267" t="str">
        <f ca="1">IFERROR(IF(0=LEN(ReferenceData!$BA$267),"",ReferenceData!$BA$267),"")</f>
        <v/>
      </c>
      <c r="BB267" t="str">
        <f ca="1">IFERROR(IF(0=LEN(ReferenceData!$BB$267),"",ReferenceData!$BB$267),"")</f>
        <v/>
      </c>
      <c r="BC267" t="str">
        <f ca="1">IFERROR(IF(0=LEN(ReferenceData!$BC$267),"",ReferenceData!$BC$267),"")</f>
        <v/>
      </c>
      <c r="BD267" t="str">
        <f ca="1">IFERROR(IF(0=LEN(ReferenceData!$BD$267),"",ReferenceData!$BD$267),"")</f>
        <v/>
      </c>
      <c r="BE267" t="str">
        <f ca="1">IFERROR(IF(0=LEN(ReferenceData!$BE$267),"",ReferenceData!$BE$267),"")</f>
        <v/>
      </c>
      <c r="BF267" t="str">
        <f ca="1">IFERROR(IF(0=LEN(ReferenceData!$BF$267),"",ReferenceData!$BF$267),"")</f>
        <v/>
      </c>
      <c r="BG267" t="str">
        <f ca="1">IFERROR(IF(0=LEN(ReferenceData!$BG$267),"",ReferenceData!$BG$267),"")</f>
        <v/>
      </c>
      <c r="BH267" t="str">
        <f ca="1">IFERROR(IF(0=LEN(ReferenceData!$BH$267),"",ReferenceData!$BH$267),"")</f>
        <v/>
      </c>
      <c r="BI267" t="str">
        <f ca="1">IFERROR(IF(0=LEN(ReferenceData!$BI$267),"",ReferenceData!$BI$267),"")</f>
        <v/>
      </c>
      <c r="BJ267" t="str">
        <f ca="1">IFERROR(IF(0=LEN(ReferenceData!$BJ$267),"",ReferenceData!$BJ$267),"")</f>
        <v/>
      </c>
      <c r="BK267" t="str">
        <f ca="1">IFERROR(IF(0=LEN(ReferenceData!$BK$267),"",ReferenceData!$BK$267),"")</f>
        <v/>
      </c>
      <c r="BL267" t="str">
        <f ca="1">IFERROR(IF(0=LEN(ReferenceData!$BL$267),"",ReferenceData!$BL$267),"")</f>
        <v/>
      </c>
      <c r="BM267" t="str">
        <f ca="1">IFERROR(IF(0=LEN(ReferenceData!$BM$267),"",ReferenceData!$BM$267),"")</f>
        <v/>
      </c>
    </row>
    <row r="268" spans="1:65">
      <c r="A268" t="str">
        <f>IFERROR(IF(0=LEN(ReferenceData!$A$268),"",ReferenceData!$A$268),"")</f>
        <v>FFO支付比率(%)</v>
      </c>
      <c r="B268" t="str">
        <f>IFERROR(IF(0=LEN(ReferenceData!$B$268),"",ReferenceData!$B$268),"")</f>
        <v/>
      </c>
      <c r="C268" t="str">
        <f>IFERROR(IF(0=LEN(ReferenceData!$C$268),"",ReferenceData!$C$268),"")</f>
        <v/>
      </c>
      <c r="D268" t="str">
        <f>IFERROR(IF(0=LEN(ReferenceData!$D$268),"",ReferenceData!$D$268),"")</f>
        <v/>
      </c>
      <c r="E268" t="str">
        <f>IFERROR(IF(0=LEN(ReferenceData!$E$268),"",ReferenceData!$E$268),"")</f>
        <v>Median</v>
      </c>
      <c r="F268" t="str">
        <f ca="1">IFERROR(IF(0=LEN(ReferenceData!$F$268),"",ReferenceData!$F$268),"")</f>
        <v/>
      </c>
      <c r="G268">
        <f ca="1">IFERROR(IF(0=LEN(ReferenceData!$G$268),"",ReferenceData!$G$268),"")</f>
        <v>51.801554400000001</v>
      </c>
      <c r="H268">
        <f ca="1">IFERROR(IF(0=LEN(ReferenceData!$H$268),"",ReferenceData!$H$268),"")</f>
        <v>48.999520109999999</v>
      </c>
      <c r="I268">
        <f ca="1">IFERROR(IF(0=LEN(ReferenceData!$I$268),"",ReferenceData!$I$268),"")</f>
        <v>47.359326510000002</v>
      </c>
      <c r="J268">
        <f ca="1">IFERROR(IF(0=LEN(ReferenceData!$J$268),"",ReferenceData!$J$268),"")</f>
        <v>50.531227010000002</v>
      </c>
      <c r="K268">
        <f ca="1">IFERROR(IF(0=LEN(ReferenceData!$K$268),"",ReferenceData!$K$268),"")</f>
        <v>46.880258675</v>
      </c>
      <c r="L268">
        <f ca="1">IFERROR(IF(0=LEN(ReferenceData!$L$268),"",ReferenceData!$L$268),"")</f>
        <v>48.983655185000003</v>
      </c>
      <c r="M268">
        <f ca="1">IFERROR(IF(0=LEN(ReferenceData!$M$268),"",ReferenceData!$M$268),"")</f>
        <v>49.598627454999999</v>
      </c>
      <c r="N268">
        <f ca="1">IFERROR(IF(0=LEN(ReferenceData!$N$268),"",ReferenceData!$N$268),"")</f>
        <v>50.185983129999997</v>
      </c>
      <c r="O268">
        <f ca="1">IFERROR(IF(0=LEN(ReferenceData!$O$268),"",ReferenceData!$O$268),"")</f>
        <v>48.017214929999994</v>
      </c>
      <c r="P268">
        <f ca="1">IFERROR(IF(0=LEN(ReferenceData!$P$268),"",ReferenceData!$P$268),"")</f>
        <v>44.89054428</v>
      </c>
      <c r="Q268">
        <f ca="1">IFERROR(IF(0=LEN(ReferenceData!$Q$268),"",ReferenceData!$Q$268),"")</f>
        <v>47.339989654999997</v>
      </c>
      <c r="R268">
        <f ca="1">IFERROR(IF(0=LEN(ReferenceData!$R$268),"",ReferenceData!$R$268),"")</f>
        <v>51.759799600000001</v>
      </c>
      <c r="S268">
        <f ca="1">IFERROR(IF(0=LEN(ReferenceData!$S$268),"",ReferenceData!$S$268),"")</f>
        <v>54.010009629999999</v>
      </c>
      <c r="T268">
        <f ca="1">IFERROR(IF(0=LEN(ReferenceData!$T$268),"",ReferenceData!$T$268),"")</f>
        <v>50.387417145000001</v>
      </c>
      <c r="U268">
        <f ca="1">IFERROR(IF(0=LEN(ReferenceData!$U$268),"",ReferenceData!$U$268),"")</f>
        <v>49.771175849999999</v>
      </c>
      <c r="V268">
        <f ca="1">IFERROR(IF(0=LEN(ReferenceData!$V$268),"",ReferenceData!$V$268),"")</f>
        <v>54.482761740000001</v>
      </c>
      <c r="W268">
        <f ca="1">IFERROR(IF(0=LEN(ReferenceData!$W$268),"",ReferenceData!$W$268),"")</f>
        <v>50.158650770000001</v>
      </c>
      <c r="X268">
        <f ca="1">IFERROR(IF(0=LEN(ReferenceData!$X$268),"",ReferenceData!$X$268),"")</f>
        <v>50.376628650000001</v>
      </c>
      <c r="Y268">
        <f ca="1">IFERROR(IF(0=LEN(ReferenceData!$Y$268),"",ReferenceData!$Y$268),"")</f>
        <v>52.554868369999994</v>
      </c>
      <c r="Z268">
        <f ca="1">IFERROR(IF(0=LEN(ReferenceData!$Z$268),"",ReferenceData!$Z$268),"")</f>
        <v>59.267702365000005</v>
      </c>
      <c r="AA268">
        <f ca="1">IFERROR(IF(0=LEN(ReferenceData!$AA$268),"",ReferenceData!$AA$268),"")</f>
        <v>60.359687545</v>
      </c>
      <c r="AB268">
        <f ca="1">IFERROR(IF(0=LEN(ReferenceData!$AB$268),"",ReferenceData!$AB$268),"")</f>
        <v>54.714401730000006</v>
      </c>
      <c r="AC268">
        <f ca="1">IFERROR(IF(0=LEN(ReferenceData!$AC$268),"",ReferenceData!$AC$268),"")</f>
        <v>52.549309024999999</v>
      </c>
      <c r="AD268">
        <f ca="1">IFERROR(IF(0=LEN(ReferenceData!$AD$268),"",ReferenceData!$AD$268),"")</f>
        <v>47.615924355000004</v>
      </c>
      <c r="AE268">
        <f ca="1">IFERROR(IF(0=LEN(ReferenceData!$AE$268),"",ReferenceData!$AE$268),"")</f>
        <v>57.66881171</v>
      </c>
      <c r="AF268">
        <f ca="1">IFERROR(IF(0=LEN(ReferenceData!$AF$268),"",ReferenceData!$AF$268),"")</f>
        <v>56.983566170000003</v>
      </c>
      <c r="AG268">
        <f ca="1">IFERROR(IF(0=LEN(ReferenceData!$AG$268),"",ReferenceData!$AG$268),"")</f>
        <v>55.746125265000003</v>
      </c>
      <c r="AH268">
        <f ca="1">IFERROR(IF(0=LEN(ReferenceData!$AH$268),"",ReferenceData!$AH$268),"")</f>
        <v>51.269012404999998</v>
      </c>
      <c r="AI268">
        <f ca="1">IFERROR(IF(0=LEN(ReferenceData!$AI$268),"",ReferenceData!$AI$268),"")</f>
        <v>63.622513624999996</v>
      </c>
      <c r="AJ268">
        <f ca="1">IFERROR(IF(0=LEN(ReferenceData!$AJ$268),"",ReferenceData!$AJ$268),"")</f>
        <v>51.590161514999998</v>
      </c>
      <c r="AK268">
        <f ca="1">IFERROR(IF(0=LEN(ReferenceData!$AK$268),"",ReferenceData!$AK$268),"")</f>
        <v>55.932439070000001</v>
      </c>
      <c r="AL268">
        <f ca="1">IFERROR(IF(0=LEN(ReferenceData!$AL$268),"",ReferenceData!$AL$268),"")</f>
        <v>50.026331810000002</v>
      </c>
      <c r="AM268">
        <f ca="1">IFERROR(IF(0=LEN(ReferenceData!$AM$268),"",ReferenceData!$AM$268),"")</f>
        <v>70.485285300000001</v>
      </c>
      <c r="AN268">
        <f ca="1">IFERROR(IF(0=LEN(ReferenceData!$AN$268),"",ReferenceData!$AN$268),"")</f>
        <v>48.236840834999995</v>
      </c>
      <c r="AO268">
        <f ca="1">IFERROR(IF(0=LEN(ReferenceData!$AO$268),"",ReferenceData!$AO$268),"")</f>
        <v>43.485995610000003</v>
      </c>
      <c r="AP268">
        <f ca="1">IFERROR(IF(0=LEN(ReferenceData!$AP$268),"",ReferenceData!$AP$268),"")</f>
        <v>55.175495750000003</v>
      </c>
      <c r="AQ268">
        <f ca="1">IFERROR(IF(0=LEN(ReferenceData!$AQ$268),"",ReferenceData!$AQ$268),"")</f>
        <v>73.734390180000005</v>
      </c>
      <c r="AR268">
        <f ca="1">IFERROR(IF(0=LEN(ReferenceData!$AR$268),"",ReferenceData!$AR$268),"")</f>
        <v>56.240243139999997</v>
      </c>
      <c r="AS268">
        <f ca="1">IFERROR(IF(0=LEN(ReferenceData!$AS$268),"",ReferenceData!$AS$268),"")</f>
        <v>57.778198420000002</v>
      </c>
      <c r="AT268">
        <f ca="1">IFERROR(IF(0=LEN(ReferenceData!$AT$268),"",ReferenceData!$AT$268),"")</f>
        <v>55.954405299999998</v>
      </c>
      <c r="AU268">
        <f ca="1">IFERROR(IF(0=LEN(ReferenceData!$AU$268),"",ReferenceData!$AU$268),"")</f>
        <v>62.07316153</v>
      </c>
      <c r="AV268">
        <f ca="1">IFERROR(IF(0=LEN(ReferenceData!$AV$268),"",ReferenceData!$AV$268),"")</f>
        <v>59.811987260000002</v>
      </c>
      <c r="AW268">
        <f ca="1">IFERROR(IF(0=LEN(ReferenceData!$AW$268),"",ReferenceData!$AW$268),"")</f>
        <v>59.23816025</v>
      </c>
      <c r="AX268">
        <f ca="1">IFERROR(IF(0=LEN(ReferenceData!$AX$268),"",ReferenceData!$AX$268),"")</f>
        <v>51.411217520000001</v>
      </c>
      <c r="AY268">
        <f ca="1">IFERROR(IF(0=LEN(ReferenceData!$AY$268),"",ReferenceData!$AY$268),"")</f>
        <v>64.517366510000002</v>
      </c>
      <c r="AZ268">
        <f ca="1">IFERROR(IF(0=LEN(ReferenceData!$AZ$268),"",ReferenceData!$AZ$268),"")</f>
        <v>62.177056759999999</v>
      </c>
      <c r="BA268">
        <f ca="1">IFERROR(IF(0=LEN(ReferenceData!$BA$268),"",ReferenceData!$BA$268),"")</f>
        <v>52.640669719999998</v>
      </c>
      <c r="BB268">
        <f ca="1">IFERROR(IF(0=LEN(ReferenceData!$BB$268),"",ReferenceData!$BB$268),"")</f>
        <v>54.648140890000001</v>
      </c>
      <c r="BC268">
        <f ca="1">IFERROR(IF(0=LEN(ReferenceData!$BC$268),"",ReferenceData!$BC$268),"")</f>
        <v>73.015765020000003</v>
      </c>
      <c r="BD268">
        <f ca="1">IFERROR(IF(0=LEN(ReferenceData!$BD$268),"",ReferenceData!$BD$268),"")</f>
        <v>78.789780370000003</v>
      </c>
      <c r="BE268">
        <f ca="1">IFERROR(IF(0=LEN(ReferenceData!$BE$268),"",ReferenceData!$BE$268),"")</f>
        <v>58.524624445000001</v>
      </c>
      <c r="BF268">
        <f ca="1">IFERROR(IF(0=LEN(ReferenceData!$BF$268),"",ReferenceData!$BF$268),"")</f>
        <v>55.477908800000002</v>
      </c>
      <c r="BG268">
        <f ca="1">IFERROR(IF(0=LEN(ReferenceData!$BG$268),"",ReferenceData!$BG$268),"")</f>
        <v>57.824269999999999</v>
      </c>
      <c r="BH268">
        <f ca="1">IFERROR(IF(0=LEN(ReferenceData!$BH$268),"",ReferenceData!$BH$268),"")</f>
        <v>58.71445009</v>
      </c>
      <c r="BI268">
        <f ca="1">IFERROR(IF(0=LEN(ReferenceData!$BI$268),"",ReferenceData!$BI$268),"")</f>
        <v>55.789923989999998</v>
      </c>
      <c r="BJ268">
        <f ca="1">IFERROR(IF(0=LEN(ReferenceData!$BJ$268),"",ReferenceData!$BJ$268),"")</f>
        <v>58.601500119999997</v>
      </c>
      <c r="BK268">
        <f ca="1">IFERROR(IF(0=LEN(ReferenceData!$BK$268),"",ReferenceData!$BK$268),"")</f>
        <v>55.181174310000003</v>
      </c>
      <c r="BL268">
        <f ca="1">IFERROR(IF(0=LEN(ReferenceData!$BL$268),"",ReferenceData!$BL$268),"")</f>
        <v>51.208970809999997</v>
      </c>
      <c r="BM268">
        <f ca="1">IFERROR(IF(0=LEN(ReferenceData!$BM$268),"",ReferenceData!$BM$268),"")</f>
        <v>54.395339489999998</v>
      </c>
    </row>
    <row r="269" spans="1:65">
      <c r="A269" t="str">
        <f>IFERROR(IF(0=LEN(ReferenceData!$A$269),"",ReferenceData!$A$269),"")</f>
        <v xml:space="preserve">    Boston Properties Inc</v>
      </c>
      <c r="B269" t="str">
        <f>IFERROR(IF(0=LEN(ReferenceData!$B$269),"",ReferenceData!$B$269),"")</f>
        <v>BXP US Equity</v>
      </c>
      <c r="C269" t="str">
        <f>IFERROR(IF(0=LEN(ReferenceData!$C$269),"",ReferenceData!$C$269),"")</f>
        <v>RR106</v>
      </c>
      <c r="D269" t="str">
        <f>IFERROR(IF(0=LEN(ReferenceData!$D$269),"",ReferenceData!$D$269),"")</f>
        <v>FFO_PAYOUT_RATIO</v>
      </c>
      <c r="E269" t="str">
        <f>IFERROR(IF(0=LEN(ReferenceData!$E$269),"",ReferenceData!$E$269),"")</f>
        <v>动态</v>
      </c>
      <c r="F269" t="str">
        <f ca="1">IFERROR(IF(0=LEN(ReferenceData!$F$269),"",ReferenceData!$F$269),"")</f>
        <v/>
      </c>
      <c r="G269">
        <f ca="1">IFERROR(IF(0=LEN(ReferenceData!$G$269),"",ReferenceData!$G$269),"")</f>
        <v>53.660334069999998</v>
      </c>
      <c r="H269">
        <f ca="1">IFERROR(IF(0=LEN(ReferenceData!$H$269),"",ReferenceData!$H$269),"")</f>
        <v>47.637491509999997</v>
      </c>
      <c r="I269">
        <f ca="1">IFERROR(IF(0=LEN(ReferenceData!$I$269),"",ReferenceData!$I$269),"")</f>
        <v>44.839577169999998</v>
      </c>
      <c r="J269">
        <f ca="1">IFERROR(IF(0=LEN(ReferenceData!$J$269),"",ReferenceData!$J$269),"")</f>
        <v>50.526965670000003</v>
      </c>
      <c r="K269">
        <f ca="1">IFERROR(IF(0=LEN(ReferenceData!$K$269),"",ReferenceData!$K$269),"")</f>
        <v>48.696274350000003</v>
      </c>
      <c r="L269">
        <f ca="1">IFERROR(IF(0=LEN(ReferenceData!$L$269),"",ReferenceData!$L$269),"")</f>
        <v>45.517525640000002</v>
      </c>
      <c r="M269">
        <f ca="1">IFERROR(IF(0=LEN(ReferenceData!$M$269),"",ReferenceData!$M$269),"")</f>
        <v>45.27768082</v>
      </c>
      <c r="N269">
        <f ca="1">IFERROR(IF(0=LEN(ReferenceData!$N$269),"",ReferenceData!$N$269),"")</f>
        <v>39.833139199999998</v>
      </c>
      <c r="O269">
        <f ca="1">IFERROR(IF(0=LEN(ReferenceData!$O$269),"",ReferenceData!$O$269),"")</f>
        <v>147.88132759999999</v>
      </c>
      <c r="P269">
        <f ca="1">IFERROR(IF(0=LEN(ReferenceData!$P$269),"",ReferenceData!$P$269),"")</f>
        <v>45.9524489</v>
      </c>
      <c r="Q269">
        <f ca="1">IFERROR(IF(0=LEN(ReferenceData!$Q$269),"",ReferenceData!$Q$269),"")</f>
        <v>47.785187630000003</v>
      </c>
      <c r="R269">
        <f ca="1">IFERROR(IF(0=LEN(ReferenceData!$R$269),"",ReferenceData!$R$269),"")</f>
        <v>49.704069670000003</v>
      </c>
      <c r="S269">
        <f ca="1">IFERROR(IF(0=LEN(ReferenceData!$S$269),"",ReferenceData!$S$269),"")</f>
        <v>408.21239630000002</v>
      </c>
      <c r="T269">
        <f ca="1">IFERROR(IF(0=LEN(ReferenceData!$T$269),"",ReferenceData!$T$269),"")</f>
        <v>44.550878900000001</v>
      </c>
      <c r="U269">
        <f ca="1">IFERROR(IF(0=LEN(ReferenceData!$U$269),"",ReferenceData!$U$269),"")</f>
        <v>48.065649000000001</v>
      </c>
      <c r="V269">
        <f ca="1">IFERROR(IF(0=LEN(ReferenceData!$V$269),"",ReferenceData!$V$269),"")</f>
        <v>54.105382820000003</v>
      </c>
      <c r="W269">
        <f ca="1">IFERROR(IF(0=LEN(ReferenceData!$W$269),"",ReferenceData!$W$269),"")</f>
        <v>398.22357729999999</v>
      </c>
      <c r="X269">
        <f ca="1">IFERROR(IF(0=LEN(ReferenceData!$X$269),"",ReferenceData!$X$269),"")</f>
        <v>50.06825568</v>
      </c>
      <c r="Y269">
        <f ca="1">IFERROR(IF(0=LEN(ReferenceData!$Y$269),"",ReferenceData!$Y$269),"")</f>
        <v>50.538443819999998</v>
      </c>
      <c r="Z269">
        <f ca="1">IFERROR(IF(0=LEN(ReferenceData!$Z$269),"",ReferenceData!$Z$269),"")</f>
        <v>61.366856759999997</v>
      </c>
      <c r="AA269">
        <f ca="1">IFERROR(IF(0=LEN(ReferenceData!$AA$269),"",ReferenceData!$AA$269),"")</f>
        <v>50.999106320000003</v>
      </c>
      <c r="AB269">
        <f ca="1">IFERROR(IF(0=LEN(ReferenceData!$AB$269),"",ReferenceData!$AB$269),"")</f>
        <v>47.184561299999999</v>
      </c>
      <c r="AC269">
        <f ca="1">IFERROR(IF(0=LEN(ReferenceData!$AC$269),"",ReferenceData!$AC$269),"")</f>
        <v>40.039714439999997</v>
      </c>
      <c r="AD269">
        <f ca="1">IFERROR(IF(0=LEN(ReferenceData!$AD$269),"",ReferenceData!$AD$269),"")</f>
        <v>48.934888350000001</v>
      </c>
      <c r="AE269">
        <f ca="1">IFERROR(IF(0=LEN(ReferenceData!$AE$269),"",ReferenceData!$AE$269),"")</f>
        <v>45.317069910000001</v>
      </c>
      <c r="AF269">
        <f ca="1">IFERROR(IF(0=LEN(ReferenceData!$AF$269),"",ReferenceData!$AF$269),"")</f>
        <v>38.630080829999997</v>
      </c>
      <c r="AG269">
        <f ca="1">IFERROR(IF(0=LEN(ReferenceData!$AG$269),"",ReferenceData!$AG$269),"")</f>
        <v>40.167649760000003</v>
      </c>
      <c r="AH269">
        <f ca="1">IFERROR(IF(0=LEN(ReferenceData!$AH$269),"",ReferenceData!$AH$269),"")</f>
        <v>44.41023878</v>
      </c>
      <c r="AI269">
        <f ca="1">IFERROR(IF(0=LEN(ReferenceData!$AI$269),"",ReferenceData!$AI$269),"")</f>
        <v>77.941765500000002</v>
      </c>
      <c r="AJ269">
        <f ca="1">IFERROR(IF(0=LEN(ReferenceData!$AJ$269),"",ReferenceData!$AJ$269),"")</f>
        <v>46.268552829999997</v>
      </c>
      <c r="AK269">
        <f ca="1">IFERROR(IF(0=LEN(ReferenceData!$AK$269),"",ReferenceData!$AK$269),"")</f>
        <v>44.340218010000001</v>
      </c>
      <c r="AL269">
        <f ca="1">IFERROR(IF(0=LEN(ReferenceData!$AL$269),"",ReferenceData!$AL$269),"")</f>
        <v>46.435399339999996</v>
      </c>
      <c r="AM269">
        <f ca="1">IFERROR(IF(0=LEN(ReferenceData!$AM$269),"",ReferenceData!$AM$269),"")</f>
        <v>47.502670209999998</v>
      </c>
      <c r="AN269">
        <f ca="1">IFERROR(IF(0=LEN(ReferenceData!$AN$269),"",ReferenceData!$AN$269),"")</f>
        <v>43.74913222</v>
      </c>
      <c r="AO269">
        <f ca="1">IFERROR(IF(0=LEN(ReferenceData!$AO$269),"",ReferenceData!$AO$269),"")</f>
        <v>37.591753439999998</v>
      </c>
      <c r="AP269">
        <f ca="1">IFERROR(IF(0=LEN(ReferenceData!$AP$269),"",ReferenceData!$AP$269),"")</f>
        <v>61.14639554</v>
      </c>
      <c r="AQ269" t="str">
        <f ca="1">IFERROR(IF(0=LEN(ReferenceData!$AQ$269),"",ReferenceData!$AQ$269),"")</f>
        <v/>
      </c>
      <c r="AR269">
        <f ca="1">IFERROR(IF(0=LEN(ReferenceData!$AR$269),"",ReferenceData!$AR$269),"")</f>
        <v>52.52706422</v>
      </c>
      <c r="AS269">
        <f ca="1">IFERROR(IF(0=LEN(ReferenceData!$AS$269),"",ReferenceData!$AS$269),"")</f>
        <v>49.38777194</v>
      </c>
      <c r="AT269">
        <f ca="1">IFERROR(IF(0=LEN(ReferenceData!$AT$269),"",ReferenceData!$AT$269),"")</f>
        <v>53.116348979999998</v>
      </c>
      <c r="AU269">
        <f ca="1">IFERROR(IF(0=LEN(ReferenceData!$AU$269),"",ReferenceData!$AU$269),"")</f>
        <v>461.06102979999997</v>
      </c>
      <c r="AV269">
        <f ca="1">IFERROR(IF(0=LEN(ReferenceData!$AV$269),"",ReferenceData!$AV$269),"")</f>
        <v>50.517996930000002</v>
      </c>
      <c r="AW269">
        <f ca="1">IFERROR(IF(0=LEN(ReferenceData!$AW$269),"",ReferenceData!$AW$269),"")</f>
        <v>48.315671899999998</v>
      </c>
      <c r="AX269">
        <f ca="1">IFERROR(IF(0=LEN(ReferenceData!$AX$269),"",ReferenceData!$AX$269),"")</f>
        <v>51.411217520000001</v>
      </c>
      <c r="AY269">
        <f ca="1">IFERROR(IF(0=LEN(ReferenceData!$AY$269),"",ReferenceData!$AY$269),"")</f>
        <v>427.60391559999999</v>
      </c>
      <c r="AZ269">
        <f ca="1">IFERROR(IF(0=LEN(ReferenceData!$AZ$269),"",ReferenceData!$AZ$269),"")</f>
        <v>48.250405700000002</v>
      </c>
      <c r="BA269">
        <f ca="1">IFERROR(IF(0=LEN(ReferenceData!$BA$269),"",ReferenceData!$BA$269),"")</f>
        <v>63.533993950000003</v>
      </c>
      <c r="BB269">
        <f ca="1">IFERROR(IF(0=LEN(ReferenceData!$BB$269),"",ReferenceData!$BB$269),"")</f>
        <v>53.943649260000001</v>
      </c>
      <c r="BC269">
        <f ca="1">IFERROR(IF(0=LEN(ReferenceData!$BC$269),"",ReferenceData!$BC$269),"")</f>
        <v>73.015765020000003</v>
      </c>
      <c r="BD269">
        <f ca="1">IFERROR(IF(0=LEN(ReferenceData!$BD$269),"",ReferenceData!$BD$269),"")</f>
        <v>240.8606394</v>
      </c>
      <c r="BE269" t="str">
        <f ca="1">IFERROR(IF(0=LEN(ReferenceData!$BE$269),"",ReferenceData!$BE$269),"")</f>
        <v/>
      </c>
      <c r="BF269">
        <f ca="1">IFERROR(IF(0=LEN(ReferenceData!$BF$269),"",ReferenceData!$BF$269),"")</f>
        <v>51.03576417</v>
      </c>
      <c r="BG269">
        <f ca="1">IFERROR(IF(0=LEN(ReferenceData!$BG$269),"",ReferenceData!$BG$269),"")</f>
        <v>0</v>
      </c>
      <c r="BH269">
        <f ca="1">IFERROR(IF(0=LEN(ReferenceData!$BH$269),"",ReferenceData!$BH$269),"")</f>
        <v>58.71445009</v>
      </c>
      <c r="BI269">
        <f ca="1">IFERROR(IF(0=LEN(ReferenceData!$BI$269),"",ReferenceData!$BI$269),"")</f>
        <v>0</v>
      </c>
      <c r="BJ269">
        <f ca="1">IFERROR(IF(0=LEN(ReferenceData!$BJ$269),"",ReferenceData!$BJ$269),"")</f>
        <v>0</v>
      </c>
      <c r="BK269">
        <f ca="1">IFERROR(IF(0=LEN(ReferenceData!$BK$269),"",ReferenceData!$BK$269),"")</f>
        <v>57.705438090000001</v>
      </c>
      <c r="BL269">
        <f ca="1">IFERROR(IF(0=LEN(ReferenceData!$BL$269),"",ReferenceData!$BL$269),"")</f>
        <v>61.920916869999999</v>
      </c>
      <c r="BM269">
        <f ca="1">IFERROR(IF(0=LEN(ReferenceData!$BM$269),"",ReferenceData!$BM$269),"")</f>
        <v>0</v>
      </c>
    </row>
    <row r="270" spans="1:65">
      <c r="A270" t="str">
        <f>IFERROR(IF(0=LEN(ReferenceData!$A$270),"",ReferenceData!$A$270),"")</f>
        <v xml:space="preserve">    Brandywine Realty Trust</v>
      </c>
      <c r="B270" t="str">
        <f>IFERROR(IF(0=LEN(ReferenceData!$B$270),"",ReferenceData!$B$270),"")</f>
        <v>BDN US Equity</v>
      </c>
      <c r="C270" t="str">
        <f>IFERROR(IF(0=LEN(ReferenceData!$C$270),"",ReferenceData!$C$270),"")</f>
        <v>RR106</v>
      </c>
      <c r="D270" t="str">
        <f>IFERROR(IF(0=LEN(ReferenceData!$D$270),"",ReferenceData!$D$270),"")</f>
        <v>FFO_PAYOUT_RATIO</v>
      </c>
      <c r="E270" t="str">
        <f>IFERROR(IF(0=LEN(ReferenceData!$E$270),"",ReferenceData!$E$270),"")</f>
        <v>动态</v>
      </c>
      <c r="F270" t="str">
        <f ca="1">IFERROR(IF(0=LEN(ReferenceData!$F$270),"",ReferenceData!$F$270),"")</f>
        <v/>
      </c>
      <c r="G270">
        <f ca="1">IFERROR(IF(0=LEN(ReferenceData!$G$270),"",ReferenceData!$G$270),"")</f>
        <v>52.387253639999997</v>
      </c>
      <c r="H270">
        <f ca="1">IFERROR(IF(0=LEN(ReferenceData!$H$270),"",ReferenceData!$H$270),"")</f>
        <v>45.32730213</v>
      </c>
      <c r="I270">
        <f ca="1">IFERROR(IF(0=LEN(ReferenceData!$I$270),"",ReferenceData!$I$270),"")</f>
        <v>49.504588429999998</v>
      </c>
      <c r="J270">
        <f ca="1">IFERROR(IF(0=LEN(ReferenceData!$J$270),"",ReferenceData!$J$270),"")</f>
        <v>50.535488350000001</v>
      </c>
      <c r="K270">
        <f ca="1">IFERROR(IF(0=LEN(ReferenceData!$K$270),"",ReferenceData!$K$270),"")</f>
        <v>44.506331660000001</v>
      </c>
      <c r="L270">
        <f ca="1">IFERROR(IF(0=LEN(ReferenceData!$L$270),"",ReferenceData!$L$270),"")</f>
        <v>48.07552261</v>
      </c>
      <c r="M270">
        <f ca="1">IFERROR(IF(0=LEN(ReferenceData!$M$270),"",ReferenceData!$M$270),"")</f>
        <v>48.815659150000002</v>
      </c>
      <c r="N270" t="str">
        <f ca="1">IFERROR(IF(0=LEN(ReferenceData!$N$270),"",ReferenceData!$N$270),"")</f>
        <v/>
      </c>
      <c r="O270">
        <f ca="1">IFERROR(IF(0=LEN(ReferenceData!$O$270),"",ReferenceData!$O$270),"")</f>
        <v>37.939622239999998</v>
      </c>
      <c r="P270">
        <f ca="1">IFERROR(IF(0=LEN(ReferenceData!$P$270),"",ReferenceData!$P$270),"")</f>
        <v>34.634589679999998</v>
      </c>
      <c r="Q270">
        <f ca="1">IFERROR(IF(0=LEN(ReferenceData!$Q$270),"",ReferenceData!$Q$270),"")</f>
        <v>46.894791679999997</v>
      </c>
      <c r="R270">
        <f ca="1">IFERROR(IF(0=LEN(ReferenceData!$R$270),"",ReferenceData!$R$270),"")</f>
        <v>46.080374159999998</v>
      </c>
      <c r="S270">
        <f ca="1">IFERROR(IF(0=LEN(ReferenceData!$S$270),"",ReferenceData!$S$270),"")</f>
        <v>50.153068750000003</v>
      </c>
      <c r="T270">
        <f ca="1">IFERROR(IF(0=LEN(ReferenceData!$T$270),"",ReferenceData!$T$270),"")</f>
        <v>43.203891210000002</v>
      </c>
      <c r="U270">
        <f ca="1">IFERROR(IF(0=LEN(ReferenceData!$U$270),"",ReferenceData!$U$270),"")</f>
        <v>41.592135030000001</v>
      </c>
      <c r="V270">
        <f ca="1">IFERROR(IF(0=LEN(ReferenceData!$V$270),"",ReferenceData!$V$270),"")</f>
        <v>44.389763780000003</v>
      </c>
      <c r="W270">
        <f ca="1">IFERROR(IF(0=LEN(ReferenceData!$W$270),"",ReferenceData!$W$270),"")</f>
        <v>50.035805179999997</v>
      </c>
      <c r="X270">
        <f ca="1">IFERROR(IF(0=LEN(ReferenceData!$X$270),"",ReferenceData!$X$270),"")</f>
        <v>37.691651120000003</v>
      </c>
      <c r="Y270">
        <f ca="1">IFERROR(IF(0=LEN(ReferenceData!$Y$270),"",ReferenceData!$Y$270),"")</f>
        <v>48.6970551</v>
      </c>
      <c r="Z270">
        <f ca="1">IFERROR(IF(0=LEN(ReferenceData!$Z$270),"",ReferenceData!$Z$270),"")</f>
        <v>42.195164179999999</v>
      </c>
      <c r="AA270">
        <f ca="1">IFERROR(IF(0=LEN(ReferenceData!$AA$270),"",ReferenceData!$AA$270),"")</f>
        <v>101.45526940000001</v>
      </c>
      <c r="AB270">
        <f ca="1">IFERROR(IF(0=LEN(ReferenceData!$AB$270),"",ReferenceData!$AB$270),"")</f>
        <v>37.101494760000001</v>
      </c>
      <c r="AC270">
        <f ca="1">IFERROR(IF(0=LEN(ReferenceData!$AC$270),"",ReferenceData!$AC$270),"")</f>
        <v>47.998337650000003</v>
      </c>
      <c r="AD270">
        <f ca="1">IFERROR(IF(0=LEN(ReferenceData!$AD$270),"",ReferenceData!$AD$270),"")</f>
        <v>46.29696036</v>
      </c>
      <c r="AE270">
        <f ca="1">IFERROR(IF(0=LEN(ReferenceData!$AE$270),"",ReferenceData!$AE$270),"")</f>
        <v>42.883534210000001</v>
      </c>
      <c r="AF270">
        <f ca="1">IFERROR(IF(0=LEN(ReferenceData!$AF$270),"",ReferenceData!$AF$270),"")</f>
        <v>33.505310680000001</v>
      </c>
      <c r="AG270">
        <f ca="1">IFERROR(IF(0=LEN(ReferenceData!$AG$270),"",ReferenceData!$AG$270),"")</f>
        <v>43.677800099999999</v>
      </c>
      <c r="AH270">
        <f ca="1">IFERROR(IF(0=LEN(ReferenceData!$AH$270),"",ReferenceData!$AH$270),"")</f>
        <v>42.847132049999999</v>
      </c>
      <c r="AI270">
        <f ca="1">IFERROR(IF(0=LEN(ReferenceData!$AI$270),"",ReferenceData!$AI$270),"")</f>
        <v>41.803190659999999</v>
      </c>
      <c r="AJ270">
        <f ca="1">IFERROR(IF(0=LEN(ReferenceData!$AJ$270),"",ReferenceData!$AJ$270),"")</f>
        <v>43.198720780000002</v>
      </c>
      <c r="AK270">
        <f ca="1">IFERROR(IF(0=LEN(ReferenceData!$AK$270),"",ReferenceData!$AK$270),"")</f>
        <v>42.027906770000001</v>
      </c>
      <c r="AL270">
        <f ca="1">IFERROR(IF(0=LEN(ReferenceData!$AL$270),"",ReferenceData!$AL$270),"")</f>
        <v>43.730400699999997</v>
      </c>
      <c r="AM270">
        <f ca="1">IFERROR(IF(0=LEN(ReferenceData!$AM$270),"",ReferenceData!$AM$270),"")</f>
        <v>28.028301580000001</v>
      </c>
      <c r="AN270">
        <f ca="1">IFERROR(IF(0=LEN(ReferenceData!$AN$270),"",ReferenceData!$AN$270),"")</f>
        <v>21.96977429</v>
      </c>
      <c r="AO270">
        <f ca="1">IFERROR(IF(0=LEN(ReferenceData!$AO$270),"",ReferenceData!$AO$270),"")</f>
        <v>17.045152779999999</v>
      </c>
      <c r="AP270">
        <f ca="1">IFERROR(IF(0=LEN(ReferenceData!$AP$270),"",ReferenceData!$AP$270),"")</f>
        <v>18.417470560000002</v>
      </c>
      <c r="AQ270">
        <f ca="1">IFERROR(IF(0=LEN(ReferenceData!$AQ$270),"",ReferenceData!$AQ$270),"")</f>
        <v>69.658881600000001</v>
      </c>
      <c r="AR270">
        <f ca="1">IFERROR(IF(0=LEN(ReferenceData!$AR$270),"",ReferenceData!$AR$270),"")</f>
        <v>73.33268554</v>
      </c>
      <c r="AS270">
        <f ca="1">IFERROR(IF(0=LEN(ReferenceData!$AS$270),"",ReferenceData!$AS$270),"")</f>
        <v>75.741974720000002</v>
      </c>
      <c r="AT270">
        <f ca="1">IFERROR(IF(0=LEN(ReferenceData!$AT$270),"",ReferenceData!$AT$270),"")</f>
        <v>63.036686369999998</v>
      </c>
      <c r="AU270">
        <f ca="1">IFERROR(IF(0=LEN(ReferenceData!$AU$270),"",ReferenceData!$AU$270),"")</f>
        <v>71.022723369999994</v>
      </c>
      <c r="AV270">
        <f ca="1">IFERROR(IF(0=LEN(ReferenceData!$AV$270),"",ReferenceData!$AV$270),"")</f>
        <v>61.646207699999998</v>
      </c>
      <c r="AW270">
        <f ca="1">IFERROR(IF(0=LEN(ReferenceData!$AW$270),"",ReferenceData!$AW$270),"")</f>
        <v>64.921795720000006</v>
      </c>
      <c r="AX270">
        <f ca="1">IFERROR(IF(0=LEN(ReferenceData!$AX$270),"",ReferenceData!$AX$270),"")</f>
        <v>66.303346090000005</v>
      </c>
      <c r="AY270">
        <f ca="1">IFERROR(IF(0=LEN(ReferenceData!$AY$270),"",ReferenceData!$AY$270),"")</f>
        <v>65.913804319999997</v>
      </c>
      <c r="AZ270">
        <f ca="1">IFERROR(IF(0=LEN(ReferenceData!$AZ$270),"",ReferenceData!$AZ$270),"")</f>
        <v>62.177056759999999</v>
      </c>
      <c r="BA270">
        <f ca="1">IFERROR(IF(0=LEN(ReferenceData!$BA$270),"",ReferenceData!$BA$270),"")</f>
        <v>69.907879620000003</v>
      </c>
      <c r="BB270">
        <f ca="1">IFERROR(IF(0=LEN(ReferenceData!$BB$270),"",ReferenceData!$BB$270),"")</f>
        <v>71.16050688</v>
      </c>
      <c r="BC270">
        <f ca="1">IFERROR(IF(0=LEN(ReferenceData!$BC$270),"",ReferenceData!$BC$270),"")</f>
        <v>45.075922730000002</v>
      </c>
      <c r="BD270">
        <f ca="1">IFERROR(IF(0=LEN(ReferenceData!$BD$270),"",ReferenceData!$BD$270),"")</f>
        <v>68.15377934</v>
      </c>
      <c r="BE270">
        <f ca="1">IFERROR(IF(0=LEN(ReferenceData!$BE$270),"",ReferenceData!$BE$270),"")</f>
        <v>69.436384540000006</v>
      </c>
      <c r="BF270">
        <f ca="1">IFERROR(IF(0=LEN(ReferenceData!$BF$270),"",ReferenceData!$BF$270),"")</f>
        <v>67.287416890000003</v>
      </c>
      <c r="BG270">
        <f ca="1">IFERROR(IF(0=LEN(ReferenceData!$BG$270),"",ReferenceData!$BG$270),"")</f>
        <v>66.610990479999998</v>
      </c>
      <c r="BH270">
        <f ca="1">IFERROR(IF(0=LEN(ReferenceData!$BH$270),"",ReferenceData!$BH$270),"")</f>
        <v>61.272348839999999</v>
      </c>
      <c r="BI270">
        <f ca="1">IFERROR(IF(0=LEN(ReferenceData!$BI$270),"",ReferenceData!$BI$270),"")</f>
        <v>0</v>
      </c>
      <c r="BJ270">
        <f ca="1">IFERROR(IF(0=LEN(ReferenceData!$BJ$270),"",ReferenceData!$BJ$270),"")</f>
        <v>58.601500119999997</v>
      </c>
      <c r="BK270">
        <f ca="1">IFERROR(IF(0=LEN(ReferenceData!$BK$270),"",ReferenceData!$BK$270),"")</f>
        <v>0</v>
      </c>
      <c r="BL270">
        <f ca="1">IFERROR(IF(0=LEN(ReferenceData!$BL$270),"",ReferenceData!$BL$270),"")</f>
        <v>0</v>
      </c>
      <c r="BM270">
        <f ca="1">IFERROR(IF(0=LEN(ReferenceData!$BM$270),"",ReferenceData!$BM$270),"")</f>
        <v>0</v>
      </c>
    </row>
    <row r="271" spans="1:65">
      <c r="A271" t="str">
        <f>IFERROR(IF(0=LEN(ReferenceData!$A$271),"",ReferenceData!$A$271),"")</f>
        <v xml:space="preserve">    Columbia Property Trust Inc</v>
      </c>
      <c r="B271" t="str">
        <f>IFERROR(IF(0=LEN(ReferenceData!$B$271),"",ReferenceData!$B$271),"")</f>
        <v>CXP US Equity</v>
      </c>
      <c r="C271" t="str">
        <f>IFERROR(IF(0=LEN(ReferenceData!$C$271),"",ReferenceData!$C$271),"")</f>
        <v>RR106</v>
      </c>
      <c r="D271" t="str">
        <f>IFERROR(IF(0=LEN(ReferenceData!$D$271),"",ReferenceData!$D$271),"")</f>
        <v>FFO_PAYOUT_RATIO</v>
      </c>
      <c r="E271" t="str">
        <f>IFERROR(IF(0=LEN(ReferenceData!$E$271),"",ReferenceData!$E$271),"")</f>
        <v>动态</v>
      </c>
      <c r="F271" t="str">
        <f ca="1">IFERROR(IF(0=LEN(ReferenceData!$F$271),"",ReferenceData!$F$271),"")</f>
        <v/>
      </c>
      <c r="G271">
        <f ca="1">IFERROR(IF(0=LEN(ReferenceData!$G$271),"",ReferenceData!$G$271),"")</f>
        <v>65.795695670000001</v>
      </c>
      <c r="H271">
        <f ca="1">IFERROR(IF(0=LEN(ReferenceData!$H$271),"",ReferenceData!$H$271),"")</f>
        <v>75.846784360000001</v>
      </c>
      <c r="I271">
        <f ca="1">IFERROR(IF(0=LEN(ReferenceData!$I$271),"",ReferenceData!$I$271),"")</f>
        <v>76.268591150000006</v>
      </c>
      <c r="J271">
        <f ca="1">IFERROR(IF(0=LEN(ReferenceData!$J$271),"",ReferenceData!$J$271),"")</f>
        <v>70.26001325</v>
      </c>
      <c r="K271">
        <f ca="1">IFERROR(IF(0=LEN(ReferenceData!$K$271),"",ReferenceData!$K$271),"")</f>
        <v>81.510749950000005</v>
      </c>
      <c r="L271">
        <f ca="1">IFERROR(IF(0=LEN(ReferenceData!$L$271),"",ReferenceData!$L$271),"")</f>
        <v>135.49043330000001</v>
      </c>
      <c r="M271">
        <f ca="1">IFERROR(IF(0=LEN(ReferenceData!$M$271),"",ReferenceData!$M$271),"")</f>
        <v>62.898713499999999</v>
      </c>
      <c r="N271">
        <f ca="1">IFERROR(IF(0=LEN(ReferenceData!$N$271),"",ReferenceData!$N$271),"")</f>
        <v>67.500410279999997</v>
      </c>
      <c r="O271">
        <f ca="1">IFERROR(IF(0=LEN(ReferenceData!$O$271),"",ReferenceData!$O$271),"")</f>
        <v>62.989311219999998</v>
      </c>
      <c r="P271">
        <f ca="1">IFERROR(IF(0=LEN(ReferenceData!$P$271),"",ReferenceData!$P$271),"")</f>
        <v>70.822164849999993</v>
      </c>
      <c r="Q271">
        <f ca="1">IFERROR(IF(0=LEN(ReferenceData!$Q$271),"",ReferenceData!$Q$271),"")</f>
        <v>56.56127377</v>
      </c>
      <c r="R271">
        <f ca="1">IFERROR(IF(0=LEN(ReferenceData!$R$271),"",ReferenceData!$R$271),"")</f>
        <v>59.690564119999998</v>
      </c>
      <c r="S271">
        <f ca="1">IFERROR(IF(0=LEN(ReferenceData!$S$271),"",ReferenceData!$S$271),"")</f>
        <v>61.116930160000003</v>
      </c>
      <c r="T271">
        <f ca="1">IFERROR(IF(0=LEN(ReferenceData!$T$271),"",ReferenceData!$T$271),"")</f>
        <v>67.086161509999997</v>
      </c>
      <c r="U271">
        <f ca="1">IFERROR(IF(0=LEN(ReferenceData!$U$271),"",ReferenceData!$U$271),"")</f>
        <v>61.921214020000001</v>
      </c>
      <c r="V271">
        <f ca="1">IFERROR(IF(0=LEN(ReferenceData!$V$271),"",ReferenceData!$V$271),"")</f>
        <v>59.355815100000001</v>
      </c>
      <c r="W271">
        <f ca="1">IFERROR(IF(0=LEN(ReferenceData!$W$271),"",ReferenceData!$W$271),"")</f>
        <v>65.354184900000007</v>
      </c>
      <c r="X271">
        <f ca="1">IFERROR(IF(0=LEN(ReferenceData!$X$271),"",ReferenceData!$X$271),"")</f>
        <v>72.475980059999998</v>
      </c>
      <c r="Y271">
        <f ca="1">IFERROR(IF(0=LEN(ReferenceData!$Y$271),"",ReferenceData!$Y$271),"")</f>
        <v>70.183420369999993</v>
      </c>
      <c r="Z271">
        <f ca="1">IFERROR(IF(0=LEN(ReferenceData!$Z$271),"",ReferenceData!$Z$271),"")</f>
        <v>140.90002440000001</v>
      </c>
      <c r="AA271">
        <f ca="1">IFERROR(IF(0=LEN(ReferenceData!$AA$271),"",ReferenceData!$AA$271),"")</f>
        <v>85.613727549999993</v>
      </c>
      <c r="AB271">
        <f ca="1">IFERROR(IF(0=LEN(ReferenceData!$AB$271),"",ReferenceData!$AB$271),"")</f>
        <v>101.06802860000001</v>
      </c>
      <c r="AC271">
        <f ca="1">IFERROR(IF(0=LEN(ReferenceData!$AC$271),"",ReferenceData!$AC$271),"")</f>
        <v>0</v>
      </c>
      <c r="AD271">
        <f ca="1">IFERROR(IF(0=LEN(ReferenceData!$AD$271),"",ReferenceData!$AD$271),"")</f>
        <v>0</v>
      </c>
      <c r="AE271">
        <f ca="1">IFERROR(IF(0=LEN(ReferenceData!$AE$271),"",ReferenceData!$AE$271),"")</f>
        <v>240.49319800000001</v>
      </c>
      <c r="AF271">
        <f ca="1">IFERROR(IF(0=LEN(ReferenceData!$AF$271),"",ReferenceData!$AF$271),"")</f>
        <v>0</v>
      </c>
      <c r="AG271">
        <f ca="1">IFERROR(IF(0=LEN(ReferenceData!$AG$271),"",ReferenceData!$AG$271),"")</f>
        <v>0</v>
      </c>
      <c r="AH271">
        <f ca="1">IFERROR(IF(0=LEN(ReferenceData!$AH$271),"",ReferenceData!$AH$271),"")</f>
        <v>0</v>
      </c>
      <c r="AI271">
        <f ca="1">IFERROR(IF(0=LEN(ReferenceData!$AI$271),"",ReferenceData!$AI$271),"")</f>
        <v>370.96790829999998</v>
      </c>
      <c r="AJ271">
        <f ca="1">IFERROR(IF(0=LEN(ReferenceData!$AJ$271),"",ReferenceData!$AJ$271),"")</f>
        <v>0</v>
      </c>
      <c r="AK271">
        <f ca="1">IFERROR(IF(0=LEN(ReferenceData!$AK$271),"",ReferenceData!$AK$271),"")</f>
        <v>0</v>
      </c>
      <c r="AL271">
        <f ca="1">IFERROR(IF(0=LEN(ReferenceData!$AL$271),"",ReferenceData!$AL$271),"")</f>
        <v>0</v>
      </c>
      <c r="AM271">
        <f ca="1">IFERROR(IF(0=LEN(ReferenceData!$AM$271),"",ReferenceData!$AM$271),"")</f>
        <v>352.63414390000003</v>
      </c>
      <c r="AN271">
        <f ca="1">IFERROR(IF(0=LEN(ReferenceData!$AN$271),"",ReferenceData!$AN$271),"")</f>
        <v>0</v>
      </c>
      <c r="AO271" t="str">
        <f ca="1">IFERROR(IF(0=LEN(ReferenceData!$AO$271),"",ReferenceData!$AO$271),"")</f>
        <v/>
      </c>
      <c r="AP271" t="str">
        <f ca="1">IFERROR(IF(0=LEN(ReferenceData!$AP$271),"",ReferenceData!$AP$271),"")</f>
        <v/>
      </c>
      <c r="AQ271" t="str">
        <f ca="1">IFERROR(IF(0=LEN(ReferenceData!$AQ$271),"",ReferenceData!$AQ$271),"")</f>
        <v/>
      </c>
      <c r="AR271" t="str">
        <f ca="1">IFERROR(IF(0=LEN(ReferenceData!$AR$271),"",ReferenceData!$AR$271),"")</f>
        <v/>
      </c>
      <c r="AS271" t="str">
        <f ca="1">IFERROR(IF(0=LEN(ReferenceData!$AS$271),"",ReferenceData!$AS$271),"")</f>
        <v/>
      </c>
      <c r="AT271" t="str">
        <f ca="1">IFERROR(IF(0=LEN(ReferenceData!$AT$271),"",ReferenceData!$AT$271),"")</f>
        <v/>
      </c>
      <c r="AU271" t="str">
        <f ca="1">IFERROR(IF(0=LEN(ReferenceData!$AU$271),"",ReferenceData!$AU$271),"")</f>
        <v/>
      </c>
      <c r="AV271" t="str">
        <f ca="1">IFERROR(IF(0=LEN(ReferenceData!$AV$271),"",ReferenceData!$AV$271),"")</f>
        <v/>
      </c>
      <c r="AW271" t="str">
        <f ca="1">IFERROR(IF(0=LEN(ReferenceData!$AW$271),"",ReferenceData!$AW$271),"")</f>
        <v/>
      </c>
      <c r="AX271" t="str">
        <f ca="1">IFERROR(IF(0=LEN(ReferenceData!$AX$271),"",ReferenceData!$AX$271),"")</f>
        <v/>
      </c>
      <c r="AY271" t="str">
        <f ca="1">IFERROR(IF(0=LEN(ReferenceData!$AY$271),"",ReferenceData!$AY$271),"")</f>
        <v/>
      </c>
      <c r="AZ271" t="str">
        <f ca="1">IFERROR(IF(0=LEN(ReferenceData!$AZ$271),"",ReferenceData!$AZ$271),"")</f>
        <v/>
      </c>
      <c r="BA271" t="str">
        <f ca="1">IFERROR(IF(0=LEN(ReferenceData!$BA$271),"",ReferenceData!$BA$271),"")</f>
        <v/>
      </c>
      <c r="BB271" t="str">
        <f ca="1">IFERROR(IF(0=LEN(ReferenceData!$BB$271),"",ReferenceData!$BB$271),"")</f>
        <v/>
      </c>
      <c r="BC271" t="str">
        <f ca="1">IFERROR(IF(0=LEN(ReferenceData!$BC$271),"",ReferenceData!$BC$271),"")</f>
        <v/>
      </c>
      <c r="BD271" t="str">
        <f ca="1">IFERROR(IF(0=LEN(ReferenceData!$BD$271),"",ReferenceData!$BD$271),"")</f>
        <v/>
      </c>
      <c r="BE271" t="str">
        <f ca="1">IFERROR(IF(0=LEN(ReferenceData!$BE$271),"",ReferenceData!$BE$271),"")</f>
        <v/>
      </c>
      <c r="BF271" t="str">
        <f ca="1">IFERROR(IF(0=LEN(ReferenceData!$BF$271),"",ReferenceData!$BF$271),"")</f>
        <v/>
      </c>
      <c r="BG271" t="str">
        <f ca="1">IFERROR(IF(0=LEN(ReferenceData!$BG$271),"",ReferenceData!$BG$271),"")</f>
        <v/>
      </c>
      <c r="BH271" t="str">
        <f ca="1">IFERROR(IF(0=LEN(ReferenceData!$BH$271),"",ReferenceData!$BH$271),"")</f>
        <v/>
      </c>
      <c r="BI271" t="str">
        <f ca="1">IFERROR(IF(0=LEN(ReferenceData!$BI$271),"",ReferenceData!$BI$271),"")</f>
        <v/>
      </c>
      <c r="BJ271" t="str">
        <f ca="1">IFERROR(IF(0=LEN(ReferenceData!$BJ$271),"",ReferenceData!$BJ$271),"")</f>
        <v/>
      </c>
      <c r="BK271" t="str">
        <f ca="1">IFERROR(IF(0=LEN(ReferenceData!$BK$271),"",ReferenceData!$BK$271),"")</f>
        <v/>
      </c>
      <c r="BL271" t="str">
        <f ca="1">IFERROR(IF(0=LEN(ReferenceData!$BL$271),"",ReferenceData!$BL$271),"")</f>
        <v/>
      </c>
      <c r="BM271" t="str">
        <f ca="1">IFERROR(IF(0=LEN(ReferenceData!$BM$271),"",ReferenceData!$BM$271),"")</f>
        <v/>
      </c>
    </row>
    <row r="272" spans="1:65">
      <c r="A272" t="str">
        <f>IFERROR(IF(0=LEN(ReferenceData!$A$272),"",ReferenceData!$A$272),"")</f>
        <v xml:space="preserve">    Corporate Office Properties Tr</v>
      </c>
      <c r="B272" t="str">
        <f>IFERROR(IF(0=LEN(ReferenceData!$B$272),"",ReferenceData!$B$272),"")</f>
        <v>OFC US Equity</v>
      </c>
      <c r="C272" t="str">
        <f>IFERROR(IF(0=LEN(ReferenceData!$C$272),"",ReferenceData!$C$272),"")</f>
        <v>RR106</v>
      </c>
      <c r="D272" t="str">
        <f>IFERROR(IF(0=LEN(ReferenceData!$D$272),"",ReferenceData!$D$272),"")</f>
        <v>FFO_PAYOUT_RATIO</v>
      </c>
      <c r="E272" t="str">
        <f>IFERROR(IF(0=LEN(ReferenceData!$E$272),"",ReferenceData!$E$272),"")</f>
        <v>动态</v>
      </c>
      <c r="F272" t="str">
        <f ca="1">IFERROR(IF(0=LEN(ReferenceData!$F$272),"",ReferenceData!$F$272),"")</f>
        <v/>
      </c>
      <c r="G272">
        <f ca="1">IFERROR(IF(0=LEN(ReferenceData!$G$272),"",ReferenceData!$G$272),"")</f>
        <v>55.82297629</v>
      </c>
      <c r="H272">
        <f ca="1">IFERROR(IF(0=LEN(ReferenceData!$H$272),"",ReferenceData!$H$272),"")</f>
        <v>48.700639670000001</v>
      </c>
      <c r="I272">
        <f ca="1">IFERROR(IF(0=LEN(ReferenceData!$I$272),"",ReferenceData!$I$272),"")</f>
        <v>63.682044570000002</v>
      </c>
      <c r="J272">
        <f ca="1">IFERROR(IF(0=LEN(ReferenceData!$J$272),"",ReferenceData!$J$272),"")</f>
        <v>52.14455684</v>
      </c>
      <c r="K272">
        <f ca="1">IFERROR(IF(0=LEN(ReferenceData!$K$272),"",ReferenceData!$K$272),"")</f>
        <v>46.223611159999997</v>
      </c>
      <c r="L272">
        <f ca="1">IFERROR(IF(0=LEN(ReferenceData!$L$272),"",ReferenceData!$L$272),"")</f>
        <v>53.600848310000003</v>
      </c>
      <c r="M272">
        <f ca="1">IFERROR(IF(0=LEN(ReferenceData!$M$272),"",ReferenceData!$M$272),"")</f>
        <v>73.684434850000002</v>
      </c>
      <c r="N272">
        <f ca="1">IFERROR(IF(0=LEN(ReferenceData!$N$272),"",ReferenceData!$N$272),"")</f>
        <v>67.183156120000007</v>
      </c>
      <c r="O272">
        <f ca="1">IFERROR(IF(0=LEN(ReferenceData!$O$272),"",ReferenceData!$O$272),"")</f>
        <v>84.935384409999998</v>
      </c>
      <c r="P272">
        <f ca="1">IFERROR(IF(0=LEN(ReferenceData!$P$272),"",ReferenceData!$P$272),"")</f>
        <v>19.962433699999998</v>
      </c>
      <c r="Q272">
        <f ca="1">IFERROR(IF(0=LEN(ReferenceData!$Q$272),"",ReferenceData!$Q$272),"")</f>
        <v>54.766106000000001</v>
      </c>
      <c r="R272">
        <f ca="1">IFERROR(IF(0=LEN(ReferenceData!$R$272),"",ReferenceData!$R$272),"")</f>
        <v>61.02751387</v>
      </c>
      <c r="S272">
        <f ca="1">IFERROR(IF(0=LEN(ReferenceData!$S$272),"",ReferenceData!$S$272),"")</f>
        <v>76.4654697</v>
      </c>
      <c r="T272">
        <f ca="1">IFERROR(IF(0=LEN(ReferenceData!$T$272),"",ReferenceData!$T$272),"")</f>
        <v>53.44365037</v>
      </c>
      <c r="U272">
        <f ca="1">IFERROR(IF(0=LEN(ReferenceData!$U$272),"",ReferenceData!$U$272),"")</f>
        <v>70.352439059999995</v>
      </c>
      <c r="V272">
        <f ca="1">IFERROR(IF(0=LEN(ReferenceData!$V$272),"",ReferenceData!$V$272),"")</f>
        <v>54.860140659999999</v>
      </c>
      <c r="W272">
        <f ca="1">IFERROR(IF(0=LEN(ReferenceData!$W$272),"",ReferenceData!$W$272),"")</f>
        <v>21.769519809999998</v>
      </c>
      <c r="X272">
        <f ca="1">IFERROR(IF(0=LEN(ReferenceData!$X$272),"",ReferenceData!$X$272),"")</f>
        <v>54.699894540000003</v>
      </c>
      <c r="Y272">
        <f ca="1">IFERROR(IF(0=LEN(ReferenceData!$Y$272),"",ReferenceData!$Y$272),"")</f>
        <v>104.8182893</v>
      </c>
      <c r="Z272">
        <f ca="1">IFERROR(IF(0=LEN(ReferenceData!$Z$272),"",ReferenceData!$Z$272),"")</f>
        <v>58.58964795</v>
      </c>
      <c r="AA272">
        <f ca="1">IFERROR(IF(0=LEN(ReferenceData!$AA$272),"",ReferenceData!$AA$272),"")</f>
        <v>53.47963077</v>
      </c>
      <c r="AB272">
        <f ca="1">IFERROR(IF(0=LEN(ReferenceData!$AB$272),"",ReferenceData!$AB$272),"")</f>
        <v>49.827372680000003</v>
      </c>
      <c r="AC272">
        <f ca="1">IFERROR(IF(0=LEN(ReferenceData!$AC$272),"",ReferenceData!$AC$272),"")</f>
        <v>47.873514329999999</v>
      </c>
      <c r="AD272">
        <f ca="1">IFERROR(IF(0=LEN(ReferenceData!$AD$272),"",ReferenceData!$AD$272),"")</f>
        <v>44.271858880000003</v>
      </c>
      <c r="AE272" t="str">
        <f ca="1">IFERROR(IF(0=LEN(ReferenceData!$AE$272),"",ReferenceData!$AE$272),"")</f>
        <v/>
      </c>
      <c r="AF272">
        <f ca="1">IFERROR(IF(0=LEN(ReferenceData!$AF$272),"",ReferenceData!$AF$272),"")</f>
        <v>79.440978689999994</v>
      </c>
      <c r="AG272">
        <f ca="1">IFERROR(IF(0=LEN(ReferenceData!$AG$272),"",ReferenceData!$AG$272),"")</f>
        <v>87.018353570000002</v>
      </c>
      <c r="AH272">
        <f ca="1">IFERROR(IF(0=LEN(ReferenceData!$AH$272),"",ReferenceData!$AH$272),"")</f>
        <v>288.11591909999999</v>
      </c>
      <c r="AI272">
        <f ca="1">IFERROR(IF(0=LEN(ReferenceData!$AI$272),"",ReferenceData!$AI$272),"")</f>
        <v>110.7593114</v>
      </c>
      <c r="AJ272">
        <f ca="1">IFERROR(IF(0=LEN(ReferenceData!$AJ$272),"",ReferenceData!$AJ$272),"")</f>
        <v>70.586381939999995</v>
      </c>
      <c r="AK272">
        <f ca="1">IFERROR(IF(0=LEN(ReferenceData!$AK$272),"",ReferenceData!$AK$272),"")</f>
        <v>67.759541029999994</v>
      </c>
      <c r="AL272">
        <f ca="1">IFERROR(IF(0=LEN(ReferenceData!$AL$272),"",ReferenceData!$AL$272),"")</f>
        <v>68.261485269999994</v>
      </c>
      <c r="AM272">
        <f ca="1">IFERROR(IF(0=LEN(ReferenceData!$AM$272),"",ReferenceData!$AM$272),"")</f>
        <v>69.384306140000007</v>
      </c>
      <c r="AN272">
        <f ca="1">IFERROR(IF(0=LEN(ReferenceData!$AN$272),"",ReferenceData!$AN$272),"")</f>
        <v>59.718773169999999</v>
      </c>
      <c r="AO272">
        <f ca="1">IFERROR(IF(0=LEN(ReferenceData!$AO$272),"",ReferenceData!$AO$272),"")</f>
        <v>49.997114719999999</v>
      </c>
      <c r="AP272">
        <f ca="1">IFERROR(IF(0=LEN(ReferenceData!$AP$272),"",ReferenceData!$AP$272),"")</f>
        <v>48.274125929999997</v>
      </c>
      <c r="AQ272">
        <f ca="1">IFERROR(IF(0=LEN(ReferenceData!$AQ$272),"",ReferenceData!$AQ$272),"")</f>
        <v>43.105306050000003</v>
      </c>
      <c r="AR272">
        <f ca="1">IFERROR(IF(0=LEN(ReferenceData!$AR$272),"",ReferenceData!$AR$272),"")</f>
        <v>54.749129519999997</v>
      </c>
      <c r="AS272">
        <f ca="1">IFERROR(IF(0=LEN(ReferenceData!$AS$272),"",ReferenceData!$AS$272),"")</f>
        <v>48.417266189999999</v>
      </c>
      <c r="AT272">
        <f ca="1">IFERROR(IF(0=LEN(ReferenceData!$AT$272),"",ReferenceData!$AT$272),"")</f>
        <v>51.677530670000003</v>
      </c>
      <c r="AU272">
        <f ca="1">IFERROR(IF(0=LEN(ReferenceData!$AU$272),"",ReferenceData!$AU$272),"")</f>
        <v>46.87938596</v>
      </c>
      <c r="AV272">
        <f ca="1">IFERROR(IF(0=LEN(ReferenceData!$AV$272),"",ReferenceData!$AV$272),"")</f>
        <v>49.740356079999998</v>
      </c>
      <c r="AW272">
        <f ca="1">IFERROR(IF(0=LEN(ReferenceData!$AW$272),"",ReferenceData!$AW$272),"")</f>
        <v>45.458617330000003</v>
      </c>
      <c r="AX272">
        <f ca="1">IFERROR(IF(0=LEN(ReferenceData!$AX$272),"",ReferenceData!$AX$272),"")</f>
        <v>51.361001129999998</v>
      </c>
      <c r="AY272">
        <f ca="1">IFERROR(IF(0=LEN(ReferenceData!$AY$272),"",ReferenceData!$AY$272),"")</f>
        <v>64.517366510000002</v>
      </c>
      <c r="AZ272">
        <f ca="1">IFERROR(IF(0=LEN(ReferenceData!$AZ$272),"",ReferenceData!$AZ$272),"")</f>
        <v>107.5347939</v>
      </c>
      <c r="BA272">
        <f ca="1">IFERROR(IF(0=LEN(ReferenceData!$BA$272),"",ReferenceData!$BA$272),"")</f>
        <v>46.157023150000001</v>
      </c>
      <c r="BB272">
        <f ca="1">IFERROR(IF(0=LEN(ReferenceData!$BB$272),"",ReferenceData!$BB$272),"")</f>
        <v>45.614127310000001</v>
      </c>
      <c r="BC272">
        <f ca="1">IFERROR(IF(0=LEN(ReferenceData!$BC$272),"",ReferenceData!$BC$272),"")</f>
        <v>13.09518703</v>
      </c>
      <c r="BD272">
        <f ca="1">IFERROR(IF(0=LEN(ReferenceData!$BD$272),"",ReferenceData!$BD$272),"")</f>
        <v>35.988857549999999</v>
      </c>
      <c r="BE272">
        <f ca="1">IFERROR(IF(0=LEN(ReferenceData!$BE$272),"",ReferenceData!$BE$272),"")</f>
        <v>42.852706789999999</v>
      </c>
      <c r="BF272">
        <f ca="1">IFERROR(IF(0=LEN(ReferenceData!$BF$272),"",ReferenceData!$BF$272),"")</f>
        <v>44.087996029999999</v>
      </c>
      <c r="BG272">
        <f ca="1">IFERROR(IF(0=LEN(ReferenceData!$BG$272),"",ReferenceData!$BG$272),"")</f>
        <v>2.7410556060000002</v>
      </c>
      <c r="BH272">
        <f ca="1">IFERROR(IF(0=LEN(ReferenceData!$BH$272),"",ReferenceData!$BH$272),"")</f>
        <v>99.241334640000005</v>
      </c>
      <c r="BI272">
        <f ca="1">IFERROR(IF(0=LEN(ReferenceData!$BI$272),"",ReferenceData!$BI$272),"")</f>
        <v>35.941149000000003</v>
      </c>
      <c r="BJ272">
        <f ca="1">IFERROR(IF(0=LEN(ReferenceData!$BJ$272),"",ReferenceData!$BJ$272),"")</f>
        <v>42.963144659999998</v>
      </c>
      <c r="BK272">
        <f ca="1">IFERROR(IF(0=LEN(ReferenceData!$BK$272),"",ReferenceData!$BK$272),"")</f>
        <v>42.027552100000001</v>
      </c>
      <c r="BL272">
        <f ca="1">IFERROR(IF(0=LEN(ReferenceData!$BL$272),"",ReferenceData!$BL$272),"")</f>
        <v>0</v>
      </c>
      <c r="BM272">
        <f ca="1">IFERROR(IF(0=LEN(ReferenceData!$BM$272),"",ReferenceData!$BM$272),"")</f>
        <v>37.544167950000002</v>
      </c>
    </row>
    <row r="273" spans="1:65">
      <c r="A273" t="str">
        <f>IFERROR(IF(0=LEN(ReferenceData!$A$273),"",ReferenceData!$A$273),"")</f>
        <v xml:space="preserve">    Highwoods Properties Inc</v>
      </c>
      <c r="B273" t="str">
        <f>IFERROR(IF(0=LEN(ReferenceData!$B$273),"",ReferenceData!$B$273),"")</f>
        <v>HIW US Equity</v>
      </c>
      <c r="C273" t="str">
        <f>IFERROR(IF(0=LEN(ReferenceData!$C$273),"",ReferenceData!$C$273),"")</f>
        <v>RR106</v>
      </c>
      <c r="D273" t="str">
        <f>IFERROR(IF(0=LEN(ReferenceData!$D$273),"",ReferenceData!$D$273),"")</f>
        <v>FFO_PAYOUT_RATIO</v>
      </c>
      <c r="E273" t="str">
        <f>IFERROR(IF(0=LEN(ReferenceData!$E$273),"",ReferenceData!$E$273),"")</f>
        <v>动态</v>
      </c>
      <c r="F273" t="str">
        <f ca="1">IFERROR(IF(0=LEN(ReferenceData!$F$273),"",ReferenceData!$F$273),"")</f>
        <v/>
      </c>
      <c r="G273">
        <f ca="1">IFERROR(IF(0=LEN(ReferenceData!$G$273),"",ReferenceData!$G$273),"")</f>
        <v>51.215855159999997</v>
      </c>
      <c r="H273">
        <f ca="1">IFERROR(IF(0=LEN(ReferenceData!$H$273),"",ReferenceData!$H$273),"")</f>
        <v>49.9455715</v>
      </c>
      <c r="I273">
        <f ca="1">IFERROR(IF(0=LEN(ReferenceData!$I$273),"",ReferenceData!$I$273),"")</f>
        <v>47.66617273</v>
      </c>
      <c r="J273">
        <f ca="1">IFERROR(IF(0=LEN(ReferenceData!$J$273),"",ReferenceData!$J$273),"")</f>
        <v>53.878633030000003</v>
      </c>
      <c r="K273">
        <f ca="1">IFERROR(IF(0=LEN(ReferenceData!$K$273),"",ReferenceData!$K$273),"")</f>
        <v>146.37369390000001</v>
      </c>
      <c r="L273">
        <f ca="1">IFERROR(IF(0=LEN(ReferenceData!$L$273),"",ReferenceData!$L$273),"")</f>
        <v>49.89178776</v>
      </c>
      <c r="M273">
        <f ca="1">IFERROR(IF(0=LEN(ReferenceData!$M$273),"",ReferenceData!$M$273),"")</f>
        <v>50.381595760000003</v>
      </c>
      <c r="N273">
        <f ca="1">IFERROR(IF(0=LEN(ReferenceData!$N$273),"",ReferenceData!$N$273),"")</f>
        <v>50.185983129999997</v>
      </c>
      <c r="O273">
        <f ca="1">IFERROR(IF(0=LEN(ReferenceData!$O$273),"",ReferenceData!$O$273),"")</f>
        <v>50.267379679999998</v>
      </c>
      <c r="P273">
        <f ca="1">IFERROR(IF(0=LEN(ReferenceData!$P$273),"",ReferenceData!$P$273),"")</f>
        <v>53.744452170000002</v>
      </c>
      <c r="Q273">
        <f ca="1">IFERROR(IF(0=LEN(ReferenceData!$Q$273),"",ReferenceData!$Q$273),"")</f>
        <v>51.745060209999998</v>
      </c>
      <c r="R273">
        <f ca="1">IFERROR(IF(0=LEN(ReferenceData!$R$273),"",ReferenceData!$R$273),"")</f>
        <v>57.443490740000001</v>
      </c>
      <c r="S273">
        <f ca="1">IFERROR(IF(0=LEN(ReferenceData!$S$273),"",ReferenceData!$S$273),"")</f>
        <v>55.723603629999999</v>
      </c>
      <c r="T273">
        <f ca="1">IFERROR(IF(0=LEN(ReferenceData!$T$273),"",ReferenceData!$T$273),"")</f>
        <v>58.563048070000001</v>
      </c>
      <c r="U273">
        <f ca="1">IFERROR(IF(0=LEN(ReferenceData!$U$273),"",ReferenceData!$U$273),"")</f>
        <v>51.476702699999997</v>
      </c>
      <c r="V273">
        <f ca="1">IFERROR(IF(0=LEN(ReferenceData!$V$273),"",ReferenceData!$V$273),"")</f>
        <v>62.495912629999999</v>
      </c>
      <c r="W273">
        <f ca="1">IFERROR(IF(0=LEN(ReferenceData!$W$273),"",ReferenceData!$W$273),"")</f>
        <v>55.44387133</v>
      </c>
      <c r="X273">
        <f ca="1">IFERROR(IF(0=LEN(ReferenceData!$X$273),"",ReferenceData!$X$273),"")</f>
        <v>58.835546520000001</v>
      </c>
      <c r="Y273">
        <f ca="1">IFERROR(IF(0=LEN(ReferenceData!$Y$273),"",ReferenceData!$Y$273),"")</f>
        <v>58.214197380000002</v>
      </c>
      <c r="Z273">
        <f ca="1">IFERROR(IF(0=LEN(ReferenceData!$Z$273),"",ReferenceData!$Z$273),"")</f>
        <v>59.945756780000004</v>
      </c>
      <c r="AA273">
        <f ca="1">IFERROR(IF(0=LEN(ReferenceData!$AA$273),"",ReferenceData!$AA$273),"")</f>
        <v>60.492533289999997</v>
      </c>
      <c r="AB273">
        <f ca="1">IFERROR(IF(0=LEN(ReferenceData!$AB$273),"",ReferenceData!$AB$273),"")</f>
        <v>61.950378389999997</v>
      </c>
      <c r="AC273">
        <f ca="1">IFERROR(IF(0=LEN(ReferenceData!$AC$273),"",ReferenceData!$AC$273),"")</f>
        <v>58.814724470000002</v>
      </c>
      <c r="AD273">
        <f ca="1">IFERROR(IF(0=LEN(ReferenceData!$AD$273),"",ReferenceData!$AD$273),"")</f>
        <v>57.914328470000001</v>
      </c>
      <c r="AE273">
        <f ca="1">IFERROR(IF(0=LEN(ReferenceData!$AE$273),"",ReferenceData!$AE$273),"")</f>
        <v>57.975382879999998</v>
      </c>
      <c r="AF273">
        <f ca="1">IFERROR(IF(0=LEN(ReferenceData!$AF$273),"",ReferenceData!$AF$273),"")</f>
        <v>68.372031140000004</v>
      </c>
      <c r="AG273">
        <f ca="1">IFERROR(IF(0=LEN(ReferenceData!$AG$273),"",ReferenceData!$AG$273),"")</f>
        <v>66.981276350000002</v>
      </c>
      <c r="AH273">
        <f ca="1">IFERROR(IF(0=LEN(ReferenceData!$AH$273),"",ReferenceData!$AH$273),"")</f>
        <v>65.947434619999996</v>
      </c>
      <c r="AI273">
        <f ca="1">IFERROR(IF(0=LEN(ReferenceData!$AI$273),"",ReferenceData!$AI$273),"")</f>
        <v>65.193475609999993</v>
      </c>
      <c r="AJ273">
        <f ca="1">IFERROR(IF(0=LEN(ReferenceData!$AJ$273),"",ReferenceData!$AJ$273),"")</f>
        <v>70.507851400000007</v>
      </c>
      <c r="AK273">
        <f ca="1">IFERROR(IF(0=LEN(ReferenceData!$AK$273),"",ReferenceData!$AK$273),"")</f>
        <v>62.542390300000001</v>
      </c>
      <c r="AL273">
        <f ca="1">IFERROR(IF(0=LEN(ReferenceData!$AL$273),"",ReferenceData!$AL$273),"")</f>
        <v>66.162641010000002</v>
      </c>
      <c r="AM273">
        <f ca="1">IFERROR(IF(0=LEN(ReferenceData!$AM$273),"",ReferenceData!$AM$273),"")</f>
        <v>95.31038126</v>
      </c>
      <c r="AN273">
        <f ca="1">IFERROR(IF(0=LEN(ReferenceData!$AN$273),"",ReferenceData!$AN$273),"")</f>
        <v>64.959364489999999</v>
      </c>
      <c r="AO273">
        <f ca="1">IFERROR(IF(0=LEN(ReferenceData!$AO$273),"",ReferenceData!$AO$273),"")</f>
        <v>56.995943619999998</v>
      </c>
      <c r="AP273">
        <f ca="1">IFERROR(IF(0=LEN(ReferenceData!$AP$273),"",ReferenceData!$AP$273),"")</f>
        <v>63.644950049999998</v>
      </c>
      <c r="AQ273">
        <f ca="1">IFERROR(IF(0=LEN(ReferenceData!$AQ$273),"",ReferenceData!$AQ$273),"")</f>
        <v>203.48739180000001</v>
      </c>
      <c r="AR273">
        <f ca="1">IFERROR(IF(0=LEN(ReferenceData!$AR$273),"",ReferenceData!$AR$273),"")</f>
        <v>56.240243139999997</v>
      </c>
      <c r="AS273">
        <f ca="1">IFERROR(IF(0=LEN(ReferenceData!$AS$273),"",ReferenceData!$AS$273),"")</f>
        <v>57.778198420000002</v>
      </c>
      <c r="AT273">
        <f ca="1">IFERROR(IF(0=LEN(ReferenceData!$AT$273),"",ReferenceData!$AT$273),"")</f>
        <v>55.954405299999998</v>
      </c>
      <c r="AU273">
        <f ca="1">IFERROR(IF(0=LEN(ReferenceData!$AU$273),"",ReferenceData!$AU$273),"")</f>
        <v>62.07316153</v>
      </c>
      <c r="AV273">
        <f ca="1">IFERROR(IF(0=LEN(ReferenceData!$AV$273),"",ReferenceData!$AV$273),"")</f>
        <v>66.576945420000001</v>
      </c>
      <c r="AW273">
        <f ca="1">IFERROR(IF(0=LEN(ReferenceData!$AW$273),"",ReferenceData!$AW$273),"")</f>
        <v>67.365244239999996</v>
      </c>
      <c r="AX273">
        <f ca="1">IFERROR(IF(0=LEN(ReferenceData!$AX$273),"",ReferenceData!$AX$273),"")</f>
        <v>42.090185679999998</v>
      </c>
      <c r="AY273">
        <f ca="1">IFERROR(IF(0=LEN(ReferenceData!$AY$273),"",ReferenceData!$AY$273),"")</f>
        <v>54.726212050000001</v>
      </c>
      <c r="AZ273">
        <f ca="1">IFERROR(IF(0=LEN(ReferenceData!$AZ$273),"",ReferenceData!$AZ$273),"")</f>
        <v>70.496832940000004</v>
      </c>
      <c r="BA273">
        <f ca="1">IFERROR(IF(0=LEN(ReferenceData!$BA$273),"",ReferenceData!$BA$273),"")</f>
        <v>70.372706600000001</v>
      </c>
      <c r="BB273">
        <f ca="1">IFERROR(IF(0=LEN(ReferenceData!$BB$273),"",ReferenceData!$BB$273),"")</f>
        <v>63.941302280000002</v>
      </c>
      <c r="BC273">
        <f ca="1">IFERROR(IF(0=LEN(ReferenceData!$BC$273),"",ReferenceData!$BC$273),"")</f>
        <v>90.634512830000006</v>
      </c>
      <c r="BD273">
        <f ca="1">IFERROR(IF(0=LEN(ReferenceData!$BD$273),"",ReferenceData!$BD$273),"")</f>
        <v>78.789780370000003</v>
      </c>
      <c r="BE273">
        <f ca="1">IFERROR(IF(0=LEN(ReferenceData!$BE$273),"",ReferenceData!$BE$273),"")</f>
        <v>62.91231647</v>
      </c>
      <c r="BF273">
        <f ca="1">IFERROR(IF(0=LEN(ReferenceData!$BF$273),"",ReferenceData!$BF$273),"")</f>
        <v>62.93115822</v>
      </c>
      <c r="BG273">
        <f ca="1">IFERROR(IF(0=LEN(ReferenceData!$BG$273),"",ReferenceData!$BG$273),"")</f>
        <v>123.01912660000001</v>
      </c>
      <c r="BH273">
        <f ca="1">IFERROR(IF(0=LEN(ReferenceData!$BH$273),"",ReferenceData!$BH$273),"")</f>
        <v>47.831310070000001</v>
      </c>
      <c r="BI273">
        <f ca="1">IFERROR(IF(0=LEN(ReferenceData!$BI$273),"",ReferenceData!$BI$273),"")</f>
        <v>133.8384465</v>
      </c>
      <c r="BJ273">
        <f ca="1">IFERROR(IF(0=LEN(ReferenceData!$BJ$273),"",ReferenceData!$BJ$273),"")</f>
        <v>77.525294099999996</v>
      </c>
      <c r="BK273">
        <f ca="1">IFERROR(IF(0=LEN(ReferenceData!$BK$273),"",ReferenceData!$BK$273),"")</f>
        <v>0</v>
      </c>
      <c r="BL273">
        <f ca="1">IFERROR(IF(0=LEN(ReferenceData!$BL$273),"",ReferenceData!$BL$273),"")</f>
        <v>50.02220784</v>
      </c>
      <c r="BM273">
        <f ca="1">IFERROR(IF(0=LEN(ReferenceData!$BM$273),"",ReferenceData!$BM$273),"")</f>
        <v>67.493173089999999</v>
      </c>
    </row>
    <row r="274" spans="1:65">
      <c r="A274" t="str">
        <f>IFERROR(IF(0=LEN(ReferenceData!$A$274),"",ReferenceData!$A$274),"")</f>
        <v xml:space="preserve">    Kilroy Realty Corp</v>
      </c>
      <c r="B274" t="str">
        <f>IFERROR(IF(0=LEN(ReferenceData!$B$274),"",ReferenceData!$B$274),"")</f>
        <v>KRC US Equity</v>
      </c>
      <c r="C274" t="str">
        <f>IFERROR(IF(0=LEN(ReferenceData!$C$274),"",ReferenceData!$C$274),"")</f>
        <v>RR106</v>
      </c>
      <c r="D274" t="str">
        <f>IFERROR(IF(0=LEN(ReferenceData!$D$274),"",ReferenceData!$D$274),"")</f>
        <v>FFO_PAYOUT_RATIO</v>
      </c>
      <c r="E274" t="str">
        <f>IFERROR(IF(0=LEN(ReferenceData!$E$274),"",ReferenceData!$E$274),"")</f>
        <v>动态</v>
      </c>
      <c r="F274" t="str">
        <f ca="1">IFERROR(IF(0=LEN(ReferenceData!$F$274),"",ReferenceData!$F$274),"")</f>
        <v/>
      </c>
      <c r="G274">
        <f ca="1">IFERROR(IF(0=LEN(ReferenceData!$G$274),"",ReferenceData!$G$274),"")</f>
        <v>48.336819239999997</v>
      </c>
      <c r="H274">
        <f ca="1">IFERROR(IF(0=LEN(ReferenceData!$H$274),"",ReferenceData!$H$274),"")</f>
        <v>46.679016689999997</v>
      </c>
      <c r="I274">
        <f ca="1">IFERROR(IF(0=LEN(ReferenceData!$I$274),"",ReferenceData!$I$274),"")</f>
        <v>47.052480289999998</v>
      </c>
      <c r="J274">
        <f ca="1">IFERROR(IF(0=LEN(ReferenceData!$J$274),"",ReferenceData!$J$274),"")</f>
        <v>44.57313371</v>
      </c>
      <c r="K274">
        <f ca="1">IFERROR(IF(0=LEN(ReferenceData!$K$274),"",ReferenceData!$K$274),"")</f>
        <v>41.243237790000002</v>
      </c>
      <c r="L274">
        <f ca="1">IFERROR(IF(0=LEN(ReferenceData!$L$274),"",ReferenceData!$L$274),"")</f>
        <v>39.063795110000001</v>
      </c>
      <c r="M274">
        <f ca="1">IFERROR(IF(0=LEN(ReferenceData!$M$274),"",ReferenceData!$M$274),"")</f>
        <v>41.801132860000003</v>
      </c>
      <c r="N274">
        <f ca="1">IFERROR(IF(0=LEN(ReferenceData!$N$274),"",ReferenceData!$N$274),"")</f>
        <v>41.280655170000003</v>
      </c>
      <c r="O274">
        <f ca="1">IFERROR(IF(0=LEN(ReferenceData!$O$274),"",ReferenceData!$O$274),"")</f>
        <v>42.069568169999997</v>
      </c>
      <c r="P274">
        <f ca="1">IFERROR(IF(0=LEN(ReferenceData!$P$274),"",ReferenceData!$P$274),"")</f>
        <v>43.82863966</v>
      </c>
      <c r="Q274">
        <f ca="1">IFERROR(IF(0=LEN(ReferenceData!$Q$274),"",ReferenceData!$Q$274),"")</f>
        <v>41.225043710000001</v>
      </c>
      <c r="R274">
        <f ca="1">IFERROR(IF(0=LEN(ReferenceData!$R$274),"",ReferenceData!$R$274),"")</f>
        <v>33.227583359999997</v>
      </c>
      <c r="S274">
        <f ca="1">IFERROR(IF(0=LEN(ReferenceData!$S$274),"",ReferenceData!$S$274),"")</f>
        <v>42.494593010000003</v>
      </c>
      <c r="T274">
        <f ca="1">IFERROR(IF(0=LEN(ReferenceData!$T$274),"",ReferenceData!$T$274),"")</f>
        <v>48.190306210000003</v>
      </c>
      <c r="U274">
        <f ca="1">IFERROR(IF(0=LEN(ReferenceData!$U$274),"",ReferenceData!$U$274),"")</f>
        <v>45.488248929999997</v>
      </c>
      <c r="V274">
        <f ca="1">IFERROR(IF(0=LEN(ReferenceData!$V$274),"",ReferenceData!$V$274),"")</f>
        <v>50.23258646</v>
      </c>
      <c r="W274">
        <f ca="1">IFERROR(IF(0=LEN(ReferenceData!$W$274),"",ReferenceData!$W$274),"")</f>
        <v>49.11742074</v>
      </c>
      <c r="X274">
        <f ca="1">IFERROR(IF(0=LEN(ReferenceData!$X$274),"",ReferenceData!$X$274),"")</f>
        <v>48.067250850000001</v>
      </c>
      <c r="Y274">
        <f ca="1">IFERROR(IF(0=LEN(ReferenceData!$Y$274),"",ReferenceData!$Y$274),"")</f>
        <v>47.902659829999997</v>
      </c>
      <c r="Z274">
        <f ca="1">IFERROR(IF(0=LEN(ReferenceData!$Z$274),"",ReferenceData!$Z$274),"")</f>
        <v>55.844843740000002</v>
      </c>
      <c r="AA274">
        <f ca="1">IFERROR(IF(0=LEN(ReferenceData!$AA$274),"",ReferenceData!$AA$274),"")</f>
        <v>52.41112115</v>
      </c>
      <c r="AB274">
        <f ca="1">IFERROR(IF(0=LEN(ReferenceData!$AB$274),"",ReferenceData!$AB$274),"")</f>
        <v>58.322090420000002</v>
      </c>
      <c r="AC274">
        <f ca="1">IFERROR(IF(0=LEN(ReferenceData!$AC$274),"",ReferenceData!$AC$274),"")</f>
        <v>60.546362510000002</v>
      </c>
      <c r="AD274">
        <f ca="1">IFERROR(IF(0=LEN(ReferenceData!$AD$274),"",ReferenceData!$AD$274),"")</f>
        <v>67.526663839999998</v>
      </c>
      <c r="AE274">
        <f ca="1">IFERROR(IF(0=LEN(ReferenceData!$AE$274),"",ReferenceData!$AE$274),"")</f>
        <v>50.472547810000002</v>
      </c>
      <c r="AF274">
        <f ca="1">IFERROR(IF(0=LEN(ReferenceData!$AF$274),"",ReferenceData!$AF$274),"")</f>
        <v>60.287781010000003</v>
      </c>
      <c r="AG274">
        <f ca="1">IFERROR(IF(0=LEN(ReferenceData!$AG$274),"",ReferenceData!$AG$274),"")</f>
        <v>67.477799200000007</v>
      </c>
      <c r="AH274">
        <f ca="1">IFERROR(IF(0=LEN(ReferenceData!$AH$274),"",ReferenceData!$AH$274),"")</f>
        <v>63.83974508</v>
      </c>
      <c r="AI274">
        <f ca="1">IFERROR(IF(0=LEN(ReferenceData!$AI$274),"",ReferenceData!$AI$274),"")</f>
        <v>62.05155164</v>
      </c>
      <c r="AJ274">
        <f ca="1">IFERROR(IF(0=LEN(ReferenceData!$AJ$274),"",ReferenceData!$AJ$274),"")</f>
        <v>64.456045810000006</v>
      </c>
      <c r="AK274">
        <f ca="1">IFERROR(IF(0=LEN(ReferenceData!$AK$274),"",ReferenceData!$AK$274),"")</f>
        <v>88.586203710000007</v>
      </c>
      <c r="AL274">
        <f ca="1">IFERROR(IF(0=LEN(ReferenceData!$AL$274),"",ReferenceData!$AL$274),"")</f>
        <v>61.834457100000002</v>
      </c>
      <c r="AM274">
        <f ca="1">IFERROR(IF(0=LEN(ReferenceData!$AM$274),"",ReferenceData!$AM$274),"")</f>
        <v>85.012162700000005</v>
      </c>
      <c r="AN274">
        <f ca="1">IFERROR(IF(0=LEN(ReferenceData!$AN$274),"",ReferenceData!$AN$274),"")</f>
        <v>49.778649129999998</v>
      </c>
      <c r="AO274">
        <f ca="1">IFERROR(IF(0=LEN(ReferenceData!$AO$274),"",ReferenceData!$AO$274),"")</f>
        <v>41.500994689999999</v>
      </c>
      <c r="AP274">
        <f ca="1">IFERROR(IF(0=LEN(ReferenceData!$AP$274),"",ReferenceData!$AP$274),"")</f>
        <v>70.867718659999994</v>
      </c>
      <c r="AQ274">
        <f ca="1">IFERROR(IF(0=LEN(ReferenceData!$AQ$274),"",ReferenceData!$AQ$274),"")</f>
        <v>73.734390180000005</v>
      </c>
      <c r="AR274">
        <f ca="1">IFERROR(IF(0=LEN(ReferenceData!$AR$274),"",ReferenceData!$AR$274),"")</f>
        <v>56.332597550000003</v>
      </c>
      <c r="AS274">
        <f ca="1">IFERROR(IF(0=LEN(ReferenceData!$AS$274),"",ReferenceData!$AS$274),"")</f>
        <v>68.257830299999995</v>
      </c>
      <c r="AT274">
        <f ca="1">IFERROR(IF(0=LEN(ReferenceData!$AT$274),"",ReferenceData!$AT$274),"")</f>
        <v>69.738699350000005</v>
      </c>
      <c r="AU274">
        <f ca="1">IFERROR(IF(0=LEN(ReferenceData!$AU$274),"",ReferenceData!$AU$274),"")</f>
        <v>60.652878129999998</v>
      </c>
      <c r="AV274">
        <f ca="1">IFERROR(IF(0=LEN(ReferenceData!$AV$274),"",ReferenceData!$AV$274),"")</f>
        <v>63.686167380000001</v>
      </c>
      <c r="AW274">
        <f ca="1">IFERROR(IF(0=LEN(ReferenceData!$AW$274),"",ReferenceData!$AW$274),"")</f>
        <v>67.354002269999995</v>
      </c>
      <c r="AX274">
        <f ca="1">IFERROR(IF(0=LEN(ReferenceData!$AX$274),"",ReferenceData!$AX$274),"")</f>
        <v>69.739825530000005</v>
      </c>
      <c r="AY274">
        <f ca="1">IFERROR(IF(0=LEN(ReferenceData!$AY$274),"",ReferenceData!$AY$274),"")</f>
        <v>86.071637949999996</v>
      </c>
      <c r="AZ274">
        <f ca="1">IFERROR(IF(0=LEN(ReferenceData!$AZ$274),"",ReferenceData!$AZ$274),"")</f>
        <v>64.501999580000003</v>
      </c>
      <c r="BA274">
        <f ca="1">IFERROR(IF(0=LEN(ReferenceData!$BA$274),"",ReferenceData!$BA$274),"")</f>
        <v>43.731664969999997</v>
      </c>
      <c r="BB274">
        <f ca="1">IFERROR(IF(0=LEN(ReferenceData!$BB$274),"",ReferenceData!$BB$274),"")</f>
        <v>58.946503900000003</v>
      </c>
      <c r="BC274">
        <f ca="1">IFERROR(IF(0=LEN(ReferenceData!$BC$274),"",ReferenceData!$BC$274),"")</f>
        <v>177.6413278</v>
      </c>
      <c r="BD274">
        <f ca="1">IFERROR(IF(0=LEN(ReferenceData!$BD$274),"",ReferenceData!$BD$274),"")</f>
        <v>103.6596589</v>
      </c>
      <c r="BE274">
        <f ca="1">IFERROR(IF(0=LEN(ReferenceData!$BE$274),"",ReferenceData!$BE$274),"")</f>
        <v>99.741652669999993</v>
      </c>
      <c r="BF274">
        <f ca="1">IFERROR(IF(0=LEN(ReferenceData!$BF$274),"",ReferenceData!$BF$274),"")</f>
        <v>55.477908800000002</v>
      </c>
      <c r="BG274">
        <f ca="1">IFERROR(IF(0=LEN(ReferenceData!$BG$274),"",ReferenceData!$BG$274),"")</f>
        <v>80.887096769999999</v>
      </c>
      <c r="BH274">
        <f ca="1">IFERROR(IF(0=LEN(ReferenceData!$BH$274),"",ReferenceData!$BH$274),"")</f>
        <v>67.533302430000006</v>
      </c>
      <c r="BI274">
        <f ca="1">IFERROR(IF(0=LEN(ReferenceData!$BI$274),"",ReferenceData!$BI$274),"")</f>
        <v>59.734872780000003</v>
      </c>
      <c r="BJ274">
        <f ca="1">IFERROR(IF(0=LEN(ReferenceData!$BJ$274),"",ReferenceData!$BJ$274),"")</f>
        <v>66.415346439999993</v>
      </c>
      <c r="BK274">
        <f ca="1">IFERROR(IF(0=LEN(ReferenceData!$BK$274),"",ReferenceData!$BK$274),"")</f>
        <v>68.480467309999995</v>
      </c>
      <c r="BL274">
        <f ca="1">IFERROR(IF(0=LEN(ReferenceData!$BL$274),"",ReferenceData!$BL$274),"")</f>
        <v>36.436598109999998</v>
      </c>
      <c r="BM274">
        <f ca="1">IFERROR(IF(0=LEN(ReferenceData!$BM$274),"",ReferenceData!$BM$274),"")</f>
        <v>54.395339489999998</v>
      </c>
    </row>
    <row r="275" spans="1:65">
      <c r="A275" t="str">
        <f>IFERROR(IF(0=LEN(ReferenceData!$A$275),"",ReferenceData!$A$275),"")</f>
        <v xml:space="preserve">    Mack-Cali Realty Corp</v>
      </c>
      <c r="B275" t="str">
        <f>IFERROR(IF(0=LEN(ReferenceData!$B$275),"",ReferenceData!$B$275),"")</f>
        <v>CLI US Equity</v>
      </c>
      <c r="C275" t="str">
        <f>IFERROR(IF(0=LEN(ReferenceData!$C$275),"",ReferenceData!$C$275),"")</f>
        <v>RR106</v>
      </c>
      <c r="D275" t="str">
        <f>IFERROR(IF(0=LEN(ReferenceData!$D$275),"",ReferenceData!$D$275),"")</f>
        <v>FFO_PAYOUT_RATIO</v>
      </c>
      <c r="E275" t="str">
        <f>IFERROR(IF(0=LEN(ReferenceData!$E$275),"",ReferenceData!$E$275),"")</f>
        <v>动态</v>
      </c>
      <c r="F275" t="str">
        <f ca="1">IFERROR(IF(0=LEN(ReferenceData!$F$275),"",ReferenceData!$F$275),"")</f>
        <v/>
      </c>
      <c r="G275">
        <f ca="1">IFERROR(IF(0=LEN(ReferenceData!$G$275),"",ReferenceData!$G$275),"")</f>
        <v>35.99432273</v>
      </c>
      <c r="H275">
        <f ca="1">IFERROR(IF(0=LEN(ReferenceData!$H$275),"",ReferenceData!$H$275),"")</f>
        <v>31.153060870000001</v>
      </c>
      <c r="I275">
        <f ca="1">IFERROR(IF(0=LEN(ReferenceData!$I$275),"",ReferenceData!$I$275),"")</f>
        <v>29.763573839999999</v>
      </c>
      <c r="J275">
        <f ca="1">IFERROR(IF(0=LEN(ReferenceData!$J$275),"",ReferenceData!$J$275),"")</f>
        <v>24.154613149999999</v>
      </c>
      <c r="K275">
        <f ca="1">IFERROR(IF(0=LEN(ReferenceData!$K$275),"",ReferenceData!$K$275),"")</f>
        <v>41.018216709999997</v>
      </c>
      <c r="L275">
        <f ca="1">IFERROR(IF(0=LEN(ReferenceData!$L$275),"",ReferenceData!$L$275),"")</f>
        <v>22.482215620000002</v>
      </c>
      <c r="M275">
        <f ca="1">IFERROR(IF(0=LEN(ReferenceData!$M$275),"",ReferenceData!$M$275),"")</f>
        <v>20.9937772</v>
      </c>
      <c r="N275">
        <f ca="1">IFERROR(IF(0=LEN(ReferenceData!$N$275),"",ReferenceData!$N$275),"")</f>
        <v>27.93422309</v>
      </c>
      <c r="O275">
        <f ca="1">IFERROR(IF(0=LEN(ReferenceData!$O$275),"",ReferenceData!$O$275),"")</f>
        <v>28.594179430000001</v>
      </c>
      <c r="P275">
        <f ca="1">IFERROR(IF(0=LEN(ReferenceData!$P$275),"",ReferenceData!$P$275),"")</f>
        <v>25.97518384</v>
      </c>
      <c r="Q275">
        <f ca="1">IFERROR(IF(0=LEN(ReferenceData!$Q$275),"",ReferenceData!$Q$275),"")</f>
        <v>28.75808288</v>
      </c>
      <c r="R275">
        <f ca="1">IFERROR(IF(0=LEN(ReferenceData!$R$275),"",ReferenceData!$R$275),"")</f>
        <v>31.075908200000001</v>
      </c>
      <c r="S275">
        <f ca="1">IFERROR(IF(0=LEN(ReferenceData!$S$275),"",ReferenceData!$S$275),"")</f>
        <v>39.126461020000001</v>
      </c>
      <c r="T275">
        <f ca="1">IFERROR(IF(0=LEN(ReferenceData!$T$275),"",ReferenceData!$T$275),"")</f>
        <v>27.752045299999999</v>
      </c>
      <c r="U275">
        <f ca="1">IFERROR(IF(0=LEN(ReferenceData!$U$275),"",ReferenceData!$U$275),"")</f>
        <v>26.461941840000001</v>
      </c>
      <c r="V275">
        <f ca="1">IFERROR(IF(0=LEN(ReferenceData!$V$275),"",ReferenceData!$V$275),"")</f>
        <v>88.547541640000006</v>
      </c>
      <c r="W275">
        <f ca="1">IFERROR(IF(0=LEN(ReferenceData!$W$275),"",ReferenceData!$W$275),"")</f>
        <v>50.593191060000002</v>
      </c>
      <c r="X275">
        <f ca="1">IFERROR(IF(0=LEN(ReferenceData!$X$275),"",ReferenceData!$X$275),"")</f>
        <v>46.117842760000002</v>
      </c>
      <c r="Y275">
        <f ca="1">IFERROR(IF(0=LEN(ReferenceData!$Y$275),"",ReferenceData!$Y$275),"")</f>
        <v>40.36944415</v>
      </c>
      <c r="Z275">
        <f ca="1">IFERROR(IF(0=LEN(ReferenceData!$Z$275),"",ReferenceData!$Z$275),"")</f>
        <v>62.584951459999999</v>
      </c>
      <c r="AA275">
        <f ca="1">IFERROR(IF(0=LEN(ReferenceData!$AA$275),"",ReferenceData!$AA$275),"")</f>
        <v>60.226841800000003</v>
      </c>
      <c r="AB275">
        <f ca="1">IFERROR(IF(0=LEN(ReferenceData!$AB$275),"",ReferenceData!$AB$275),"")</f>
        <v>60.788777459999999</v>
      </c>
      <c r="AC275">
        <f ca="1">IFERROR(IF(0=LEN(ReferenceData!$AC$275),"",ReferenceData!$AC$275),"")</f>
        <v>63.661135719999997</v>
      </c>
      <c r="AD275">
        <f ca="1">IFERROR(IF(0=LEN(ReferenceData!$AD$275),"",ReferenceData!$AD$275),"")</f>
        <v>53.05522362</v>
      </c>
      <c r="AE275">
        <f ca="1">IFERROR(IF(0=LEN(ReferenceData!$AE$275),"",ReferenceData!$AE$275),"")</f>
        <v>57.66881171</v>
      </c>
      <c r="AF275">
        <f ca="1">IFERROR(IF(0=LEN(ReferenceData!$AF$275),"",ReferenceData!$AF$275),"")</f>
        <v>53.679351330000003</v>
      </c>
      <c r="AG275">
        <f ca="1">IFERROR(IF(0=LEN(ReferenceData!$AG$275),"",ReferenceData!$AG$275),"")</f>
        <v>59.259087819999998</v>
      </c>
      <c r="AH275">
        <f ca="1">IFERROR(IF(0=LEN(ReferenceData!$AH$275),"",ReferenceData!$AH$275),"")</f>
        <v>58.127786030000003</v>
      </c>
      <c r="AI275">
        <f ca="1">IFERROR(IF(0=LEN(ReferenceData!$AI$275),"",ReferenceData!$AI$275),"")</f>
        <v>55.682565410000002</v>
      </c>
      <c r="AJ275">
        <f ca="1">IFERROR(IF(0=LEN(ReferenceData!$AJ$275),"",ReferenceData!$AJ$275),"")</f>
        <v>55.542793109999998</v>
      </c>
      <c r="AK275">
        <f ca="1">IFERROR(IF(0=LEN(ReferenceData!$AK$275),"",ReferenceData!$AK$275),"")</f>
        <v>54.0847373</v>
      </c>
      <c r="AL275">
        <f ca="1">IFERROR(IF(0=LEN(ReferenceData!$AL$275),"",ReferenceData!$AL$275),"")</f>
        <v>53.617264280000001</v>
      </c>
      <c r="AM275">
        <f ca="1">IFERROR(IF(0=LEN(ReferenceData!$AM$275),"",ReferenceData!$AM$275),"")</f>
        <v>63.967810229999998</v>
      </c>
      <c r="AN275">
        <f ca="1">IFERROR(IF(0=LEN(ReferenceData!$AN$275),"",ReferenceData!$AN$275),"")</f>
        <v>46.889974799999997</v>
      </c>
      <c r="AO275">
        <f ca="1">IFERROR(IF(0=LEN(ReferenceData!$AO$275),"",ReferenceData!$AO$275),"")</f>
        <v>43.485995610000003</v>
      </c>
      <c r="AP275">
        <f ca="1">IFERROR(IF(0=LEN(ReferenceData!$AP$275),"",ReferenceData!$AP$275),"")</f>
        <v>43.937965370000001</v>
      </c>
      <c r="AQ275">
        <f ca="1">IFERROR(IF(0=LEN(ReferenceData!$AQ$275),"",ReferenceData!$AQ$275),"")</f>
        <v>82.557924729999996</v>
      </c>
      <c r="AR275">
        <f ca="1">IFERROR(IF(0=LEN(ReferenceData!$AR$275),"",ReferenceData!$AR$275),"")</f>
        <v>51.609236840000001</v>
      </c>
      <c r="AS275">
        <f ca="1">IFERROR(IF(0=LEN(ReferenceData!$AS$275),"",ReferenceData!$AS$275),"")</f>
        <v>55.653986230000001</v>
      </c>
      <c r="AT275">
        <f ca="1">IFERROR(IF(0=LEN(ReferenceData!$AT$275),"",ReferenceData!$AT$275),"")</f>
        <v>59.313711660000003</v>
      </c>
      <c r="AU275">
        <f ca="1">IFERROR(IF(0=LEN(ReferenceData!$AU$275),"",ReferenceData!$AU$275),"")</f>
        <v>58.647454420000003</v>
      </c>
      <c r="AV275">
        <f ca="1">IFERROR(IF(0=LEN(ReferenceData!$AV$275),"",ReferenceData!$AV$275),"")</f>
        <v>55.867631320000001</v>
      </c>
      <c r="AW275">
        <f ca="1">IFERROR(IF(0=LEN(ReferenceData!$AW$275),"",ReferenceData!$AW$275),"")</f>
        <v>59.23816025</v>
      </c>
      <c r="AX275">
        <f ca="1">IFERROR(IF(0=LEN(ReferenceData!$AX$275),"",ReferenceData!$AX$275),"")</f>
        <v>61.931113170000003</v>
      </c>
      <c r="AY275">
        <f ca="1">IFERROR(IF(0=LEN(ReferenceData!$AY$275),"",ReferenceData!$AY$275),"")</f>
        <v>58.622093190000001</v>
      </c>
      <c r="AZ275">
        <f ca="1">IFERROR(IF(0=LEN(ReferenceData!$AZ$275),"",ReferenceData!$AZ$275),"")</f>
        <v>59.422780580000001</v>
      </c>
      <c r="BA275">
        <f ca="1">IFERROR(IF(0=LEN(ReferenceData!$BA$275),"",ReferenceData!$BA$275),"")</f>
        <v>52.640669719999998</v>
      </c>
      <c r="BB275">
        <f ca="1">IFERROR(IF(0=LEN(ReferenceData!$BB$275),"",ReferenceData!$BB$275),"")</f>
        <v>48.352574099999998</v>
      </c>
      <c r="BC275">
        <f ca="1">IFERROR(IF(0=LEN(ReferenceData!$BC$275),"",ReferenceData!$BC$275),"")</f>
        <v>60.555651079999997</v>
      </c>
      <c r="BD275">
        <f ca="1">IFERROR(IF(0=LEN(ReferenceData!$BD$275),"",ReferenceData!$BD$275),"")</f>
        <v>58.207117359999998</v>
      </c>
      <c r="BE275">
        <f ca="1">IFERROR(IF(0=LEN(ReferenceData!$BE$275),"",ReferenceData!$BE$275),"")</f>
        <v>54.136932420000001</v>
      </c>
      <c r="BF275">
        <f ca="1">IFERROR(IF(0=LEN(ReferenceData!$BF$275),"",ReferenceData!$BF$275),"")</f>
        <v>57.799314150000001</v>
      </c>
      <c r="BG275">
        <f ca="1">IFERROR(IF(0=LEN(ReferenceData!$BG$275),"",ReferenceData!$BG$275),"")</f>
        <v>57.824269999999999</v>
      </c>
      <c r="BH275">
        <f ca="1">IFERROR(IF(0=LEN(ReferenceData!$BH$275),"",ReferenceData!$BH$275),"")</f>
        <v>54.665366130000002</v>
      </c>
      <c r="BI275">
        <f ca="1">IFERROR(IF(0=LEN(ReferenceData!$BI$275),"",ReferenceData!$BI$275),"")</f>
        <v>56.315593219999997</v>
      </c>
      <c r="BJ275">
        <f ca="1">IFERROR(IF(0=LEN(ReferenceData!$BJ$275),"",ReferenceData!$BJ$275),"")</f>
        <v>58.005514699999999</v>
      </c>
      <c r="BK275">
        <f ca="1">IFERROR(IF(0=LEN(ReferenceData!$BK$275),"",ReferenceData!$BK$275),"")</f>
        <v>55.181174310000003</v>
      </c>
      <c r="BL275">
        <f ca="1">IFERROR(IF(0=LEN(ReferenceData!$BL$275),"",ReferenceData!$BL$275),"")</f>
        <v>52.39573378</v>
      </c>
      <c r="BM275">
        <f ca="1">IFERROR(IF(0=LEN(ReferenceData!$BM$275),"",ReferenceData!$BM$275),"")</f>
        <v>51.277589130000003</v>
      </c>
    </row>
    <row r="276" spans="1:65">
      <c r="A276" t="str">
        <f>IFERROR(IF(0=LEN(ReferenceData!$A$276),"",ReferenceData!$A$276),"")</f>
        <v xml:space="preserve">    Piedmont Office Realty Trust I</v>
      </c>
      <c r="B276" t="str">
        <f>IFERROR(IF(0=LEN(ReferenceData!$B$276),"",ReferenceData!$B$276),"")</f>
        <v>PDM US Equity</v>
      </c>
      <c r="C276" t="str">
        <f>IFERROR(IF(0=LEN(ReferenceData!$C$276),"",ReferenceData!$C$276),"")</f>
        <v>RR106</v>
      </c>
      <c r="D276" t="str">
        <f>IFERROR(IF(0=LEN(ReferenceData!$D$276),"",ReferenceData!$D$276),"")</f>
        <v>FFO_PAYOUT_RATIO</v>
      </c>
      <c r="E276" t="str">
        <f>IFERROR(IF(0=LEN(ReferenceData!$E$276),"",ReferenceData!$E$276),"")</f>
        <v>动态</v>
      </c>
      <c r="F276" t="str">
        <f ca="1">IFERROR(IF(0=LEN(ReferenceData!$F$276),"",ReferenceData!$F$276),"")</f>
        <v/>
      </c>
      <c r="G276">
        <f ca="1">IFERROR(IF(0=LEN(ReferenceData!$G$276),"",ReferenceData!$G$276),"")</f>
        <v>49.831893719999997</v>
      </c>
      <c r="H276">
        <f ca="1">IFERROR(IF(0=LEN(ReferenceData!$H$276),"",ReferenceData!$H$276),"")</f>
        <v>50.210119169999999</v>
      </c>
      <c r="I276">
        <f ca="1">IFERROR(IF(0=LEN(ReferenceData!$I$276),"",ReferenceData!$I$276),"")</f>
        <v>46.015195970000001</v>
      </c>
      <c r="J276">
        <f ca="1">IFERROR(IF(0=LEN(ReferenceData!$J$276),"",ReferenceData!$J$276),"")</f>
        <v>46.15059222</v>
      </c>
      <c r="K276">
        <f ca="1">IFERROR(IF(0=LEN(ReferenceData!$K$276),"",ReferenceData!$K$276),"")</f>
        <v>47.536906190000003</v>
      </c>
      <c r="L276">
        <f ca="1">IFERROR(IF(0=LEN(ReferenceData!$L$276),"",ReferenceData!$L$276),"")</f>
        <v>50.837684359999997</v>
      </c>
      <c r="M276">
        <f ca="1">IFERROR(IF(0=LEN(ReferenceData!$M$276),"",ReferenceData!$M$276),"")</f>
        <v>52.429917770000003</v>
      </c>
      <c r="N276">
        <f ca="1">IFERROR(IF(0=LEN(ReferenceData!$N$276),"",ReferenceData!$N$276),"")</f>
        <v>51.01331596</v>
      </c>
      <c r="O276">
        <f ca="1">IFERROR(IF(0=LEN(ReferenceData!$O$276),"",ReferenceData!$O$276),"")</f>
        <v>51.588718919999998</v>
      </c>
      <c r="P276">
        <f ca="1">IFERROR(IF(0=LEN(ReferenceData!$P$276),"",ReferenceData!$P$276),"")</f>
        <v>51.304153229999997</v>
      </c>
      <c r="Q276">
        <f ca="1">IFERROR(IF(0=LEN(ReferenceData!$Q$276),"",ReferenceData!$Q$276),"")</f>
        <v>54.083699719999998</v>
      </c>
      <c r="R276">
        <f ca="1">IFERROR(IF(0=LEN(ReferenceData!$R$276),"",ReferenceData!$R$276),"")</f>
        <v>54.168960050000003</v>
      </c>
      <c r="S276">
        <f ca="1">IFERROR(IF(0=LEN(ReferenceData!$S$276),"",ReferenceData!$S$276),"")</f>
        <v>52.296415629999998</v>
      </c>
      <c r="T276">
        <f ca="1">IFERROR(IF(0=LEN(ReferenceData!$T$276),"",ReferenceData!$T$276),"")</f>
        <v>52.584528079999998</v>
      </c>
      <c r="U276">
        <f ca="1">IFERROR(IF(0=LEN(ReferenceData!$U$276),"",ReferenceData!$U$276),"")</f>
        <v>53.461257209999999</v>
      </c>
      <c r="V276">
        <f ca="1">IFERROR(IF(0=LEN(ReferenceData!$V$276),"",ReferenceData!$V$276),"")</f>
        <v>53.256936070000002</v>
      </c>
      <c r="W276">
        <f ca="1">IFERROR(IF(0=LEN(ReferenceData!$W$276),"",ReferenceData!$W$276),"")</f>
        <v>50.158650770000001</v>
      </c>
      <c r="X276">
        <f ca="1">IFERROR(IF(0=LEN(ReferenceData!$X$276),"",ReferenceData!$X$276),"")</f>
        <v>50.685001620000001</v>
      </c>
      <c r="Y276">
        <f ca="1">IFERROR(IF(0=LEN(ReferenceData!$Y$276),"",ReferenceData!$Y$276),"")</f>
        <v>54.571292919999998</v>
      </c>
      <c r="Z276">
        <f ca="1">IFERROR(IF(0=LEN(ReferenceData!$Z$276),"",ReferenceData!$Z$276),"")</f>
        <v>55.704186239999999</v>
      </c>
      <c r="AA276">
        <f ca="1">IFERROR(IF(0=LEN(ReferenceData!$AA$276),"",ReferenceData!$AA$276),"")</f>
        <v>61.245692409999997</v>
      </c>
      <c r="AB276">
        <f ca="1">IFERROR(IF(0=LEN(ReferenceData!$AB$276),"",ReferenceData!$AB$276),"")</f>
        <v>61.06603398</v>
      </c>
      <c r="AC276">
        <f ca="1">IFERROR(IF(0=LEN(ReferenceData!$AC$276),"",ReferenceData!$AC$276),"")</f>
        <v>57.100280400000003</v>
      </c>
      <c r="AD276">
        <f ca="1">IFERROR(IF(0=LEN(ReferenceData!$AD$276),"",ReferenceData!$AD$276),"")</f>
        <v>57.570862339999998</v>
      </c>
      <c r="AE276">
        <f ca="1">IFERROR(IF(0=LEN(ReferenceData!$AE$276),"",ReferenceData!$AE$276),"")</f>
        <v>82.664270439999996</v>
      </c>
      <c r="AF276">
        <f ca="1">IFERROR(IF(0=LEN(ReferenceData!$AF$276),"",ReferenceData!$AF$276),"")</f>
        <v>81.578107320000001</v>
      </c>
      <c r="AG276">
        <f ca="1">IFERROR(IF(0=LEN(ReferenceData!$AG$276),"",ReferenceData!$AG$276),"")</f>
        <v>84.267661649999994</v>
      </c>
      <c r="AH276">
        <f ca="1">IFERROR(IF(0=LEN(ReferenceData!$AH$276),"",ReferenceData!$AH$276),"")</f>
        <v>76.476362769999994</v>
      </c>
      <c r="AI276">
        <f ca="1">IFERROR(IF(0=LEN(ReferenceData!$AI$276),"",ReferenceData!$AI$276),"")</f>
        <v>80.213347859999999</v>
      </c>
      <c r="AJ276">
        <f ca="1">IFERROR(IF(0=LEN(ReferenceData!$AJ$276),"",ReferenceData!$AJ$276),"")</f>
        <v>69.847461069999994</v>
      </c>
      <c r="AK276">
        <f ca="1">IFERROR(IF(0=LEN(ReferenceData!$AK$276),"",ReferenceData!$AK$276),"")</f>
        <v>96.087401959999994</v>
      </c>
      <c r="AL276">
        <f ca="1">IFERROR(IF(0=LEN(ReferenceData!$AL$276),"",ReferenceData!$AL$276),"")</f>
        <v>77.714673829999995</v>
      </c>
      <c r="AM276">
        <f ca="1">IFERROR(IF(0=LEN(ReferenceData!$AM$276),"",ReferenceData!$AM$276),"")</f>
        <v>71.586264459999995</v>
      </c>
      <c r="AN276">
        <f ca="1">IFERROR(IF(0=LEN(ReferenceData!$AN$276),"",ReferenceData!$AN$276),"")</f>
        <v>151.18112669999999</v>
      </c>
      <c r="AO276">
        <f ca="1">IFERROR(IF(0=LEN(ReferenceData!$AO$276),"",ReferenceData!$AO$276),"")</f>
        <v>72.694901400000006</v>
      </c>
      <c r="AP276">
        <f ca="1">IFERROR(IF(0=LEN(ReferenceData!$AP$276),"",ReferenceData!$AP$276),"")</f>
        <v>73.442661290000004</v>
      </c>
      <c r="AQ276">
        <f ca="1">IFERROR(IF(0=LEN(ReferenceData!$AQ$276),"",ReferenceData!$AQ$276),"")</f>
        <v>95.941894509999997</v>
      </c>
      <c r="AR276">
        <f ca="1">IFERROR(IF(0=LEN(ReferenceData!$AR$276),"",ReferenceData!$AR$276),"")</f>
        <v>287.74839600000001</v>
      </c>
      <c r="AS276">
        <f ca="1">IFERROR(IF(0=LEN(ReferenceData!$AS$276),"",ReferenceData!$AS$276),"")</f>
        <v>197.48740889999999</v>
      </c>
      <c r="AT276">
        <f ca="1">IFERROR(IF(0=LEN(ReferenceData!$AT$276),"",ReferenceData!$AT$276),"")</f>
        <v>89.964732690000005</v>
      </c>
      <c r="AU276">
        <f ca="1">IFERROR(IF(0=LEN(ReferenceData!$AU$276),"",ReferenceData!$AU$276),"")</f>
        <v>96.978027699999998</v>
      </c>
      <c r="AV276">
        <f ca="1">IFERROR(IF(0=LEN(ReferenceData!$AV$276),"",ReferenceData!$AV$276),"")</f>
        <v>100.58671440000001</v>
      </c>
      <c r="AW276">
        <f ca="1">IFERROR(IF(0=LEN(ReferenceData!$AW$276),"",ReferenceData!$AW$276),"")</f>
        <v>102.78431329999999</v>
      </c>
      <c r="AX276">
        <f ca="1">IFERROR(IF(0=LEN(ReferenceData!$AX$276),"",ReferenceData!$AX$276),"")</f>
        <v>96.217125870000004</v>
      </c>
      <c r="AY276">
        <f ca="1">IFERROR(IF(0=LEN(ReferenceData!$AY$276),"",ReferenceData!$AY$276),"")</f>
        <v>117.9027773</v>
      </c>
      <c r="AZ276">
        <f ca="1">IFERROR(IF(0=LEN(ReferenceData!$AZ$276),"",ReferenceData!$AZ$276),"")</f>
        <v>86.410811769999995</v>
      </c>
      <c r="BA276">
        <f ca="1">IFERROR(IF(0=LEN(ReferenceData!$BA$276),"",ReferenceData!$BA$276),"")</f>
        <v>98.877454740000005</v>
      </c>
      <c r="BB276">
        <f ca="1">IFERROR(IF(0=LEN(ReferenceData!$BB$276),"",ReferenceData!$BB$276),"")</f>
        <v>92.725166029999997</v>
      </c>
      <c r="BC276">
        <f ca="1">IFERROR(IF(0=LEN(ReferenceData!$BC$276),"",ReferenceData!$BC$276),"")</f>
        <v>88.889215269999994</v>
      </c>
      <c r="BD276">
        <f ca="1">IFERROR(IF(0=LEN(ReferenceData!$BD$276),"",ReferenceData!$BD$276),"")</f>
        <v>94.896125960000006</v>
      </c>
      <c r="BE276">
        <f ca="1">IFERROR(IF(0=LEN(ReferenceData!$BE$276),"",ReferenceData!$BE$276),"")</f>
        <v>101.5947305</v>
      </c>
      <c r="BF276">
        <f ca="1">IFERROR(IF(0=LEN(ReferenceData!$BF$276),"",ReferenceData!$BF$276),"")</f>
        <v>89.118492720000006</v>
      </c>
      <c r="BG276">
        <f ca="1">IFERROR(IF(0=LEN(ReferenceData!$BG$276),"",ReferenceData!$BG$276),"")</f>
        <v>64.857970679999994</v>
      </c>
      <c r="BH276">
        <f ca="1">IFERROR(IF(0=LEN(ReferenceData!$BH$276),"",ReferenceData!$BH$276),"")</f>
        <v>95.215798890000002</v>
      </c>
      <c r="BI276">
        <f ca="1">IFERROR(IF(0=LEN(ReferenceData!$BI$276),"",ReferenceData!$BI$276),"")</f>
        <v>87.756921030000001</v>
      </c>
      <c r="BJ276">
        <f ca="1">IFERROR(IF(0=LEN(ReferenceData!$BJ$276),"",ReferenceData!$BJ$276),"")</f>
        <v>99.746483639999994</v>
      </c>
      <c r="BK276">
        <f ca="1">IFERROR(IF(0=LEN(ReferenceData!$BK$276),"",ReferenceData!$BK$276),"")</f>
        <v>105.038805</v>
      </c>
      <c r="BL276">
        <f ca="1">IFERROR(IF(0=LEN(ReferenceData!$BL$276),"",ReferenceData!$BL$276),"")</f>
        <v>97.906421460000004</v>
      </c>
      <c r="BM276">
        <f ca="1">IFERROR(IF(0=LEN(ReferenceData!$BM$276),"",ReferenceData!$BM$276),"")</f>
        <v>94.468988789999997</v>
      </c>
    </row>
    <row r="277" spans="1:65">
      <c r="A277" t="str">
        <f>IFERROR(IF(0=LEN(ReferenceData!$A$277),"",ReferenceData!$A$277),"")</f>
        <v xml:space="preserve">    SL Green Realty Corp</v>
      </c>
      <c r="B277" t="str">
        <f>IFERROR(IF(0=LEN(ReferenceData!$B$277),"",ReferenceData!$B$277),"")</f>
        <v>SLG US Equity</v>
      </c>
      <c r="C277" t="str">
        <f>IFERROR(IF(0=LEN(ReferenceData!$C$277),"",ReferenceData!$C$277),"")</f>
        <v>RR106</v>
      </c>
      <c r="D277" t="str">
        <f>IFERROR(IF(0=LEN(ReferenceData!$D$277),"",ReferenceData!$D$277),"")</f>
        <v>FFO_PAYOUT_RATIO</v>
      </c>
      <c r="E277" t="str">
        <f>IFERROR(IF(0=LEN(ReferenceData!$E$277),"",ReferenceData!$E$277),"")</f>
        <v>动态</v>
      </c>
      <c r="F277" t="str">
        <f ca="1">IFERROR(IF(0=LEN(ReferenceData!$F$277),"",ReferenceData!$F$277),"")</f>
        <v/>
      </c>
      <c r="G277">
        <f ca="1">IFERROR(IF(0=LEN(ReferenceData!$G$277),"",ReferenceData!$G$277),"")</f>
        <v>48.251892599999998</v>
      </c>
      <c r="H277">
        <f ca="1">IFERROR(IF(0=LEN(ReferenceData!$H$277),"",ReferenceData!$H$277),"")</f>
        <v>49.298400549999997</v>
      </c>
      <c r="I277">
        <f ca="1">IFERROR(IF(0=LEN(ReferenceData!$I$277),"",ReferenceData!$I$277),"")</f>
        <v>40.885755430000003</v>
      </c>
      <c r="J277">
        <f ca="1">IFERROR(IF(0=LEN(ReferenceData!$J$277),"",ReferenceData!$J$277),"")</f>
        <v>46.979999280000001</v>
      </c>
      <c r="K277">
        <f ca="1">IFERROR(IF(0=LEN(ReferenceData!$K$277),"",ReferenceData!$K$277),"")</f>
        <v>51.571564549999998</v>
      </c>
      <c r="L277">
        <f ca="1">IFERROR(IF(0=LEN(ReferenceData!$L$277),"",ReferenceData!$L$277),"")</f>
        <v>42.422829980000003</v>
      </c>
      <c r="M277">
        <f ca="1">IFERROR(IF(0=LEN(ReferenceData!$M$277),"",ReferenceData!$M$277),"")</f>
        <v>20.250655739999999</v>
      </c>
      <c r="N277">
        <f ca="1">IFERROR(IF(0=LEN(ReferenceData!$N$277),"",ReferenceData!$N$277),"")</f>
        <v>37.529660239999998</v>
      </c>
      <c r="O277">
        <f ca="1">IFERROR(IF(0=LEN(ReferenceData!$O$277),"",ReferenceData!$O$277),"")</f>
        <v>42.94745906</v>
      </c>
      <c r="P277">
        <f ca="1">IFERROR(IF(0=LEN(ReferenceData!$P$277),"",ReferenceData!$P$277),"")</f>
        <v>34.850389479999997</v>
      </c>
      <c r="Q277">
        <f ca="1">IFERROR(IF(0=LEN(ReferenceData!$Q$277),"",ReferenceData!$Q$277),"")</f>
        <v>35.386010880000001</v>
      </c>
      <c r="R277">
        <f ca="1">IFERROR(IF(0=LEN(ReferenceData!$R$277),"",ReferenceData!$R$277),"")</f>
        <v>38.6319771</v>
      </c>
      <c r="S277">
        <f ca="1">IFERROR(IF(0=LEN(ReferenceData!$S$277),"",ReferenceData!$S$277),"")</f>
        <v>40.125777470000003</v>
      </c>
      <c r="T277">
        <f ca="1">IFERROR(IF(0=LEN(ReferenceData!$T$277),"",ReferenceData!$T$277),"")</f>
        <v>37.548045999999999</v>
      </c>
      <c r="U277">
        <f ca="1">IFERROR(IF(0=LEN(ReferenceData!$U$277),"",ReferenceData!$U$277),"")</f>
        <v>29.662834060000002</v>
      </c>
      <c r="V277">
        <f ca="1">IFERROR(IF(0=LEN(ReferenceData!$V$277),"",ReferenceData!$V$277),"")</f>
        <v>31.719727379999998</v>
      </c>
      <c r="W277">
        <f ca="1">IFERROR(IF(0=LEN(ReferenceData!$W$277),"",ReferenceData!$W$277),"")</f>
        <v>34.941308530000001</v>
      </c>
      <c r="X277">
        <f ca="1">IFERROR(IF(0=LEN(ReferenceData!$X$277),"",ReferenceData!$X$277),"")</f>
        <v>23.831088080000001</v>
      </c>
      <c r="Y277">
        <f ca="1">IFERROR(IF(0=LEN(ReferenceData!$Y$277),"",ReferenceData!$Y$277),"")</f>
        <v>25.106909259999998</v>
      </c>
      <c r="Z277">
        <f ca="1">IFERROR(IF(0=LEN(ReferenceData!$Z$277),"",ReferenceData!$Z$277),"")</f>
        <v>27.939830069999999</v>
      </c>
      <c r="AA277">
        <f ca="1">IFERROR(IF(0=LEN(ReferenceData!$AA$277),"",ReferenceData!$AA$277),"")</f>
        <v>27.86316978</v>
      </c>
      <c r="AB277">
        <f ca="1">IFERROR(IF(0=LEN(ReferenceData!$AB$277),"",ReferenceData!$AB$277),"")</f>
        <v>22.277449699999998</v>
      </c>
      <c r="AC277">
        <f ca="1">IFERROR(IF(0=LEN(ReferenceData!$AC$277),"",ReferenceData!$AC$277),"")</f>
        <v>12.540783490000001</v>
      </c>
      <c r="AD277">
        <f ca="1">IFERROR(IF(0=LEN(ReferenceData!$AD$277),"",ReferenceData!$AD$277),"")</f>
        <v>21.842171530000002</v>
      </c>
      <c r="AE277">
        <f ca="1">IFERROR(IF(0=LEN(ReferenceData!$AE$277),"",ReferenceData!$AE$277),"")</f>
        <v>23.81268755</v>
      </c>
      <c r="AF277">
        <f ca="1">IFERROR(IF(0=LEN(ReferenceData!$AF$277),"",ReferenceData!$AF$277),"")</f>
        <v>9.7500369770000006</v>
      </c>
      <c r="AG277">
        <f ca="1">IFERROR(IF(0=LEN(ReferenceData!$AG$277),"",ReferenceData!$AG$277),"")</f>
        <v>9.0008184720000006</v>
      </c>
      <c r="AH277">
        <f ca="1">IFERROR(IF(0=LEN(ReferenceData!$AH$277),"",ReferenceData!$AH$277),"")</f>
        <v>5.562046864</v>
      </c>
      <c r="AI277">
        <f ca="1">IFERROR(IF(0=LEN(ReferenceData!$AI$277),"",ReferenceData!$AI$277),"")</f>
        <v>10.11092315</v>
      </c>
      <c r="AJ277">
        <f ca="1">IFERROR(IF(0=LEN(ReferenceData!$AJ$277),"",ReferenceData!$AJ$277),"")</f>
        <v>5.3833078710000004</v>
      </c>
      <c r="AK277">
        <f ca="1">IFERROR(IF(0=LEN(ReferenceData!$AK$277),"",ReferenceData!$AK$277),"")</f>
        <v>9.5817219750000007</v>
      </c>
      <c r="AL277">
        <f ca="1">IFERROR(IF(0=LEN(ReferenceData!$AL$277),"",ReferenceData!$AL$277),"")</f>
        <v>9.1607123940000008</v>
      </c>
      <c r="AM277">
        <f ca="1">IFERROR(IF(0=LEN(ReferenceData!$AM$277),"",ReferenceData!$AM$277),"")</f>
        <v>11.17707474</v>
      </c>
      <c r="AN277">
        <f ca="1">IFERROR(IF(0=LEN(ReferenceData!$AN$277),"",ReferenceData!$AN$277),"")</f>
        <v>9.8430634020000003</v>
      </c>
      <c r="AO277">
        <f ca="1">IFERROR(IF(0=LEN(ReferenceData!$AO$277),"",ReferenceData!$AO$277),"")</f>
        <v>8.066169339</v>
      </c>
      <c r="AP277">
        <f ca="1">IFERROR(IF(0=LEN(ReferenceData!$AP$277),"",ReferenceData!$AP$277),"")</f>
        <v>24.332996659999999</v>
      </c>
      <c r="AQ277">
        <f ca="1">IFERROR(IF(0=LEN(ReferenceData!$AQ$277),"",ReferenceData!$AQ$277),"")</f>
        <v>34.813984099999999</v>
      </c>
      <c r="AR277">
        <f ca="1">IFERROR(IF(0=LEN(ReferenceData!$AR$277),"",ReferenceData!$AR$277),"")</f>
        <v>55.079600300000003</v>
      </c>
      <c r="AS277">
        <f ca="1">IFERROR(IF(0=LEN(ReferenceData!$AS$277),"",ReferenceData!$AS$277),"")</f>
        <v>39.227381999999999</v>
      </c>
      <c r="AT277">
        <f ca="1">IFERROR(IF(0=LEN(ReferenceData!$AT$277),"",ReferenceData!$AT$277),"")</f>
        <v>55.349625959999997</v>
      </c>
      <c r="AU277">
        <f ca="1">IFERROR(IF(0=LEN(ReferenceData!$AU$277),"",ReferenceData!$AU$277),"")</f>
        <v>60.447191340000003</v>
      </c>
      <c r="AV277">
        <f ca="1">IFERROR(IF(0=LEN(ReferenceData!$AV$277),"",ReferenceData!$AV$277),"")</f>
        <v>53.459778980000003</v>
      </c>
      <c r="AW277">
        <f ca="1">IFERROR(IF(0=LEN(ReferenceData!$AW$277),"",ReferenceData!$AW$277),"")</f>
        <v>52.392816269999997</v>
      </c>
      <c r="AX277">
        <f ca="1">IFERROR(IF(0=LEN(ReferenceData!$AX$277),"",ReferenceData!$AX$277),"")</f>
        <v>32.052685179999997</v>
      </c>
      <c r="AY277">
        <f ca="1">IFERROR(IF(0=LEN(ReferenceData!$AY$277),"",ReferenceData!$AY$277),"")</f>
        <v>54.001156450000003</v>
      </c>
      <c r="AZ277">
        <f ca="1">IFERROR(IF(0=LEN(ReferenceData!$AZ$277),"",ReferenceData!$AZ$277),"")</f>
        <v>48.906691629999997</v>
      </c>
      <c r="BA277">
        <f ca="1">IFERROR(IF(0=LEN(ReferenceData!$BA$277),"",ReferenceData!$BA$277),"")</f>
        <v>45.309997549999999</v>
      </c>
      <c r="BB277">
        <f ca="1">IFERROR(IF(0=LEN(ReferenceData!$BB$277),"",ReferenceData!$BB$277),"")</f>
        <v>51.063981890000001</v>
      </c>
      <c r="BC277">
        <f ca="1">IFERROR(IF(0=LEN(ReferenceData!$BC$277),"",ReferenceData!$BC$277),"")</f>
        <v>54.780688650000002</v>
      </c>
      <c r="BD277">
        <f ca="1">IFERROR(IF(0=LEN(ReferenceData!$BD$277),"",ReferenceData!$BD$277),"")</f>
        <v>43.783812009999998</v>
      </c>
      <c r="BE277">
        <f ca="1">IFERROR(IF(0=LEN(ReferenceData!$BE$277),"",ReferenceData!$BE$277),"")</f>
        <v>48.664280169999998</v>
      </c>
      <c r="BF277">
        <f ca="1">IFERROR(IF(0=LEN(ReferenceData!$BF$277),"",ReferenceData!$BF$277),"")</f>
        <v>50.050672110000001</v>
      </c>
      <c r="BG277">
        <f ca="1">IFERROR(IF(0=LEN(ReferenceData!$BG$277),"",ReferenceData!$BG$277),"")</f>
        <v>53.912818829999999</v>
      </c>
      <c r="BH277">
        <f ca="1">IFERROR(IF(0=LEN(ReferenceData!$BH$277),"",ReferenceData!$BH$277),"")</f>
        <v>48.429776459999999</v>
      </c>
      <c r="BI277">
        <f ca="1">IFERROR(IF(0=LEN(ReferenceData!$BI$277),"",ReferenceData!$BI$277),"")</f>
        <v>43.761609210000003</v>
      </c>
      <c r="BJ277">
        <f ca="1">IFERROR(IF(0=LEN(ReferenceData!$BJ$277),"",ReferenceData!$BJ$277),"")</f>
        <v>55.21006002</v>
      </c>
      <c r="BK277">
        <f ca="1">IFERROR(IF(0=LEN(ReferenceData!$BK$277),"",ReferenceData!$BK$277),"")</f>
        <v>50.485215150000002</v>
      </c>
      <c r="BL277" t="str">
        <f ca="1">IFERROR(IF(0=LEN(ReferenceData!$BL$277),"",ReferenceData!$BL$277),"")</f>
        <v/>
      </c>
      <c r="BM277">
        <f ca="1">IFERROR(IF(0=LEN(ReferenceData!$BM$277),"",ReferenceData!$BM$277),"")</f>
        <v>85.122210409999994</v>
      </c>
    </row>
    <row r="278" spans="1:65">
      <c r="A278" t="str">
        <f>IFERROR(IF(0=LEN(ReferenceData!$A$278),"",ReferenceData!$A$278),"")</f>
        <v xml:space="preserve">    Vornado Realty Trust</v>
      </c>
      <c r="B278" t="str">
        <f>IFERROR(IF(0=LEN(ReferenceData!$B$278),"",ReferenceData!$B$278),"")</f>
        <v>VNO US Equity</v>
      </c>
      <c r="C278" t="str">
        <f>IFERROR(IF(0=LEN(ReferenceData!$C$278),"",ReferenceData!$C$278),"")</f>
        <v>RR106</v>
      </c>
      <c r="D278" t="str">
        <f>IFERROR(IF(0=LEN(ReferenceData!$D$278),"",ReferenceData!$D$278),"")</f>
        <v>FFO_PAYOUT_RATIO</v>
      </c>
      <c r="E278" t="str">
        <f>IFERROR(IF(0=LEN(ReferenceData!$E$278),"",ReferenceData!$E$278),"")</f>
        <v>动态</v>
      </c>
      <c r="F278" t="str">
        <f ca="1">IFERROR(IF(0=LEN(ReferenceData!$F$278),"",ReferenceData!$F$278),"")</f>
        <v/>
      </c>
      <c r="G278">
        <f ca="1">IFERROR(IF(0=LEN(ReferenceData!$G$278),"",ReferenceData!$G$278),"")</f>
        <v>74.396380039999997</v>
      </c>
      <c r="H278">
        <f ca="1">IFERROR(IF(0=LEN(ReferenceData!$H$278),"",ReferenceData!$H$278),"")</f>
        <v>113.5536745</v>
      </c>
      <c r="I278">
        <f ca="1">IFERROR(IF(0=LEN(ReferenceData!$I$278),"",ReferenceData!$I$278),"")</f>
        <v>52.186472780000003</v>
      </c>
      <c r="J278">
        <f ca="1">IFERROR(IF(0=LEN(ReferenceData!$J$278),"",ReferenceData!$J$278),"")</f>
        <v>65.299058470000006</v>
      </c>
      <c r="K278">
        <f ca="1">IFERROR(IF(0=LEN(ReferenceData!$K$278),"",ReferenceData!$K$278),"")</f>
        <v>14.927054630000001</v>
      </c>
      <c r="L278">
        <f ca="1">IFERROR(IF(0=LEN(ReferenceData!$L$278),"",ReferenceData!$L$278),"")</f>
        <v>52.76821606</v>
      </c>
      <c r="M278">
        <f ca="1">IFERROR(IF(0=LEN(ReferenceData!$M$278),"",ReferenceData!$M$278),"")</f>
        <v>51.835123260000003</v>
      </c>
      <c r="N278">
        <f ca="1">IFERROR(IF(0=LEN(ReferenceData!$N$278),"",ReferenceData!$N$278),"")</f>
        <v>58.509547740000002</v>
      </c>
      <c r="O278">
        <f ca="1">IFERROR(IF(0=LEN(ReferenceData!$O$278),"",ReferenceData!$O$278),"")</f>
        <v>45.767050179999998</v>
      </c>
      <c r="P278">
        <f ca="1">IFERROR(IF(0=LEN(ReferenceData!$P$278),"",ReferenceData!$P$278),"")</f>
        <v>50.312668670000001</v>
      </c>
      <c r="Q278">
        <f ca="1">IFERROR(IF(0=LEN(ReferenceData!$Q$278),"",ReferenceData!$Q$278),"")</f>
        <v>36.696636480000002</v>
      </c>
      <c r="R278">
        <f ca="1">IFERROR(IF(0=LEN(ReferenceData!$R$278),"",ReferenceData!$R$278),"")</f>
        <v>53.815529529999999</v>
      </c>
      <c r="S278">
        <f ca="1">IFERROR(IF(0=LEN(ReferenceData!$S$278),"",ReferenceData!$S$278),"")</f>
        <v>59.561437890000001</v>
      </c>
      <c r="T278">
        <f ca="1">IFERROR(IF(0=LEN(ReferenceData!$T$278),"",ReferenceData!$T$278),"")</f>
        <v>63.028418029999997</v>
      </c>
      <c r="U278">
        <f ca="1">IFERROR(IF(0=LEN(ReferenceData!$U$278),"",ReferenceData!$U$278),"")</f>
        <v>63.217089129999998</v>
      </c>
      <c r="V278">
        <f ca="1">IFERROR(IF(0=LEN(ReferenceData!$V$278),"",ReferenceData!$V$278),"")</f>
        <v>55.340239359999998</v>
      </c>
      <c r="W278" t="str">
        <f ca="1">IFERROR(IF(0=LEN(ReferenceData!$W$278),"",ReferenceData!$W$278),"")</f>
        <v/>
      </c>
      <c r="X278">
        <f ca="1">IFERROR(IF(0=LEN(ReferenceData!$X$278),"",ReferenceData!$X$278),"")</f>
        <v>64.800509910000002</v>
      </c>
      <c r="Y278">
        <f ca="1">IFERROR(IF(0=LEN(ReferenceData!$Y$278),"",ReferenceData!$Y$278),"")</f>
        <v>57.982064860000001</v>
      </c>
      <c r="Z278">
        <f ca="1">IFERROR(IF(0=LEN(ReferenceData!$Z$278),"",ReferenceData!$Z$278),"")</f>
        <v>67.556238230000005</v>
      </c>
      <c r="AA278">
        <f ca="1">IFERROR(IF(0=LEN(ReferenceData!$AA$278),"",ReferenceData!$AA$278),"")</f>
        <v>563.23354800000004</v>
      </c>
      <c r="AB278">
        <f ca="1">IFERROR(IF(0=LEN(ReferenceData!$AB$278),"",ReferenceData!$AB$278),"")</f>
        <v>51.106713040000002</v>
      </c>
      <c r="AC278">
        <f ca="1">IFERROR(IF(0=LEN(ReferenceData!$AC$278),"",ReferenceData!$AC$278),"")</f>
        <v>76.866162279999998</v>
      </c>
      <c r="AD278">
        <f ca="1">IFERROR(IF(0=LEN(ReferenceData!$AD$278),"",ReferenceData!$AD$278),"")</f>
        <v>36.726148799999997</v>
      </c>
      <c r="AE278">
        <f ca="1">IFERROR(IF(0=LEN(ReferenceData!$AE$278),"",ReferenceData!$AE$278),"")</f>
        <v>90.847411800000003</v>
      </c>
      <c r="AF278">
        <f ca="1">IFERROR(IF(0=LEN(ReferenceData!$AF$278),"",ReferenceData!$AF$278),"")</f>
        <v>65.206723890000006</v>
      </c>
      <c r="AG278">
        <f ca="1">IFERROR(IF(0=LEN(ReferenceData!$AG$278),"",ReferenceData!$AG$278),"")</f>
        <v>52.233162710000002</v>
      </c>
      <c r="AH278">
        <f ca="1">IFERROR(IF(0=LEN(ReferenceData!$AH$278),"",ReferenceData!$AH$278),"")</f>
        <v>25.08958732</v>
      </c>
      <c r="AI278">
        <f ca="1">IFERROR(IF(0=LEN(ReferenceData!$AI$278),"",ReferenceData!$AI$278),"")</f>
        <v>27.526267149999999</v>
      </c>
      <c r="AJ278">
        <f ca="1">IFERROR(IF(0=LEN(ReferenceData!$AJ$278),"",ReferenceData!$AJ$278),"")</f>
        <v>47.637529919999999</v>
      </c>
      <c r="AK278">
        <f ca="1">IFERROR(IF(0=LEN(ReferenceData!$AK$278),"",ReferenceData!$AK$278),"")</f>
        <v>57.780140840000001</v>
      </c>
      <c r="AL278">
        <f ca="1">IFERROR(IF(0=LEN(ReferenceData!$AL$278),"",ReferenceData!$AL$278),"")</f>
        <v>33.337855329999996</v>
      </c>
      <c r="AM278">
        <f ca="1">IFERROR(IF(0=LEN(ReferenceData!$AM$278),"",ReferenceData!$AM$278),"")</f>
        <v>584454</v>
      </c>
      <c r="AN278">
        <f ca="1">IFERROR(IF(0=LEN(ReferenceData!$AN$278),"",ReferenceData!$AN$278),"")</f>
        <v>49.58370687</v>
      </c>
      <c r="AO278">
        <f ca="1">IFERROR(IF(0=LEN(ReferenceData!$AO$278),"",ReferenceData!$AO$278),"")</f>
        <v>174.253863</v>
      </c>
      <c r="AP278">
        <f ca="1">IFERROR(IF(0=LEN(ReferenceData!$AP$278),"",ReferenceData!$AP$278),"")</f>
        <v>55.175495750000003</v>
      </c>
      <c r="AQ278" t="str">
        <f ca="1">IFERROR(IF(0=LEN(ReferenceData!$AQ$278),"",ReferenceData!$AQ$278),"")</f>
        <v/>
      </c>
      <c r="AR278">
        <f ca="1">IFERROR(IF(0=LEN(ReferenceData!$AR$278),"",ReferenceData!$AR$278),"")</f>
        <v>89.981976680000002</v>
      </c>
      <c r="AS278">
        <f ca="1">IFERROR(IF(0=LEN(ReferenceData!$AS$278),"",ReferenceData!$AS$278),"")</f>
        <v>73.379416759999998</v>
      </c>
      <c r="AT278">
        <f ca="1">IFERROR(IF(0=LEN(ReferenceData!$AT$278),"",ReferenceData!$AT$278),"")</f>
        <v>26.93606496</v>
      </c>
      <c r="AU278">
        <f ca="1">IFERROR(IF(0=LEN(ReferenceData!$AU$278),"",ReferenceData!$AU$278),"")</f>
        <v>73.005704750000007</v>
      </c>
      <c r="AV278">
        <f ca="1">IFERROR(IF(0=LEN(ReferenceData!$AV$278),"",ReferenceData!$AV$278),"")</f>
        <v>59.811987260000002</v>
      </c>
      <c r="AW278">
        <f ca="1">IFERROR(IF(0=LEN(ReferenceData!$AW$278),"",ReferenceData!$AW$278),"")</f>
        <v>46.668848949999997</v>
      </c>
      <c r="AX278">
        <f ca="1">IFERROR(IF(0=LEN(ReferenceData!$AX$278),"",ReferenceData!$AX$278),"")</f>
        <v>48.611051310000001</v>
      </c>
      <c r="AY278">
        <f ca="1">IFERROR(IF(0=LEN(ReferenceData!$AY$278),"",ReferenceData!$AY$278),"")</f>
        <v>59.22852039</v>
      </c>
      <c r="AZ278">
        <f ca="1">IFERROR(IF(0=LEN(ReferenceData!$AZ$278),"",ReferenceData!$AZ$278),"")</f>
        <v>56.871798220000002</v>
      </c>
      <c r="BA278">
        <f ca="1">IFERROR(IF(0=LEN(ReferenceData!$BA$278),"",ReferenceData!$BA$278),"")</f>
        <v>50.246894390000001</v>
      </c>
      <c r="BB278">
        <f ca="1">IFERROR(IF(0=LEN(ReferenceData!$BB$278),"",ReferenceData!$BB$278),"")</f>
        <v>54.648140890000001</v>
      </c>
      <c r="BC278">
        <f ca="1">IFERROR(IF(0=LEN(ReferenceData!$BC$278),"",ReferenceData!$BC$278),"")</f>
        <v>114.12393299999999</v>
      </c>
      <c r="BD278">
        <f ca="1">IFERROR(IF(0=LEN(ReferenceData!$BD$278),"",ReferenceData!$BD$278),"")</f>
        <v>111.183978</v>
      </c>
      <c r="BE278">
        <f ca="1">IFERROR(IF(0=LEN(ReferenceData!$BE$278),"",ReferenceData!$BE$278),"")</f>
        <v>45.845395320000002</v>
      </c>
      <c r="BF278">
        <f ca="1">IFERROR(IF(0=LEN(ReferenceData!$BF$278),"",ReferenceData!$BF$278),"")</f>
        <v>39.247345760000002</v>
      </c>
      <c r="BG278">
        <f ca="1">IFERROR(IF(0=LEN(ReferenceData!$BG$278),"",ReferenceData!$BG$278),"")</f>
        <v>32.362969669999998</v>
      </c>
      <c r="BH278">
        <f ca="1">IFERROR(IF(0=LEN(ReferenceData!$BH$278),"",ReferenceData!$BH$278),"")</f>
        <v>57.268763200000002</v>
      </c>
      <c r="BI278">
        <f ca="1">IFERROR(IF(0=LEN(ReferenceData!$BI$278),"",ReferenceData!$BI$278),"")</f>
        <v>55.789923989999998</v>
      </c>
      <c r="BJ278">
        <f ca="1">IFERROR(IF(0=LEN(ReferenceData!$BJ$278),"",ReferenceData!$BJ$278),"")</f>
        <v>82.017439879999998</v>
      </c>
      <c r="BK278">
        <f ca="1">IFERROR(IF(0=LEN(ReferenceData!$BK$278),"",ReferenceData!$BK$278),"")</f>
        <v>80.3012291</v>
      </c>
      <c r="BL278">
        <f ca="1">IFERROR(IF(0=LEN(ReferenceData!$BL$278),"",ReferenceData!$BL$278),"")</f>
        <v>62.02608291</v>
      </c>
      <c r="BM278">
        <f ca="1">IFERROR(IF(0=LEN(ReferenceData!$BM$278),"",ReferenceData!$BM$278),"")</f>
        <v>56.821077879999997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U594"/>
  <sheetViews>
    <sheetView workbookViewId="0"/>
  </sheetViews>
  <sheetFormatPr defaultRowHeight="13.5"/>
  <cols>
    <col min="1" max="1" width="56.375" customWidth="1"/>
    <col min="2" max="2" width="15.75" customWidth="1"/>
    <col min="3" max="125" width="9.125" bestFit="1" customWidth="1"/>
  </cols>
  <sheetData>
    <row r="1" spans="1:12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ht="15">
      <c r="A2" s="1" t="str">
        <f>"简述"</f>
        <v>简述</v>
      </c>
      <c r="B2" s="1" t="str">
        <f>"代码"</f>
        <v>代码</v>
      </c>
      <c r="C2" s="1" t="str">
        <f>"栏目ID"</f>
        <v>栏目ID</v>
      </c>
      <c r="D2" s="1" t="str">
        <f>"栏目助记符"</f>
        <v>栏目助记符</v>
      </c>
      <c r="E2" s="1" t="str">
        <f>"数据状态"</f>
        <v>数据状态</v>
      </c>
      <c r="F2" s="1" t="str">
        <f>ReferenceData!$C$585</f>
        <v>2018 Q1</v>
      </c>
      <c r="G2" s="1" t="str">
        <f>ReferenceData!$D$585</f>
        <v>2017 Q4</v>
      </c>
      <c r="H2" s="1" t="str">
        <f>ReferenceData!$E$585</f>
        <v>2017 Q3</v>
      </c>
      <c r="I2" s="1" t="str">
        <f>ReferenceData!$F$585</f>
        <v>2017 Q2</v>
      </c>
      <c r="J2" s="1" t="str">
        <f>ReferenceData!$G$585</f>
        <v>2017 Q1</v>
      </c>
      <c r="K2" s="1" t="str">
        <f>ReferenceData!$H$585</f>
        <v>2016 Q4</v>
      </c>
      <c r="L2" s="1" t="str">
        <f>ReferenceData!$I$585</f>
        <v>2016 Q3</v>
      </c>
      <c r="M2" s="1" t="str">
        <f>ReferenceData!$J$585</f>
        <v>2016 Q2</v>
      </c>
      <c r="N2" s="1" t="str">
        <f>ReferenceData!$K$585</f>
        <v>2016 Q1</v>
      </c>
      <c r="O2" s="1" t="str">
        <f>ReferenceData!$L$585</f>
        <v>2015 Q4</v>
      </c>
      <c r="P2" s="1" t="str">
        <f>ReferenceData!$M$585</f>
        <v>2015 Q3</v>
      </c>
      <c r="Q2" s="1" t="str">
        <f>ReferenceData!$N$585</f>
        <v>2015 Q2</v>
      </c>
      <c r="R2" s="1" t="str">
        <f>ReferenceData!$O$585</f>
        <v>2015 Q1</v>
      </c>
      <c r="S2" s="1" t="str">
        <f>ReferenceData!$P$585</f>
        <v>2014 Q4</v>
      </c>
      <c r="T2" s="1" t="str">
        <f>ReferenceData!$Q$585</f>
        <v>2014 Q3</v>
      </c>
      <c r="U2" s="1" t="str">
        <f>ReferenceData!$R$585</f>
        <v>2014 Q2</v>
      </c>
      <c r="V2" s="1" t="str">
        <f>ReferenceData!$S$585</f>
        <v>2014 Q1</v>
      </c>
      <c r="W2" s="1" t="str">
        <f>ReferenceData!$T$585</f>
        <v>2013 Q4</v>
      </c>
      <c r="X2" s="1" t="str">
        <f>ReferenceData!$U$585</f>
        <v>2013 Q3</v>
      </c>
      <c r="Y2" s="1" t="str">
        <f>ReferenceData!$V$585</f>
        <v>2013 Q2</v>
      </c>
      <c r="Z2" s="1" t="str">
        <f>ReferenceData!$W$585</f>
        <v>2013 Q1</v>
      </c>
      <c r="AA2" s="1" t="str">
        <f>ReferenceData!$X$585</f>
        <v>2012 Q4</v>
      </c>
      <c r="AB2" s="1" t="str">
        <f>ReferenceData!$Y$585</f>
        <v>2012 Q3</v>
      </c>
      <c r="AC2" s="1" t="str">
        <f>ReferenceData!$Z$585</f>
        <v>2012 Q2</v>
      </c>
      <c r="AD2" s="1" t="str">
        <f>ReferenceData!$AA$585</f>
        <v>2012 Q1</v>
      </c>
      <c r="AE2" s="1" t="str">
        <f>ReferenceData!$AB$585</f>
        <v>2011 Q4</v>
      </c>
      <c r="AF2" s="1" t="str">
        <f>ReferenceData!$AC$585</f>
        <v>2011 Q3</v>
      </c>
      <c r="AG2" s="1" t="str">
        <f>ReferenceData!$AD$585</f>
        <v>2011 Q2</v>
      </c>
      <c r="AH2" s="1" t="str">
        <f>ReferenceData!$AE$585</f>
        <v>2011 Q1</v>
      </c>
      <c r="AI2" s="1" t="str">
        <f>ReferenceData!$AF$585</f>
        <v>2010 Q4</v>
      </c>
      <c r="AJ2" s="1" t="str">
        <f>ReferenceData!$AG$585</f>
        <v>2010 Q3</v>
      </c>
      <c r="AK2" s="1" t="str">
        <f>ReferenceData!$AH$585</f>
        <v>2010 Q2</v>
      </c>
      <c r="AL2" s="1" t="str">
        <f>ReferenceData!$AI$585</f>
        <v>2010 Q1</v>
      </c>
      <c r="AM2" s="1" t="str">
        <f>ReferenceData!$AJ$585</f>
        <v>2009 Q4</v>
      </c>
      <c r="AN2" s="1" t="str">
        <f>ReferenceData!$AK$585</f>
        <v>2009 Q3</v>
      </c>
      <c r="AO2" s="1" t="str">
        <f>ReferenceData!$AL$585</f>
        <v>2009 Q2</v>
      </c>
      <c r="AP2" s="1" t="str">
        <f>ReferenceData!$AM$585</f>
        <v>2009 Q1</v>
      </c>
      <c r="AQ2" s="1" t="str">
        <f>ReferenceData!$AN$585</f>
        <v>2008 Q4</v>
      </c>
      <c r="AR2" s="1" t="str">
        <f>ReferenceData!$AO$585</f>
        <v>2008 Q3</v>
      </c>
      <c r="AS2" s="1" t="str">
        <f>ReferenceData!$AP$585</f>
        <v>2008 Q2</v>
      </c>
      <c r="AT2" s="1" t="str">
        <f>ReferenceData!$AQ$585</f>
        <v>2008 Q1</v>
      </c>
      <c r="AU2" s="1" t="str">
        <f>ReferenceData!$AR$585</f>
        <v>2007 Q4</v>
      </c>
      <c r="AV2" s="1" t="str">
        <f>ReferenceData!$AS$585</f>
        <v>2007 Q3</v>
      </c>
      <c r="AW2" s="1" t="str">
        <f>ReferenceData!$AT$585</f>
        <v>2007 Q2</v>
      </c>
      <c r="AX2" s="1" t="str">
        <f>ReferenceData!$AU$585</f>
        <v>2007 Q1</v>
      </c>
      <c r="AY2" s="1" t="str">
        <f>ReferenceData!$AV$585</f>
        <v>2006 Q4</v>
      </c>
      <c r="AZ2" s="1" t="str">
        <f>ReferenceData!$AW$585</f>
        <v>2006 Q3</v>
      </c>
      <c r="BA2" s="1" t="str">
        <f>ReferenceData!$AX$585</f>
        <v>2006 Q2</v>
      </c>
      <c r="BB2" s="1" t="str">
        <f>ReferenceData!$AY$585</f>
        <v>2006 Q1</v>
      </c>
      <c r="BC2" s="1" t="str">
        <f>ReferenceData!$AZ$585</f>
        <v>2005 Q4</v>
      </c>
      <c r="BD2" s="1" t="str">
        <f>ReferenceData!$BA$585</f>
        <v>2005 Q3</v>
      </c>
      <c r="BE2" s="1" t="str">
        <f>ReferenceData!$BB$585</f>
        <v>2005 Q2</v>
      </c>
      <c r="BF2" s="1" t="str">
        <f>ReferenceData!$BC$585</f>
        <v>2005 Q1</v>
      </c>
      <c r="BG2" s="1" t="str">
        <f>ReferenceData!$BD$585</f>
        <v>2004 Q4</v>
      </c>
      <c r="BH2" s="1" t="str">
        <f>ReferenceData!$BE$585</f>
        <v>2004 Q3</v>
      </c>
      <c r="BI2" s="1" t="str">
        <f>ReferenceData!$BF$585</f>
        <v>2004 Q2</v>
      </c>
      <c r="BJ2" s="1" t="str">
        <f>ReferenceData!$BG$585</f>
        <v>2004 Q1</v>
      </c>
      <c r="BK2" s="1" t="str">
        <f>ReferenceData!$BH$585</f>
        <v>2003 Q4</v>
      </c>
      <c r="BL2" s="1" t="str">
        <f>ReferenceData!$BI$585</f>
        <v>2003 Q3</v>
      </c>
      <c r="BM2" s="1" t="str">
        <f>ReferenceData!$BJ$585</f>
        <v>2003 Q2</v>
      </c>
      <c r="BN2" t="str">
        <f>$C$585</f>
        <v>2018 Q1</v>
      </c>
      <c r="BO2" t="str">
        <f>$D$585</f>
        <v>2017 Q4</v>
      </c>
      <c r="BP2" t="str">
        <f>$E$585</f>
        <v>2017 Q3</v>
      </c>
      <c r="BQ2" t="str">
        <f>$F$585</f>
        <v>2017 Q2</v>
      </c>
      <c r="BR2" t="str">
        <f>$G$585</f>
        <v>2017 Q1</v>
      </c>
      <c r="BS2" t="str">
        <f>$H$585</f>
        <v>2016 Q4</v>
      </c>
      <c r="BT2" t="str">
        <f>$I$585</f>
        <v>2016 Q3</v>
      </c>
      <c r="BU2" t="str">
        <f>$J$585</f>
        <v>2016 Q2</v>
      </c>
      <c r="BV2" t="str">
        <f>$K$585</f>
        <v>2016 Q1</v>
      </c>
      <c r="BW2" t="str">
        <f>$L$585</f>
        <v>2015 Q4</v>
      </c>
      <c r="BX2" t="str">
        <f>$M$585</f>
        <v>2015 Q3</v>
      </c>
      <c r="BY2" t="str">
        <f>$N$585</f>
        <v>2015 Q2</v>
      </c>
      <c r="BZ2" t="str">
        <f>$O$585</f>
        <v>2015 Q1</v>
      </c>
      <c r="CA2" t="str">
        <f>$P$585</f>
        <v>2014 Q4</v>
      </c>
      <c r="CB2" t="str">
        <f>$Q$585</f>
        <v>2014 Q3</v>
      </c>
      <c r="CC2" t="str">
        <f>$R$585</f>
        <v>2014 Q2</v>
      </c>
      <c r="CD2" t="str">
        <f>$S$585</f>
        <v>2014 Q1</v>
      </c>
      <c r="CE2" t="str">
        <f>$T$585</f>
        <v>2013 Q4</v>
      </c>
      <c r="CF2" t="str">
        <f>$U$585</f>
        <v>2013 Q3</v>
      </c>
      <c r="CG2" t="str">
        <f>$V$585</f>
        <v>2013 Q2</v>
      </c>
      <c r="CH2" t="str">
        <f>$W$585</f>
        <v>2013 Q1</v>
      </c>
      <c r="CI2" t="str">
        <f>$X$585</f>
        <v>2012 Q4</v>
      </c>
      <c r="CJ2" t="str">
        <f>$Y$585</f>
        <v>2012 Q3</v>
      </c>
      <c r="CK2" t="str">
        <f>$Z$585</f>
        <v>2012 Q2</v>
      </c>
      <c r="CL2" t="str">
        <f>$AA$585</f>
        <v>2012 Q1</v>
      </c>
      <c r="CM2" t="str">
        <f>$AB$585</f>
        <v>2011 Q4</v>
      </c>
      <c r="CN2" t="str">
        <f>$AC$585</f>
        <v>2011 Q3</v>
      </c>
      <c r="CO2" t="str">
        <f>$AD$585</f>
        <v>2011 Q2</v>
      </c>
      <c r="CP2" t="str">
        <f>$AE$585</f>
        <v>2011 Q1</v>
      </c>
      <c r="CQ2" t="str">
        <f>$AF$585</f>
        <v>2010 Q4</v>
      </c>
      <c r="CR2" t="str">
        <f>$AG$585</f>
        <v>2010 Q3</v>
      </c>
      <c r="CS2" t="str">
        <f>$AH$585</f>
        <v>2010 Q2</v>
      </c>
      <c r="CT2" t="str">
        <f>$AI$585</f>
        <v>2010 Q1</v>
      </c>
      <c r="CU2" t="str">
        <f>$AJ$585</f>
        <v>2009 Q4</v>
      </c>
      <c r="CV2" t="str">
        <f>$AK$585</f>
        <v>2009 Q3</v>
      </c>
      <c r="CW2" t="str">
        <f>$AL$585</f>
        <v>2009 Q2</v>
      </c>
      <c r="CX2" t="str">
        <f>$AM$585</f>
        <v>2009 Q1</v>
      </c>
      <c r="CY2" t="str">
        <f>$AN$585</f>
        <v>2008 Q4</v>
      </c>
      <c r="CZ2" t="str">
        <f>$AO$585</f>
        <v>2008 Q3</v>
      </c>
      <c r="DA2" t="str">
        <f>$AP$585</f>
        <v>2008 Q2</v>
      </c>
      <c r="DB2" t="str">
        <f>$AQ$585</f>
        <v>2008 Q1</v>
      </c>
      <c r="DC2" t="str">
        <f>$AR$585</f>
        <v>2007 Q4</v>
      </c>
      <c r="DD2" t="str">
        <f>$AS$585</f>
        <v>2007 Q3</v>
      </c>
      <c r="DE2" t="str">
        <f>$AT$585</f>
        <v>2007 Q2</v>
      </c>
      <c r="DF2" t="str">
        <f>$AU$585</f>
        <v>2007 Q1</v>
      </c>
      <c r="DG2" t="str">
        <f>$AV$585</f>
        <v>2006 Q4</v>
      </c>
      <c r="DH2" t="str">
        <f>$AW$585</f>
        <v>2006 Q3</v>
      </c>
      <c r="DI2" t="str">
        <f>$AX$585</f>
        <v>2006 Q2</v>
      </c>
      <c r="DJ2" t="str">
        <f>$AY$585</f>
        <v>2006 Q1</v>
      </c>
      <c r="DK2" t="str">
        <f>$AZ$585</f>
        <v>2005 Q4</v>
      </c>
      <c r="DL2" t="str">
        <f>$BA$585</f>
        <v>2005 Q3</v>
      </c>
      <c r="DM2" t="str">
        <f>$BB$585</f>
        <v>2005 Q2</v>
      </c>
      <c r="DN2" t="str">
        <f>$BC$585</f>
        <v>2005 Q1</v>
      </c>
      <c r="DO2" t="str">
        <f>$BD$585</f>
        <v>2004 Q4</v>
      </c>
      <c r="DP2" t="str">
        <f>$BE$585</f>
        <v>2004 Q3</v>
      </c>
      <c r="DQ2" t="str">
        <f>$BF$585</f>
        <v>2004 Q2</v>
      </c>
      <c r="DR2" t="str">
        <f>$BG$585</f>
        <v>2004 Q1</v>
      </c>
      <c r="DS2" t="str">
        <f>$BH$585</f>
        <v>2003 Q4</v>
      </c>
      <c r="DT2" t="str">
        <f>$BI$585</f>
        <v>2003 Q3</v>
      </c>
      <c r="DU2" t="str">
        <f>$BJ$585</f>
        <v>2003 Q2</v>
      </c>
    </row>
    <row r="3" spans="1:125">
      <c r="A3" t="str">
        <f>"盈利摘要"</f>
        <v>盈利摘要</v>
      </c>
      <c r="B3" t="str">
        <f>""</f>
        <v/>
      </c>
      <c r="E3" t="str">
        <f>"标题"</f>
        <v>标题</v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  <c r="CH3" t="str">
        <f>""</f>
        <v/>
      </c>
      <c r="CI3" t="str">
        <f>""</f>
        <v/>
      </c>
      <c r="CJ3" t="str">
        <f>""</f>
        <v/>
      </c>
      <c r="CK3" t="str">
        <f>""</f>
        <v/>
      </c>
      <c r="CL3" t="str">
        <f>""</f>
        <v/>
      </c>
      <c r="CM3" t="str">
        <f>""</f>
        <v/>
      </c>
      <c r="CN3" t="str">
        <f>""</f>
        <v/>
      </c>
      <c r="CO3" t="str">
        <f>""</f>
        <v/>
      </c>
      <c r="CP3" t="str">
        <f>""</f>
        <v/>
      </c>
      <c r="CQ3" t="str">
        <f>""</f>
        <v/>
      </c>
      <c r="CR3" t="str">
        <f>""</f>
        <v/>
      </c>
      <c r="CS3" t="str">
        <f>""</f>
        <v/>
      </c>
      <c r="CT3" t="str">
        <f>""</f>
        <v/>
      </c>
      <c r="CU3" t="str">
        <f>""</f>
        <v/>
      </c>
      <c r="CV3" t="str">
        <f>""</f>
        <v/>
      </c>
      <c r="CW3" t="str">
        <f>""</f>
        <v/>
      </c>
      <c r="CX3" t="str">
        <f>""</f>
        <v/>
      </c>
      <c r="CY3" t="str">
        <f>""</f>
        <v/>
      </c>
      <c r="CZ3" t="str">
        <f>""</f>
        <v/>
      </c>
      <c r="DA3" t="str">
        <f>""</f>
        <v/>
      </c>
      <c r="DB3" t="str">
        <f>""</f>
        <v/>
      </c>
      <c r="DC3" t="str">
        <f>""</f>
        <v/>
      </c>
      <c r="DD3" t="str">
        <f>""</f>
        <v/>
      </c>
      <c r="DE3" t="str">
        <f>""</f>
        <v/>
      </c>
      <c r="DF3" t="str">
        <f>""</f>
        <v/>
      </c>
      <c r="DG3" t="str">
        <f>""</f>
        <v/>
      </c>
      <c r="DH3" t="str">
        <f>""</f>
        <v/>
      </c>
      <c r="DI3" t="str">
        <f>""</f>
        <v/>
      </c>
      <c r="DJ3" t="str">
        <f>""</f>
        <v/>
      </c>
      <c r="DK3" t="str">
        <f>""</f>
        <v/>
      </c>
      <c r="DL3" t="str">
        <f>""</f>
        <v/>
      </c>
      <c r="DM3" t="str">
        <f>""</f>
        <v/>
      </c>
      <c r="DN3" t="str">
        <f>""</f>
        <v/>
      </c>
      <c r="DO3" t="str">
        <f>""</f>
        <v/>
      </c>
      <c r="DP3" t="str">
        <f>""</f>
        <v/>
      </c>
      <c r="DQ3" t="str">
        <f>""</f>
        <v/>
      </c>
      <c r="DR3" t="str">
        <f>""</f>
        <v/>
      </c>
      <c r="DS3" t="str">
        <f>""</f>
        <v/>
      </c>
      <c r="DT3" t="str">
        <f>""</f>
        <v/>
      </c>
      <c r="DU3" t="str">
        <f>""</f>
        <v/>
      </c>
    </row>
    <row r="4" spans="1:125">
      <c r="A4" t="str">
        <f>"租赁收入"</f>
        <v>租赁收入</v>
      </c>
      <c r="B4" t="str">
        <f>""</f>
        <v/>
      </c>
      <c r="E4" t="str">
        <f>"Median"</f>
        <v>Median</v>
      </c>
      <c r="F4" t="str">
        <f ca="1">IF(ISERROR(IF(MEDIAN($F$5:$F$14) = 0, "", MEDIAN($F$5:$F$14))), "", (IF(MEDIAN($F$5:$F$14) = 0, "", MEDIAN($F$5:$F$14))))</f>
        <v/>
      </c>
      <c r="G4">
        <f ca="1">IF(ISERROR(IF(MEDIAN($G$5:$G$14) = 0, "", MEDIAN($G$5:$G$14))), "", (IF(MEDIAN($G$5:$G$14) = 0, "", MEDIAN($G$5:$G$14))))</f>
        <v>157.48050000000001</v>
      </c>
      <c r="H4">
        <f ca="1">IF(ISERROR(IF(MEDIAN($H$5:$H$14) = 0, "", MEDIAN($H$5:$H$14))), "", (IF(MEDIAN($H$5:$H$14) = 0, "", MEDIAN($H$5:$H$14))))</f>
        <v>165.20650000000001</v>
      </c>
      <c r="I4">
        <f ca="1">IF(ISERROR(IF(MEDIAN($I$5:$I$14) = 0, "", MEDIAN($I$5:$I$14))), "", (IF(MEDIAN($I$5:$I$14) = 0, "", MEDIAN($I$5:$I$14))))</f>
        <v>165.6515</v>
      </c>
      <c r="J4">
        <f ca="1">IF(ISERROR(IF(MEDIAN($J$5:$J$14) = 0, "", MEDIAN($J$5:$J$14))), "", (IF(MEDIAN($J$5:$J$14) = 0, "", MEDIAN($J$5:$J$14))))</f>
        <v>158.67899999999997</v>
      </c>
      <c r="K4">
        <f ca="1">IF(ISERROR(IF(MEDIAN($K$5:$K$14) = 0, "", MEDIAN($K$5:$K$14))), "", (IF(MEDIAN($K$5:$K$14) = 0, "", MEDIAN($K$5:$K$14))))</f>
        <v>156.54849999999999</v>
      </c>
      <c r="L4">
        <f ca="1">IF(ISERROR(IF(MEDIAN($L$5:$L$14) = 0, "", MEDIAN($L$5:$L$14))), "", (IF(MEDIAN($L$5:$L$14) = 0, "", MEDIAN($L$5:$L$14))))</f>
        <v>156.04399999999998</v>
      </c>
      <c r="M4">
        <f ca="1">IF(ISERROR(IF(MEDIAN($M$5:$M$14) = 0, "", MEDIAN($M$5:$M$14))), "", (IF(MEDIAN($M$5:$M$14) = 0, "", MEDIAN($M$5:$M$14))))</f>
        <v>150.828</v>
      </c>
      <c r="N4">
        <f ca="1">IF(ISERROR(IF(MEDIAN($N$5:$N$14) = 0, "", MEDIAN($N$5:$N$14))), "", (IF(MEDIAN($N$5:$N$14) = 0, "", MEDIAN($N$5:$N$14))))</f>
        <v>144.83150000000001</v>
      </c>
      <c r="O4">
        <f ca="1">IF(ISERROR(IF(MEDIAN($O$5:$O$14) = 0, "", MEDIAN($O$5:$O$14))), "", (IF(MEDIAN($O$5:$O$14) = 0, "", MEDIAN($O$5:$O$14))))</f>
        <v>145.80199999999999</v>
      </c>
      <c r="P4">
        <f ca="1">IF(ISERROR(IF(MEDIAN($P$5:$P$14) = 0, "", MEDIAN($P$5:$P$14))), "", (IF(MEDIAN($P$5:$P$14) = 0, "", MEDIAN($P$5:$P$14))))</f>
        <v>147.04149999999998</v>
      </c>
      <c r="Q4">
        <f ca="1">IF(ISERROR(IF(MEDIAN($Q$5:$Q$14) = 0, "", MEDIAN($Q$5:$Q$14))), "", (IF(MEDIAN($Q$5:$Q$14) = 0, "", MEDIAN($Q$5:$Q$14))))</f>
        <v>145.94549999999998</v>
      </c>
      <c r="R4">
        <f ca="1">IF(ISERROR(IF(MEDIAN($R$5:$R$14) = 0, "", MEDIAN($R$5:$R$14))), "", (IF(MEDIAN($R$5:$R$14) = 0, "", MEDIAN($R$5:$R$14))))</f>
        <v>147.27699999999999</v>
      </c>
      <c r="S4">
        <f ca="1">IF(ISERROR(IF(MEDIAN($S$5:$S$14) = 0, "", MEDIAN($S$5:$S$14))), "", (IF(MEDIAN($S$5:$S$14) = 0, "", MEDIAN($S$5:$S$14))))</f>
        <v>141.958</v>
      </c>
      <c r="T4">
        <f ca="1">IF(ISERROR(IF(MEDIAN($T$5:$T$14) = 0, "", MEDIAN($T$5:$T$14))), "", (IF(MEDIAN($T$5:$T$14) = 0, "", MEDIAN($T$5:$T$14))))</f>
        <v>145.66399999999999</v>
      </c>
      <c r="U4">
        <f ca="1">IF(ISERROR(IF(MEDIAN($U$5:$U$14) = 0, "", MEDIAN($U$5:$U$14))), "", (IF(MEDIAN($U$5:$U$14) = 0, "", MEDIAN($U$5:$U$14))))</f>
        <v>147.28300000000002</v>
      </c>
      <c r="V4">
        <f ca="1">IF(ISERROR(IF(MEDIAN($V$5:$V$14) = 0, "", MEDIAN($V$5:$V$14))), "", (IF(MEDIAN($V$5:$V$14) = 0, "", MEDIAN($V$5:$V$14))))</f>
        <v>146.792</v>
      </c>
      <c r="W4">
        <f ca="1">IF(ISERROR(IF(MEDIAN($W$5:$W$14) = 0, "", MEDIAN($W$5:$W$14))), "", (IF(MEDIAN($W$5:$W$14) = 0, "", MEDIAN($W$5:$W$14))))</f>
        <v>145.13749999999999</v>
      </c>
      <c r="X4">
        <f ca="1">IF(ISERROR(IF(MEDIAN($X$5:$X$14) = 0, "", MEDIAN($X$5:$X$14))), "", (IF(MEDIAN($X$5:$X$14) = 0, "", MEDIAN($X$5:$X$14))))</f>
        <v>143.66300000000001</v>
      </c>
      <c r="Y4">
        <f ca="1">IF(ISERROR(IF(MEDIAN($Y$5:$Y$14) = 0, "", MEDIAN($Y$5:$Y$14))), "", (IF(MEDIAN($Y$5:$Y$14) = 0, "", MEDIAN($Y$5:$Y$14))))</f>
        <v>134.12099999999998</v>
      </c>
      <c r="Z4">
        <f ca="1">IF(ISERROR(IF(MEDIAN($Z$5:$Z$14) = 0, "", MEDIAN($Z$5:$Z$14))), "", (IF(MEDIAN($Z$5:$Z$14) = 0, "", MEDIAN($Z$5:$Z$14))))</f>
        <v>133.23450000000003</v>
      </c>
      <c r="AA4">
        <f ca="1">IF(ISERROR(IF(MEDIAN($AA$5:$AA$14) = 0, "", MEDIAN($AA$5:$AA$14))), "", (IF(MEDIAN($AA$5:$AA$14) = 0, "", MEDIAN($AA$5:$AA$14))))</f>
        <v>131.34399999999999</v>
      </c>
      <c r="AB4">
        <f ca="1">IF(ISERROR(IF(MEDIAN($AB$5:$AB$14) = 0, "", MEDIAN($AB$5:$AB$14))), "", (IF(MEDIAN($AB$5:$AB$14) = 0, "", MEDIAN($AB$5:$AB$14))))</f>
        <v>135.04950000000002</v>
      </c>
      <c r="AC4">
        <f ca="1">IF(ISERROR(IF(MEDIAN($AC$5:$AC$14) = 0, "", MEDIAN($AC$5:$AC$14))), "", (IF(MEDIAN($AC$5:$AC$14) = 0, "", MEDIAN($AC$5:$AC$14))))</f>
        <v>132.767</v>
      </c>
      <c r="AD4">
        <f ca="1">IF(ISERROR(IF(MEDIAN($AD$5:$AD$14) = 0, "", MEDIAN($AD$5:$AD$14))), "", (IF(MEDIAN($AD$5:$AD$14) = 0, "", MEDIAN($AD$5:$AD$14))))</f>
        <v>133.73849999999999</v>
      </c>
      <c r="AE4">
        <f ca="1">IF(ISERROR(IF(MEDIAN($AE$5:$AE$14) = 0, "", MEDIAN($AE$5:$AE$14))), "", (IF(MEDIAN($AE$5:$AE$14) = 0, "", MEDIAN($AE$5:$AE$14))))</f>
        <v>135.72750000000002</v>
      </c>
      <c r="AF4">
        <f ca="1">IF(ISERROR(IF(MEDIAN($AF$5:$AF$14) = 0, "", MEDIAN($AF$5:$AF$14))), "", (IF(MEDIAN($AF$5:$AF$14) = 0, "", MEDIAN($AF$5:$AF$14))))</f>
        <v>143.06650000000002</v>
      </c>
      <c r="AG4">
        <f ca="1">IF(ISERROR(IF(MEDIAN($AG$5:$AG$14) = 0, "", MEDIAN($AG$5:$AG$14))), "", (IF(MEDIAN($AG$5:$AG$14) = 0, "", MEDIAN($AG$5:$AG$14))))</f>
        <v>141.435</v>
      </c>
      <c r="AH4">
        <f ca="1">IF(ISERROR(IF(MEDIAN($AH$5:$AH$14) = 0, "", MEDIAN($AH$5:$AH$14))), "", (IF(MEDIAN($AH$5:$AH$14) = 0, "", MEDIAN($AH$5:$AH$14))))</f>
        <v>139.85149999999999</v>
      </c>
      <c r="AI4">
        <f ca="1">IF(ISERROR(IF(MEDIAN($AI$5:$AI$14) = 0, "", MEDIAN($AI$5:$AI$14))), "", (IF(MEDIAN($AI$5:$AI$14) = 0, "", MEDIAN($AI$5:$AI$14))))</f>
        <v>137.517</v>
      </c>
      <c r="AJ4">
        <f ca="1">IF(ISERROR(IF(MEDIAN($AJ$5:$AJ$14) = 0, "", MEDIAN($AJ$5:$AJ$14))), "", (IF(MEDIAN($AJ$5:$AJ$14) = 0, "", MEDIAN($AJ$5:$AJ$14))))</f>
        <v>137.69150000000002</v>
      </c>
      <c r="AK4">
        <f ca="1">IF(ISERROR(IF(MEDIAN($AK$5:$AK$14) = 0, "", MEDIAN($AK$5:$AK$14))), "", (IF(MEDIAN($AK$5:$AK$14) = 0, "", MEDIAN($AK$5:$AK$14))))</f>
        <v>139.14699999999999</v>
      </c>
      <c r="AL4">
        <f ca="1">IF(ISERROR(IF(MEDIAN($AL$5:$AL$14) = 0, "", MEDIAN($AL$5:$AL$14))), "", (IF(MEDIAN($AL$5:$AL$14) = 0, "", MEDIAN($AL$5:$AL$14))))</f>
        <v>140.69150000000002</v>
      </c>
      <c r="AM4">
        <f ca="1">IF(ISERROR(IF(MEDIAN($AM$5:$AM$14) = 0, "", MEDIAN($AM$5:$AM$14))), "", (IF(MEDIAN($AM$5:$AM$14) = 0, "", MEDIAN($AM$5:$AM$14))))</f>
        <v>148.21949999999998</v>
      </c>
      <c r="AN4">
        <f ca="1">IF(ISERROR(IF(MEDIAN($AN$5:$AN$14) = 0, "", MEDIAN($AN$5:$AN$14))), "", (IF(MEDIAN($AN$5:$AN$14) = 0, "", MEDIAN($AN$5:$AN$14))))</f>
        <v>143.15350000000001</v>
      </c>
      <c r="AO4">
        <f ca="1">IF(ISERROR(IF(MEDIAN($AO$5:$AO$14) = 0, "", MEDIAN($AO$5:$AO$14))), "", (IF(MEDIAN($AO$5:$AO$14) = 0, "", MEDIAN($AO$5:$AO$14))))</f>
        <v>141.8425</v>
      </c>
      <c r="AP4">
        <f ca="1">IF(ISERROR(IF(MEDIAN($AP$5:$AP$14) = 0, "", MEDIAN($AP$5:$AP$14))), "", (IF(MEDIAN($AP$5:$AP$14) = 0, "", MEDIAN($AP$5:$AP$14))))</f>
        <v>147.012</v>
      </c>
      <c r="AQ4">
        <f ca="1">IF(ISERROR(IF(MEDIAN($AQ$5:$AQ$14) = 0, "", MEDIAN($AQ$5:$AQ$14))), "", (IF(MEDIAN($AQ$5:$AQ$14) = 0, "", MEDIAN($AQ$5:$AQ$14))))</f>
        <v>154.553</v>
      </c>
      <c r="AR4">
        <f ca="1">IF(ISERROR(IF(MEDIAN($AR$5:$AR$14) = 0, "", MEDIAN($AR$5:$AR$14))), "", (IF(MEDIAN($AR$5:$AR$14) = 0, "", MEDIAN($AR$5:$AR$14))))</f>
        <v>154.54900000000001</v>
      </c>
      <c r="AS4">
        <f ca="1">IF(ISERROR(IF(MEDIAN($AS$5:$AS$14) = 0, "", MEDIAN($AS$5:$AS$14))), "", (IF(MEDIAN($AS$5:$AS$14) = 0, "", MEDIAN($AS$5:$AS$14))))</f>
        <v>151.27799999999999</v>
      </c>
      <c r="AT4">
        <f ca="1">IF(ISERROR(IF(MEDIAN($AT$5:$AT$14) = 0, "", MEDIAN($AT$5:$AT$14))), "", (IF(MEDIAN($AT$5:$AT$14) = 0, "", MEDIAN($AT$5:$AT$14))))</f>
        <v>158.34</v>
      </c>
      <c r="AU4">
        <f ca="1">IF(ISERROR(IF(MEDIAN($AU$5:$AU$14) = 0, "", MEDIAN($AU$5:$AU$14))), "", (IF(MEDIAN($AU$5:$AU$14) = 0, "", MEDIAN($AU$5:$AU$14))))</f>
        <v>152.00399999999999</v>
      </c>
      <c r="AV4">
        <f ca="1">IF(ISERROR(IF(MEDIAN($AV$5:$AV$14) = 0, "", MEDIAN($AV$5:$AV$14))), "", (IF(MEDIAN($AV$5:$AV$14) = 0, "", MEDIAN($AV$5:$AV$14))))</f>
        <v>148.80199999999999</v>
      </c>
      <c r="AW4">
        <f ca="1">IF(ISERROR(IF(MEDIAN($AW$5:$AW$14) = 0, "", MEDIAN($AW$5:$AW$14))), "", (IF(MEDIAN($AW$5:$AW$14) = 0, "", MEDIAN($AW$5:$AW$14))))</f>
        <v>145.69800000000001</v>
      </c>
      <c r="AX4">
        <f ca="1">IF(ISERROR(IF(MEDIAN($AX$5:$AX$14) = 0, "", MEDIAN($AX$5:$AX$14))), "", (IF(MEDIAN($AX$5:$AX$14) = 0, "", MEDIAN($AX$5:$AX$14))))</f>
        <v>157.965</v>
      </c>
      <c r="AY4">
        <f ca="1">IF(ISERROR(IF(MEDIAN($AY$5:$AY$14) = 0, "", MEDIAN($AY$5:$AY$14))), "", (IF(MEDIAN($AY$5:$AY$14) = 0, "", MEDIAN($AY$5:$AY$14))))</f>
        <v>139.56</v>
      </c>
      <c r="AZ4">
        <f ca="1">IF(ISERROR(IF(MEDIAN($AZ$5:$AZ$14) = 0, "", MEDIAN($AZ$5:$AZ$14))), "", (IF(MEDIAN($AZ$5:$AZ$14) = 0, "", MEDIAN($AZ$5:$AZ$14))))</f>
        <v>151.64699999999999</v>
      </c>
      <c r="BA4">
        <f ca="1">IF(ISERROR(IF(MEDIAN($BA$5:$BA$14) = 0, "", MEDIAN($BA$5:$BA$14))), "", (IF(MEDIAN($BA$5:$BA$14) = 0, "", MEDIAN($BA$5:$BA$14))))</f>
        <v>141.107</v>
      </c>
      <c r="BB4">
        <f ca="1">IF(ISERROR(IF(MEDIAN($BB$5:$BB$14) = 0, "", MEDIAN($BB$5:$BB$14))), "", (IF(MEDIAN($BB$5:$BB$14) = 0, "", MEDIAN($BB$5:$BB$14))))</f>
        <v>139.04900000000001</v>
      </c>
      <c r="BC4">
        <f ca="1">IF(ISERROR(IF(MEDIAN($BC$5:$BC$14) = 0, "", MEDIAN($BC$5:$BC$14))), "", (IF(MEDIAN($BC$5:$BC$14) = 0, "", MEDIAN($BC$5:$BC$14))))</f>
        <v>95.230999999999995</v>
      </c>
      <c r="BD4">
        <f ca="1">IF(ISERROR(IF(MEDIAN($BD$5:$BD$14) = 0, "", MEDIAN($BD$5:$BD$14))), "", (IF(MEDIAN($BD$5:$BD$14) = 0, "", MEDIAN($BD$5:$BD$14))))</f>
        <v>100.051</v>
      </c>
      <c r="BE4">
        <f ca="1">IF(ISERROR(IF(MEDIAN($BE$5:$BE$14) = 0, "", MEDIAN($BE$5:$BE$14))), "", (IF(MEDIAN($BE$5:$BE$14) = 0, "", MEDIAN($BE$5:$BE$14))))</f>
        <v>101.238</v>
      </c>
      <c r="BF4">
        <f ca="1">IF(ISERROR(IF(MEDIAN($BF$5:$BF$14) = 0, "", MEDIAN($BF$5:$BF$14))), "", (IF(MEDIAN($BF$5:$BF$14) = 0, "", MEDIAN($BF$5:$BF$14))))</f>
        <v>102.166</v>
      </c>
      <c r="BG4">
        <f ca="1">IF(ISERROR(IF(MEDIAN($BG$5:$BG$14) = 0, "", MEDIAN($BG$5:$BG$14))), "", (IF(MEDIAN($BG$5:$BG$14) = 0, "", MEDIAN($BG$5:$BG$14))))</f>
        <v>93.016000000000005</v>
      </c>
      <c r="BH4">
        <f ca="1">IF(ISERROR(IF(MEDIAN($BH$5:$BH$14) = 0, "", MEDIAN($BH$5:$BH$14))), "", (IF(MEDIAN($BH$5:$BH$14) = 0, "", MEDIAN($BH$5:$BH$14))))</f>
        <v>102.026</v>
      </c>
      <c r="BI4">
        <f ca="1">IF(ISERROR(IF(MEDIAN($BI$5:$BI$14) = 0, "", MEDIAN($BI$5:$BI$14))), "", (IF(MEDIAN($BI$5:$BI$14) = 0, "", MEDIAN($BI$5:$BI$14))))</f>
        <v>106.508</v>
      </c>
      <c r="BJ4">
        <f ca="1">IF(ISERROR(IF(MEDIAN($BJ$5:$BJ$14) = 0, "", MEDIAN($BJ$5:$BJ$14))), "", (IF(MEDIAN($BJ$5:$BJ$14) = 0, "", MEDIAN($BJ$5:$BJ$14))))</f>
        <v>117.92100000000001</v>
      </c>
      <c r="BK4">
        <f ca="1">IF(ISERROR(IF(MEDIAN($BK$5:$BK$14) = 0, "", MEDIAN($BK$5:$BK$14))), "", (IF(MEDIAN($BK$5:$BK$14) = 0, "", MEDIAN($BK$5:$BK$14))))</f>
        <v>123.8550034</v>
      </c>
      <c r="BL4">
        <f ca="1">IF(ISERROR(IF(MEDIAN($BL$5:$BL$14) = 0, "", MEDIAN($BL$5:$BL$14))), "", (IF(MEDIAN($BL$5:$BL$14) = 0, "", MEDIAN($BL$5:$BL$14))))</f>
        <v>106.0749969</v>
      </c>
      <c r="BM4">
        <f ca="1">IF(ISERROR(IF(MEDIAN($BM$5:$BM$14) = 0, "", MEDIAN($BM$5:$BM$14))), "", (IF(MEDIAN($BM$5:$BM$14) = 0, "", MEDIAN($BM$5:$BM$14))))</f>
        <v>84.680999760000006</v>
      </c>
      <c r="BN4" t="str">
        <f>""</f>
        <v/>
      </c>
      <c r="BO4">
        <f>157.4805</f>
        <v>157.48050000000001</v>
      </c>
      <c r="BP4">
        <f>165.2065</f>
        <v>165.20650000000001</v>
      </c>
      <c r="BQ4">
        <f>165.6515</f>
        <v>165.6515</v>
      </c>
      <c r="BR4">
        <f>158.679</f>
        <v>158.679</v>
      </c>
      <c r="BS4">
        <f>156.5485</f>
        <v>156.54849999999999</v>
      </c>
      <c r="BT4">
        <f>156.044</f>
        <v>156.04400000000001</v>
      </c>
      <c r="BU4">
        <f>150.828</f>
        <v>150.828</v>
      </c>
      <c r="BV4">
        <f>144.8315</f>
        <v>144.83150000000001</v>
      </c>
      <c r="BW4">
        <f>145.802</f>
        <v>145.80199999999999</v>
      </c>
      <c r="BX4">
        <f>147.0415</f>
        <v>147.04150000000001</v>
      </c>
      <c r="BY4">
        <f>145.9455</f>
        <v>145.94550000000001</v>
      </c>
      <c r="BZ4">
        <f>147.277</f>
        <v>147.27699999999999</v>
      </c>
      <c r="CA4">
        <f>141.958</f>
        <v>141.958</v>
      </c>
      <c r="CB4">
        <f>145.664</f>
        <v>145.66399999999999</v>
      </c>
      <c r="CC4">
        <f>147.283</f>
        <v>147.28299999999999</v>
      </c>
      <c r="CD4">
        <f>146.792</f>
        <v>146.792</v>
      </c>
      <c r="CE4">
        <f>145.1375</f>
        <v>145.13749999999999</v>
      </c>
      <c r="CF4">
        <f>143.663</f>
        <v>143.66300000000001</v>
      </c>
      <c r="CG4">
        <f>134.121</f>
        <v>134.12100000000001</v>
      </c>
      <c r="CH4">
        <f>133.2345</f>
        <v>133.2345</v>
      </c>
      <c r="CI4">
        <f>131.344</f>
        <v>131.34399999999999</v>
      </c>
      <c r="CJ4">
        <f>135.0495</f>
        <v>135.04949999999999</v>
      </c>
      <c r="CK4">
        <f>132.767</f>
        <v>132.767</v>
      </c>
      <c r="CL4">
        <f>133.7385</f>
        <v>133.73849999999999</v>
      </c>
      <c r="CM4">
        <f>135.7275</f>
        <v>135.72749999999999</v>
      </c>
      <c r="CN4">
        <f>143.0665</f>
        <v>143.06649999999999</v>
      </c>
      <c r="CO4">
        <f>141.435</f>
        <v>141.435</v>
      </c>
      <c r="CP4">
        <f>139.8515</f>
        <v>139.85149999999999</v>
      </c>
      <c r="CQ4">
        <f>137.517</f>
        <v>137.517</v>
      </c>
      <c r="CR4">
        <f>137.6915</f>
        <v>137.69149999999999</v>
      </c>
      <c r="CS4">
        <f>139.147</f>
        <v>139.14699999999999</v>
      </c>
      <c r="CT4">
        <f>140.6915</f>
        <v>140.69149999999999</v>
      </c>
      <c r="CU4">
        <f>148.2195</f>
        <v>148.21950000000001</v>
      </c>
      <c r="CV4">
        <f>143.1535</f>
        <v>143.15350000000001</v>
      </c>
      <c r="CW4">
        <f>141.8425</f>
        <v>141.8425</v>
      </c>
      <c r="CX4">
        <f>147.012</f>
        <v>147.012</v>
      </c>
      <c r="CY4">
        <f>154.553</f>
        <v>154.553</v>
      </c>
      <c r="CZ4">
        <f>154.549</f>
        <v>154.54900000000001</v>
      </c>
      <c r="DA4">
        <f>151.278</f>
        <v>151.27799999999999</v>
      </c>
      <c r="DB4">
        <f>158.34</f>
        <v>158.34</v>
      </c>
      <c r="DC4">
        <f>152.004</f>
        <v>152.00399999999999</v>
      </c>
      <c r="DD4">
        <f>148.802</f>
        <v>148.80199999999999</v>
      </c>
      <c r="DE4">
        <f>145.698</f>
        <v>145.69800000000001</v>
      </c>
      <c r="DF4">
        <f>157.965</f>
        <v>157.965</v>
      </c>
      <c r="DG4">
        <f>139.56</f>
        <v>139.56</v>
      </c>
      <c r="DH4">
        <f>151.647</f>
        <v>151.64699999999999</v>
      </c>
      <c r="DI4">
        <f>141.107</f>
        <v>141.107</v>
      </c>
      <c r="DJ4">
        <f>139.049</f>
        <v>139.04900000000001</v>
      </c>
      <c r="DK4">
        <f>95.231</f>
        <v>95.230999999999995</v>
      </c>
      <c r="DL4">
        <f>100.051</f>
        <v>100.051</v>
      </c>
      <c r="DM4">
        <f>101.238</f>
        <v>101.238</v>
      </c>
      <c r="DN4">
        <f>102.166</f>
        <v>102.166</v>
      </c>
      <c r="DO4">
        <f>93.016</f>
        <v>93.016000000000005</v>
      </c>
      <c r="DP4">
        <f>102.026</f>
        <v>102.026</v>
      </c>
      <c r="DQ4">
        <f>106.508</f>
        <v>106.508</v>
      </c>
      <c r="DR4">
        <f>117.921</f>
        <v>117.92100000000001</v>
      </c>
      <c r="DS4">
        <f>123.8550034</f>
        <v>123.8550034</v>
      </c>
      <c r="DT4">
        <f>106.0749969</f>
        <v>106.0749969</v>
      </c>
      <c r="DU4">
        <f>84.68099976</f>
        <v>84.680999760000006</v>
      </c>
    </row>
    <row r="5" spans="1:125">
      <c r="A5" t="str">
        <f>"    Boston Properties Inc"</f>
        <v xml:space="preserve">    Boston Properties Inc</v>
      </c>
      <c r="B5" t="str">
        <f>"BXP US Equity"</f>
        <v>BXP US Equity</v>
      </c>
      <c r="C5" t="str">
        <f t="shared" ref="C5:C14" si="0">"IS030"</f>
        <v>IS030</v>
      </c>
      <c r="D5" t="str">
        <f t="shared" ref="D5:D14" si="1">"IS_RENT_INC"</f>
        <v>IS_RENT_INC</v>
      </c>
      <c r="E5" t="str">
        <f t="shared" ref="E5:E14" si="2">"动态"</f>
        <v>动态</v>
      </c>
      <c r="F5" t="str">
        <f ca="1">IF(AND(ISNUMBER($F$326),$B$294=1),$F$326,HLOOKUP(INDIRECT(ADDRESS(2,COLUMN())),OFFSET($BN$2,0,0,ROW()-1,60),ROW()-1,FALSE))</f>
        <v/>
      </c>
      <c r="G5">
        <f ca="1">IF(AND(ISNUMBER($G$326),$B$294=1),$G$326,HLOOKUP(INDIRECT(ADDRESS(2,COLUMN())),OFFSET($BN$2,0,0,ROW()-1,60),ROW()-1,FALSE))</f>
        <v>633.52800000000002</v>
      </c>
      <c r="H5">
        <f ca="1">IF(AND(ISNUMBER($H$326),$B$294=1),$H$326,HLOOKUP(INDIRECT(ADDRESS(2,COLUMN())),OFFSET($BN$2,0,0,ROW()-1,60),ROW()-1,FALSE))</f>
        <v>633.83699999999999</v>
      </c>
      <c r="I5">
        <f ca="1">IF(AND(ISNUMBER($I$326),$B$294=1),$I$326,HLOOKUP(INDIRECT(ADDRESS(2,COLUMN())),OFFSET($BN$2,0,0,ROW()-1,60),ROW()-1,FALSE))</f>
        <v>636.16700000000003</v>
      </c>
      <c r="J5">
        <f ca="1">IF(AND(ISNUMBER($J$326),$B$294=1),$J$326,HLOOKUP(INDIRECT(ADDRESS(2,COLUMN())),OFFSET($BN$2,0,0,ROW()-1,60),ROW()-1,FALSE))</f>
        <v>618.33600000000001</v>
      </c>
      <c r="K5">
        <f ca="1">IF(AND(ISNUMBER($K$326),$B$294=1),$K$326,HLOOKUP(INDIRECT(ADDRESS(2,COLUMN())),OFFSET($BN$2,0,0,ROW()-1,60),ROW()-1,FALSE))</f>
        <v>615.39800000000002</v>
      </c>
      <c r="L5">
        <f ca="1">IF(AND(ISNUMBER($L$326),$B$294=1),$L$326,HLOOKUP(INDIRECT(ADDRESS(2,COLUMN())),OFFSET($BN$2,0,0,ROW()-1,60),ROW()-1,FALSE))</f>
        <v>606.51</v>
      </c>
      <c r="M5">
        <f ca="1">IF(AND(ISNUMBER($M$326),$B$294=1),$M$326,HLOOKUP(INDIRECT(ADDRESS(2,COLUMN())),OFFSET($BN$2,0,0,ROW()-1,60),ROW()-1,FALSE))</f>
        <v>605.20500000000004</v>
      </c>
      <c r="N5">
        <f ca="1">IF(AND(ISNUMBER($N$326),$B$294=1),$N$326,HLOOKUP(INDIRECT(ADDRESS(2,COLUMN())),OFFSET($BN$2,0,0,ROW()-1,60),ROW()-1,FALSE))</f>
        <v>650.53899999999999</v>
      </c>
      <c r="O5">
        <f ca="1">IF(AND(ISNUMBER($O$326),$B$294=1),$O$326,HLOOKUP(INDIRECT(ADDRESS(2,COLUMN())),OFFSET($BN$2,0,0,ROW()-1,60),ROW()-1,FALSE))</f>
        <v>606.84900000000005</v>
      </c>
      <c r="P5">
        <f ca="1">IF(AND(ISNUMBER($P$326),$B$294=1),$P$326,HLOOKUP(INDIRECT(ADDRESS(2,COLUMN())),OFFSET($BN$2,0,0,ROW()-1,60),ROW()-1,FALSE))</f>
        <v>611.35299999999995</v>
      </c>
      <c r="Q5">
        <f ca="1">IF(AND(ISNUMBER($Q$326),$B$294=1),$Q$326,HLOOKUP(INDIRECT(ADDRESS(2,COLUMN())),OFFSET($BN$2,0,0,ROW()-1,60),ROW()-1,FALSE))</f>
        <v>599.95600000000002</v>
      </c>
      <c r="R5">
        <f ca="1">IF(AND(ISNUMBER($R$326),$B$294=1),$R$326,HLOOKUP(INDIRECT(ADDRESS(2,COLUMN())),OFFSET($BN$2,0,0,ROW()-1,60),ROW()-1,FALSE))</f>
        <v>604.06299999999999</v>
      </c>
      <c r="S5">
        <f ca="1">IF(AND(ISNUMBER($S$326),$B$294=1),$S$326,HLOOKUP(INDIRECT(ADDRESS(2,COLUMN())),OFFSET($BN$2,0,0,ROW()-1,60),ROW()-1,FALSE))</f>
        <v>595.68100000000004</v>
      </c>
      <c r="T5">
        <f ca="1">IF(AND(ISNUMBER($T$326),$B$294=1),$T$326,HLOOKUP(INDIRECT(ADDRESS(2,COLUMN())),OFFSET($BN$2,0,0,ROW()-1,60),ROW()-1,FALSE))</f>
        <v>574.17399999999998</v>
      </c>
      <c r="U5">
        <f ca="1">IF(AND(ISNUMBER($U$326),$B$294=1),$U$326,HLOOKUP(INDIRECT(ADDRESS(2,COLUMN())),OFFSET($BN$2,0,0,ROW()-1,60),ROW()-1,FALSE))</f>
        <v>544.62099999999998</v>
      </c>
      <c r="V5">
        <f ca="1">IF(AND(ISNUMBER($V$326),$B$294=1),$V$326,HLOOKUP(INDIRECT(ADDRESS(2,COLUMN())),OFFSET($BN$2,0,0,ROW()-1,60),ROW()-1,FALSE))</f>
        <v>561.28499999999997</v>
      </c>
      <c r="W5">
        <f ca="1">IF(AND(ISNUMBER($W$326),$B$294=1),$W$326,HLOOKUP(INDIRECT(ADDRESS(2,COLUMN())),OFFSET($BN$2,0,0,ROW()-1,60),ROW()-1,FALSE))</f>
        <v>558.298</v>
      </c>
      <c r="X5">
        <f ca="1">IF(AND(ISNUMBER($X$326),$B$294=1),$X$326,HLOOKUP(INDIRECT(ADDRESS(2,COLUMN())),OFFSET($BN$2,0,0,ROW()-1,60),ROW()-1,FALSE))</f>
        <v>532.70500000000004</v>
      </c>
      <c r="Y5">
        <f ca="1">IF(AND(ISNUMBER($Y$326),$B$294=1),$Y$326,HLOOKUP(INDIRECT(ADDRESS(2,COLUMN())),OFFSET($BN$2,0,0,ROW()-1,60),ROW()-1,FALSE))</f>
        <v>467.51299999999998</v>
      </c>
      <c r="Z5">
        <f ca="1">IF(AND(ISNUMBER($Z$326),$B$294=1),$Z$326,HLOOKUP(INDIRECT(ADDRESS(2,COLUMN())),OFFSET($BN$2,0,0,ROW()-1,60),ROW()-1,FALSE))</f>
        <v>460.80200000000002</v>
      </c>
      <c r="AA5">
        <f ca="1">IF(AND(ISNUMBER($AA$326),$B$294=1),$AA$326,HLOOKUP(INDIRECT(ADDRESS(2,COLUMN())),OFFSET($BN$2,0,0,ROW()-1,60),ROW()-1,FALSE))</f>
        <v>458.01600000000002</v>
      </c>
      <c r="AB5">
        <f ca="1">IF(AND(ISNUMBER($AB$326),$B$294=1),$AB$326,HLOOKUP(INDIRECT(ADDRESS(2,COLUMN())),OFFSET($BN$2,0,0,ROW()-1,60),ROW()-1,FALSE))</f>
        <v>430.45100000000002</v>
      </c>
      <c r="AC5">
        <f ca="1">IF(AND(ISNUMBER($AC$326),$B$294=1),$AC$326,HLOOKUP(INDIRECT(ADDRESS(2,COLUMN())),OFFSET($BN$2,0,0,ROW()-1,60),ROW()-1,FALSE))</f>
        <v>428.38</v>
      </c>
      <c r="AD5">
        <f ca="1">IF(AND(ISNUMBER($AD$326),$B$294=1),$AD$326,HLOOKUP(INDIRECT(ADDRESS(2,COLUMN())),OFFSET($BN$2,0,0,ROW()-1,60),ROW()-1,FALSE))</f>
        <v>406.47300000000001</v>
      </c>
      <c r="AE5">
        <f ca="1">IF(AND(ISNUMBER($AE$326),$B$294=1),$AE$326,HLOOKUP(INDIRECT(ADDRESS(2,COLUMN())),OFFSET($BN$2,0,0,ROW()-1,60),ROW()-1,FALSE))</f>
        <v>408.95299999999997</v>
      </c>
      <c r="AF5">
        <f ca="1">IF(AND(ISNUMBER($AF$326),$B$294=1),$AF$326,HLOOKUP(INDIRECT(ADDRESS(2,COLUMN())),OFFSET($BN$2,0,0,ROW()-1,60),ROW()-1,FALSE))</f>
        <v>411.80099999999999</v>
      </c>
      <c r="AG5">
        <f ca="1">IF(AND(ISNUMBER($AG$326),$B$294=1),$AG$326,HLOOKUP(INDIRECT(ADDRESS(2,COLUMN())),OFFSET($BN$2,0,0,ROW()-1,60),ROW()-1,FALSE))</f>
        <v>394.77</v>
      </c>
      <c r="AH5">
        <f ca="1">IF(AND(ISNUMBER($AH$326),$B$294=1),$AH$326,HLOOKUP(INDIRECT(ADDRESS(2,COLUMN())),OFFSET($BN$2,0,0,ROW()-1,60),ROW()-1,FALSE))</f>
        <v>384.774</v>
      </c>
      <c r="AI5">
        <f ca="1">IF(AND(ISNUMBER($AI$326),$B$294=1),$AI$326,HLOOKUP(INDIRECT(ADDRESS(2,COLUMN())),OFFSET($BN$2,0,0,ROW()-1,60),ROW()-1,FALSE))</f>
        <v>358.08800000000002</v>
      </c>
      <c r="AJ5">
        <f ca="1">IF(AND(ISNUMBER($AJ$326),$B$294=1),$AJ$326,HLOOKUP(INDIRECT(ADDRESS(2,COLUMN())),OFFSET($BN$2,0,0,ROW()-1,60),ROW()-1,FALSE))</f>
        <v>356.10500000000002</v>
      </c>
      <c r="AK5">
        <f ca="1">IF(AND(ISNUMBER($AK$326),$B$294=1),$AK$326,HLOOKUP(INDIRECT(ADDRESS(2,COLUMN())),OFFSET($BN$2,0,0,ROW()-1,60),ROW()-1,FALSE))</f>
        <v>350.16300000000001</v>
      </c>
      <c r="AL5">
        <f ca="1">IF(AND(ISNUMBER($AL$326),$B$294=1),$AL$326,HLOOKUP(INDIRECT(ADDRESS(2,COLUMN())),OFFSET($BN$2,0,0,ROW()-1,60),ROW()-1,FALSE))</f>
        <v>347.92700000000002</v>
      </c>
      <c r="AM5">
        <f ca="1">IF(AND(ISNUMBER($AM$326),$B$294=1),$AM$326,HLOOKUP(INDIRECT(ADDRESS(2,COLUMN())),OFFSET($BN$2,0,0,ROW()-1,60),ROW()-1,FALSE))</f>
        <v>342.21699999999998</v>
      </c>
      <c r="AN5">
        <f ca="1">IF(AND(ISNUMBER($AN$326),$B$294=1),$AN$326,HLOOKUP(INDIRECT(ADDRESS(2,COLUMN())),OFFSET($BN$2,0,0,ROW()-1,60),ROW()-1,FALSE))</f>
        <v>343.50299999999999</v>
      </c>
      <c r="AO5">
        <f ca="1">IF(AND(ISNUMBER($AO$326),$B$294=1),$AO$326,HLOOKUP(INDIRECT(ADDRESS(2,COLUMN())),OFFSET($BN$2,0,0,ROW()-1,60),ROW()-1,FALSE))</f>
        <v>354.685</v>
      </c>
      <c r="AP5">
        <f ca="1">IF(AND(ISNUMBER($AP$326),$B$294=1),$AP$326,HLOOKUP(INDIRECT(ADDRESS(2,COLUMN())),OFFSET($BN$2,0,0,ROW()-1,60),ROW()-1,FALSE))</f>
        <v>345.92500000000001</v>
      </c>
      <c r="AQ5">
        <f ca="1">IF(AND(ISNUMBER($AQ$326),$B$294=1),$AQ$326,HLOOKUP(INDIRECT(ADDRESS(2,COLUMN())),OFFSET($BN$2,0,0,ROW()-1,60),ROW()-1,FALSE))</f>
        <v>368.23899999999998</v>
      </c>
      <c r="AR5">
        <f ca="1">IF(AND(ISNUMBER($AR$326),$B$294=1),$AR$326,HLOOKUP(INDIRECT(ADDRESS(2,COLUMN())),OFFSET($BN$2,0,0,ROW()-1,60),ROW()-1,FALSE))</f>
        <v>338.79700000000003</v>
      </c>
      <c r="AS5">
        <f ca="1">IF(AND(ISNUMBER($AS$326),$B$294=1),$AS$326,HLOOKUP(INDIRECT(ADDRESS(2,COLUMN())),OFFSET($BN$2,0,0,ROW()-1,60),ROW()-1,FALSE))</f>
        <v>348.23700000000002</v>
      </c>
      <c r="AT5">
        <f ca="1">IF(AND(ISNUMBER($AT$326),$B$294=1),$AT$326,HLOOKUP(INDIRECT(ADDRESS(2,COLUMN())),OFFSET($BN$2,0,0,ROW()-1,60),ROW()-1,FALSE))</f>
        <v>346.779</v>
      </c>
      <c r="AU5">
        <f ca="1">IF(AND(ISNUMBER($AU$326),$B$294=1),$AU$326,HLOOKUP(INDIRECT(ADDRESS(2,COLUMN())),OFFSET($BN$2,0,0,ROW()-1,60),ROW()-1,FALSE))</f>
        <v>340.85899999999998</v>
      </c>
      <c r="AV5">
        <f ca="1">IF(AND(ISNUMBER($AV$326),$B$294=1),$AV$326,HLOOKUP(INDIRECT(ADDRESS(2,COLUMN())),OFFSET($BN$2,0,0,ROW()-1,60),ROW()-1,FALSE))</f>
        <v>329.53899999999999</v>
      </c>
      <c r="AW5">
        <f ca="1">IF(AND(ISNUMBER($AW$326),$B$294=1),$AW$326,HLOOKUP(INDIRECT(ADDRESS(2,COLUMN())),OFFSET($BN$2,0,0,ROW()-1,60),ROW()-1,FALSE))</f>
        <v>331.54300000000001</v>
      </c>
      <c r="AX5">
        <f ca="1">IF(AND(ISNUMBER($AX$326),$B$294=1),$AX$326,HLOOKUP(INDIRECT(ADDRESS(2,COLUMN())),OFFSET($BN$2,0,0,ROW()-1,60),ROW()-1,FALSE))</f>
        <v>332.279</v>
      </c>
      <c r="AY5">
        <f ca="1">IF(AND(ISNUMBER($AY$326),$B$294=1),$AY$326,HLOOKUP(INDIRECT(ADDRESS(2,COLUMN())),OFFSET($BN$2,0,0,ROW()-1,60),ROW()-1,FALSE))</f>
        <v>324.03899999999999</v>
      </c>
      <c r="AZ5">
        <f ca="1">IF(AND(ISNUMBER($AZ$326),$B$294=1),$AZ$326,HLOOKUP(INDIRECT(ADDRESS(2,COLUMN())),OFFSET($BN$2,0,0,ROW()-1,60),ROW()-1,FALSE))</f>
        <v>332.00900000000001</v>
      </c>
      <c r="BA5">
        <f ca="1">IF(AND(ISNUMBER($BA$326),$B$294=1),$BA$326,HLOOKUP(INDIRECT(ADDRESS(2,COLUMN())),OFFSET($BN$2,0,0,ROW()-1,60),ROW()-1,FALSE))</f>
        <v>335.76600000000002</v>
      </c>
      <c r="BB5">
        <f ca="1">IF(AND(ISNUMBER($BB$326),$B$294=1),$BB$326,HLOOKUP(INDIRECT(ADDRESS(2,COLUMN())),OFFSET($BN$2,0,0,ROW()-1,60),ROW()-1,FALSE))</f>
        <v>336.30200000000002</v>
      </c>
      <c r="BC5">
        <f ca="1">IF(AND(ISNUMBER($BC$326),$B$294=1),$BC$326,HLOOKUP(INDIRECT(ADDRESS(2,COLUMN())),OFFSET($BN$2,0,0,ROW()-1,60),ROW()-1,FALSE))</f>
        <v>337.73200000000003</v>
      </c>
      <c r="BD5">
        <f ca="1">IF(AND(ISNUMBER($BD$326),$B$294=1),$BD$326,HLOOKUP(INDIRECT(ADDRESS(2,COLUMN())),OFFSET($BN$2,0,0,ROW()-1,60),ROW()-1,FALSE))</f>
        <v>331.976</v>
      </c>
      <c r="BE5">
        <f ca="1">IF(AND(ISNUMBER($BE$326),$B$294=1),$BE$326,HLOOKUP(INDIRECT(ADDRESS(2,COLUMN())),OFFSET($BN$2,0,0,ROW()-1,60),ROW()-1,FALSE))</f>
        <v>333.31599999999997</v>
      </c>
      <c r="BF5">
        <f ca="1">IF(AND(ISNUMBER($BF$326),$B$294=1),$BF$326,HLOOKUP(INDIRECT(ADDRESS(2,COLUMN())),OFFSET($BN$2,0,0,ROW()-1,60),ROW()-1,FALSE))</f>
        <v>336.01</v>
      </c>
      <c r="BG5">
        <f ca="1">IF(AND(ISNUMBER($BG$326),$B$294=1),$BG$326,HLOOKUP(INDIRECT(ADDRESS(2,COLUMN())),OFFSET($BN$2,0,0,ROW()-1,60),ROW()-1,FALSE))</f>
        <v>332.11399999999998</v>
      </c>
      <c r="BH5">
        <f ca="1">IF(AND(ISNUMBER($BH$326),$B$294=1),$BH$326,HLOOKUP(INDIRECT(ADDRESS(2,COLUMN())),OFFSET($BN$2,0,0,ROW()-1,60),ROW()-1,FALSE))</f>
        <v>332.62900000000002</v>
      </c>
      <c r="BI5">
        <f ca="1">IF(AND(ISNUMBER($BI$326),$B$294=1),$BI$326,HLOOKUP(INDIRECT(ADDRESS(2,COLUMN())),OFFSET($BN$2,0,0,ROW()-1,60),ROW()-1,FALSE))</f>
        <v>318.91199999999998</v>
      </c>
      <c r="BJ5">
        <f ca="1">IF(AND(ISNUMBER($BJ$326),$B$294=1),$BJ$326,HLOOKUP(INDIRECT(ADDRESS(2,COLUMN())),OFFSET($BN$2,0,0,ROW()-1,60),ROW()-1,FALSE))</f>
        <v>309.62200000000001</v>
      </c>
      <c r="BK5">
        <f ca="1">IF(AND(ISNUMBER($BK$326),$B$294=1),$BK$326,HLOOKUP(INDIRECT(ADDRESS(2,COLUMN())),OFFSET($BN$2,0,0,ROW()-1,60),ROW()-1,FALSE))</f>
        <v>306.40701300000001</v>
      </c>
      <c r="BL5">
        <f ca="1">IF(AND(ISNUMBER($BL$326),$B$294=1),$BL$326,HLOOKUP(INDIRECT(ADDRESS(2,COLUMN())),OFFSET($BN$2,0,0,ROW()-1,60),ROW()-1,FALSE))</f>
        <v>305.84298699999999</v>
      </c>
      <c r="BM5">
        <f ca="1">IF(AND(ISNUMBER($BM$326),$B$294=1),$BM$326,HLOOKUP(INDIRECT(ADDRESS(2,COLUMN())),OFFSET($BN$2,0,0,ROW()-1,60),ROW()-1,FALSE))</f>
        <v>297.79000000000002</v>
      </c>
      <c r="BN5" t="str">
        <f>""</f>
        <v/>
      </c>
      <c r="BO5">
        <f>633.528</f>
        <v>633.52800000000002</v>
      </c>
      <c r="BP5">
        <f>633.837</f>
        <v>633.83699999999999</v>
      </c>
      <c r="BQ5">
        <f>636.167</f>
        <v>636.16700000000003</v>
      </c>
      <c r="BR5">
        <f>618.336</f>
        <v>618.33600000000001</v>
      </c>
      <c r="BS5">
        <f>615.398</f>
        <v>615.39800000000002</v>
      </c>
      <c r="BT5">
        <f>606.51</f>
        <v>606.51</v>
      </c>
      <c r="BU5">
        <f>605.205</f>
        <v>605.20500000000004</v>
      </c>
      <c r="BV5">
        <f>650.539</f>
        <v>650.53899999999999</v>
      </c>
      <c r="BW5">
        <f>606.849</f>
        <v>606.84900000000005</v>
      </c>
      <c r="BX5">
        <f>611.353</f>
        <v>611.35299999999995</v>
      </c>
      <c r="BY5">
        <f>599.956</f>
        <v>599.95600000000002</v>
      </c>
      <c r="BZ5">
        <f>604.063</f>
        <v>604.06299999999999</v>
      </c>
      <c r="CA5">
        <f>595.681</f>
        <v>595.68100000000004</v>
      </c>
      <c r="CB5">
        <f>574.174</f>
        <v>574.17399999999998</v>
      </c>
      <c r="CC5">
        <f>544.621</f>
        <v>544.62099999999998</v>
      </c>
      <c r="CD5">
        <f>561.285</f>
        <v>561.28499999999997</v>
      </c>
      <c r="CE5">
        <f>558.298</f>
        <v>558.298</v>
      </c>
      <c r="CF5">
        <f>532.705</f>
        <v>532.70500000000004</v>
      </c>
      <c r="CG5">
        <f>467.513</f>
        <v>467.51299999999998</v>
      </c>
      <c r="CH5">
        <f>460.802</f>
        <v>460.80200000000002</v>
      </c>
      <c r="CI5">
        <f>458.016</f>
        <v>458.01600000000002</v>
      </c>
      <c r="CJ5">
        <f>430.451</f>
        <v>430.45100000000002</v>
      </c>
      <c r="CK5">
        <f>428.38</f>
        <v>428.38</v>
      </c>
      <c r="CL5">
        <f>406.473</f>
        <v>406.47300000000001</v>
      </c>
      <c r="CM5">
        <f>408.953</f>
        <v>408.95299999999997</v>
      </c>
      <c r="CN5">
        <f>411.801</f>
        <v>411.80099999999999</v>
      </c>
      <c r="CO5">
        <f>394.77</f>
        <v>394.77</v>
      </c>
      <c r="CP5">
        <f>384.774</f>
        <v>384.774</v>
      </c>
      <c r="CQ5">
        <f>358.088</f>
        <v>358.08800000000002</v>
      </c>
      <c r="CR5">
        <f>356.105</f>
        <v>356.10500000000002</v>
      </c>
      <c r="CS5">
        <f>350.163</f>
        <v>350.16300000000001</v>
      </c>
      <c r="CT5">
        <f>347.927</f>
        <v>347.92700000000002</v>
      </c>
      <c r="CU5">
        <f>342.217</f>
        <v>342.21699999999998</v>
      </c>
      <c r="CV5">
        <f>343.503</f>
        <v>343.50299999999999</v>
      </c>
      <c r="CW5">
        <f>354.685</f>
        <v>354.685</v>
      </c>
      <c r="CX5">
        <f>345.925</f>
        <v>345.92500000000001</v>
      </c>
      <c r="CY5">
        <f>368.239</f>
        <v>368.23899999999998</v>
      </c>
      <c r="CZ5">
        <f>338.797</f>
        <v>338.79700000000003</v>
      </c>
      <c r="DA5">
        <f>348.237</f>
        <v>348.23700000000002</v>
      </c>
      <c r="DB5">
        <f>346.779</f>
        <v>346.779</v>
      </c>
      <c r="DC5">
        <f>340.859</f>
        <v>340.85899999999998</v>
      </c>
      <c r="DD5">
        <f>329.539</f>
        <v>329.53899999999999</v>
      </c>
      <c r="DE5">
        <f>331.543</f>
        <v>331.54300000000001</v>
      </c>
      <c r="DF5">
        <f>332.279</f>
        <v>332.279</v>
      </c>
      <c r="DG5">
        <f>324.039</f>
        <v>324.03899999999999</v>
      </c>
      <c r="DH5">
        <f>332.009</f>
        <v>332.00900000000001</v>
      </c>
      <c r="DI5">
        <f>335.766</f>
        <v>335.76600000000002</v>
      </c>
      <c r="DJ5">
        <f>336.302</f>
        <v>336.30200000000002</v>
      </c>
      <c r="DK5">
        <f>337.732</f>
        <v>337.73200000000003</v>
      </c>
      <c r="DL5">
        <f>331.976</f>
        <v>331.976</v>
      </c>
      <c r="DM5">
        <f>333.316</f>
        <v>333.31599999999997</v>
      </c>
      <c r="DN5">
        <f>336.01</f>
        <v>336.01</v>
      </c>
      <c r="DO5">
        <f>332.114</f>
        <v>332.11399999999998</v>
      </c>
      <c r="DP5">
        <f>332.629</f>
        <v>332.62900000000002</v>
      </c>
      <c r="DQ5">
        <f>318.912</f>
        <v>318.91199999999998</v>
      </c>
      <c r="DR5">
        <f>309.622</f>
        <v>309.62200000000001</v>
      </c>
      <c r="DS5">
        <f>306.407013</f>
        <v>306.40701300000001</v>
      </c>
      <c r="DT5">
        <f>305.842987</f>
        <v>305.84298699999999</v>
      </c>
      <c r="DU5">
        <f>297.79</f>
        <v>297.79000000000002</v>
      </c>
    </row>
    <row r="6" spans="1:125">
      <c r="A6" t="str">
        <f>"    Brandywine Realty Trust"</f>
        <v xml:space="preserve">    Brandywine Realty Trust</v>
      </c>
      <c r="B6" t="str">
        <f>"BDN US Equity"</f>
        <v>BDN US Equity</v>
      </c>
      <c r="C6" t="str">
        <f t="shared" si="0"/>
        <v>IS030</v>
      </c>
      <c r="D6" t="str">
        <f t="shared" si="1"/>
        <v>IS_RENT_INC</v>
      </c>
      <c r="E6" t="str">
        <f t="shared" si="2"/>
        <v>动态</v>
      </c>
      <c r="F6" t="str">
        <f ca="1">IF(AND(ISNUMBER($F$327),$B$294=1),$F$327,HLOOKUP(INDIRECT(ADDRESS(2,COLUMN())),OFFSET($BN$2,0,0,ROW()-1,60),ROW()-1,FALSE))</f>
        <v/>
      </c>
      <c r="G6">
        <f ca="1">IF(AND(ISNUMBER($G$327),$B$294=1),$G$327,HLOOKUP(INDIRECT(ADDRESS(2,COLUMN())),OFFSET($BN$2,0,0,ROW()-1,60),ROW()-1,FALSE))</f>
        <v>123.69499999999999</v>
      </c>
      <c r="H6">
        <f ca="1">IF(AND(ISNUMBER($H$327),$B$294=1),$H$327,HLOOKUP(INDIRECT(ADDRESS(2,COLUMN())),OFFSET($BN$2,0,0,ROW()-1,60),ROW()-1,FALSE))</f>
        <v>119.79600000000001</v>
      </c>
      <c r="I6">
        <f ca="1">IF(AND(ISNUMBER($I$327),$B$294=1),$I$327,HLOOKUP(INDIRECT(ADDRESS(2,COLUMN())),OFFSET($BN$2,0,0,ROW()-1,60),ROW()-1,FALSE))</f>
        <v>119.595</v>
      </c>
      <c r="J6">
        <f ca="1">IF(AND(ISNUMBER($J$327),$B$294=1),$J$327,HLOOKUP(INDIRECT(ADDRESS(2,COLUMN())),OFFSET($BN$2,0,0,ROW()-1,60),ROW()-1,FALSE))</f>
        <v>121.867</v>
      </c>
      <c r="K6">
        <f ca="1">IF(AND(ISNUMBER($K$327),$B$294=1),$K$327,HLOOKUP(INDIRECT(ADDRESS(2,COLUMN())),OFFSET($BN$2,0,0,ROW()-1,60),ROW()-1,FALSE))</f>
        <v>120.495</v>
      </c>
      <c r="L6">
        <f ca="1">IF(AND(ISNUMBER($L$327),$B$294=1),$L$327,HLOOKUP(INDIRECT(ADDRESS(2,COLUMN())),OFFSET($BN$2,0,0,ROW()-1,60),ROW()-1,FALSE))</f>
        <v>121.861</v>
      </c>
      <c r="M6">
        <f ca="1">IF(AND(ISNUMBER($M$327),$B$294=1),$M$327,HLOOKUP(INDIRECT(ADDRESS(2,COLUMN())),OFFSET($BN$2,0,0,ROW()-1,60),ROW()-1,FALSE))</f>
        <v>119.56100000000001</v>
      </c>
      <c r="N6">
        <f ca="1">IF(AND(ISNUMBER($N$327),$B$294=1),$N$327,HLOOKUP(INDIRECT(ADDRESS(2,COLUMN())),OFFSET($BN$2,0,0,ROW()-1,60),ROW()-1,FALSE))</f>
        <v>130.21700000000001</v>
      </c>
      <c r="O6">
        <f ca="1">IF(AND(ISNUMBER($O$327),$B$294=1),$O$327,HLOOKUP(INDIRECT(ADDRESS(2,COLUMN())),OFFSET($BN$2,0,0,ROW()-1,60),ROW()-1,FALSE))</f>
        <v>144.64699999999999</v>
      </c>
      <c r="P6">
        <f ca="1">IF(AND(ISNUMBER($P$327),$B$294=1),$P$327,HLOOKUP(INDIRECT(ADDRESS(2,COLUMN())),OFFSET($BN$2,0,0,ROW()-1,60),ROW()-1,FALSE))</f>
        <v>145.816</v>
      </c>
      <c r="Q6">
        <f ca="1">IF(AND(ISNUMBER($Q$327),$B$294=1),$Q$327,HLOOKUP(INDIRECT(ADDRESS(2,COLUMN())),OFFSET($BN$2,0,0,ROW()-1,60),ROW()-1,FALSE))</f>
        <v>138.92599999999999</v>
      </c>
      <c r="R6">
        <f ca="1">IF(AND(ISNUMBER($R$327),$B$294=1),$R$327,HLOOKUP(INDIRECT(ADDRESS(2,COLUMN())),OFFSET($BN$2,0,0,ROW()-1,60),ROW()-1,FALSE))</f>
        <v>143.06399999999999</v>
      </c>
      <c r="S6">
        <f ca="1">IF(AND(ISNUMBER($S$327),$B$294=1),$S$327,HLOOKUP(INDIRECT(ADDRESS(2,COLUMN())),OFFSET($BN$2,0,0,ROW()-1,60),ROW()-1,FALSE))</f>
        <v>140.923</v>
      </c>
      <c r="T6">
        <f ca="1">IF(AND(ISNUMBER($T$327),$B$294=1),$T$327,HLOOKUP(INDIRECT(ADDRESS(2,COLUMN())),OFFSET($BN$2,0,0,ROW()-1,60),ROW()-1,FALSE))</f>
        <v>140.38300000000001</v>
      </c>
      <c r="U6">
        <f ca="1">IF(AND(ISNUMBER($U$327),$B$294=1),$U$327,HLOOKUP(INDIRECT(ADDRESS(2,COLUMN())),OFFSET($BN$2,0,0,ROW()-1,60),ROW()-1,FALSE))</f>
        <v>142.124</v>
      </c>
      <c r="V6">
        <f ca="1">IF(AND(ISNUMBER($V$327),$B$294=1),$V$327,HLOOKUP(INDIRECT(ADDRESS(2,COLUMN())),OFFSET($BN$2,0,0,ROW()-1,60),ROW()-1,FALSE))</f>
        <v>145.131</v>
      </c>
      <c r="W6">
        <f ca="1">IF(AND(ISNUMBER($W$327),$B$294=1),$W$327,HLOOKUP(INDIRECT(ADDRESS(2,COLUMN())),OFFSET($BN$2,0,0,ROW()-1,60),ROW()-1,FALSE))</f>
        <v>132.82499999999999</v>
      </c>
      <c r="X6">
        <f ca="1">IF(AND(ISNUMBER($X$327),$B$294=1),$X$327,HLOOKUP(INDIRECT(ADDRESS(2,COLUMN())),OFFSET($BN$2,0,0,ROW()-1,60),ROW()-1,FALSE))</f>
        <v>137.07599999999999</v>
      </c>
      <c r="Y6">
        <f ca="1">IF(AND(ISNUMBER($Y$327),$B$294=1),$Y$327,HLOOKUP(INDIRECT(ADDRESS(2,COLUMN())),OFFSET($BN$2,0,0,ROW()-1,60),ROW()-1,FALSE))</f>
        <v>135.624</v>
      </c>
      <c r="Z6">
        <f ca="1">IF(AND(ISNUMBER($Z$327),$B$294=1),$Z$327,HLOOKUP(INDIRECT(ADDRESS(2,COLUMN())),OFFSET($BN$2,0,0,ROW()-1,60),ROW()-1,FALSE))</f>
        <v>134.94900000000001</v>
      </c>
      <c r="AA6">
        <f ca="1">IF(AND(ISNUMBER($AA$327),$B$294=1),$AA$327,HLOOKUP(INDIRECT(ADDRESS(2,COLUMN())),OFFSET($BN$2,0,0,ROW()-1,60),ROW()-1,FALSE))</f>
        <v>130.90799999999999</v>
      </c>
      <c r="AB6">
        <f ca="1">IF(AND(ISNUMBER($AB$327),$B$294=1),$AB$327,HLOOKUP(INDIRECT(ADDRESS(2,COLUMN())),OFFSET($BN$2,0,0,ROW()-1,60),ROW()-1,FALSE))</f>
        <v>128.952</v>
      </c>
      <c r="AC6">
        <f ca="1">IF(AND(ISNUMBER($AC$327),$B$294=1),$AC$327,HLOOKUP(INDIRECT(ADDRESS(2,COLUMN())),OFFSET($BN$2,0,0,ROW()-1,60),ROW()-1,FALSE))</f>
        <v>127.94199999999999</v>
      </c>
      <c r="AD6">
        <f ca="1">IF(AND(ISNUMBER($AD$327),$B$294=1),$AD$327,HLOOKUP(INDIRECT(ADDRESS(2,COLUMN())),OFFSET($BN$2,0,0,ROW()-1,60),ROW()-1,FALSE))</f>
        <v>128.39500000000001</v>
      </c>
      <c r="AE6">
        <f ca="1">IF(AND(ISNUMBER($AE$327),$B$294=1),$AE$327,HLOOKUP(INDIRECT(ADDRESS(2,COLUMN())),OFFSET($BN$2,0,0,ROW()-1,60),ROW()-1,FALSE))</f>
        <v>136.113</v>
      </c>
      <c r="AF6">
        <f ca="1">IF(AND(ISNUMBER($AF$327),$B$294=1),$AF$327,HLOOKUP(INDIRECT(ADDRESS(2,COLUMN())),OFFSET($BN$2,0,0,ROW()-1,60),ROW()-1,FALSE))</f>
        <v>135.261</v>
      </c>
      <c r="AG6">
        <f ca="1">IF(AND(ISNUMBER($AG$327),$B$294=1),$AG$327,HLOOKUP(INDIRECT(ADDRESS(2,COLUMN())),OFFSET($BN$2,0,0,ROW()-1,60),ROW()-1,FALSE))</f>
        <v>133.232</v>
      </c>
      <c r="AH6">
        <f ca="1">IF(AND(ISNUMBER($AH$327),$B$294=1),$AH$327,HLOOKUP(INDIRECT(ADDRESS(2,COLUMN())),OFFSET($BN$2,0,0,ROW()-1,60),ROW()-1,FALSE))</f>
        <v>139.89400000000001</v>
      </c>
      <c r="AI6">
        <f ca="1">IF(AND(ISNUMBER($AI$327),$B$294=1),$AI$327,HLOOKUP(INDIRECT(ADDRESS(2,COLUMN())),OFFSET($BN$2,0,0,ROW()-1,60),ROW()-1,FALSE))</f>
        <v>140.749</v>
      </c>
      <c r="AJ6">
        <f ca="1">IF(AND(ISNUMBER($AJ$327),$B$294=1),$AJ$327,HLOOKUP(INDIRECT(ADDRESS(2,COLUMN())),OFFSET($BN$2,0,0,ROW()-1,60),ROW()-1,FALSE))</f>
        <v>136.304</v>
      </c>
      <c r="AK6">
        <f ca="1">IF(AND(ISNUMBER($AK$327),$B$294=1),$AK$327,HLOOKUP(INDIRECT(ADDRESS(2,COLUMN())),OFFSET($BN$2,0,0,ROW()-1,60),ROW()-1,FALSE))</f>
        <v>130.24</v>
      </c>
      <c r="AL6">
        <f ca="1">IF(AND(ISNUMBER($AL$327),$B$294=1),$AL$327,HLOOKUP(INDIRECT(ADDRESS(2,COLUMN())),OFFSET($BN$2,0,0,ROW()-1,60),ROW()-1,FALSE))</f>
        <v>135.292</v>
      </c>
      <c r="AM6">
        <f ca="1">IF(AND(ISNUMBER($AM$327),$B$294=1),$AM$327,HLOOKUP(INDIRECT(ADDRESS(2,COLUMN())),OFFSET($BN$2,0,0,ROW()-1,60),ROW()-1,FALSE))</f>
        <v>141.65799999999999</v>
      </c>
      <c r="AN6">
        <f ca="1">IF(AND(ISNUMBER($AN$327),$B$294=1),$AN$327,HLOOKUP(INDIRECT(ADDRESS(2,COLUMN())),OFFSET($BN$2,0,0,ROW()-1,60),ROW()-1,FALSE))</f>
        <v>138.10499999999999</v>
      </c>
      <c r="AO6">
        <f ca="1">IF(AND(ISNUMBER($AO$327),$B$294=1),$AO$327,HLOOKUP(INDIRECT(ADDRESS(2,COLUMN())),OFFSET($BN$2,0,0,ROW()-1,60),ROW()-1,FALSE))</f>
        <v>136.44399999999999</v>
      </c>
      <c r="AP6">
        <f ca="1">IF(AND(ISNUMBER($AP$327),$B$294=1),$AP$327,HLOOKUP(INDIRECT(ADDRESS(2,COLUMN())),OFFSET($BN$2,0,0,ROW()-1,60),ROW()-1,FALSE))</f>
        <v>140.97300000000001</v>
      </c>
      <c r="AQ6">
        <f ca="1">IF(AND(ISNUMBER($AQ$327),$B$294=1),$AQ$327,HLOOKUP(INDIRECT(ADDRESS(2,COLUMN())),OFFSET($BN$2,0,0,ROW()-1,60),ROW()-1,FALSE))</f>
        <v>143.04</v>
      </c>
      <c r="AR6">
        <f ca="1">IF(AND(ISNUMBER($AR$327),$B$294=1),$AR$327,HLOOKUP(INDIRECT(ADDRESS(2,COLUMN())),OFFSET($BN$2,0,0,ROW()-1,60),ROW()-1,FALSE))</f>
        <v>138.83799999999999</v>
      </c>
      <c r="AS6">
        <f ca="1">IF(AND(ISNUMBER($AS$327),$B$294=1),$AS$327,HLOOKUP(INDIRECT(ADDRESS(2,COLUMN())),OFFSET($BN$2,0,0,ROW()-1,60),ROW()-1,FALSE))</f>
        <v>143.89699999999999</v>
      </c>
      <c r="AT6">
        <f ca="1">IF(AND(ISNUMBER($AT$327),$B$294=1),$AT$327,HLOOKUP(INDIRECT(ADDRESS(2,COLUMN())),OFFSET($BN$2,0,0,ROW()-1,60),ROW()-1,FALSE))</f>
        <v>142.55000000000001</v>
      </c>
      <c r="AU6">
        <f ca="1">IF(AND(ISNUMBER($AU$327),$B$294=1),$AU$327,HLOOKUP(INDIRECT(ADDRESS(2,COLUMN())),OFFSET($BN$2,0,0,ROW()-1,60),ROW()-1,FALSE))</f>
        <v>152.00399999999999</v>
      </c>
      <c r="AV6">
        <f ca="1">IF(AND(ISNUMBER($AV$327),$B$294=1),$AV$327,HLOOKUP(INDIRECT(ADDRESS(2,COLUMN())),OFFSET($BN$2,0,0,ROW()-1,60),ROW()-1,FALSE))</f>
        <v>148.80199999999999</v>
      </c>
      <c r="AW6">
        <f ca="1">IF(AND(ISNUMBER($AW$327),$B$294=1),$AW$327,HLOOKUP(INDIRECT(ADDRESS(2,COLUMN())),OFFSET($BN$2,0,0,ROW()-1,60),ROW()-1,FALSE))</f>
        <v>145.07900000000001</v>
      </c>
      <c r="AX6">
        <f ca="1">IF(AND(ISNUMBER($AX$327),$B$294=1),$AX$327,HLOOKUP(INDIRECT(ADDRESS(2,COLUMN())),OFFSET($BN$2,0,0,ROW()-1,60),ROW()-1,FALSE))</f>
        <v>157.965</v>
      </c>
      <c r="AY6">
        <f ca="1">IF(AND(ISNUMBER($AY$327),$B$294=1),$AY$327,HLOOKUP(INDIRECT(ADDRESS(2,COLUMN())),OFFSET($BN$2,0,0,ROW()-1,60),ROW()-1,FALSE))</f>
        <v>169.649</v>
      </c>
      <c r="AZ6">
        <f ca="1">IF(AND(ISNUMBER($AZ$327),$B$294=1),$AZ$327,HLOOKUP(INDIRECT(ADDRESS(2,COLUMN())),OFFSET($BN$2,0,0,ROW()-1,60),ROW()-1,FALSE))</f>
        <v>154.297</v>
      </c>
      <c r="BA6">
        <f ca="1">IF(AND(ISNUMBER($BA$327),$B$294=1),$BA$327,HLOOKUP(INDIRECT(ADDRESS(2,COLUMN())),OFFSET($BN$2,0,0,ROW()-1,60),ROW()-1,FALSE))</f>
        <v>145.96299999999999</v>
      </c>
      <c r="BB6">
        <f ca="1">IF(AND(ISNUMBER($BB$327),$B$294=1),$BB$327,HLOOKUP(INDIRECT(ADDRESS(2,COLUMN())),OFFSET($BN$2,0,0,ROW()-1,60),ROW()-1,FALSE))</f>
        <v>139.703</v>
      </c>
      <c r="BC6">
        <f ca="1">IF(AND(ISNUMBER($BC$327),$B$294=1),$BC$327,HLOOKUP(INDIRECT(ADDRESS(2,COLUMN())),OFFSET($BN$2,0,0,ROW()-1,60),ROW()-1,FALSE))</f>
        <v>95.230999999999995</v>
      </c>
      <c r="BD6">
        <f ca="1">IF(AND(ISNUMBER($BD$327),$B$294=1),$BD$327,HLOOKUP(INDIRECT(ADDRESS(2,COLUMN())),OFFSET($BN$2,0,0,ROW()-1,60),ROW()-1,FALSE))</f>
        <v>91.998000000000005</v>
      </c>
      <c r="BE6">
        <f ca="1">IF(AND(ISNUMBER($BE$327),$B$294=1),$BE$327,HLOOKUP(INDIRECT(ADDRESS(2,COLUMN())),OFFSET($BN$2,0,0,ROW()-1,60),ROW()-1,FALSE))</f>
        <v>92.692999999999998</v>
      </c>
      <c r="BF6">
        <f ca="1">IF(AND(ISNUMBER($BF$327),$B$294=1),$BF$327,HLOOKUP(INDIRECT(ADDRESS(2,COLUMN())),OFFSET($BN$2,0,0,ROW()-1,60),ROW()-1,FALSE))</f>
        <v>93.31</v>
      </c>
      <c r="BG6">
        <f ca="1">IF(AND(ISNUMBER($BG$327),$B$294=1),$BG$327,HLOOKUP(INDIRECT(ADDRESS(2,COLUMN())),OFFSET($BN$2,0,0,ROW()-1,60),ROW()-1,FALSE))</f>
        <v>93.016000000000005</v>
      </c>
      <c r="BH6">
        <f ca="1">IF(AND(ISNUMBER($BH$327),$B$294=1),$BH$327,HLOOKUP(INDIRECT(ADDRESS(2,COLUMN())),OFFSET($BN$2,0,0,ROW()-1,60),ROW()-1,FALSE))</f>
        <v>76.14</v>
      </c>
      <c r="BI6">
        <f ca="1">IF(AND(ISNUMBER($BI$327),$B$294=1),$BI$327,HLOOKUP(INDIRECT(ADDRESS(2,COLUMN())),OFFSET($BN$2,0,0,ROW()-1,60),ROW()-1,FALSE))</f>
        <v>72.373999999999995</v>
      </c>
      <c r="BJ6">
        <f ca="1">IF(AND(ISNUMBER($BJ$327),$B$294=1),$BJ$327,HLOOKUP(INDIRECT(ADDRESS(2,COLUMN())),OFFSET($BN$2,0,0,ROW()-1,60),ROW()-1,FALSE))</f>
        <v>71.822999999999993</v>
      </c>
      <c r="BK6" t="str">
        <f ca="1">IF(AND(ISNUMBER($BK$327),$B$294=1),$BK$327,HLOOKUP(INDIRECT(ADDRESS(2,COLUMN())),OFFSET($BN$2,0,0,ROW()-1,60),ROW()-1,FALSE))</f>
        <v/>
      </c>
      <c r="BL6">
        <f ca="1">IF(AND(ISNUMBER($BL$327),$B$294=1),$BL$327,HLOOKUP(INDIRECT(ADDRESS(2,COLUMN())),OFFSET($BN$2,0,0,ROW()-1,60),ROW()-1,FALSE))</f>
        <v>73.399000000000001</v>
      </c>
      <c r="BM6">
        <f ca="1">IF(AND(ISNUMBER($BM$327),$B$294=1),$BM$327,HLOOKUP(INDIRECT(ADDRESS(2,COLUMN())),OFFSET($BN$2,0,0,ROW()-1,60),ROW()-1,FALSE))</f>
        <v>73.108000000000004</v>
      </c>
      <c r="BN6" t="str">
        <f>""</f>
        <v/>
      </c>
      <c r="BO6">
        <f>123.695</f>
        <v>123.69499999999999</v>
      </c>
      <c r="BP6">
        <f>119.796</f>
        <v>119.79600000000001</v>
      </c>
      <c r="BQ6">
        <f>119.595</f>
        <v>119.595</v>
      </c>
      <c r="BR6">
        <f>121.867</f>
        <v>121.867</v>
      </c>
      <c r="BS6">
        <f>120.495</f>
        <v>120.495</v>
      </c>
      <c r="BT6">
        <f>121.861</f>
        <v>121.861</v>
      </c>
      <c r="BU6">
        <f>119.561</f>
        <v>119.56100000000001</v>
      </c>
      <c r="BV6">
        <f>130.217</f>
        <v>130.21700000000001</v>
      </c>
      <c r="BW6">
        <f>144.647</f>
        <v>144.64699999999999</v>
      </c>
      <c r="BX6">
        <f>145.816</f>
        <v>145.816</v>
      </c>
      <c r="BY6">
        <f>138.926</f>
        <v>138.92599999999999</v>
      </c>
      <c r="BZ6">
        <f>143.064</f>
        <v>143.06399999999999</v>
      </c>
      <c r="CA6">
        <f>140.923</f>
        <v>140.923</v>
      </c>
      <c r="CB6">
        <f>140.383</f>
        <v>140.38300000000001</v>
      </c>
      <c r="CC6">
        <f>142.124</f>
        <v>142.124</v>
      </c>
      <c r="CD6">
        <f>145.131</f>
        <v>145.131</v>
      </c>
      <c r="CE6">
        <f>132.825</f>
        <v>132.82499999999999</v>
      </c>
      <c r="CF6">
        <f>137.076</f>
        <v>137.07599999999999</v>
      </c>
      <c r="CG6">
        <f>135.624</f>
        <v>135.624</v>
      </c>
      <c r="CH6">
        <f>134.949</f>
        <v>134.94900000000001</v>
      </c>
      <c r="CI6">
        <f>130.908</f>
        <v>130.90799999999999</v>
      </c>
      <c r="CJ6">
        <f>128.952</f>
        <v>128.952</v>
      </c>
      <c r="CK6">
        <f>127.942</f>
        <v>127.94199999999999</v>
      </c>
      <c r="CL6">
        <f>128.395</f>
        <v>128.39500000000001</v>
      </c>
      <c r="CM6">
        <f>136.113</f>
        <v>136.113</v>
      </c>
      <c r="CN6">
        <f>135.261</f>
        <v>135.261</v>
      </c>
      <c r="CO6">
        <f>133.232</f>
        <v>133.232</v>
      </c>
      <c r="CP6">
        <f>139.894</f>
        <v>139.89400000000001</v>
      </c>
      <c r="CQ6">
        <f>140.749</f>
        <v>140.749</v>
      </c>
      <c r="CR6">
        <f>136.304</f>
        <v>136.304</v>
      </c>
      <c r="CS6">
        <f>130.24</f>
        <v>130.24</v>
      </c>
      <c r="CT6">
        <f>135.292</f>
        <v>135.292</v>
      </c>
      <c r="CU6">
        <f>141.658</f>
        <v>141.65799999999999</v>
      </c>
      <c r="CV6">
        <f>138.105</f>
        <v>138.10499999999999</v>
      </c>
      <c r="CW6">
        <f>136.444</f>
        <v>136.44399999999999</v>
      </c>
      <c r="CX6">
        <f>140.973</f>
        <v>140.97300000000001</v>
      </c>
      <c r="CY6">
        <f>143.04</f>
        <v>143.04</v>
      </c>
      <c r="CZ6">
        <f>138.838</f>
        <v>138.83799999999999</v>
      </c>
      <c r="DA6">
        <f>143.897</f>
        <v>143.89699999999999</v>
      </c>
      <c r="DB6">
        <f>142.55</f>
        <v>142.55000000000001</v>
      </c>
      <c r="DC6">
        <f>152.004</f>
        <v>152.00399999999999</v>
      </c>
      <c r="DD6">
        <f>148.802</f>
        <v>148.80199999999999</v>
      </c>
      <c r="DE6">
        <f>145.079</f>
        <v>145.07900000000001</v>
      </c>
      <c r="DF6">
        <f>157.965</f>
        <v>157.965</v>
      </c>
      <c r="DG6">
        <f>169.649</f>
        <v>169.649</v>
      </c>
      <c r="DH6">
        <f>154.297</f>
        <v>154.297</v>
      </c>
      <c r="DI6">
        <f>145.963</f>
        <v>145.96299999999999</v>
      </c>
      <c r="DJ6">
        <f>139.703</f>
        <v>139.703</v>
      </c>
      <c r="DK6">
        <f>95.231</f>
        <v>95.230999999999995</v>
      </c>
      <c r="DL6">
        <f>91.998</f>
        <v>91.998000000000005</v>
      </c>
      <c r="DM6">
        <f>92.693</f>
        <v>92.692999999999998</v>
      </c>
      <c r="DN6">
        <f>93.31</f>
        <v>93.31</v>
      </c>
      <c r="DO6">
        <f>93.016</f>
        <v>93.016000000000005</v>
      </c>
      <c r="DP6">
        <f>76.14</f>
        <v>76.14</v>
      </c>
      <c r="DQ6">
        <f>72.374</f>
        <v>72.373999999999995</v>
      </c>
      <c r="DR6">
        <f>71.823</f>
        <v>71.822999999999993</v>
      </c>
      <c r="DS6" t="str">
        <f>""</f>
        <v/>
      </c>
      <c r="DT6">
        <f>73.399</f>
        <v>73.399000000000001</v>
      </c>
      <c r="DU6">
        <f>73.108</f>
        <v>73.108000000000004</v>
      </c>
    </row>
    <row r="7" spans="1:125">
      <c r="A7" t="str">
        <f>"    Columbia Property Trust Inc"</f>
        <v xml:space="preserve">    Columbia Property Trust Inc</v>
      </c>
      <c r="B7" t="str">
        <f>"CXP US Equity"</f>
        <v>CXP US Equity</v>
      </c>
      <c r="C7" t="str">
        <f t="shared" si="0"/>
        <v>IS030</v>
      </c>
      <c r="D7" t="str">
        <f t="shared" si="1"/>
        <v>IS_RENT_INC</v>
      </c>
      <c r="E7" t="str">
        <f t="shared" si="2"/>
        <v>动态</v>
      </c>
      <c r="F7" t="str">
        <f ca="1">IF(AND(ISNUMBER($F$328),$B$294=1),$F$328,HLOOKUP(INDIRECT(ADDRESS(2,COLUMN())),OFFSET($BN$2,0,0,ROW()-1,60),ROW()-1,FALSE))</f>
        <v/>
      </c>
      <c r="G7">
        <f ca="1">IF(AND(ISNUMBER($G$328),$B$294=1),$G$328,HLOOKUP(INDIRECT(ADDRESS(2,COLUMN())),OFFSET($BN$2,0,0,ROW()-1,60),ROW()-1,FALSE))</f>
        <v>69.968999999999994</v>
      </c>
      <c r="H7">
        <f ca="1">IF(AND(ISNUMBER($H$328),$B$294=1),$H$328,HLOOKUP(INDIRECT(ADDRESS(2,COLUMN())),OFFSET($BN$2,0,0,ROW()-1,60),ROW()-1,FALSE))</f>
        <v>59.207999999999998</v>
      </c>
      <c r="I7">
        <f ca="1">IF(AND(ISNUMBER($I$328),$B$294=1),$I$328,HLOOKUP(INDIRECT(ADDRESS(2,COLUMN())),OFFSET($BN$2,0,0,ROW()-1,60),ROW()-1,FALSE))</f>
        <v>74.856999999999999</v>
      </c>
      <c r="J7">
        <f ca="1">IF(AND(ISNUMBER($J$328),$B$294=1),$J$328,HLOOKUP(INDIRECT(ADDRESS(2,COLUMN())),OFFSET($BN$2,0,0,ROW()-1,60),ROW()-1,FALSE))</f>
        <v>80.816999999999993</v>
      </c>
      <c r="K7">
        <f ca="1">IF(AND(ISNUMBER($K$328),$B$294=1),$K$328,HLOOKUP(INDIRECT(ADDRESS(2,COLUMN())),OFFSET($BN$2,0,0,ROW()-1,60),ROW()-1,FALSE))</f>
        <v>100.59099999999999</v>
      </c>
      <c r="L7">
        <f ca="1">IF(AND(ISNUMBER($L$328),$B$294=1),$L$328,HLOOKUP(INDIRECT(ADDRESS(2,COLUMN())),OFFSET($BN$2,0,0,ROW()-1,60),ROW()-1,FALSE))</f>
        <v>106.996</v>
      </c>
      <c r="M7">
        <f ca="1">IF(AND(ISNUMBER($M$328),$B$294=1),$M$328,HLOOKUP(INDIRECT(ADDRESS(2,COLUMN())),OFFSET($BN$2,0,0,ROW()-1,60),ROW()-1,FALSE))</f>
        <v>121.379</v>
      </c>
      <c r="N7">
        <f ca="1">IF(AND(ISNUMBER($N$328),$B$294=1),$N$328,HLOOKUP(INDIRECT(ADDRESS(2,COLUMN())),OFFSET($BN$2,0,0,ROW()-1,60),ROW()-1,FALSE))</f>
        <v>121.916</v>
      </c>
      <c r="O7">
        <f ca="1">IF(AND(ISNUMBER($O$328),$B$294=1),$O$328,HLOOKUP(INDIRECT(ADDRESS(2,COLUMN())),OFFSET($BN$2,0,0,ROW()-1,60),ROW()-1,FALSE))</f>
        <v>127.268</v>
      </c>
      <c r="P7">
        <f ca="1">IF(AND(ISNUMBER($P$328),$B$294=1),$P$328,HLOOKUP(INDIRECT(ADDRESS(2,COLUMN())),OFFSET($BN$2,0,0,ROW()-1,60),ROW()-1,FALSE))</f>
        <v>130.77799999999999</v>
      </c>
      <c r="Q7">
        <f ca="1">IF(AND(ISNUMBER($Q$328),$B$294=1),$Q$328,HLOOKUP(INDIRECT(ADDRESS(2,COLUMN())),OFFSET($BN$2,0,0,ROW()-1,60),ROW()-1,FALSE))</f>
        <v>141.16</v>
      </c>
      <c r="R7">
        <f ca="1">IF(AND(ISNUMBER($R$328),$B$294=1),$R$328,HLOOKUP(INDIRECT(ADDRESS(2,COLUMN())),OFFSET($BN$2,0,0,ROW()-1,60),ROW()-1,FALSE))</f>
        <v>142.55000000000001</v>
      </c>
      <c r="S7">
        <f ca="1">IF(AND(ISNUMBER($S$328),$B$294=1),$S$328,HLOOKUP(INDIRECT(ADDRESS(2,COLUMN())),OFFSET($BN$2,0,0,ROW()-1,60),ROW()-1,FALSE))</f>
        <v>132.304</v>
      </c>
      <c r="T7">
        <f ca="1">IF(AND(ISNUMBER($T$328),$B$294=1),$T$328,HLOOKUP(INDIRECT(ADDRESS(2,COLUMN())),OFFSET($BN$2,0,0,ROW()-1,60),ROW()-1,FALSE))</f>
        <v>130.249</v>
      </c>
      <c r="U7">
        <f ca="1">IF(AND(ISNUMBER($U$328),$B$294=1),$U$328,HLOOKUP(INDIRECT(ADDRESS(2,COLUMN())),OFFSET($BN$2,0,0,ROW()-1,60),ROW()-1,FALSE))</f>
        <v>130.25200000000001</v>
      </c>
      <c r="V7">
        <f ca="1">IF(AND(ISNUMBER($V$328),$B$294=1),$V$328,HLOOKUP(INDIRECT(ADDRESS(2,COLUMN())),OFFSET($BN$2,0,0,ROW()-1,60),ROW()-1,FALSE))</f>
        <v>125.107</v>
      </c>
      <c r="W7">
        <f ca="1">IF(AND(ISNUMBER($W$328),$B$294=1),$W$328,HLOOKUP(INDIRECT(ADDRESS(2,COLUMN())),OFFSET($BN$2,0,0,ROW()-1,60),ROW()-1,FALSE))</f>
        <v>127.935</v>
      </c>
      <c r="X7">
        <f ca="1">IF(AND(ISNUMBER($X$328),$B$294=1),$X$328,HLOOKUP(INDIRECT(ADDRESS(2,COLUMN())),OFFSET($BN$2,0,0,ROW()-1,60),ROW()-1,FALSE))</f>
        <v>125.714</v>
      </c>
      <c r="Y7">
        <f ca="1">IF(AND(ISNUMBER($Y$328),$B$294=1),$Y$328,HLOOKUP(INDIRECT(ADDRESS(2,COLUMN())),OFFSET($BN$2,0,0,ROW()-1,60),ROW()-1,FALSE))</f>
        <v>125.33499999999999</v>
      </c>
      <c r="Z7">
        <f ca="1">IF(AND(ISNUMBER($Z$328),$B$294=1),$Z$328,HLOOKUP(INDIRECT(ADDRESS(2,COLUMN())),OFFSET($BN$2,0,0,ROW()-1,60),ROW()-1,FALSE))</f>
        <v>123.83799999999999</v>
      </c>
      <c r="AA7">
        <f ca="1">IF(AND(ISNUMBER($AA$328),$B$294=1),$AA$328,HLOOKUP(INDIRECT(ADDRESS(2,COLUMN())),OFFSET($BN$2,0,0,ROW()-1,60),ROW()-1,FALSE))</f>
        <v>119.98099999999999</v>
      </c>
      <c r="AB7">
        <f ca="1">IF(AND(ISNUMBER($AB$328),$B$294=1),$AB$328,HLOOKUP(INDIRECT(ADDRESS(2,COLUMN())),OFFSET($BN$2,0,0,ROW()-1,60),ROW()-1,FALSE))</f>
        <v>138.01900000000001</v>
      </c>
      <c r="AC7">
        <f ca="1">IF(AND(ISNUMBER($AC$328),$B$294=1),$AC$328,HLOOKUP(INDIRECT(ADDRESS(2,COLUMN())),OFFSET($BN$2,0,0,ROW()-1,60),ROW()-1,FALSE))</f>
        <v>134.50800000000001</v>
      </c>
      <c r="AD7">
        <f ca="1">IF(AND(ISNUMBER($AD$328),$B$294=1),$AD$328,HLOOKUP(INDIRECT(ADDRESS(2,COLUMN())),OFFSET($BN$2,0,0,ROW()-1,60),ROW()-1,FALSE))</f>
        <v>136.965</v>
      </c>
      <c r="AE7">
        <f ca="1">IF(AND(ISNUMBER($AE$328),$B$294=1),$AE$328,HLOOKUP(INDIRECT(ADDRESS(2,COLUMN())),OFFSET($BN$2,0,0,ROW()-1,60),ROW()-1,FALSE))</f>
        <v>117.43</v>
      </c>
      <c r="AF7">
        <f ca="1">IF(AND(ISNUMBER($AF$328),$B$294=1),$AF$328,HLOOKUP(INDIRECT(ADDRESS(2,COLUMN())),OFFSET($BN$2,0,0,ROW()-1,60),ROW()-1,FALSE))</f>
        <v>150.87200000000001</v>
      </c>
      <c r="AG7">
        <f ca="1">IF(AND(ISNUMBER($AG$328),$B$294=1),$AG$328,HLOOKUP(INDIRECT(ADDRESS(2,COLUMN())),OFFSET($BN$2,0,0,ROW()-1,60),ROW()-1,FALSE))</f>
        <v>147.678</v>
      </c>
      <c r="AH7">
        <f ca="1">IF(AND(ISNUMBER($AH$328),$B$294=1),$AH$328,HLOOKUP(INDIRECT(ADDRESS(2,COLUMN())),OFFSET($BN$2,0,0,ROW()-1,60),ROW()-1,FALSE))</f>
        <v>139.809</v>
      </c>
      <c r="AI7">
        <f ca="1">IF(AND(ISNUMBER($AI$328),$B$294=1),$AI$328,HLOOKUP(INDIRECT(ADDRESS(2,COLUMN())),OFFSET($BN$2,0,0,ROW()-1,60),ROW()-1,FALSE))</f>
        <v>125.745</v>
      </c>
      <c r="AJ7">
        <f ca="1">IF(AND(ISNUMBER($AJ$328),$B$294=1),$AJ$328,HLOOKUP(INDIRECT(ADDRESS(2,COLUMN())),OFFSET($BN$2,0,0,ROW()-1,60),ROW()-1,FALSE))</f>
        <v>139.07900000000001</v>
      </c>
      <c r="AK7">
        <f ca="1">IF(AND(ISNUMBER($AK$328),$B$294=1),$AK$328,HLOOKUP(INDIRECT(ADDRESS(2,COLUMN())),OFFSET($BN$2,0,0,ROW()-1,60),ROW()-1,FALSE))</f>
        <v>134.732</v>
      </c>
      <c r="AL7">
        <f ca="1">IF(AND(ISNUMBER($AL$328),$B$294=1),$AL$328,HLOOKUP(INDIRECT(ADDRESS(2,COLUMN())),OFFSET($BN$2,0,0,ROW()-1,60),ROW()-1,FALSE))</f>
        <v>131.53200000000001</v>
      </c>
      <c r="AM7">
        <f ca="1">IF(AND(ISNUMBER($AM$328),$B$294=1),$AM$328,HLOOKUP(INDIRECT(ADDRESS(2,COLUMN())),OFFSET($BN$2,0,0,ROW()-1,60),ROW()-1,FALSE))</f>
        <v>147.94399999999999</v>
      </c>
      <c r="AN7">
        <f ca="1">IF(AND(ISNUMBER($AN$328),$B$294=1),$AN$328,HLOOKUP(INDIRECT(ADDRESS(2,COLUMN())),OFFSET($BN$2,0,0,ROW()-1,60),ROW()-1,FALSE))</f>
        <v>132.27600000000001</v>
      </c>
      <c r="AO7">
        <f ca="1">IF(AND(ISNUMBER($AO$328),$B$294=1),$AO$328,HLOOKUP(INDIRECT(ADDRESS(2,COLUMN())),OFFSET($BN$2,0,0,ROW()-1,60),ROW()-1,FALSE))</f>
        <v>134.03200000000001</v>
      </c>
      <c r="AP7">
        <f ca="1">IF(AND(ISNUMBER($AP$328),$B$294=1),$AP$328,HLOOKUP(INDIRECT(ADDRESS(2,COLUMN())),OFFSET($BN$2,0,0,ROW()-1,60),ROW()-1,FALSE))</f>
        <v>132.98099999999999</v>
      </c>
      <c r="AQ7" t="str">
        <f ca="1">IF(AND(ISNUMBER($AQ$328),$B$294=1),$AQ$328,HLOOKUP(INDIRECT(ADDRESS(2,COLUMN())),OFFSET($BN$2,0,0,ROW()-1,60),ROW()-1,FALSE))</f>
        <v/>
      </c>
      <c r="AR7" t="str">
        <f ca="1">IF(AND(ISNUMBER($AR$328),$B$294=1),$AR$328,HLOOKUP(INDIRECT(ADDRESS(2,COLUMN())),OFFSET($BN$2,0,0,ROW()-1,60),ROW()-1,FALSE))</f>
        <v/>
      </c>
      <c r="AS7" t="str">
        <f ca="1">IF(AND(ISNUMBER($AS$328),$B$294=1),$AS$328,HLOOKUP(INDIRECT(ADDRESS(2,COLUMN())),OFFSET($BN$2,0,0,ROW()-1,60),ROW()-1,FALSE))</f>
        <v/>
      </c>
      <c r="AT7" t="str">
        <f ca="1">IF(AND(ISNUMBER($AT$328),$B$294=1),$AT$328,HLOOKUP(INDIRECT(ADDRESS(2,COLUMN())),OFFSET($BN$2,0,0,ROW()-1,60),ROW()-1,FALSE))</f>
        <v/>
      </c>
      <c r="AU7" t="str">
        <f ca="1">IF(AND(ISNUMBER($AU$328),$B$294=1),$AU$328,HLOOKUP(INDIRECT(ADDRESS(2,COLUMN())),OFFSET($BN$2,0,0,ROW()-1,60),ROW()-1,FALSE))</f>
        <v/>
      </c>
      <c r="AV7" t="str">
        <f ca="1">IF(AND(ISNUMBER($AV$328),$B$294=1),$AV$328,HLOOKUP(INDIRECT(ADDRESS(2,COLUMN())),OFFSET($BN$2,0,0,ROW()-1,60),ROW()-1,FALSE))</f>
        <v/>
      </c>
      <c r="AW7" t="str">
        <f ca="1">IF(AND(ISNUMBER($AW$328),$B$294=1),$AW$328,HLOOKUP(INDIRECT(ADDRESS(2,COLUMN())),OFFSET($BN$2,0,0,ROW()-1,60),ROW()-1,FALSE))</f>
        <v/>
      </c>
      <c r="AX7" t="str">
        <f ca="1">IF(AND(ISNUMBER($AX$328),$B$294=1),$AX$328,HLOOKUP(INDIRECT(ADDRESS(2,COLUMN())),OFFSET($BN$2,0,0,ROW()-1,60),ROW()-1,FALSE))</f>
        <v/>
      </c>
      <c r="AY7" t="str">
        <f ca="1">IF(AND(ISNUMBER($AY$328),$B$294=1),$AY$328,HLOOKUP(INDIRECT(ADDRESS(2,COLUMN())),OFFSET($BN$2,0,0,ROW()-1,60),ROW()-1,FALSE))</f>
        <v/>
      </c>
      <c r="AZ7" t="str">
        <f ca="1">IF(AND(ISNUMBER($AZ$328),$B$294=1),$AZ$328,HLOOKUP(INDIRECT(ADDRESS(2,COLUMN())),OFFSET($BN$2,0,0,ROW()-1,60),ROW()-1,FALSE))</f>
        <v/>
      </c>
      <c r="BA7" t="str">
        <f ca="1">IF(AND(ISNUMBER($BA$328),$B$294=1),$BA$328,HLOOKUP(INDIRECT(ADDRESS(2,COLUMN())),OFFSET($BN$2,0,0,ROW()-1,60),ROW()-1,FALSE))</f>
        <v/>
      </c>
      <c r="BB7" t="str">
        <f ca="1">IF(AND(ISNUMBER($BB$328),$B$294=1),$BB$328,HLOOKUP(INDIRECT(ADDRESS(2,COLUMN())),OFFSET($BN$2,0,0,ROW()-1,60),ROW()-1,FALSE))</f>
        <v/>
      </c>
      <c r="BC7" t="str">
        <f ca="1">IF(AND(ISNUMBER($BC$328),$B$294=1),$BC$328,HLOOKUP(INDIRECT(ADDRESS(2,COLUMN())),OFFSET($BN$2,0,0,ROW()-1,60),ROW()-1,FALSE))</f>
        <v/>
      </c>
      <c r="BD7" t="str">
        <f ca="1">IF(AND(ISNUMBER($BD$328),$B$294=1),$BD$328,HLOOKUP(INDIRECT(ADDRESS(2,COLUMN())),OFFSET($BN$2,0,0,ROW()-1,60),ROW()-1,FALSE))</f>
        <v/>
      </c>
      <c r="BE7" t="str">
        <f ca="1">IF(AND(ISNUMBER($BE$328),$B$294=1),$BE$328,HLOOKUP(INDIRECT(ADDRESS(2,COLUMN())),OFFSET($BN$2,0,0,ROW()-1,60),ROW()-1,FALSE))</f>
        <v/>
      </c>
      <c r="BF7" t="str">
        <f ca="1">IF(AND(ISNUMBER($BF$328),$B$294=1),$BF$328,HLOOKUP(INDIRECT(ADDRESS(2,COLUMN())),OFFSET($BN$2,0,0,ROW()-1,60),ROW()-1,FALSE))</f>
        <v/>
      </c>
      <c r="BG7" t="str">
        <f ca="1">IF(AND(ISNUMBER($BG$328),$B$294=1),$BG$328,HLOOKUP(INDIRECT(ADDRESS(2,COLUMN())),OFFSET($BN$2,0,0,ROW()-1,60),ROW()-1,FALSE))</f>
        <v/>
      </c>
      <c r="BH7" t="str">
        <f ca="1">IF(AND(ISNUMBER($BH$328),$B$294=1),$BH$328,HLOOKUP(INDIRECT(ADDRESS(2,COLUMN())),OFFSET($BN$2,0,0,ROW()-1,60),ROW()-1,FALSE))</f>
        <v/>
      </c>
      <c r="BI7" t="str">
        <f ca="1">IF(AND(ISNUMBER($BI$328),$B$294=1),$BI$328,HLOOKUP(INDIRECT(ADDRESS(2,COLUMN())),OFFSET($BN$2,0,0,ROW()-1,60),ROW()-1,FALSE))</f>
        <v/>
      </c>
      <c r="BJ7" t="str">
        <f ca="1">IF(AND(ISNUMBER($BJ$328),$B$294=1),$BJ$328,HLOOKUP(INDIRECT(ADDRESS(2,COLUMN())),OFFSET($BN$2,0,0,ROW()-1,60),ROW()-1,FALSE))</f>
        <v/>
      </c>
      <c r="BK7" t="str">
        <f ca="1">IF(AND(ISNUMBER($BK$328),$B$294=1),$BK$328,HLOOKUP(INDIRECT(ADDRESS(2,COLUMN())),OFFSET($BN$2,0,0,ROW()-1,60),ROW()-1,FALSE))</f>
        <v/>
      </c>
      <c r="BL7" t="str">
        <f ca="1">IF(AND(ISNUMBER($BL$328),$B$294=1),$BL$328,HLOOKUP(INDIRECT(ADDRESS(2,COLUMN())),OFFSET($BN$2,0,0,ROW()-1,60),ROW()-1,FALSE))</f>
        <v/>
      </c>
      <c r="BM7" t="str">
        <f ca="1">IF(AND(ISNUMBER($BM$328),$B$294=1),$BM$328,HLOOKUP(INDIRECT(ADDRESS(2,COLUMN())),OFFSET($BN$2,0,0,ROW()-1,60),ROW()-1,FALSE))</f>
        <v/>
      </c>
      <c r="BN7" t="str">
        <f>""</f>
        <v/>
      </c>
      <c r="BO7">
        <f>69.969</f>
        <v>69.968999999999994</v>
      </c>
      <c r="BP7">
        <f>59.208</f>
        <v>59.207999999999998</v>
      </c>
      <c r="BQ7">
        <f>74.857</f>
        <v>74.856999999999999</v>
      </c>
      <c r="BR7">
        <f>80.817</f>
        <v>80.816999999999993</v>
      </c>
      <c r="BS7">
        <f>100.591</f>
        <v>100.59099999999999</v>
      </c>
      <c r="BT7">
        <f>106.996</f>
        <v>106.996</v>
      </c>
      <c r="BU7">
        <f>121.379</f>
        <v>121.379</v>
      </c>
      <c r="BV7">
        <f>121.916</f>
        <v>121.916</v>
      </c>
      <c r="BW7">
        <f>127.268</f>
        <v>127.268</v>
      </c>
      <c r="BX7">
        <f>130.778</f>
        <v>130.77799999999999</v>
      </c>
      <c r="BY7">
        <f>141.16</f>
        <v>141.16</v>
      </c>
      <c r="BZ7">
        <f>142.55</f>
        <v>142.55000000000001</v>
      </c>
      <c r="CA7">
        <f>132.304</f>
        <v>132.304</v>
      </c>
      <c r="CB7">
        <f>130.249</f>
        <v>130.249</v>
      </c>
      <c r="CC7">
        <f>130.252</f>
        <v>130.25200000000001</v>
      </c>
      <c r="CD7">
        <f>125.107</f>
        <v>125.107</v>
      </c>
      <c r="CE7">
        <f>127.935</f>
        <v>127.935</v>
      </c>
      <c r="CF7">
        <f>125.714</f>
        <v>125.714</v>
      </c>
      <c r="CG7">
        <f>125.335</f>
        <v>125.33499999999999</v>
      </c>
      <c r="CH7">
        <f>123.838</f>
        <v>123.83799999999999</v>
      </c>
      <c r="CI7">
        <f>119.981</f>
        <v>119.98099999999999</v>
      </c>
      <c r="CJ7">
        <f>138.019</f>
        <v>138.01900000000001</v>
      </c>
      <c r="CK7">
        <f>134.508</f>
        <v>134.50800000000001</v>
      </c>
      <c r="CL7">
        <f>136.965</f>
        <v>136.965</v>
      </c>
      <c r="CM7">
        <f>117.43</f>
        <v>117.43</v>
      </c>
      <c r="CN7">
        <f>150.872</f>
        <v>150.87200000000001</v>
      </c>
      <c r="CO7">
        <f>147.678</f>
        <v>147.678</v>
      </c>
      <c r="CP7">
        <f>139.809</f>
        <v>139.809</v>
      </c>
      <c r="CQ7">
        <f>125.745</f>
        <v>125.745</v>
      </c>
      <c r="CR7">
        <f>139.079</f>
        <v>139.07900000000001</v>
      </c>
      <c r="CS7">
        <f>134.732</f>
        <v>134.732</v>
      </c>
      <c r="CT7">
        <f>131.532</f>
        <v>131.53200000000001</v>
      </c>
      <c r="CU7">
        <f>147.944</f>
        <v>147.94399999999999</v>
      </c>
      <c r="CV7">
        <f>132.276</f>
        <v>132.27600000000001</v>
      </c>
      <c r="CW7">
        <f>134.032</f>
        <v>134.03200000000001</v>
      </c>
      <c r="CX7">
        <f>132.981</f>
        <v>132.98099999999999</v>
      </c>
      <c r="CY7" t="str">
        <f>""</f>
        <v/>
      </c>
      <c r="CZ7" t="str">
        <f>""</f>
        <v/>
      </c>
      <c r="DA7" t="str">
        <f>""</f>
        <v/>
      </c>
      <c r="DB7" t="str">
        <f>""</f>
        <v/>
      </c>
      <c r="DC7" t="str">
        <f>""</f>
        <v/>
      </c>
      <c r="DD7" t="str">
        <f>""</f>
        <v/>
      </c>
      <c r="DE7" t="str">
        <f>""</f>
        <v/>
      </c>
      <c r="DF7" t="str">
        <f>""</f>
        <v/>
      </c>
      <c r="DG7" t="str">
        <f>""</f>
        <v/>
      </c>
      <c r="DH7" t="str">
        <f>""</f>
        <v/>
      </c>
      <c r="DI7" t="str">
        <f>""</f>
        <v/>
      </c>
      <c r="DJ7" t="str">
        <f>""</f>
        <v/>
      </c>
      <c r="DK7" t="str">
        <f>""</f>
        <v/>
      </c>
      <c r="DL7" t="str">
        <f>""</f>
        <v/>
      </c>
      <c r="DM7" t="str">
        <f>""</f>
        <v/>
      </c>
      <c r="DN7" t="str">
        <f>""</f>
        <v/>
      </c>
      <c r="DO7" t="str">
        <f>""</f>
        <v/>
      </c>
      <c r="DP7" t="str">
        <f>""</f>
        <v/>
      </c>
      <c r="DQ7" t="str">
        <f>""</f>
        <v/>
      </c>
      <c r="DR7" t="str">
        <f>""</f>
        <v/>
      </c>
      <c r="DS7" t="str">
        <f>""</f>
        <v/>
      </c>
      <c r="DT7" t="str">
        <f>""</f>
        <v/>
      </c>
      <c r="DU7" t="str">
        <f>""</f>
        <v/>
      </c>
    </row>
    <row r="8" spans="1:125">
      <c r="A8" t="str">
        <f>"    Corporate Office Properties Tr"</f>
        <v xml:space="preserve">    Corporate Office Properties Tr</v>
      </c>
      <c r="B8" t="str">
        <f>"OFC US Equity"</f>
        <v>OFC US Equity</v>
      </c>
      <c r="C8" t="str">
        <f t="shared" si="0"/>
        <v>IS030</v>
      </c>
      <c r="D8" t="str">
        <f t="shared" si="1"/>
        <v>IS_RENT_INC</v>
      </c>
      <c r="E8" t="str">
        <f t="shared" si="2"/>
        <v>动态</v>
      </c>
      <c r="F8" t="str">
        <f ca="1">IF(AND(ISNUMBER($F$329),$B$294=1),$F$329,HLOOKUP(INDIRECT(ADDRESS(2,COLUMN())),OFFSET($BN$2,0,0,ROW()-1,60),ROW()-1,FALSE))</f>
        <v/>
      </c>
      <c r="G8">
        <f ca="1">IF(AND(ISNUMBER($G$329),$B$294=1),$G$329,HLOOKUP(INDIRECT(ADDRESS(2,COLUMN())),OFFSET($BN$2,0,0,ROW()-1,60),ROW()-1,FALSE))</f>
        <v>127.685</v>
      </c>
      <c r="H8">
        <f ca="1">IF(AND(ISNUMBER($H$329),$B$294=1),$H$329,HLOOKUP(INDIRECT(ADDRESS(2,COLUMN())),OFFSET($BN$2,0,0,ROW()-1,60),ROW()-1,FALSE))</f>
        <v>127.23099999999999</v>
      </c>
      <c r="I8">
        <f ca="1">IF(AND(ISNUMBER($I$329),$B$294=1),$I$329,HLOOKUP(INDIRECT(ADDRESS(2,COLUMN())),OFFSET($BN$2,0,0,ROW()-1,60),ROW()-1,FALSE))</f>
        <v>128.297</v>
      </c>
      <c r="J8">
        <f ca="1">IF(AND(ISNUMBER($J$329),$B$294=1),$J$329,HLOOKUP(INDIRECT(ADDRESS(2,COLUMN())),OFFSET($BN$2,0,0,ROW()-1,60),ROW()-1,FALSE))</f>
        <v>126.767</v>
      </c>
      <c r="K8">
        <f ca="1">IF(AND(ISNUMBER($K$329),$B$294=1),$K$329,HLOOKUP(INDIRECT(ADDRESS(2,COLUMN())),OFFSET($BN$2,0,0,ROW()-1,60),ROW()-1,FALSE))</f>
        <v>127.999</v>
      </c>
      <c r="L8">
        <f ca="1">IF(AND(ISNUMBER($L$329),$B$294=1),$L$329,HLOOKUP(INDIRECT(ADDRESS(2,COLUMN())),OFFSET($BN$2,0,0,ROW()-1,60),ROW()-1,FALSE))</f>
        <v>130.95400000000001</v>
      </c>
      <c r="M8">
        <f ca="1">IF(AND(ISNUMBER($M$329),$B$294=1),$M$329,HLOOKUP(INDIRECT(ADDRESS(2,COLUMN())),OFFSET($BN$2,0,0,ROW()-1,60),ROW()-1,FALSE))</f>
        <v>133.92400000000001</v>
      </c>
      <c r="N8">
        <f ca="1">IF(AND(ISNUMBER($N$329),$B$294=1),$N$329,HLOOKUP(INDIRECT(ADDRESS(2,COLUMN())),OFFSET($BN$2,0,0,ROW()-1,60),ROW()-1,FALSE))</f>
        <v>133.08699999999999</v>
      </c>
      <c r="O8">
        <f ca="1">IF(AND(ISNUMBER($O$329),$B$294=1),$O$329,HLOOKUP(INDIRECT(ADDRESS(2,COLUMN())),OFFSET($BN$2,0,0,ROW()-1,60),ROW()-1,FALSE))</f>
        <v>134.477</v>
      </c>
      <c r="P8">
        <f ca="1">IF(AND(ISNUMBER($P$329),$B$294=1),$P$329,HLOOKUP(INDIRECT(ADDRESS(2,COLUMN())),OFFSET($BN$2,0,0,ROW()-1,60),ROW()-1,FALSE))</f>
        <v>133.68600000000001</v>
      </c>
      <c r="Q8">
        <f ca="1">IF(AND(ISNUMBER($Q$329),$B$294=1),$Q$329,HLOOKUP(INDIRECT(ADDRESS(2,COLUMN())),OFFSET($BN$2,0,0,ROW()-1,60),ROW()-1,FALSE))</f>
        <v>128.191</v>
      </c>
      <c r="R8">
        <f ca="1">IF(AND(ISNUMBER($R$329),$B$294=1),$R$329,HLOOKUP(INDIRECT(ADDRESS(2,COLUMN())),OFFSET($BN$2,0,0,ROW()-1,60),ROW()-1,FALSE))</f>
        <v>122.71</v>
      </c>
      <c r="S8">
        <f ca="1">IF(AND(ISNUMBER($S$329),$B$294=1),$S$329,HLOOKUP(INDIRECT(ADDRESS(2,COLUMN())),OFFSET($BN$2,0,0,ROW()-1,60),ROW()-1,FALSE))</f>
        <v>120.613</v>
      </c>
      <c r="T8">
        <f ca="1">IF(AND(ISNUMBER($T$329),$B$294=1),$T$329,HLOOKUP(INDIRECT(ADDRESS(2,COLUMN())),OFFSET($BN$2,0,0,ROW()-1,60),ROW()-1,FALSE))</f>
        <v>118.276</v>
      </c>
      <c r="U8">
        <f ca="1">IF(AND(ISNUMBER($U$329),$B$294=1),$U$329,HLOOKUP(INDIRECT(ADDRESS(2,COLUMN())),OFFSET($BN$2,0,0,ROW()-1,60),ROW()-1,FALSE))</f>
        <v>115.959</v>
      </c>
      <c r="V8">
        <f ca="1">IF(AND(ISNUMBER($V$329),$B$294=1),$V$329,HLOOKUP(INDIRECT(ADDRESS(2,COLUMN())),OFFSET($BN$2,0,0,ROW()-1,60),ROW()-1,FALSE))</f>
        <v>124.877</v>
      </c>
      <c r="W8">
        <f ca="1">IF(AND(ISNUMBER($W$329),$B$294=1),$W$329,HLOOKUP(INDIRECT(ADDRESS(2,COLUMN())),OFFSET($BN$2,0,0,ROW()-1,60),ROW()-1,FALSE))</f>
        <v>118.48699999999999</v>
      </c>
      <c r="X8">
        <f ca="1">IF(AND(ISNUMBER($X$329),$B$294=1),$X$329,HLOOKUP(INDIRECT(ADDRESS(2,COLUMN())),OFFSET($BN$2,0,0,ROW()-1,60),ROW()-1,FALSE))</f>
        <v>114.821</v>
      </c>
      <c r="Y8">
        <f ca="1">IF(AND(ISNUMBER($Y$329),$B$294=1),$Y$329,HLOOKUP(INDIRECT(ADDRESS(2,COLUMN())),OFFSET($BN$2,0,0,ROW()-1,60),ROW()-1,FALSE))</f>
        <v>115.732</v>
      </c>
      <c r="Z8">
        <f ca="1">IF(AND(ISNUMBER($Z$329),$B$294=1),$Z$329,HLOOKUP(INDIRECT(ADDRESS(2,COLUMN())),OFFSET($BN$2,0,0,ROW()-1,60),ROW()-1,FALSE))</f>
        <v>111.95699999999999</v>
      </c>
      <c r="AA8">
        <f ca="1">IF(AND(ISNUMBER($AA$329),$B$294=1),$AA$329,HLOOKUP(INDIRECT(ADDRESS(2,COLUMN())),OFFSET($BN$2,0,0,ROW()-1,60),ROW()-1,FALSE))</f>
        <v>112.611</v>
      </c>
      <c r="AB8">
        <f ca="1">IF(AND(ISNUMBER($AB$329),$B$294=1),$AB$329,HLOOKUP(INDIRECT(ADDRESS(2,COLUMN())),OFFSET($BN$2,0,0,ROW()-1,60),ROW()-1,FALSE))</f>
        <v>114.861</v>
      </c>
      <c r="AC8">
        <f ca="1">IF(AND(ISNUMBER($AC$329),$B$294=1),$AC$329,HLOOKUP(INDIRECT(ADDRESS(2,COLUMN())),OFFSET($BN$2,0,0,ROW()-1,60),ROW()-1,FALSE))</f>
        <v>110.669</v>
      </c>
      <c r="AD8">
        <f ca="1">IF(AND(ISNUMBER($AD$329),$B$294=1),$AD$329,HLOOKUP(INDIRECT(ADDRESS(2,COLUMN())),OFFSET($BN$2,0,0,ROW()-1,60),ROW()-1,FALSE))</f>
        <v>110.661</v>
      </c>
      <c r="AE8">
        <f ca="1">IF(AND(ISNUMBER($AE$329),$B$294=1),$AE$329,HLOOKUP(INDIRECT(ADDRESS(2,COLUMN())),OFFSET($BN$2,0,0,ROW()-1,60),ROW()-1,FALSE))</f>
        <v>111.483</v>
      </c>
      <c r="AF8">
        <f ca="1">IF(AND(ISNUMBER($AF$329),$B$294=1),$AF$329,HLOOKUP(INDIRECT(ADDRESS(2,COLUMN())),OFFSET($BN$2,0,0,ROW()-1,60),ROW()-1,FALSE))</f>
        <v>107.97799999999999</v>
      </c>
      <c r="AG8">
        <f ca="1">IF(AND(ISNUMBER($AG$329),$B$294=1),$AG$329,HLOOKUP(INDIRECT(ADDRESS(2,COLUMN())),OFFSET($BN$2,0,0,ROW()-1,60),ROW()-1,FALSE))</f>
        <v>109.01900000000001</v>
      </c>
      <c r="AH8">
        <f ca="1">IF(AND(ISNUMBER($AH$329),$B$294=1),$AH$329,HLOOKUP(INDIRECT(ADDRESS(2,COLUMN())),OFFSET($BN$2,0,0,ROW()-1,60),ROW()-1,FALSE))</f>
        <v>116.461</v>
      </c>
      <c r="AI8">
        <f ca="1">IF(AND(ISNUMBER($AI$329),$B$294=1),$AI$329,HLOOKUP(INDIRECT(ADDRESS(2,COLUMN())),OFFSET($BN$2,0,0,ROW()-1,60),ROW()-1,FALSE))</f>
        <v>116.55800000000001</v>
      </c>
      <c r="AJ8">
        <f ca="1">IF(AND(ISNUMBER($AJ$329),$B$294=1),$AJ$329,HLOOKUP(INDIRECT(ADDRESS(2,COLUMN())),OFFSET($BN$2,0,0,ROW()-1,60),ROW()-1,FALSE))</f>
        <v>111.074</v>
      </c>
      <c r="AK8">
        <f ca="1">IF(AND(ISNUMBER($AK$329),$B$294=1),$AK$329,HLOOKUP(INDIRECT(ADDRESS(2,COLUMN())),OFFSET($BN$2,0,0,ROW()-1,60),ROW()-1,FALSE))</f>
        <v>106.729</v>
      </c>
      <c r="AL8">
        <f ca="1">IF(AND(ISNUMBER($AL$329),$B$294=1),$AL$329,HLOOKUP(INDIRECT(ADDRESS(2,COLUMN())),OFFSET($BN$2,0,0,ROW()-1,60),ROW()-1,FALSE))</f>
        <v>112.22799999999999</v>
      </c>
      <c r="AM8">
        <f ca="1">IF(AND(ISNUMBER($AM$329),$B$294=1),$AM$329,HLOOKUP(INDIRECT(ADDRESS(2,COLUMN())),OFFSET($BN$2,0,0,ROW()-1,60),ROW()-1,FALSE))</f>
        <v>108.73699999999999</v>
      </c>
      <c r="AN8">
        <f ca="1">IF(AND(ISNUMBER($AN$329),$B$294=1),$AN$329,HLOOKUP(INDIRECT(ADDRESS(2,COLUMN())),OFFSET($BN$2,0,0,ROW()-1,60),ROW()-1,FALSE))</f>
        <v>104.13200000000001</v>
      </c>
      <c r="AO8">
        <f ca="1">IF(AND(ISNUMBER($AO$329),$B$294=1),$AO$329,HLOOKUP(INDIRECT(ADDRESS(2,COLUMN())),OFFSET($BN$2,0,0,ROW()-1,60),ROW()-1,FALSE))</f>
        <v>105.00700000000001</v>
      </c>
      <c r="AP8">
        <f ca="1">IF(AND(ISNUMBER($AP$329),$B$294=1),$AP$329,HLOOKUP(INDIRECT(ADDRESS(2,COLUMN())),OFFSET($BN$2,0,0,ROW()-1,60),ROW()-1,FALSE))</f>
        <v>106.108</v>
      </c>
      <c r="AQ8">
        <f ca="1">IF(AND(ISNUMBER($AQ$329),$B$294=1),$AQ$329,HLOOKUP(INDIRECT(ADDRESS(2,COLUMN())),OFFSET($BN$2,0,0,ROW()-1,60),ROW()-1,FALSE))</f>
        <v>102.961</v>
      </c>
      <c r="AR8">
        <f ca="1">IF(AND(ISNUMBER($AR$329),$B$294=1),$AR$329,HLOOKUP(INDIRECT(ADDRESS(2,COLUMN())),OFFSET($BN$2,0,0,ROW()-1,60),ROW()-1,FALSE))</f>
        <v>101.086</v>
      </c>
      <c r="AS8">
        <f ca="1">IF(AND(ISNUMBER($AS$329),$B$294=1),$AS$329,HLOOKUP(INDIRECT(ADDRESS(2,COLUMN())),OFFSET($BN$2,0,0,ROW()-1,60),ROW()-1,FALSE))</f>
        <v>97.945999999999998</v>
      </c>
      <c r="AT8">
        <f ca="1">IF(AND(ISNUMBER($AT$329),$B$294=1),$AT$329,HLOOKUP(INDIRECT(ADDRESS(2,COLUMN())),OFFSET($BN$2,0,0,ROW()-1,60),ROW()-1,FALSE))</f>
        <v>97.001999999999995</v>
      </c>
      <c r="AU8">
        <f ca="1">IF(AND(ISNUMBER($AU$329),$B$294=1),$AU$329,HLOOKUP(INDIRECT(ADDRESS(2,COLUMN())),OFFSET($BN$2,0,0,ROW()-1,60),ROW()-1,FALSE))</f>
        <v>91.966999999999999</v>
      </c>
      <c r="AV8">
        <f ca="1">IF(AND(ISNUMBER($AV$329),$B$294=1),$AV$329,HLOOKUP(INDIRECT(ADDRESS(2,COLUMN())),OFFSET($BN$2,0,0,ROW()-1,60),ROW()-1,FALSE))</f>
        <v>94.563999999999993</v>
      </c>
      <c r="AW8">
        <f ca="1">IF(AND(ISNUMBER($AW$329),$B$294=1),$AW$329,HLOOKUP(INDIRECT(ADDRESS(2,COLUMN())),OFFSET($BN$2,0,0,ROW()-1,60),ROW()-1,FALSE))</f>
        <v>90.373999999999995</v>
      </c>
      <c r="AX8">
        <f ca="1">IF(AND(ISNUMBER($AX$329),$B$294=1),$AX$329,HLOOKUP(INDIRECT(ADDRESS(2,COLUMN())),OFFSET($BN$2,0,0,ROW()-1,60),ROW()-1,FALSE))</f>
        <v>89.009</v>
      </c>
      <c r="AY8">
        <f ca="1">IF(AND(ISNUMBER($AY$329),$B$294=1),$AY$329,HLOOKUP(INDIRECT(ADDRESS(2,COLUMN())),OFFSET($BN$2,0,0,ROW()-1,60),ROW()-1,FALSE))</f>
        <v>76.718000000000004</v>
      </c>
      <c r="AZ8">
        <f ca="1">IF(AND(ISNUMBER($AZ$329),$B$294=1),$AZ$329,HLOOKUP(INDIRECT(ADDRESS(2,COLUMN())),OFFSET($BN$2,0,0,ROW()-1,60),ROW()-1,FALSE))</f>
        <v>76.869</v>
      </c>
      <c r="BA8">
        <f ca="1">IF(AND(ISNUMBER($BA$329),$B$294=1),$BA$329,HLOOKUP(INDIRECT(ADDRESS(2,COLUMN())),OFFSET($BN$2,0,0,ROW()-1,60),ROW()-1,FALSE))</f>
        <v>70.769000000000005</v>
      </c>
      <c r="BB8">
        <f ca="1">IF(AND(ISNUMBER($BB$329),$B$294=1),$BB$329,HLOOKUP(INDIRECT(ADDRESS(2,COLUMN())),OFFSET($BN$2,0,0,ROW()-1,60),ROW()-1,FALSE))</f>
        <v>69.221999999999994</v>
      </c>
      <c r="BC8">
        <f ca="1">IF(AND(ISNUMBER($BC$329),$B$294=1),$BC$329,HLOOKUP(INDIRECT(ADDRESS(2,COLUMN())),OFFSET($BN$2,0,0,ROW()-1,60),ROW()-1,FALSE))</f>
        <v>63.125</v>
      </c>
      <c r="BD8">
        <f ca="1">IF(AND(ISNUMBER($BD$329),$B$294=1),$BD$329,HLOOKUP(INDIRECT(ADDRESS(2,COLUMN())),OFFSET($BN$2,0,0,ROW()-1,60),ROW()-1,FALSE))</f>
        <v>61.008000000000003</v>
      </c>
      <c r="BE8">
        <f ca="1">IF(AND(ISNUMBER($BE$329),$B$294=1),$BE$329,HLOOKUP(INDIRECT(ADDRESS(2,COLUMN())),OFFSET($BN$2,0,0,ROW()-1,60),ROW()-1,FALSE))</f>
        <v>59.012</v>
      </c>
      <c r="BF8">
        <f ca="1">IF(AND(ISNUMBER($BF$329),$B$294=1),$BF$329,HLOOKUP(INDIRECT(ADDRESS(2,COLUMN())),OFFSET($BN$2,0,0,ROW()-1,60),ROW()-1,FALSE))</f>
        <v>58.927999999999997</v>
      </c>
      <c r="BG8">
        <f ca="1">IF(AND(ISNUMBER($BG$329),$B$294=1),$BG$329,HLOOKUP(INDIRECT(ADDRESS(2,COLUMN())),OFFSET($BN$2,0,0,ROW()-1,60),ROW()-1,FALSE))</f>
        <v>56.960999999999999</v>
      </c>
      <c r="BH8">
        <f ca="1">IF(AND(ISNUMBER($BH$329),$B$294=1),$BH$329,HLOOKUP(INDIRECT(ADDRESS(2,COLUMN())),OFFSET($BN$2,0,0,ROW()-1,60),ROW()-1,FALSE))</f>
        <v>52.276000000000003</v>
      </c>
      <c r="BI8">
        <f ca="1">IF(AND(ISNUMBER($BI$329),$B$294=1),$BI$329,HLOOKUP(INDIRECT(ADDRESS(2,COLUMN())),OFFSET($BN$2,0,0,ROW()-1,60),ROW()-1,FALSE))</f>
        <v>53.892000000000003</v>
      </c>
      <c r="BJ8">
        <f ca="1">IF(AND(ISNUMBER($BJ$329),$B$294=1),$BJ$329,HLOOKUP(INDIRECT(ADDRESS(2,COLUMN())),OFFSET($BN$2,0,0,ROW()-1,60),ROW()-1,FALSE))</f>
        <v>48.970999999999997</v>
      </c>
      <c r="BK8">
        <f ca="1">IF(AND(ISNUMBER($BK$329),$B$294=1),$BK$329,HLOOKUP(INDIRECT(ADDRESS(2,COLUMN())),OFFSET($BN$2,0,0,ROW()-1,60),ROW()-1,FALSE))</f>
        <v>46.578998570000003</v>
      </c>
      <c r="BL8">
        <f ca="1">IF(AND(ISNUMBER($BL$329),$B$294=1),$BL$329,HLOOKUP(INDIRECT(ADDRESS(2,COLUMN())),OFFSET($BN$2,0,0,ROW()-1,60),ROW()-1,FALSE))</f>
        <v>45.448</v>
      </c>
      <c r="BM8">
        <f ca="1">IF(AND(ISNUMBER($BM$329),$B$294=1),$BM$329,HLOOKUP(INDIRECT(ADDRESS(2,COLUMN())),OFFSET($BN$2,0,0,ROW()-1,60),ROW()-1,FALSE))</f>
        <v>40.878</v>
      </c>
      <c r="BN8" t="str">
        <f>""</f>
        <v/>
      </c>
      <c r="BO8">
        <f>127.685</f>
        <v>127.685</v>
      </c>
      <c r="BP8">
        <f>127.231</f>
        <v>127.23099999999999</v>
      </c>
      <c r="BQ8">
        <f>128.297</f>
        <v>128.297</v>
      </c>
      <c r="BR8">
        <f>126.767</f>
        <v>126.767</v>
      </c>
      <c r="BS8">
        <f>127.999</f>
        <v>127.999</v>
      </c>
      <c r="BT8">
        <f>130.954</f>
        <v>130.95400000000001</v>
      </c>
      <c r="BU8">
        <f>133.924</f>
        <v>133.92400000000001</v>
      </c>
      <c r="BV8">
        <f>133.087</f>
        <v>133.08699999999999</v>
      </c>
      <c r="BW8">
        <f>134.477</f>
        <v>134.477</v>
      </c>
      <c r="BX8">
        <f>133.686</f>
        <v>133.68600000000001</v>
      </c>
      <c r="BY8">
        <f>128.191</f>
        <v>128.191</v>
      </c>
      <c r="BZ8">
        <f>122.71</f>
        <v>122.71</v>
      </c>
      <c r="CA8">
        <f>120.613</f>
        <v>120.613</v>
      </c>
      <c r="CB8">
        <f>118.276</f>
        <v>118.276</v>
      </c>
      <c r="CC8">
        <f>115.959</f>
        <v>115.959</v>
      </c>
      <c r="CD8">
        <f>124.877</f>
        <v>124.877</v>
      </c>
      <c r="CE8">
        <f>118.487</f>
        <v>118.48699999999999</v>
      </c>
      <c r="CF8">
        <f>114.821</f>
        <v>114.821</v>
      </c>
      <c r="CG8">
        <f>115.732</f>
        <v>115.732</v>
      </c>
      <c r="CH8">
        <f>111.957</f>
        <v>111.95699999999999</v>
      </c>
      <c r="CI8">
        <f>112.611</f>
        <v>112.611</v>
      </c>
      <c r="CJ8">
        <f>114.861</f>
        <v>114.861</v>
      </c>
      <c r="CK8">
        <f>110.669</f>
        <v>110.669</v>
      </c>
      <c r="CL8">
        <f>110.661</f>
        <v>110.661</v>
      </c>
      <c r="CM8">
        <f>111.483</f>
        <v>111.483</v>
      </c>
      <c r="CN8">
        <f>107.978</f>
        <v>107.97799999999999</v>
      </c>
      <c r="CO8">
        <f>109.019</f>
        <v>109.01900000000001</v>
      </c>
      <c r="CP8">
        <f>116.461</f>
        <v>116.461</v>
      </c>
      <c r="CQ8">
        <f>116.558</f>
        <v>116.55800000000001</v>
      </c>
      <c r="CR8">
        <f>111.074</f>
        <v>111.074</v>
      </c>
      <c r="CS8">
        <f>106.729</f>
        <v>106.729</v>
      </c>
      <c r="CT8">
        <f>112.228</f>
        <v>112.22799999999999</v>
      </c>
      <c r="CU8">
        <f>108.737</f>
        <v>108.73699999999999</v>
      </c>
      <c r="CV8">
        <f>104.132</f>
        <v>104.13200000000001</v>
      </c>
      <c r="CW8">
        <f>105.007</f>
        <v>105.00700000000001</v>
      </c>
      <c r="CX8">
        <f>106.108</f>
        <v>106.108</v>
      </c>
      <c r="CY8">
        <f>102.961</f>
        <v>102.961</v>
      </c>
      <c r="CZ8">
        <f>101.086</f>
        <v>101.086</v>
      </c>
      <c r="DA8">
        <f>97.946</f>
        <v>97.945999999999998</v>
      </c>
      <c r="DB8">
        <f>97.002</f>
        <v>97.001999999999995</v>
      </c>
      <c r="DC8">
        <f>91.967</f>
        <v>91.966999999999999</v>
      </c>
      <c r="DD8">
        <f>94.564</f>
        <v>94.563999999999993</v>
      </c>
      <c r="DE8">
        <f>90.374</f>
        <v>90.373999999999995</v>
      </c>
      <c r="DF8">
        <f>89.009</f>
        <v>89.009</v>
      </c>
      <c r="DG8">
        <f>76.718</f>
        <v>76.718000000000004</v>
      </c>
      <c r="DH8">
        <f>76.869</f>
        <v>76.869</v>
      </c>
      <c r="DI8">
        <f>70.769</f>
        <v>70.769000000000005</v>
      </c>
      <c r="DJ8">
        <f>69.222</f>
        <v>69.221999999999994</v>
      </c>
      <c r="DK8">
        <f>63.125</f>
        <v>63.125</v>
      </c>
      <c r="DL8">
        <f>61.008</f>
        <v>61.008000000000003</v>
      </c>
      <c r="DM8">
        <f>59.012</f>
        <v>59.012</v>
      </c>
      <c r="DN8">
        <f>58.928</f>
        <v>58.927999999999997</v>
      </c>
      <c r="DO8">
        <f>56.961</f>
        <v>56.960999999999999</v>
      </c>
      <c r="DP8">
        <f>52.276</f>
        <v>52.276000000000003</v>
      </c>
      <c r="DQ8">
        <f>53.892</f>
        <v>53.892000000000003</v>
      </c>
      <c r="DR8">
        <f>48.971</f>
        <v>48.970999999999997</v>
      </c>
      <c r="DS8">
        <f>46.57899857</f>
        <v>46.578998570000003</v>
      </c>
      <c r="DT8">
        <f>45.448</f>
        <v>45.448</v>
      </c>
      <c r="DU8">
        <f>40.878</f>
        <v>40.878</v>
      </c>
    </row>
    <row r="9" spans="1:125">
      <c r="A9" t="str">
        <f>"    Highwoods Properties Inc"</f>
        <v xml:space="preserve">    Highwoods Properties Inc</v>
      </c>
      <c r="B9" t="str">
        <f>"HIW US Equity"</f>
        <v>HIW US Equity</v>
      </c>
      <c r="C9" t="str">
        <f t="shared" si="0"/>
        <v>IS030</v>
      </c>
      <c r="D9" t="str">
        <f t="shared" si="1"/>
        <v>IS_RENT_INC</v>
      </c>
      <c r="E9" t="str">
        <f t="shared" si="2"/>
        <v>动态</v>
      </c>
      <c r="F9" t="str">
        <f ca="1">IF(AND(ISNUMBER($F$330),$B$294=1),$F$330,HLOOKUP(INDIRECT(ADDRESS(2,COLUMN())),OFFSET($BN$2,0,0,ROW()-1,60),ROW()-1,FALSE))</f>
        <v/>
      </c>
      <c r="G9">
        <f ca="1">IF(AND(ISNUMBER($G$330),$B$294=1),$G$330,HLOOKUP(INDIRECT(ADDRESS(2,COLUMN())),OFFSET($BN$2,0,0,ROW()-1,60),ROW()-1,FALSE))</f>
        <v>175.86099999999999</v>
      </c>
      <c r="H9">
        <f ca="1">IF(AND(ISNUMBER($H$330),$B$294=1),$H$330,HLOOKUP(INDIRECT(ADDRESS(2,COLUMN())),OFFSET($BN$2,0,0,ROW()-1,60),ROW()-1,FALSE))</f>
        <v>180.185</v>
      </c>
      <c r="I9">
        <f ca="1">IF(AND(ISNUMBER($I$330),$B$294=1),$I$330,HLOOKUP(INDIRECT(ADDRESS(2,COLUMN())),OFFSET($BN$2,0,0,ROW()-1,60),ROW()-1,FALSE))</f>
        <v>177.28299999999999</v>
      </c>
      <c r="J9">
        <f ca="1">IF(AND(ISNUMBER($J$330),$B$294=1),$J$330,HLOOKUP(INDIRECT(ADDRESS(2,COLUMN())),OFFSET($BN$2,0,0,ROW()-1,60),ROW()-1,FALSE))</f>
        <v>169.40799999999999</v>
      </c>
      <c r="K9">
        <f ca="1">IF(AND(ISNUMBER($K$330),$B$294=1),$K$330,HLOOKUP(INDIRECT(ADDRESS(2,COLUMN())),OFFSET($BN$2,0,0,ROW()-1,60),ROW()-1,FALSE))</f>
        <v>167.64599999999999</v>
      </c>
      <c r="L9">
        <f ca="1">IF(AND(ISNUMBER($L$330),$B$294=1),$L$330,HLOOKUP(INDIRECT(ADDRESS(2,COLUMN())),OFFSET($BN$2,0,0,ROW()-1,60),ROW()-1,FALSE))</f>
        <v>166.26900000000001</v>
      </c>
      <c r="M9">
        <f ca="1">IF(AND(ISNUMBER($M$330),$B$294=1),$M$330,HLOOKUP(INDIRECT(ADDRESS(2,COLUMN())),OFFSET($BN$2,0,0,ROW()-1,60),ROW()-1,FALSE))</f>
        <v>166.86</v>
      </c>
      <c r="N9">
        <f ca="1">IF(AND(ISNUMBER($N$330),$B$294=1),$N$330,HLOOKUP(INDIRECT(ADDRESS(2,COLUMN())),OFFSET($BN$2,0,0,ROW()-1,60),ROW()-1,FALSE))</f>
        <v>164.85900000000001</v>
      </c>
      <c r="O9">
        <f ca="1">IF(AND(ISNUMBER($O$330),$B$294=1),$O$330,HLOOKUP(INDIRECT(ADDRESS(2,COLUMN())),OFFSET($BN$2,0,0,ROW()-1,60),ROW()-1,FALSE))</f>
        <v>160.126</v>
      </c>
      <c r="P9">
        <f ca="1">IF(AND(ISNUMBER($P$330),$B$294=1),$P$330,HLOOKUP(INDIRECT(ADDRESS(2,COLUMN())),OFFSET($BN$2,0,0,ROW()-1,60),ROW()-1,FALSE))</f>
        <v>163.73599999999999</v>
      </c>
      <c r="Q9">
        <f ca="1">IF(AND(ISNUMBER($Q$330),$B$294=1),$Q$330,HLOOKUP(INDIRECT(ADDRESS(2,COLUMN())),OFFSET($BN$2,0,0,ROW()-1,60),ROW()-1,FALSE))</f>
        <v>148.54300000000001</v>
      </c>
      <c r="R9">
        <f ca="1">IF(AND(ISNUMBER($R$330),$B$294=1),$R$330,HLOOKUP(INDIRECT(ADDRESS(2,COLUMN())),OFFSET($BN$2,0,0,ROW()-1,60),ROW()-1,FALSE))</f>
        <v>157.31</v>
      </c>
      <c r="S9">
        <f ca="1">IF(AND(ISNUMBER($S$330),$B$294=1),$S$330,HLOOKUP(INDIRECT(ADDRESS(2,COLUMN())),OFFSET($BN$2,0,0,ROW()-1,60),ROW()-1,FALSE))</f>
        <v>140.72399999999999</v>
      </c>
      <c r="T9">
        <f ca="1">IF(AND(ISNUMBER($T$330),$B$294=1),$T$330,HLOOKUP(INDIRECT(ADDRESS(2,COLUMN())),OFFSET($BN$2,0,0,ROW()-1,60),ROW()-1,FALSE))</f>
        <v>152.62899999999999</v>
      </c>
      <c r="U9">
        <f ca="1">IF(AND(ISNUMBER($U$330),$B$294=1),$U$330,HLOOKUP(INDIRECT(ADDRESS(2,COLUMN())),OFFSET($BN$2,0,0,ROW()-1,60),ROW()-1,FALSE))</f>
        <v>152.72200000000001</v>
      </c>
      <c r="V9">
        <f ca="1">IF(AND(ISNUMBER($V$330),$B$294=1),$V$330,HLOOKUP(INDIRECT(ADDRESS(2,COLUMN())),OFFSET($BN$2,0,0,ROW()-1,60),ROW()-1,FALSE))</f>
        <v>148.453</v>
      </c>
      <c r="W9">
        <f ca="1">IF(AND(ISNUMBER($W$330),$B$294=1),$W$330,HLOOKUP(INDIRECT(ADDRESS(2,COLUMN())),OFFSET($BN$2,0,0,ROW()-1,60),ROW()-1,FALSE))</f>
        <v>148.988</v>
      </c>
      <c r="X9">
        <f ca="1">IF(AND(ISNUMBER($X$330),$B$294=1),$X$330,HLOOKUP(INDIRECT(ADDRESS(2,COLUMN())),OFFSET($BN$2,0,0,ROW()-1,60),ROW()-1,FALSE))</f>
        <v>144.827</v>
      </c>
      <c r="Y9">
        <f ca="1">IF(AND(ISNUMBER($Y$330),$B$294=1),$Y$330,HLOOKUP(INDIRECT(ADDRESS(2,COLUMN())),OFFSET($BN$2,0,0,ROW()-1,60),ROW()-1,FALSE))</f>
        <v>132.61799999999999</v>
      </c>
      <c r="Z9">
        <f ca="1">IF(AND(ISNUMBER($Z$330),$B$294=1),$Z$330,HLOOKUP(INDIRECT(ADDRESS(2,COLUMN())),OFFSET($BN$2,0,0,ROW()-1,60),ROW()-1,FALSE))</f>
        <v>130.37700000000001</v>
      </c>
      <c r="AA9">
        <f ca="1">IF(AND(ISNUMBER($AA$330),$B$294=1),$AA$330,HLOOKUP(INDIRECT(ADDRESS(2,COLUMN())),OFFSET($BN$2,0,0,ROW()-1,60),ROW()-1,FALSE))</f>
        <v>126.316</v>
      </c>
      <c r="AB9">
        <f ca="1">IF(AND(ISNUMBER($AB$330),$B$294=1),$AB$330,HLOOKUP(INDIRECT(ADDRESS(2,COLUMN())),OFFSET($BN$2,0,0,ROW()-1,60),ROW()-1,FALSE))</f>
        <v>123.41800000000001</v>
      </c>
      <c r="AC9">
        <f ca="1">IF(AND(ISNUMBER($AC$330),$B$294=1),$AC$330,HLOOKUP(INDIRECT(ADDRESS(2,COLUMN())),OFFSET($BN$2,0,0,ROW()-1,60),ROW()-1,FALSE))</f>
        <v>126.72799999999999</v>
      </c>
      <c r="AD9">
        <f ca="1">IF(AND(ISNUMBER($AD$330),$B$294=1),$AD$330,HLOOKUP(INDIRECT(ADDRESS(2,COLUMN())),OFFSET($BN$2,0,0,ROW()-1,60),ROW()-1,FALSE))</f>
        <v>124.89400000000001</v>
      </c>
      <c r="AE9">
        <f ca="1">IF(AND(ISNUMBER($AE$330),$B$294=1),$AE$330,HLOOKUP(INDIRECT(ADDRESS(2,COLUMN())),OFFSET($BN$2,0,0,ROW()-1,60),ROW()-1,FALSE))</f>
        <v>123.947</v>
      </c>
      <c r="AF9">
        <f ca="1">IF(AND(ISNUMBER($AF$330),$B$294=1),$AF$330,HLOOKUP(INDIRECT(ADDRESS(2,COLUMN())),OFFSET($BN$2,0,0,ROW()-1,60),ROW()-1,FALSE))</f>
        <v>117.265</v>
      </c>
      <c r="AG9">
        <f ca="1">IF(AND(ISNUMBER($AG$330),$B$294=1),$AG$330,HLOOKUP(INDIRECT(ADDRESS(2,COLUMN())),OFFSET($BN$2,0,0,ROW()-1,60),ROW()-1,FALSE))</f>
        <v>114.651</v>
      </c>
      <c r="AH9">
        <f ca="1">IF(AND(ISNUMBER($AH$330),$B$294=1),$AH$330,HLOOKUP(INDIRECT(ADDRESS(2,COLUMN())),OFFSET($BN$2,0,0,ROW()-1,60),ROW()-1,FALSE))</f>
        <v>114.351</v>
      </c>
      <c r="AI9">
        <f ca="1">IF(AND(ISNUMBER($AI$330),$B$294=1),$AI$330,HLOOKUP(INDIRECT(ADDRESS(2,COLUMN())),OFFSET($BN$2,0,0,ROW()-1,60),ROW()-1,FALSE))</f>
        <v>116.779</v>
      </c>
      <c r="AJ9">
        <f ca="1">IF(AND(ISNUMBER($AJ$330),$B$294=1),$AJ$330,HLOOKUP(INDIRECT(ADDRESS(2,COLUMN())),OFFSET($BN$2,0,0,ROW()-1,60),ROW()-1,FALSE))</f>
        <v>115.52800000000001</v>
      </c>
      <c r="AK9">
        <f ca="1">IF(AND(ISNUMBER($AK$330),$B$294=1),$AK$330,HLOOKUP(INDIRECT(ADDRESS(2,COLUMN())),OFFSET($BN$2,0,0,ROW()-1,60),ROW()-1,FALSE))</f>
        <v>113.765</v>
      </c>
      <c r="AL9">
        <f ca="1">IF(AND(ISNUMBER($AL$330),$B$294=1),$AL$330,HLOOKUP(INDIRECT(ADDRESS(2,COLUMN())),OFFSET($BN$2,0,0,ROW()-1,60),ROW()-1,FALSE))</f>
        <v>115.054</v>
      </c>
      <c r="AM9">
        <f ca="1">IF(AND(ISNUMBER($AM$330),$B$294=1),$AM$330,HLOOKUP(INDIRECT(ADDRESS(2,COLUMN())),OFFSET($BN$2,0,0,ROW()-1,60),ROW()-1,FALSE))</f>
        <v>112.709</v>
      </c>
      <c r="AN9">
        <f ca="1">IF(AND(ISNUMBER($AN$330),$B$294=1),$AN$330,HLOOKUP(INDIRECT(ADDRESS(2,COLUMN())),OFFSET($BN$2,0,0,ROW()-1,60),ROW()-1,FALSE))</f>
        <v>113.17</v>
      </c>
      <c r="AO9">
        <f ca="1">IF(AND(ISNUMBER($AO$330),$B$294=1),$AO$330,HLOOKUP(INDIRECT(ADDRESS(2,COLUMN())),OFFSET($BN$2,0,0,ROW()-1,60),ROW()-1,FALSE))</f>
        <v>111.914</v>
      </c>
      <c r="AP9">
        <f ca="1">IF(AND(ISNUMBER($AP$330),$B$294=1),$AP$330,HLOOKUP(INDIRECT(ADDRESS(2,COLUMN())),OFFSET($BN$2,0,0,ROW()-1,60),ROW()-1,FALSE))</f>
        <v>113.22</v>
      </c>
      <c r="AQ9">
        <f ca="1">IF(AND(ISNUMBER($AQ$330),$B$294=1),$AQ$330,HLOOKUP(INDIRECT(ADDRESS(2,COLUMN())),OFFSET($BN$2,0,0,ROW()-1,60),ROW()-1,FALSE))</f>
        <v>111.28</v>
      </c>
      <c r="AR9">
        <f ca="1">IF(AND(ISNUMBER($AR$330),$B$294=1),$AR$330,HLOOKUP(INDIRECT(ADDRESS(2,COLUMN())),OFFSET($BN$2,0,0,ROW()-1,60),ROW()-1,FALSE))</f>
        <v>112.755</v>
      </c>
      <c r="AS9">
        <f ca="1">IF(AND(ISNUMBER($AS$330),$B$294=1),$AS$330,HLOOKUP(INDIRECT(ADDRESS(2,COLUMN())),OFFSET($BN$2,0,0,ROW()-1,60),ROW()-1,FALSE))</f>
        <v>112.828</v>
      </c>
      <c r="AT9">
        <f ca="1">IF(AND(ISNUMBER($AT$330),$B$294=1),$AT$330,HLOOKUP(INDIRECT(ADDRESS(2,COLUMN())),OFFSET($BN$2,0,0,ROW()-1,60),ROW()-1,FALSE))</f>
        <v>113.428</v>
      </c>
      <c r="AU9">
        <f ca="1">IF(AND(ISNUMBER($AU$330),$B$294=1),$AU$330,HLOOKUP(INDIRECT(ADDRESS(2,COLUMN())),OFFSET($BN$2,0,0,ROW()-1,60),ROW()-1,FALSE))</f>
        <v>113.08199999999999</v>
      </c>
      <c r="AV9">
        <f ca="1">IF(AND(ISNUMBER($AV$330),$B$294=1),$AV$330,HLOOKUP(INDIRECT(ADDRESS(2,COLUMN())),OFFSET($BN$2,0,0,ROW()-1,60),ROW()-1,FALSE))</f>
        <v>107.58</v>
      </c>
      <c r="AW9">
        <f ca="1">IF(AND(ISNUMBER($AW$330),$B$294=1),$AW$330,HLOOKUP(INDIRECT(ADDRESS(2,COLUMN())),OFFSET($BN$2,0,0,ROW()-1,60),ROW()-1,FALSE))</f>
        <v>105.146</v>
      </c>
      <c r="AX9">
        <f ca="1">IF(AND(ISNUMBER($AX$330),$B$294=1),$AX$330,HLOOKUP(INDIRECT(ADDRESS(2,COLUMN())),OFFSET($BN$2,0,0,ROW()-1,60),ROW()-1,FALSE))</f>
        <v>106.108</v>
      </c>
      <c r="AY9">
        <f ca="1">IF(AND(ISNUMBER($AY$330),$B$294=1),$AY$330,HLOOKUP(INDIRECT(ADDRESS(2,COLUMN())),OFFSET($BN$2,0,0,ROW()-1,60),ROW()-1,FALSE))</f>
        <v>101.962</v>
      </c>
      <c r="AZ9">
        <f ca="1">IF(AND(ISNUMBER($AZ$330),$B$294=1),$AZ$330,HLOOKUP(INDIRECT(ADDRESS(2,COLUMN())),OFFSET($BN$2,0,0,ROW()-1,60),ROW()-1,FALSE))</f>
        <v>103.395</v>
      </c>
      <c r="BA9">
        <f ca="1">IF(AND(ISNUMBER($BA$330),$B$294=1),$BA$330,HLOOKUP(INDIRECT(ADDRESS(2,COLUMN())),OFFSET($BN$2,0,0,ROW()-1,60),ROW()-1,FALSE))</f>
        <v>102.837</v>
      </c>
      <c r="BB9">
        <f ca="1">IF(AND(ISNUMBER($BB$330),$B$294=1),$BB$330,HLOOKUP(INDIRECT(ADDRESS(2,COLUMN())),OFFSET($BN$2,0,0,ROW()-1,60),ROW()-1,FALSE))</f>
        <v>101.07899999999999</v>
      </c>
      <c r="BC9">
        <f ca="1">IF(AND(ISNUMBER($BC$330),$B$294=1),$BC$330,HLOOKUP(INDIRECT(ADDRESS(2,COLUMN())),OFFSET($BN$2,0,0,ROW()-1,60),ROW()-1,FALSE))</f>
        <v>92.62</v>
      </c>
      <c r="BD9">
        <f ca="1">IF(AND(ISNUMBER($BD$330),$B$294=1),$BD$330,HLOOKUP(INDIRECT(ADDRESS(2,COLUMN())),OFFSET($BN$2,0,0,ROW()-1,60),ROW()-1,FALSE))</f>
        <v>100.051</v>
      </c>
      <c r="BE9">
        <f ca="1">IF(AND(ISNUMBER($BE$330),$B$294=1),$BE$330,HLOOKUP(INDIRECT(ADDRESS(2,COLUMN())),OFFSET($BN$2,0,0,ROW()-1,60),ROW()-1,FALSE))</f>
        <v>101.238</v>
      </c>
      <c r="BF9">
        <f ca="1">IF(AND(ISNUMBER($BF$330),$B$294=1),$BF$330,HLOOKUP(INDIRECT(ADDRESS(2,COLUMN())),OFFSET($BN$2,0,0,ROW()-1,60),ROW()-1,FALSE))</f>
        <v>102.166</v>
      </c>
      <c r="BG9">
        <f ca="1">IF(AND(ISNUMBER($BG$330),$B$294=1),$BG$330,HLOOKUP(INDIRECT(ADDRESS(2,COLUMN())),OFFSET($BN$2,0,0,ROW()-1,60),ROW()-1,FALSE))</f>
        <v>77.676000000000002</v>
      </c>
      <c r="BH9">
        <f ca="1">IF(AND(ISNUMBER($BH$330),$B$294=1),$BH$330,HLOOKUP(INDIRECT(ADDRESS(2,COLUMN())),OFFSET($BN$2,0,0,ROW()-1,60),ROW()-1,FALSE))</f>
        <v>102.026</v>
      </c>
      <c r="BI9">
        <f ca="1">IF(AND(ISNUMBER($BI$330),$B$294=1),$BI$330,HLOOKUP(INDIRECT(ADDRESS(2,COLUMN())),OFFSET($BN$2,0,0,ROW()-1,60),ROW()-1,FALSE))</f>
        <v>106.508</v>
      </c>
      <c r="BJ9">
        <f ca="1">IF(AND(ISNUMBER($BJ$330),$B$294=1),$BJ$330,HLOOKUP(INDIRECT(ADDRESS(2,COLUMN())),OFFSET($BN$2,0,0,ROW()-1,60),ROW()-1,FALSE))</f>
        <v>117.92100000000001</v>
      </c>
      <c r="BK9" t="str">
        <f ca="1">IF(AND(ISNUMBER($BK$330),$B$294=1),$BK$330,HLOOKUP(INDIRECT(ADDRESS(2,COLUMN())),OFFSET($BN$2,0,0,ROW()-1,60),ROW()-1,FALSE))</f>
        <v/>
      </c>
      <c r="BL9">
        <f ca="1">IF(AND(ISNUMBER($BL$330),$B$294=1),$BL$330,HLOOKUP(INDIRECT(ADDRESS(2,COLUMN())),OFFSET($BN$2,0,0,ROW()-1,60),ROW()-1,FALSE))</f>
        <v>121.755</v>
      </c>
      <c r="BM9">
        <f ca="1">IF(AND(ISNUMBER($BM$330),$B$294=1),$BM$330,HLOOKUP(INDIRECT(ADDRESS(2,COLUMN())),OFFSET($BN$2,0,0,ROW()-1,60),ROW()-1,FALSE))</f>
        <v>126.221</v>
      </c>
      <c r="BN9" t="str">
        <f>""</f>
        <v/>
      </c>
      <c r="BO9">
        <f>175.861</f>
        <v>175.86099999999999</v>
      </c>
      <c r="BP9">
        <f>180.185</f>
        <v>180.185</v>
      </c>
      <c r="BQ9">
        <f>177.283</f>
        <v>177.28299999999999</v>
      </c>
      <c r="BR9">
        <f>169.408</f>
        <v>169.40799999999999</v>
      </c>
      <c r="BS9">
        <f>167.646</f>
        <v>167.64599999999999</v>
      </c>
      <c r="BT9">
        <f>166.269</f>
        <v>166.26900000000001</v>
      </c>
      <c r="BU9">
        <f>166.86</f>
        <v>166.86</v>
      </c>
      <c r="BV9">
        <f>164.859</f>
        <v>164.85900000000001</v>
      </c>
      <c r="BW9">
        <f>160.126</f>
        <v>160.126</v>
      </c>
      <c r="BX9">
        <f>163.736</f>
        <v>163.73599999999999</v>
      </c>
      <c r="BY9">
        <f>148.543</f>
        <v>148.54300000000001</v>
      </c>
      <c r="BZ9">
        <f>157.31</f>
        <v>157.31</v>
      </c>
      <c r="CA9">
        <f>140.724</f>
        <v>140.72399999999999</v>
      </c>
      <c r="CB9">
        <f>152.629</f>
        <v>152.62899999999999</v>
      </c>
      <c r="CC9">
        <f>152.722</f>
        <v>152.72200000000001</v>
      </c>
      <c r="CD9">
        <f>148.453</f>
        <v>148.453</v>
      </c>
      <c r="CE9">
        <f>148.988</f>
        <v>148.988</v>
      </c>
      <c r="CF9">
        <f>144.827</f>
        <v>144.827</v>
      </c>
      <c r="CG9">
        <f>132.618</f>
        <v>132.61799999999999</v>
      </c>
      <c r="CH9">
        <f>130.377</f>
        <v>130.37700000000001</v>
      </c>
      <c r="CI9">
        <f>126.316</f>
        <v>126.316</v>
      </c>
      <c r="CJ9">
        <f>123.418</f>
        <v>123.41800000000001</v>
      </c>
      <c r="CK9">
        <f>126.728</f>
        <v>126.72799999999999</v>
      </c>
      <c r="CL9">
        <f>124.894</f>
        <v>124.89400000000001</v>
      </c>
      <c r="CM9">
        <f>123.947</f>
        <v>123.947</v>
      </c>
      <c r="CN9">
        <f>117.265</f>
        <v>117.265</v>
      </c>
      <c r="CO9">
        <f>114.651</f>
        <v>114.651</v>
      </c>
      <c r="CP9">
        <f>114.351</f>
        <v>114.351</v>
      </c>
      <c r="CQ9">
        <f>116.779</f>
        <v>116.779</v>
      </c>
      <c r="CR9">
        <f>115.528</f>
        <v>115.52800000000001</v>
      </c>
      <c r="CS9">
        <f>113.765</f>
        <v>113.765</v>
      </c>
      <c r="CT9">
        <f>115.054</f>
        <v>115.054</v>
      </c>
      <c r="CU9">
        <f>112.709</f>
        <v>112.709</v>
      </c>
      <c r="CV9">
        <f>113.17</f>
        <v>113.17</v>
      </c>
      <c r="CW9">
        <f>111.914</f>
        <v>111.914</v>
      </c>
      <c r="CX9">
        <f>113.22</f>
        <v>113.22</v>
      </c>
      <c r="CY9">
        <f>111.28</f>
        <v>111.28</v>
      </c>
      <c r="CZ9">
        <f>112.755</f>
        <v>112.755</v>
      </c>
      <c r="DA9">
        <f>112.828</f>
        <v>112.828</v>
      </c>
      <c r="DB9">
        <f>113.428</f>
        <v>113.428</v>
      </c>
      <c r="DC9">
        <f>113.082</f>
        <v>113.08199999999999</v>
      </c>
      <c r="DD9">
        <f>107.58</f>
        <v>107.58</v>
      </c>
      <c r="DE9">
        <f>105.146</f>
        <v>105.146</v>
      </c>
      <c r="DF9">
        <f>106.108</f>
        <v>106.108</v>
      </c>
      <c r="DG9">
        <f>101.962</f>
        <v>101.962</v>
      </c>
      <c r="DH9">
        <f>103.395</f>
        <v>103.395</v>
      </c>
      <c r="DI9">
        <f>102.837</f>
        <v>102.837</v>
      </c>
      <c r="DJ9">
        <f>101.079</f>
        <v>101.07899999999999</v>
      </c>
      <c r="DK9">
        <f>92.62</f>
        <v>92.62</v>
      </c>
      <c r="DL9">
        <f>100.051</f>
        <v>100.051</v>
      </c>
      <c r="DM9">
        <f>101.238</f>
        <v>101.238</v>
      </c>
      <c r="DN9">
        <f>102.166</f>
        <v>102.166</v>
      </c>
      <c r="DO9">
        <f>77.676</f>
        <v>77.676000000000002</v>
      </c>
      <c r="DP9">
        <f>102.026</f>
        <v>102.026</v>
      </c>
      <c r="DQ9">
        <f>106.508</f>
        <v>106.508</v>
      </c>
      <c r="DR9">
        <f>117.921</f>
        <v>117.92100000000001</v>
      </c>
      <c r="DS9" t="str">
        <f>""</f>
        <v/>
      </c>
      <c r="DT9">
        <f>121.755</f>
        <v>121.755</v>
      </c>
      <c r="DU9">
        <f>126.221</f>
        <v>126.221</v>
      </c>
    </row>
    <row r="10" spans="1:125">
      <c r="A10" t="str">
        <f>"    Kilroy Realty Corp"</f>
        <v xml:space="preserve">    Kilroy Realty Corp</v>
      </c>
      <c r="B10" t="str">
        <f>"KRC US Equity"</f>
        <v>KRC US Equity</v>
      </c>
      <c r="C10" t="str">
        <f t="shared" si="0"/>
        <v>IS030</v>
      </c>
      <c r="D10" t="str">
        <f t="shared" si="1"/>
        <v>IS_RENT_INC</v>
      </c>
      <c r="E10" t="str">
        <f t="shared" si="2"/>
        <v>动态</v>
      </c>
      <c r="F10" t="str">
        <f ca="1">IF(AND(ISNUMBER($F$331),$B$294=1),$F$331,HLOOKUP(INDIRECT(ADDRESS(2,COLUMN())),OFFSET($BN$2,0,0,ROW()-1,60),ROW()-1,FALSE))</f>
        <v/>
      </c>
      <c r="G10">
        <f ca="1">IF(AND(ISNUMBER($G$331),$B$294=1),$G$331,HLOOKUP(INDIRECT(ADDRESS(2,COLUMN())),OFFSET($BN$2,0,0,ROW()-1,60),ROW()-1,FALSE))</f>
        <v>176.7</v>
      </c>
      <c r="H10">
        <f ca="1">IF(AND(ISNUMBER($H$331),$B$294=1),$H$331,HLOOKUP(INDIRECT(ADDRESS(2,COLUMN())),OFFSET($BN$2,0,0,ROW()-1,60),ROW()-1,FALSE))</f>
        <v>179.619</v>
      </c>
      <c r="I10">
        <f ca="1">IF(AND(ISNUMBER($I$331),$B$294=1),$I$331,HLOOKUP(INDIRECT(ADDRESS(2,COLUMN())),OFFSET($BN$2,0,0,ROW()-1,60),ROW()-1,FALSE))</f>
        <v>178.19200000000001</v>
      </c>
      <c r="J10">
        <f ca="1">IF(AND(ISNUMBER($J$331),$B$294=1),$J$331,HLOOKUP(INDIRECT(ADDRESS(2,COLUMN())),OFFSET($BN$2,0,0,ROW()-1,60),ROW()-1,FALSE))</f>
        <v>175.94399999999999</v>
      </c>
      <c r="K10">
        <f ca="1">IF(AND(ISNUMBER($K$331),$B$294=1),$K$331,HLOOKUP(INDIRECT(ADDRESS(2,COLUMN())),OFFSET($BN$2,0,0,ROW()-1,60),ROW()-1,FALSE))</f>
        <v>167.59700000000001</v>
      </c>
      <c r="L10">
        <f ca="1">IF(AND(ISNUMBER($L$331),$B$294=1),$L$331,HLOOKUP(INDIRECT(ADDRESS(2,COLUMN())),OFFSET($BN$2,0,0,ROW()-1,60),ROW()-1,FALSE))</f>
        <v>162.94499999999999</v>
      </c>
      <c r="M10">
        <f ca="1">IF(AND(ISNUMBER($M$331),$B$294=1),$M$331,HLOOKUP(INDIRECT(ADDRESS(2,COLUMN())),OFFSET($BN$2,0,0,ROW()-1,60),ROW()-1,FALSE))</f>
        <v>159.791</v>
      </c>
      <c r="N10">
        <f ca="1">IF(AND(ISNUMBER($N$331),$B$294=1),$N$331,HLOOKUP(INDIRECT(ADDRESS(2,COLUMN())),OFFSET($BN$2,0,0,ROW()-1,60),ROW()-1,FALSE))</f>
        <v>145.15899999999999</v>
      </c>
      <c r="O10">
        <f ca="1">IF(AND(ISNUMBER($O$331),$B$294=1),$O$331,HLOOKUP(INDIRECT(ADDRESS(2,COLUMN())),OFFSET($BN$2,0,0,ROW()-1,60),ROW()-1,FALSE))</f>
        <v>146.95699999999999</v>
      </c>
      <c r="P10">
        <f ca="1">IF(AND(ISNUMBER($P$331),$B$294=1),$P$331,HLOOKUP(INDIRECT(ADDRESS(2,COLUMN())),OFFSET($BN$2,0,0,ROW()-1,60),ROW()-1,FALSE))</f>
        <v>141.191</v>
      </c>
      <c r="Q10">
        <f ca="1">IF(AND(ISNUMBER($Q$331),$B$294=1),$Q$331,HLOOKUP(INDIRECT(ADDRESS(2,COLUMN())),OFFSET($BN$2,0,0,ROW()-1,60),ROW()-1,FALSE))</f>
        <v>145.624</v>
      </c>
      <c r="R10">
        <f ca="1">IF(AND(ISNUMBER($R$331),$B$294=1),$R$331,HLOOKUP(INDIRECT(ADDRESS(2,COLUMN())),OFFSET($BN$2,0,0,ROW()-1,60),ROW()-1,FALSE))</f>
        <v>145.357</v>
      </c>
      <c r="S10">
        <f ca="1">IF(AND(ISNUMBER($S$331),$B$294=1),$S$331,HLOOKUP(INDIRECT(ADDRESS(2,COLUMN())),OFFSET($BN$2,0,0,ROW()-1,60),ROW()-1,FALSE))</f>
        <v>140.73500000000001</v>
      </c>
      <c r="T10">
        <f ca="1">IF(AND(ISNUMBER($T$331),$B$294=1),$T$331,HLOOKUP(INDIRECT(ADDRESS(2,COLUMN())),OFFSET($BN$2,0,0,ROW()-1,60),ROW()-1,FALSE))</f>
        <v>126.56699999999999</v>
      </c>
      <c r="U10">
        <f ca="1">IF(AND(ISNUMBER($U$331),$B$294=1),$U$331,HLOOKUP(INDIRECT(ADDRESS(2,COLUMN())),OFFSET($BN$2,0,0,ROW()-1,60),ROW()-1,FALSE))</f>
        <v>124.126</v>
      </c>
      <c r="V10">
        <f ca="1">IF(AND(ISNUMBER($V$331),$B$294=1),$V$331,HLOOKUP(INDIRECT(ADDRESS(2,COLUMN())),OFFSET($BN$2,0,0,ROW()-1,60),ROW()-1,FALSE))</f>
        <v>121.617</v>
      </c>
      <c r="W10">
        <f ca="1">IF(AND(ISNUMBER($W$331),$B$294=1),$W$331,HLOOKUP(INDIRECT(ADDRESS(2,COLUMN())),OFFSET($BN$2,0,0,ROW()-1,60),ROW()-1,FALSE))</f>
        <v>118.023</v>
      </c>
      <c r="X10">
        <f ca="1">IF(AND(ISNUMBER($X$331),$B$294=1),$X$331,HLOOKUP(INDIRECT(ADDRESS(2,COLUMN())),OFFSET($BN$2,0,0,ROW()-1,60),ROW()-1,FALSE))</f>
        <v>112.937</v>
      </c>
      <c r="Y10">
        <f ca="1">IF(AND(ISNUMBER($Y$331),$B$294=1),$Y$331,HLOOKUP(INDIRECT(ADDRESS(2,COLUMN())),OFFSET($BN$2,0,0,ROW()-1,60),ROW()-1,FALSE))</f>
        <v>112.102</v>
      </c>
      <c r="Z10">
        <f ca="1">IF(AND(ISNUMBER($Z$331),$B$294=1),$Z$331,HLOOKUP(INDIRECT(ADDRESS(2,COLUMN())),OFFSET($BN$2,0,0,ROW()-1,60),ROW()-1,FALSE))</f>
        <v>110.73699999999999</v>
      </c>
      <c r="AA10">
        <f ca="1">IF(AND(ISNUMBER($AA$331),$B$294=1),$AA$331,HLOOKUP(INDIRECT(ADDRESS(2,COLUMN())),OFFSET($BN$2,0,0,ROW()-1,60),ROW()-1,FALSE))</f>
        <v>109.65</v>
      </c>
      <c r="AB10">
        <f ca="1">IF(AND(ISNUMBER($AB$331),$B$294=1),$AB$331,HLOOKUP(INDIRECT(ADDRESS(2,COLUMN())),OFFSET($BN$2,0,0,ROW()-1,60),ROW()-1,FALSE))</f>
        <v>98.85</v>
      </c>
      <c r="AC10">
        <f ca="1">IF(AND(ISNUMBER($AC$331),$B$294=1),$AC$331,HLOOKUP(INDIRECT(ADDRESS(2,COLUMN())),OFFSET($BN$2,0,0,ROW()-1,60),ROW()-1,FALSE))</f>
        <v>96.575999999999993</v>
      </c>
      <c r="AD10">
        <f ca="1">IF(AND(ISNUMBER($AD$331),$B$294=1),$AD$331,HLOOKUP(INDIRECT(ADDRESS(2,COLUMN())),OFFSET($BN$2,0,0,ROW()-1,60),ROW()-1,FALSE))</f>
        <v>91.528999999999996</v>
      </c>
      <c r="AE10">
        <f ca="1">IF(AND(ISNUMBER($AE$331),$B$294=1),$AE$331,HLOOKUP(INDIRECT(ADDRESS(2,COLUMN())),OFFSET($BN$2,0,0,ROW()-1,60),ROW()-1,FALSE))</f>
        <v>89.828000000000003</v>
      </c>
      <c r="AF10">
        <f ca="1">IF(AND(ISNUMBER($AF$331),$B$294=1),$AF$331,HLOOKUP(INDIRECT(ADDRESS(2,COLUMN())),OFFSET($BN$2,0,0,ROW()-1,60),ROW()-1,FALSE))</f>
        <v>86.06</v>
      </c>
      <c r="AG10">
        <f ca="1">IF(AND(ISNUMBER($AG$331),$B$294=1),$AG$331,HLOOKUP(INDIRECT(ADDRESS(2,COLUMN())),OFFSET($BN$2,0,0,ROW()-1,60),ROW()-1,FALSE))</f>
        <v>87.287999999999997</v>
      </c>
      <c r="AH10">
        <f ca="1">IF(AND(ISNUMBER($AH$331),$B$294=1),$AH$331,HLOOKUP(INDIRECT(ADDRESS(2,COLUMN())),OFFSET($BN$2,0,0,ROW()-1,60),ROW()-1,FALSE))</f>
        <v>83.019000000000005</v>
      </c>
      <c r="AI10">
        <f ca="1">IF(AND(ISNUMBER($AI$331),$B$294=1),$AI$331,HLOOKUP(INDIRECT(ADDRESS(2,COLUMN())),OFFSET($BN$2,0,0,ROW()-1,60),ROW()-1,FALSE))</f>
        <v>78.688000000000002</v>
      </c>
      <c r="AJ10">
        <f ca="1">IF(AND(ISNUMBER($AJ$331),$B$294=1),$AJ$331,HLOOKUP(INDIRECT(ADDRESS(2,COLUMN())),OFFSET($BN$2,0,0,ROW()-1,60),ROW()-1,FALSE))</f>
        <v>78.290999999999997</v>
      </c>
      <c r="AK10">
        <f ca="1">IF(AND(ISNUMBER($AK$331),$B$294=1),$AK$331,HLOOKUP(INDIRECT(ADDRESS(2,COLUMN())),OFFSET($BN$2,0,0,ROW()-1,60),ROW()-1,FALSE))</f>
        <v>71.521000000000001</v>
      </c>
      <c r="AL10">
        <f ca="1">IF(AND(ISNUMBER($AL$331),$B$294=1),$AL$331,HLOOKUP(INDIRECT(ADDRESS(2,COLUMN())),OFFSET($BN$2,0,0,ROW()-1,60),ROW()-1,FALSE))</f>
        <v>66.373999999999995</v>
      </c>
      <c r="AM10">
        <f ca="1">IF(AND(ISNUMBER($AM$331),$B$294=1),$AM$331,HLOOKUP(INDIRECT(ADDRESS(2,COLUMN())),OFFSET($BN$2,0,0,ROW()-1,60),ROW()-1,FALSE))</f>
        <v>66.867000000000004</v>
      </c>
      <c r="AN10">
        <f ca="1">IF(AND(ISNUMBER($AN$331),$B$294=1),$AN$331,HLOOKUP(INDIRECT(ADDRESS(2,COLUMN())),OFFSET($BN$2,0,0,ROW()-1,60),ROW()-1,FALSE))</f>
        <v>68.14</v>
      </c>
      <c r="AO10">
        <f ca="1">IF(AND(ISNUMBER($AO$331),$B$294=1),$AO$331,HLOOKUP(INDIRECT(ADDRESS(2,COLUMN())),OFFSET($BN$2,0,0,ROW()-1,60),ROW()-1,FALSE))</f>
        <v>70.001000000000005</v>
      </c>
      <c r="AP10">
        <f ca="1">IF(AND(ISNUMBER($AP$331),$B$294=1),$AP$331,HLOOKUP(INDIRECT(ADDRESS(2,COLUMN())),OFFSET($BN$2,0,0,ROW()-1,60),ROW()-1,FALSE))</f>
        <v>70.716999999999999</v>
      </c>
      <c r="AQ10">
        <f ca="1">IF(AND(ISNUMBER($AQ$331),$B$294=1),$AQ$331,HLOOKUP(INDIRECT(ADDRESS(2,COLUMN())),OFFSET($BN$2,0,0,ROW()-1,60),ROW()-1,FALSE))</f>
        <v>71.480999999999995</v>
      </c>
      <c r="AR10">
        <f ca="1">IF(AND(ISNUMBER($AR$331),$B$294=1),$AR$331,HLOOKUP(INDIRECT(ADDRESS(2,COLUMN())),OFFSET($BN$2,0,0,ROW()-1,60),ROW()-1,FALSE))</f>
        <v>71.661000000000001</v>
      </c>
      <c r="AS10">
        <f ca="1">IF(AND(ISNUMBER($AS$331),$B$294=1),$AS$331,HLOOKUP(INDIRECT(ADDRESS(2,COLUMN())),OFFSET($BN$2,0,0,ROW()-1,60),ROW()-1,FALSE))</f>
        <v>69.019000000000005</v>
      </c>
      <c r="AT10">
        <f ca="1">IF(AND(ISNUMBER($AT$331),$B$294=1),$AT$331,HLOOKUP(INDIRECT(ADDRESS(2,COLUMN())),OFFSET($BN$2,0,0,ROW()-1,60),ROW()-1,FALSE))</f>
        <v>70.498000000000005</v>
      </c>
      <c r="AU10">
        <f ca="1">IF(AND(ISNUMBER($AU$331),$B$294=1),$AU$331,HLOOKUP(INDIRECT(ADDRESS(2,COLUMN())),OFFSET($BN$2,0,0,ROW()-1,60),ROW()-1,FALSE))</f>
        <v>65.415000000000006</v>
      </c>
      <c r="AV10">
        <f ca="1">IF(AND(ISNUMBER($AV$331),$B$294=1),$AV$331,HLOOKUP(INDIRECT(ADDRESS(2,COLUMN())),OFFSET($BN$2,0,0,ROW()-1,60),ROW()-1,FALSE))</f>
        <v>64.988</v>
      </c>
      <c r="AW10">
        <f ca="1">IF(AND(ISNUMBER($AW$331),$B$294=1),$AW$331,HLOOKUP(INDIRECT(ADDRESS(2,COLUMN())),OFFSET($BN$2,0,0,ROW()-1,60),ROW()-1,FALSE))</f>
        <v>60.23</v>
      </c>
      <c r="AX10">
        <f ca="1">IF(AND(ISNUMBER($AX$331),$B$294=1),$AX$331,HLOOKUP(INDIRECT(ADDRESS(2,COLUMN())),OFFSET($BN$2,0,0,ROW()-1,60),ROW()-1,FALSE))</f>
        <v>60.329000000000001</v>
      </c>
      <c r="AY10">
        <f ca="1">IF(AND(ISNUMBER($AY$331),$B$294=1),$AY$331,HLOOKUP(INDIRECT(ADDRESS(2,COLUMN())),OFFSET($BN$2,0,0,ROW()-1,60),ROW()-1,FALSE))</f>
        <v>55.902999999999999</v>
      </c>
      <c r="AZ10">
        <f ca="1">IF(AND(ISNUMBER($AZ$331),$B$294=1),$AZ$331,HLOOKUP(INDIRECT(ADDRESS(2,COLUMN())),OFFSET($BN$2,0,0,ROW()-1,60),ROW()-1,FALSE))</f>
        <v>62.14</v>
      </c>
      <c r="BA10">
        <f ca="1">IF(AND(ISNUMBER($BA$331),$B$294=1),$BA$331,HLOOKUP(INDIRECT(ADDRESS(2,COLUMN())),OFFSET($BN$2,0,0,ROW()-1,60),ROW()-1,FALSE))</f>
        <v>62.411999999999999</v>
      </c>
      <c r="BB10">
        <f ca="1">IF(AND(ISNUMBER($BB$331),$B$294=1),$BB$331,HLOOKUP(INDIRECT(ADDRESS(2,COLUMN())),OFFSET($BN$2,0,0,ROW()-1,60),ROW()-1,FALSE))</f>
        <v>61.085999999999999</v>
      </c>
      <c r="BC10">
        <f ca="1">IF(AND(ISNUMBER($BC$331),$B$294=1),$BC$331,HLOOKUP(INDIRECT(ADDRESS(2,COLUMN())),OFFSET($BN$2,0,0,ROW()-1,60),ROW()-1,FALSE))</f>
        <v>58.258000000000003</v>
      </c>
      <c r="BD10">
        <f ca="1">IF(AND(ISNUMBER($BD$331),$B$294=1),$BD$331,HLOOKUP(INDIRECT(ADDRESS(2,COLUMN())),OFFSET($BN$2,0,0,ROW()-1,60),ROW()-1,FALSE))</f>
        <v>59.107999999999997</v>
      </c>
      <c r="BE10">
        <f ca="1">IF(AND(ISNUMBER($BE$331),$B$294=1),$BE$331,HLOOKUP(INDIRECT(ADDRESS(2,COLUMN())),OFFSET($BN$2,0,0,ROW()-1,60),ROW()-1,FALSE))</f>
        <v>59.795000000000002</v>
      </c>
      <c r="BF10">
        <f ca="1">IF(AND(ISNUMBER($BF$331),$B$294=1),$BF$331,HLOOKUP(INDIRECT(ADDRESS(2,COLUMN())),OFFSET($BN$2,0,0,ROW()-1,60),ROW()-1,FALSE))</f>
        <v>59.194000000000003</v>
      </c>
      <c r="BG10">
        <f ca="1">IF(AND(ISNUMBER($BG$331),$B$294=1),$BG$331,HLOOKUP(INDIRECT(ADDRESS(2,COLUMN())),OFFSET($BN$2,0,0,ROW()-1,60),ROW()-1,FALSE))</f>
        <v>57.006</v>
      </c>
      <c r="BH10">
        <f ca="1">IF(AND(ISNUMBER($BH$331),$B$294=1),$BH$331,HLOOKUP(INDIRECT(ADDRESS(2,COLUMN())),OFFSET($BN$2,0,0,ROW()-1,60),ROW()-1,FALSE))</f>
        <v>54.771999999999998</v>
      </c>
      <c r="BI10">
        <f ca="1">IF(AND(ISNUMBER($BI$331),$B$294=1),$BI$331,HLOOKUP(INDIRECT(ADDRESS(2,COLUMN())),OFFSET($BN$2,0,0,ROW()-1,60),ROW()-1,FALSE))</f>
        <v>54.347000000000001</v>
      </c>
      <c r="BJ10">
        <f ca="1">IF(AND(ISNUMBER($BJ$331),$B$294=1),$BJ$331,HLOOKUP(INDIRECT(ADDRESS(2,COLUMN())),OFFSET($BN$2,0,0,ROW()-1,60),ROW()-1,FALSE))</f>
        <v>53.554000000000002</v>
      </c>
      <c r="BK10">
        <f ca="1">IF(AND(ISNUMBER($BK$331),$B$294=1),$BK$331,HLOOKUP(INDIRECT(ADDRESS(2,COLUMN())),OFFSET($BN$2,0,0,ROW()-1,60),ROW()-1,FALSE))</f>
        <v>52.298999790000003</v>
      </c>
      <c r="BL10">
        <f ca="1">IF(AND(ISNUMBER($BL$331),$B$294=1),$BL$331,HLOOKUP(INDIRECT(ADDRESS(2,COLUMN())),OFFSET($BN$2,0,0,ROW()-1,60),ROW()-1,FALSE))</f>
        <v>50.341999999999999</v>
      </c>
      <c r="BM10">
        <f ca="1">IF(AND(ISNUMBER($BM$331),$B$294=1),$BM$331,HLOOKUP(INDIRECT(ADDRESS(2,COLUMN())),OFFSET($BN$2,0,0,ROW()-1,60),ROW()-1,FALSE))</f>
        <v>48.408999999999999</v>
      </c>
      <c r="BN10" t="str">
        <f>""</f>
        <v/>
      </c>
      <c r="BO10">
        <f>176.7</f>
        <v>176.7</v>
      </c>
      <c r="BP10">
        <f>179.619</f>
        <v>179.619</v>
      </c>
      <c r="BQ10">
        <f>178.192</f>
        <v>178.19200000000001</v>
      </c>
      <c r="BR10">
        <f>175.944</f>
        <v>175.94399999999999</v>
      </c>
      <c r="BS10">
        <f>167.597</f>
        <v>167.59700000000001</v>
      </c>
      <c r="BT10">
        <f>162.945</f>
        <v>162.94499999999999</v>
      </c>
      <c r="BU10">
        <f>159.791</f>
        <v>159.791</v>
      </c>
      <c r="BV10">
        <f>145.159</f>
        <v>145.15899999999999</v>
      </c>
      <c r="BW10">
        <f>146.957</f>
        <v>146.95699999999999</v>
      </c>
      <c r="BX10">
        <f>141.191</f>
        <v>141.191</v>
      </c>
      <c r="BY10">
        <f>145.624</f>
        <v>145.624</v>
      </c>
      <c r="BZ10">
        <f>145.357</f>
        <v>145.357</v>
      </c>
      <c r="CA10">
        <f>140.735</f>
        <v>140.73500000000001</v>
      </c>
      <c r="CB10">
        <f>126.567</f>
        <v>126.56699999999999</v>
      </c>
      <c r="CC10">
        <f>124.126</f>
        <v>124.126</v>
      </c>
      <c r="CD10">
        <f>121.617</f>
        <v>121.617</v>
      </c>
      <c r="CE10">
        <f>118.023</f>
        <v>118.023</v>
      </c>
      <c r="CF10">
        <f>112.937</f>
        <v>112.937</v>
      </c>
      <c r="CG10">
        <f>112.102</f>
        <v>112.102</v>
      </c>
      <c r="CH10">
        <f>110.737</f>
        <v>110.73699999999999</v>
      </c>
      <c r="CI10">
        <f>109.65</f>
        <v>109.65</v>
      </c>
      <c r="CJ10">
        <f>98.85</f>
        <v>98.85</v>
      </c>
      <c r="CK10">
        <f>96.576</f>
        <v>96.575999999999993</v>
      </c>
      <c r="CL10">
        <f>91.529</f>
        <v>91.528999999999996</v>
      </c>
      <c r="CM10">
        <f>89.828</f>
        <v>89.828000000000003</v>
      </c>
      <c r="CN10">
        <f>86.06</f>
        <v>86.06</v>
      </c>
      <c r="CO10">
        <f>87.288</f>
        <v>87.287999999999997</v>
      </c>
      <c r="CP10">
        <f>83.019</f>
        <v>83.019000000000005</v>
      </c>
      <c r="CQ10">
        <f>78.688</f>
        <v>78.688000000000002</v>
      </c>
      <c r="CR10">
        <f>78.291</f>
        <v>78.290999999999997</v>
      </c>
      <c r="CS10">
        <f>71.521</f>
        <v>71.521000000000001</v>
      </c>
      <c r="CT10">
        <f>66.374</f>
        <v>66.373999999999995</v>
      </c>
      <c r="CU10">
        <f>66.867</f>
        <v>66.867000000000004</v>
      </c>
      <c r="CV10">
        <f>68.14</f>
        <v>68.14</v>
      </c>
      <c r="CW10">
        <f>70.001</f>
        <v>70.001000000000005</v>
      </c>
      <c r="CX10">
        <f>70.717</f>
        <v>70.716999999999999</v>
      </c>
      <c r="CY10">
        <f>71.481</f>
        <v>71.480999999999995</v>
      </c>
      <c r="CZ10">
        <f>71.661</f>
        <v>71.661000000000001</v>
      </c>
      <c r="DA10">
        <f>69.019</f>
        <v>69.019000000000005</v>
      </c>
      <c r="DB10">
        <f>70.498</f>
        <v>70.498000000000005</v>
      </c>
      <c r="DC10">
        <f>65.415</f>
        <v>65.415000000000006</v>
      </c>
      <c r="DD10">
        <f>64.988</f>
        <v>64.988</v>
      </c>
      <c r="DE10">
        <f>60.23</f>
        <v>60.23</v>
      </c>
      <c r="DF10">
        <f>60.329</f>
        <v>60.329000000000001</v>
      </c>
      <c r="DG10">
        <f>55.903</f>
        <v>55.902999999999999</v>
      </c>
      <c r="DH10">
        <f>62.14</f>
        <v>62.14</v>
      </c>
      <c r="DI10">
        <f>62.412</f>
        <v>62.411999999999999</v>
      </c>
      <c r="DJ10">
        <f>61.086</f>
        <v>61.085999999999999</v>
      </c>
      <c r="DK10">
        <f>58.258</f>
        <v>58.258000000000003</v>
      </c>
      <c r="DL10">
        <f>59.108</f>
        <v>59.107999999999997</v>
      </c>
      <c r="DM10">
        <f>59.795</f>
        <v>59.795000000000002</v>
      </c>
      <c r="DN10">
        <f>59.194</f>
        <v>59.194000000000003</v>
      </c>
      <c r="DO10">
        <f>57.006</f>
        <v>57.006</v>
      </c>
      <c r="DP10">
        <f>54.772</f>
        <v>54.771999999999998</v>
      </c>
      <c r="DQ10">
        <f>54.347</f>
        <v>54.347000000000001</v>
      </c>
      <c r="DR10">
        <f>53.554</f>
        <v>53.554000000000002</v>
      </c>
      <c r="DS10">
        <f>52.29899979</f>
        <v>52.298999790000003</v>
      </c>
      <c r="DT10">
        <f>50.342</f>
        <v>50.341999999999999</v>
      </c>
      <c r="DU10">
        <f>48.409</f>
        <v>48.408999999999999</v>
      </c>
    </row>
    <row r="11" spans="1:125">
      <c r="A11" t="str">
        <f>"    Mack-Cali Realty Corp"</f>
        <v xml:space="preserve">    Mack-Cali Realty Corp</v>
      </c>
      <c r="B11" t="str">
        <f>"CLI US Equity"</f>
        <v>CLI US Equity</v>
      </c>
      <c r="C11" t="str">
        <f t="shared" si="0"/>
        <v>IS030</v>
      </c>
      <c r="D11" t="str">
        <f t="shared" si="1"/>
        <v>IS_RENT_INC</v>
      </c>
      <c r="E11" t="str">
        <f t="shared" si="2"/>
        <v>动态</v>
      </c>
      <c r="F11" t="str">
        <f ca="1">IF(AND(ISNUMBER($F$332),$B$294=1),$F$332,HLOOKUP(INDIRECT(ADDRESS(2,COLUMN())),OFFSET($BN$2,0,0,ROW()-1,60),ROW()-1,FALSE))</f>
        <v/>
      </c>
      <c r="G11">
        <f ca="1">IF(AND(ISNUMBER($G$332),$B$294=1),$G$332,HLOOKUP(INDIRECT(ADDRESS(2,COLUMN())),OFFSET($BN$2,0,0,ROW()-1,60),ROW()-1,FALSE))</f>
        <v>134.95400000000001</v>
      </c>
      <c r="H11">
        <f ca="1">IF(AND(ISNUMBER($H$332),$B$294=1),$H$332,HLOOKUP(INDIRECT(ADDRESS(2,COLUMN())),OFFSET($BN$2,0,0,ROW()-1,60),ROW()-1,FALSE))</f>
        <v>150.79400000000001</v>
      </c>
      <c r="I11">
        <f ca="1">IF(AND(ISNUMBER($I$332),$B$294=1),$I$332,HLOOKUP(INDIRECT(ADDRESS(2,COLUMN())),OFFSET($BN$2,0,0,ROW()-1,60),ROW()-1,FALSE))</f>
        <v>154.02000000000001</v>
      </c>
      <c r="J11">
        <f ca="1">IF(AND(ISNUMBER($J$332),$B$294=1),$J$332,HLOOKUP(INDIRECT(ADDRESS(2,COLUMN())),OFFSET($BN$2,0,0,ROW()-1,60),ROW()-1,FALSE))</f>
        <v>140.60300000000001</v>
      </c>
      <c r="K11">
        <f ca="1">IF(AND(ISNUMBER($K$332),$B$294=1),$K$332,HLOOKUP(INDIRECT(ADDRESS(2,COLUMN())),OFFSET($BN$2,0,0,ROW()-1,60),ROW()-1,FALSE))</f>
        <v>145.5</v>
      </c>
      <c r="L11">
        <f ca="1">IF(AND(ISNUMBER($L$332),$B$294=1),$L$332,HLOOKUP(INDIRECT(ADDRESS(2,COLUMN())),OFFSET($BN$2,0,0,ROW()-1,60),ROW()-1,FALSE))</f>
        <v>149.143</v>
      </c>
      <c r="M11">
        <f ca="1">IF(AND(ISNUMBER($M$332),$B$294=1),$M$332,HLOOKUP(INDIRECT(ADDRESS(2,COLUMN())),OFFSET($BN$2,0,0,ROW()-1,60),ROW()-1,FALSE))</f>
        <v>141.86500000000001</v>
      </c>
      <c r="N11">
        <f ca="1">IF(AND(ISNUMBER($N$332),$B$294=1),$N$332,HLOOKUP(INDIRECT(ADDRESS(2,COLUMN())),OFFSET($BN$2,0,0,ROW()-1,60),ROW()-1,FALSE))</f>
        <v>144.50399999999999</v>
      </c>
      <c r="O11">
        <f ca="1">IF(AND(ISNUMBER($O$332),$B$294=1),$O$332,HLOOKUP(INDIRECT(ADDRESS(2,COLUMN())),OFFSET($BN$2,0,0,ROW()-1,60),ROW()-1,FALSE))</f>
        <v>138.46799999999999</v>
      </c>
      <c r="P11">
        <f ca="1">IF(AND(ISNUMBER($P$332),$B$294=1),$P$332,HLOOKUP(INDIRECT(ADDRESS(2,COLUMN())),OFFSET($BN$2,0,0,ROW()-1,60),ROW()-1,FALSE))</f>
        <v>137.506</v>
      </c>
      <c r="Q11">
        <f ca="1">IF(AND(ISNUMBER($Q$332),$B$294=1),$Q$332,HLOOKUP(INDIRECT(ADDRESS(2,COLUMN())),OFFSET($BN$2,0,0,ROW()-1,60),ROW()-1,FALSE))</f>
        <v>139.93799999999999</v>
      </c>
      <c r="R11">
        <f ca="1">IF(AND(ISNUMBER($R$332),$B$294=1),$R$332,HLOOKUP(INDIRECT(ADDRESS(2,COLUMN())),OFFSET($BN$2,0,0,ROW()-1,60),ROW()-1,FALSE))</f>
        <v>144.73400000000001</v>
      </c>
      <c r="S11">
        <f ca="1">IF(AND(ISNUMBER($S$332),$B$294=1),$S$332,HLOOKUP(INDIRECT(ADDRESS(2,COLUMN())),OFFSET($BN$2,0,0,ROW()-1,60),ROW()-1,FALSE))</f>
        <v>142.99299999999999</v>
      </c>
      <c r="T11">
        <f ca="1">IF(AND(ISNUMBER($T$332),$B$294=1),$T$332,HLOOKUP(INDIRECT(ADDRESS(2,COLUMN())),OFFSET($BN$2,0,0,ROW()-1,60),ROW()-1,FALSE))</f>
        <v>147.22</v>
      </c>
      <c r="U11">
        <f ca="1">IF(AND(ISNUMBER($U$332),$B$294=1),$U$332,HLOOKUP(INDIRECT(ADDRESS(2,COLUMN())),OFFSET($BN$2,0,0,ROW()-1,60),ROW()-1,FALSE))</f>
        <v>152.44200000000001</v>
      </c>
      <c r="V11">
        <f ca="1">IF(AND(ISNUMBER($V$332),$B$294=1),$V$332,HLOOKUP(INDIRECT(ADDRESS(2,COLUMN())),OFFSET($BN$2,0,0,ROW()-1,60),ROW()-1,FALSE))</f>
        <v>161.733</v>
      </c>
      <c r="W11">
        <f ca="1">IF(AND(ISNUMBER($W$332),$B$294=1),$W$332,HLOOKUP(INDIRECT(ADDRESS(2,COLUMN())),OFFSET($BN$2,0,0,ROW()-1,60),ROW()-1,FALSE))</f>
        <v>157.072</v>
      </c>
      <c r="X11">
        <f ca="1">IF(AND(ISNUMBER($X$332),$B$294=1),$X$332,HLOOKUP(INDIRECT(ADDRESS(2,COLUMN())),OFFSET($BN$2,0,0,ROW()-1,60),ROW()-1,FALSE))</f>
        <v>153.697</v>
      </c>
      <c r="Y11">
        <f ca="1">IF(AND(ISNUMBER($Y$332),$B$294=1),$Y$332,HLOOKUP(INDIRECT(ADDRESS(2,COLUMN())),OFFSET($BN$2,0,0,ROW()-1,60),ROW()-1,FALSE))</f>
        <v>154.49100000000001</v>
      </c>
      <c r="Z11">
        <f ca="1">IF(AND(ISNUMBER($Z$332),$B$294=1),$Z$332,HLOOKUP(INDIRECT(ADDRESS(2,COLUMN())),OFFSET($BN$2,0,0,ROW()-1,60),ROW()-1,FALSE))</f>
        <v>154.50299999999999</v>
      </c>
      <c r="AA11">
        <f ca="1">IF(AND(ISNUMBER($AA$332),$B$294=1),$AA$332,HLOOKUP(INDIRECT(ADDRESS(2,COLUMN())),OFFSET($BN$2,0,0,ROW()-1,60),ROW()-1,FALSE))</f>
        <v>164.49100000000001</v>
      </c>
      <c r="AB11">
        <f ca="1">IF(AND(ISNUMBER($AB$332),$B$294=1),$AB$332,HLOOKUP(INDIRECT(ADDRESS(2,COLUMN())),OFFSET($BN$2,0,0,ROW()-1,60),ROW()-1,FALSE))</f>
        <v>153.53200000000001</v>
      </c>
      <c r="AC11">
        <f ca="1">IF(AND(ISNUMBER($AC$332),$B$294=1),$AC$332,HLOOKUP(INDIRECT(ADDRESS(2,COLUMN())),OFFSET($BN$2,0,0,ROW()-1,60),ROW()-1,FALSE))</f>
        <v>164.53100000000001</v>
      </c>
      <c r="AD11">
        <f ca="1">IF(AND(ISNUMBER($AD$332),$B$294=1),$AD$332,HLOOKUP(INDIRECT(ADDRESS(2,COLUMN())),OFFSET($BN$2,0,0,ROW()-1,60),ROW()-1,FALSE))</f>
        <v>165.30799999999999</v>
      </c>
      <c r="AE11">
        <f ca="1">IF(AND(ISNUMBER($AE$332),$B$294=1),$AE$332,HLOOKUP(INDIRECT(ADDRESS(2,COLUMN())),OFFSET($BN$2,0,0,ROW()-1,60),ROW()-1,FALSE))</f>
        <v>168.04900000000001</v>
      </c>
      <c r="AF11">
        <f ca="1">IF(AND(ISNUMBER($AF$332),$B$294=1),$AF$332,HLOOKUP(INDIRECT(ADDRESS(2,COLUMN())),OFFSET($BN$2,0,0,ROW()-1,60),ROW()-1,FALSE))</f>
        <v>169.59100000000001</v>
      </c>
      <c r="AG11">
        <f ca="1">IF(AND(ISNUMBER($AG$332),$B$294=1),$AG$332,HLOOKUP(INDIRECT(ADDRESS(2,COLUMN())),OFFSET($BN$2,0,0,ROW()-1,60),ROW()-1,FALSE))</f>
        <v>171.74</v>
      </c>
      <c r="AH11">
        <f ca="1">IF(AND(ISNUMBER($AH$332),$B$294=1),$AH$332,HLOOKUP(INDIRECT(ADDRESS(2,COLUMN())),OFFSET($BN$2,0,0,ROW()-1,60),ROW()-1,FALSE))</f>
        <v>174.89099999999999</v>
      </c>
      <c r="AI11">
        <f ca="1">IF(AND(ISNUMBER($AI$332),$B$294=1),$AI$332,HLOOKUP(INDIRECT(ADDRESS(2,COLUMN())),OFFSET($BN$2,0,0,ROW()-1,60),ROW()-1,FALSE))</f>
        <v>173.23099999999999</v>
      </c>
      <c r="AJ11">
        <f ca="1">IF(AND(ISNUMBER($AJ$332),$B$294=1),$AJ$332,HLOOKUP(INDIRECT(ADDRESS(2,COLUMN())),OFFSET($BN$2,0,0,ROW()-1,60),ROW()-1,FALSE))</f>
        <v>176.48400000000001</v>
      </c>
      <c r="AK11">
        <f ca="1">IF(AND(ISNUMBER($AK$332),$B$294=1),$AK$332,HLOOKUP(INDIRECT(ADDRESS(2,COLUMN())),OFFSET($BN$2,0,0,ROW()-1,60),ROW()-1,FALSE))</f>
        <v>175.529</v>
      </c>
      <c r="AL11">
        <f ca="1">IF(AND(ISNUMBER($AL$332),$B$294=1),$AL$332,HLOOKUP(INDIRECT(ADDRESS(2,COLUMN())),OFFSET($BN$2,0,0,ROW()-1,60),ROW()-1,FALSE))</f>
        <v>178.81200000000001</v>
      </c>
      <c r="AM11">
        <f ca="1">IF(AND(ISNUMBER($AM$332),$B$294=1),$AM$332,HLOOKUP(INDIRECT(ADDRESS(2,COLUMN())),OFFSET($BN$2,0,0,ROW()-1,60),ROW()-1,FALSE))</f>
        <v>181.65199999999999</v>
      </c>
      <c r="AN11">
        <f ca="1">IF(AND(ISNUMBER($AN$332),$B$294=1),$AN$332,HLOOKUP(INDIRECT(ADDRESS(2,COLUMN())),OFFSET($BN$2,0,0,ROW()-1,60),ROW()-1,FALSE))</f>
        <v>179.054</v>
      </c>
      <c r="AO11">
        <f ca="1">IF(AND(ISNUMBER($AO$332),$B$294=1),$AO$332,HLOOKUP(INDIRECT(ADDRESS(2,COLUMN())),OFFSET($BN$2,0,0,ROW()-1,60),ROW()-1,FALSE))</f>
        <v>177.51400000000001</v>
      </c>
      <c r="AP11">
        <f ca="1">IF(AND(ISNUMBER($AP$332),$B$294=1),$AP$332,HLOOKUP(INDIRECT(ADDRESS(2,COLUMN())),OFFSET($BN$2,0,0,ROW()-1,60),ROW()-1,FALSE))</f>
        <v>177.27500000000001</v>
      </c>
      <c r="AQ11">
        <f ca="1">IF(AND(ISNUMBER($AQ$332),$B$294=1),$AQ$332,HLOOKUP(INDIRECT(ADDRESS(2,COLUMN())),OFFSET($BN$2,0,0,ROW()-1,60),ROW()-1,FALSE))</f>
        <v>177.024</v>
      </c>
      <c r="AR11">
        <f ca="1">IF(AND(ISNUMBER($AR$332),$B$294=1),$AR$332,HLOOKUP(INDIRECT(ADDRESS(2,COLUMN())),OFFSET($BN$2,0,0,ROW()-1,60),ROW()-1,FALSE))</f>
        <v>177.56399999999999</v>
      </c>
      <c r="AS11">
        <f ca="1">IF(AND(ISNUMBER($AS$332),$B$294=1),$AS$332,HLOOKUP(INDIRECT(ADDRESS(2,COLUMN())),OFFSET($BN$2,0,0,ROW()-1,60),ROW()-1,FALSE))</f>
        <v>174.673</v>
      </c>
      <c r="AT11">
        <f ca="1">IF(AND(ISNUMBER($AT$332),$B$294=1),$AT$332,HLOOKUP(INDIRECT(ADDRESS(2,COLUMN())),OFFSET($BN$2,0,0,ROW()-1,60),ROW()-1,FALSE))</f>
        <v>174.327</v>
      </c>
      <c r="AU11">
        <f ca="1">IF(AND(ISNUMBER($AU$332),$B$294=1),$AU$332,HLOOKUP(INDIRECT(ADDRESS(2,COLUMN())),OFFSET($BN$2,0,0,ROW()-1,60),ROW()-1,FALSE))</f>
        <v>173.19300000000001</v>
      </c>
      <c r="AV11">
        <f ca="1">IF(AND(ISNUMBER($AV$332),$B$294=1),$AV$332,HLOOKUP(INDIRECT(ADDRESS(2,COLUMN())),OFFSET($BN$2,0,0,ROW()-1,60),ROW()-1,FALSE))</f>
        <v>173.02600000000001</v>
      </c>
      <c r="AW11">
        <f ca="1">IF(AND(ISNUMBER($AW$332),$B$294=1),$AW$332,HLOOKUP(INDIRECT(ADDRESS(2,COLUMN())),OFFSET($BN$2,0,0,ROW()-1,60),ROW()-1,FALSE))</f>
        <v>168.24799999999999</v>
      </c>
      <c r="AX11">
        <f ca="1">IF(AND(ISNUMBER($AX$332),$B$294=1),$AX$332,HLOOKUP(INDIRECT(ADDRESS(2,COLUMN())),OFFSET($BN$2,0,0,ROW()-1,60),ROW()-1,FALSE))</f>
        <v>165.77699999999999</v>
      </c>
      <c r="AY11">
        <f ca="1">IF(AND(ISNUMBER($AY$332),$B$294=1),$AY$332,HLOOKUP(INDIRECT(ADDRESS(2,COLUMN())),OFFSET($BN$2,0,0,ROW()-1,60),ROW()-1,FALSE))</f>
        <v>159.06299999999999</v>
      </c>
      <c r="AZ11">
        <f ca="1">IF(AND(ISNUMBER($AZ$332),$B$294=1),$AZ$332,HLOOKUP(INDIRECT(ADDRESS(2,COLUMN())),OFFSET($BN$2,0,0,ROW()-1,60),ROW()-1,FALSE))</f>
        <v>165.40100000000001</v>
      </c>
      <c r="BA11">
        <f ca="1">IF(AND(ISNUMBER($BA$332),$B$294=1),$BA$332,HLOOKUP(INDIRECT(ADDRESS(2,COLUMN())),OFFSET($BN$2,0,0,ROW()-1,60),ROW()-1,FALSE))</f>
        <v>156.60499999999999</v>
      </c>
      <c r="BB11">
        <f ca="1">IF(AND(ISNUMBER($BB$332),$B$294=1),$BB$332,HLOOKUP(INDIRECT(ADDRESS(2,COLUMN())),OFFSET($BN$2,0,0,ROW()-1,60),ROW()-1,FALSE))</f>
        <v>148.97800000000001</v>
      </c>
      <c r="BC11">
        <f ca="1">IF(AND(ISNUMBER($BC$332),$B$294=1),$BC$332,HLOOKUP(INDIRECT(ADDRESS(2,COLUMN())),OFFSET($BN$2,0,0,ROW()-1,60),ROW()-1,FALSE))</f>
        <v>130.98699999999999</v>
      </c>
      <c r="BD11">
        <f ca="1">IF(AND(ISNUMBER($BD$332),$B$294=1),$BD$332,HLOOKUP(INDIRECT(ADDRESS(2,COLUMN())),OFFSET($BN$2,0,0,ROW()-1,60),ROW()-1,FALSE))</f>
        <v>148.93299999999999</v>
      </c>
      <c r="BE11">
        <f ca="1">IF(AND(ISNUMBER($BE$332),$B$294=1),$BE$332,HLOOKUP(INDIRECT(ADDRESS(2,COLUMN())),OFFSET($BN$2,0,0,ROW()-1,60),ROW()-1,FALSE))</f>
        <v>156.78800000000001</v>
      </c>
      <c r="BF11">
        <f ca="1">IF(AND(ISNUMBER($BF$332),$B$294=1),$BF$332,HLOOKUP(INDIRECT(ADDRESS(2,COLUMN())),OFFSET($BN$2,0,0,ROW()-1,60),ROW()-1,FALSE))</f>
        <v>152.33600000000001</v>
      </c>
      <c r="BG11">
        <f ca="1">IF(AND(ISNUMBER($BG$332),$B$294=1),$BG$332,HLOOKUP(INDIRECT(ADDRESS(2,COLUMN())),OFFSET($BN$2,0,0,ROW()-1,60),ROW()-1,FALSE))</f>
        <v>149.06899999999999</v>
      </c>
      <c r="BH11">
        <f ca="1">IF(AND(ISNUMBER($BH$332),$B$294=1),$BH$332,HLOOKUP(INDIRECT(ADDRESS(2,COLUMN())),OFFSET($BN$2,0,0,ROW()-1,60),ROW()-1,FALSE))</f>
        <v>148.00899999999999</v>
      </c>
      <c r="BI11">
        <f ca="1">IF(AND(ISNUMBER($BI$332),$B$294=1),$BI$332,HLOOKUP(INDIRECT(ADDRESS(2,COLUMN())),OFFSET($BN$2,0,0,ROW()-1,60),ROW()-1,FALSE))</f>
        <v>146.72500600000001</v>
      </c>
      <c r="BJ11">
        <f ca="1">IF(AND(ISNUMBER($BJ$332),$B$294=1),$BJ$332,HLOOKUP(INDIRECT(ADDRESS(2,COLUMN())),OFFSET($BN$2,0,0,ROW()-1,60),ROW()-1,FALSE))</f>
        <v>139.73800700000001</v>
      </c>
      <c r="BK11">
        <f ca="1">IF(AND(ISNUMBER($BK$332),$B$294=1),$BK$332,HLOOKUP(INDIRECT(ADDRESS(2,COLUMN())),OFFSET($BN$2,0,0,ROW()-1,60),ROW()-1,FALSE))</f>
        <v>143.70799260000001</v>
      </c>
      <c r="BL11">
        <f ca="1">IF(AND(ISNUMBER($BL$332),$B$294=1),$BL$332,HLOOKUP(INDIRECT(ADDRESS(2,COLUMN())),OFFSET($BN$2,0,0,ROW()-1,60),ROW()-1,FALSE))</f>
        <v>142.93800400000001</v>
      </c>
      <c r="BM11">
        <f ca="1">IF(AND(ISNUMBER($BM$332),$B$294=1),$BM$332,HLOOKUP(INDIRECT(ADDRESS(2,COLUMN())),OFFSET($BN$2,0,0,ROW()-1,60),ROW()-1,FALSE))</f>
        <v>142.36300700000001</v>
      </c>
      <c r="BN11" t="str">
        <f>""</f>
        <v/>
      </c>
      <c r="BO11">
        <f>134.954</f>
        <v>134.95400000000001</v>
      </c>
      <c r="BP11">
        <f>150.794</f>
        <v>150.79400000000001</v>
      </c>
      <c r="BQ11">
        <f>154.02</f>
        <v>154.02000000000001</v>
      </c>
      <c r="BR11">
        <f>140.603</f>
        <v>140.60300000000001</v>
      </c>
      <c r="BS11">
        <f>145.5</f>
        <v>145.5</v>
      </c>
      <c r="BT11">
        <f>149.143</f>
        <v>149.143</v>
      </c>
      <c r="BU11">
        <f>141.865</f>
        <v>141.86500000000001</v>
      </c>
      <c r="BV11">
        <f>144.504</f>
        <v>144.50399999999999</v>
      </c>
      <c r="BW11">
        <f>138.468</f>
        <v>138.46799999999999</v>
      </c>
      <c r="BX11">
        <f>137.506</f>
        <v>137.506</v>
      </c>
      <c r="BY11">
        <f>139.938</f>
        <v>139.93799999999999</v>
      </c>
      <c r="BZ11">
        <f>144.734</f>
        <v>144.73400000000001</v>
      </c>
      <c r="CA11">
        <f>142.993</f>
        <v>142.99299999999999</v>
      </c>
      <c r="CB11">
        <f>147.22</f>
        <v>147.22</v>
      </c>
      <c r="CC11">
        <f>152.442</f>
        <v>152.44200000000001</v>
      </c>
      <c r="CD11">
        <f>161.733</f>
        <v>161.733</v>
      </c>
      <c r="CE11">
        <f>157.072</f>
        <v>157.072</v>
      </c>
      <c r="CF11">
        <f>153.697</f>
        <v>153.697</v>
      </c>
      <c r="CG11">
        <f>154.491</f>
        <v>154.49100000000001</v>
      </c>
      <c r="CH11">
        <f>154.503</f>
        <v>154.50299999999999</v>
      </c>
      <c r="CI11">
        <f>164.491</f>
        <v>164.49100000000001</v>
      </c>
      <c r="CJ11">
        <f>153.532</f>
        <v>153.53200000000001</v>
      </c>
      <c r="CK11">
        <f>164.531</f>
        <v>164.53100000000001</v>
      </c>
      <c r="CL11">
        <f>165.308</f>
        <v>165.30799999999999</v>
      </c>
      <c r="CM11">
        <f>168.049</f>
        <v>168.04900000000001</v>
      </c>
      <c r="CN11">
        <f>169.591</f>
        <v>169.59100000000001</v>
      </c>
      <c r="CO11">
        <f>171.74</f>
        <v>171.74</v>
      </c>
      <c r="CP11">
        <f>174.891</f>
        <v>174.89099999999999</v>
      </c>
      <c r="CQ11">
        <f>173.231</f>
        <v>173.23099999999999</v>
      </c>
      <c r="CR11">
        <f>176.484</f>
        <v>176.48400000000001</v>
      </c>
      <c r="CS11">
        <f>175.529</f>
        <v>175.529</v>
      </c>
      <c r="CT11">
        <f>178.812</f>
        <v>178.81200000000001</v>
      </c>
      <c r="CU11">
        <f>181.652</f>
        <v>181.65199999999999</v>
      </c>
      <c r="CV11">
        <f>179.054</f>
        <v>179.054</v>
      </c>
      <c r="CW11">
        <f>177.514</f>
        <v>177.51400000000001</v>
      </c>
      <c r="CX11">
        <f>177.275</f>
        <v>177.27500000000001</v>
      </c>
      <c r="CY11">
        <f>177.024</f>
        <v>177.024</v>
      </c>
      <c r="CZ11">
        <f>177.564</f>
        <v>177.56399999999999</v>
      </c>
      <c r="DA11">
        <f>174.673</f>
        <v>174.673</v>
      </c>
      <c r="DB11">
        <f>174.327</f>
        <v>174.327</v>
      </c>
      <c r="DC11">
        <f>173.193</f>
        <v>173.19300000000001</v>
      </c>
      <c r="DD11">
        <f>173.026</f>
        <v>173.02600000000001</v>
      </c>
      <c r="DE11">
        <f>168.248</f>
        <v>168.24799999999999</v>
      </c>
      <c r="DF11">
        <f>165.777</f>
        <v>165.77699999999999</v>
      </c>
      <c r="DG11">
        <f>159.063</f>
        <v>159.06299999999999</v>
      </c>
      <c r="DH11">
        <f>165.401</f>
        <v>165.40100000000001</v>
      </c>
      <c r="DI11">
        <f>156.605</f>
        <v>156.60499999999999</v>
      </c>
      <c r="DJ11">
        <f>148.978</f>
        <v>148.97800000000001</v>
      </c>
      <c r="DK11">
        <f>130.987</f>
        <v>130.98699999999999</v>
      </c>
      <c r="DL11">
        <f>148.933</f>
        <v>148.93299999999999</v>
      </c>
      <c r="DM11">
        <f>156.788</f>
        <v>156.78800000000001</v>
      </c>
      <c r="DN11">
        <f>152.336</f>
        <v>152.33600000000001</v>
      </c>
      <c r="DO11">
        <f>149.069</f>
        <v>149.06899999999999</v>
      </c>
      <c r="DP11">
        <f>148.009</f>
        <v>148.00899999999999</v>
      </c>
      <c r="DQ11">
        <f>146.725006</f>
        <v>146.72500600000001</v>
      </c>
      <c r="DR11">
        <f>139.738007</f>
        <v>139.73800700000001</v>
      </c>
      <c r="DS11">
        <f>143.7079926</f>
        <v>143.70799260000001</v>
      </c>
      <c r="DT11">
        <f>142.938004</f>
        <v>142.93800400000001</v>
      </c>
      <c r="DU11">
        <f>142.363007</f>
        <v>142.36300700000001</v>
      </c>
    </row>
    <row r="12" spans="1:125">
      <c r="A12" t="str">
        <f>"    Piedmont Office Realty Trust I"</f>
        <v xml:space="preserve">    Piedmont Office Realty Trust I</v>
      </c>
      <c r="B12" t="str">
        <f>"PDM US Equity"</f>
        <v>PDM US Equity</v>
      </c>
      <c r="C12" t="str">
        <f t="shared" si="0"/>
        <v>IS030</v>
      </c>
      <c r="D12" t="str">
        <f t="shared" si="1"/>
        <v>IS_RENT_INC</v>
      </c>
      <c r="E12" t="str">
        <f t="shared" si="2"/>
        <v>动态</v>
      </c>
      <c r="F12" t="str">
        <f ca="1">IF(AND(ISNUMBER($F$333),$B$294=1),$F$333,HLOOKUP(INDIRECT(ADDRESS(2,COLUMN())),OFFSET($BN$2,0,0,ROW()-1,60),ROW()-1,FALSE))</f>
        <v/>
      </c>
      <c r="G12">
        <f ca="1">IF(AND(ISNUMBER($G$333),$B$294=1),$G$333,HLOOKUP(INDIRECT(ADDRESS(2,COLUMN())),OFFSET($BN$2,0,0,ROW()-1,60),ROW()-1,FALSE))</f>
        <v>139.1</v>
      </c>
      <c r="H12">
        <f ca="1">IF(AND(ISNUMBER($H$333),$B$294=1),$H$333,HLOOKUP(INDIRECT(ADDRESS(2,COLUMN())),OFFSET($BN$2,0,0,ROW()-1,60),ROW()-1,FALSE))</f>
        <v>137.14599999999999</v>
      </c>
      <c r="I12">
        <f ca="1">IF(AND(ISNUMBER($I$333),$B$294=1),$I$333,HLOOKUP(INDIRECT(ADDRESS(2,COLUMN())),OFFSET($BN$2,0,0,ROW()-1,60),ROW()-1,FALSE))</f>
        <v>148.292</v>
      </c>
      <c r="J12">
        <f ca="1">IF(AND(ISNUMBER($J$333),$B$294=1),$J$333,HLOOKUP(INDIRECT(ADDRESS(2,COLUMN())),OFFSET($BN$2,0,0,ROW()-1,60),ROW()-1,FALSE))</f>
        <v>147.94999999999999</v>
      </c>
      <c r="K12">
        <f ca="1">IF(AND(ISNUMBER($K$333),$B$294=1),$K$333,HLOOKUP(INDIRECT(ADDRESS(2,COLUMN())),OFFSET($BN$2,0,0,ROW()-1,60),ROW()-1,FALSE))</f>
        <v>143.52500000000001</v>
      </c>
      <c r="L12">
        <f ca="1">IF(AND(ISNUMBER($L$333),$B$294=1),$L$333,HLOOKUP(INDIRECT(ADDRESS(2,COLUMN())),OFFSET($BN$2,0,0,ROW()-1,60),ROW()-1,FALSE))</f>
        <v>137.98400000000001</v>
      </c>
      <c r="M12">
        <f ca="1">IF(AND(ISNUMBER($M$333),$B$294=1),$M$333,HLOOKUP(INDIRECT(ADDRESS(2,COLUMN())),OFFSET($BN$2,0,0,ROW()-1,60),ROW()-1,FALSE))</f>
        <v>134.85300000000001</v>
      </c>
      <c r="N12">
        <f ca="1">IF(AND(ISNUMBER($N$333),$B$294=1),$N$333,HLOOKUP(INDIRECT(ADDRESS(2,COLUMN())),OFFSET($BN$2,0,0,ROW()-1,60),ROW()-1,FALSE))</f>
        <v>137.489</v>
      </c>
      <c r="O12">
        <f ca="1">IF(AND(ISNUMBER($O$333),$B$294=1),$O$333,HLOOKUP(INDIRECT(ADDRESS(2,COLUMN())),OFFSET($BN$2,0,0,ROW()-1,60),ROW()-1,FALSE))</f>
        <v>139.02199999999999</v>
      </c>
      <c r="P12">
        <f ca="1">IF(AND(ISNUMBER($P$333),$B$294=1),$P$333,HLOOKUP(INDIRECT(ADDRESS(2,COLUMN())),OFFSET($BN$2,0,0,ROW()-1,60),ROW()-1,FALSE))</f>
        <v>148.267</v>
      </c>
      <c r="Q12">
        <f ca="1">IF(AND(ISNUMBER($Q$333),$B$294=1),$Q$333,HLOOKUP(INDIRECT(ADDRESS(2,COLUMN())),OFFSET($BN$2,0,0,ROW()-1,60),ROW()-1,FALSE))</f>
        <v>146.267</v>
      </c>
      <c r="R12">
        <f ca="1">IF(AND(ISNUMBER($R$333),$B$294=1),$R$333,HLOOKUP(INDIRECT(ADDRESS(2,COLUMN())),OFFSET($BN$2,0,0,ROW()-1,60),ROW()-1,FALSE))</f>
        <v>149.197</v>
      </c>
      <c r="S12">
        <f ca="1">IF(AND(ISNUMBER($S$333),$B$294=1),$S$333,HLOOKUP(INDIRECT(ADDRESS(2,COLUMN())),OFFSET($BN$2,0,0,ROW()-1,60),ROW()-1,FALSE))</f>
        <v>146.21</v>
      </c>
      <c r="T12">
        <f ca="1">IF(AND(ISNUMBER($T$333),$B$294=1),$T$333,HLOOKUP(INDIRECT(ADDRESS(2,COLUMN())),OFFSET($BN$2,0,0,ROW()-1,60),ROW()-1,FALSE))</f>
        <v>144.108</v>
      </c>
      <c r="U12">
        <f ca="1">IF(AND(ISNUMBER($U$333),$B$294=1),$U$333,HLOOKUP(INDIRECT(ADDRESS(2,COLUMN())),OFFSET($BN$2,0,0,ROW()-1,60),ROW()-1,FALSE))</f>
        <v>138.03200000000001</v>
      </c>
      <c r="V12">
        <f ca="1">IF(AND(ISNUMBER($V$333),$B$294=1),$V$333,HLOOKUP(INDIRECT(ADDRESS(2,COLUMN())),OFFSET($BN$2,0,0,ROW()-1,60),ROW()-1,FALSE))</f>
        <v>135.833</v>
      </c>
      <c r="W12">
        <f ca="1">IF(AND(ISNUMBER($W$333),$B$294=1),$W$333,HLOOKUP(INDIRECT(ADDRESS(2,COLUMN())),OFFSET($BN$2,0,0,ROW()-1,60),ROW()-1,FALSE))</f>
        <v>141.28700000000001</v>
      </c>
      <c r="X12">
        <f ca="1">IF(AND(ISNUMBER($X$333),$B$294=1),$X$333,HLOOKUP(INDIRECT(ADDRESS(2,COLUMN())),OFFSET($BN$2,0,0,ROW()-1,60),ROW()-1,FALSE))</f>
        <v>142.499</v>
      </c>
      <c r="Y12">
        <f ca="1">IF(AND(ISNUMBER($Y$333),$B$294=1),$Y$333,HLOOKUP(INDIRECT(ADDRESS(2,COLUMN())),OFFSET($BN$2,0,0,ROW()-1,60),ROW()-1,FALSE))</f>
        <v>132.05199999999999</v>
      </c>
      <c r="Z12">
        <f ca="1">IF(AND(ISNUMBER($Z$333),$B$294=1),$Z$333,HLOOKUP(INDIRECT(ADDRESS(2,COLUMN())),OFFSET($BN$2,0,0,ROW()-1,60),ROW()-1,FALSE))</f>
        <v>131.52000000000001</v>
      </c>
      <c r="AA12">
        <f ca="1">IF(AND(ISNUMBER($AA$333),$B$294=1),$AA$333,HLOOKUP(INDIRECT(ADDRESS(2,COLUMN())),OFFSET($BN$2,0,0,ROW()-1,60),ROW()-1,FALSE))</f>
        <v>131.78</v>
      </c>
      <c r="AB12">
        <f ca="1">IF(AND(ISNUMBER($AB$333),$B$294=1),$AB$333,HLOOKUP(INDIRECT(ADDRESS(2,COLUMN())),OFFSET($BN$2,0,0,ROW()-1,60),ROW()-1,FALSE))</f>
        <v>132.08000000000001</v>
      </c>
      <c r="AC12">
        <f ca="1">IF(AND(ISNUMBER($AC$333),$B$294=1),$AC$333,HLOOKUP(INDIRECT(ADDRESS(2,COLUMN())),OFFSET($BN$2,0,0,ROW()-1,60),ROW()-1,FALSE))</f>
        <v>131.02600000000001</v>
      </c>
      <c r="AD12">
        <f ca="1">IF(AND(ISNUMBER($AD$333),$B$294=1),$AD$333,HLOOKUP(INDIRECT(ADDRESS(2,COLUMN())),OFFSET($BN$2,0,0,ROW()-1,60),ROW()-1,FALSE))</f>
        <v>130.512</v>
      </c>
      <c r="AE12">
        <f ca="1">IF(AND(ISNUMBER($AE$333),$B$294=1),$AE$333,HLOOKUP(INDIRECT(ADDRESS(2,COLUMN())),OFFSET($BN$2,0,0,ROW()-1,60),ROW()-1,FALSE))</f>
        <v>135.34200000000001</v>
      </c>
      <c r="AF12">
        <f ca="1">IF(AND(ISNUMBER($AF$333),$B$294=1),$AF$333,HLOOKUP(INDIRECT(ADDRESS(2,COLUMN())),OFFSET($BN$2,0,0,ROW()-1,60),ROW()-1,FALSE))</f>
        <v>132.36799999999999</v>
      </c>
      <c r="AG12">
        <f ca="1">IF(AND(ISNUMBER($AG$333),$B$294=1),$AG$333,HLOOKUP(INDIRECT(ADDRESS(2,COLUMN())),OFFSET($BN$2,0,0,ROW()-1,60),ROW()-1,FALSE))</f>
        <v>135.19200000000001</v>
      </c>
      <c r="AH12">
        <f ca="1">IF(AND(ISNUMBER($AH$333),$B$294=1),$AH$333,HLOOKUP(INDIRECT(ADDRESS(2,COLUMN())),OFFSET($BN$2,0,0,ROW()-1,60),ROW()-1,FALSE))</f>
        <v>130.62</v>
      </c>
      <c r="AI12">
        <f ca="1">IF(AND(ISNUMBER($AI$333),$B$294=1),$AI$333,HLOOKUP(INDIRECT(ADDRESS(2,COLUMN())),OFFSET($BN$2,0,0,ROW()-1,60),ROW()-1,FALSE))</f>
        <v>134.285</v>
      </c>
      <c r="AJ12">
        <f ca="1">IF(AND(ISNUMBER($AJ$333),$B$294=1),$AJ$333,HLOOKUP(INDIRECT(ADDRESS(2,COLUMN())),OFFSET($BN$2,0,0,ROW()-1,60),ROW()-1,FALSE))</f>
        <v>133.31</v>
      </c>
      <c r="AK12">
        <f ca="1">IF(AND(ISNUMBER($AK$333),$B$294=1),$AK$333,HLOOKUP(INDIRECT(ADDRESS(2,COLUMN())),OFFSET($BN$2,0,0,ROW()-1,60),ROW()-1,FALSE))</f>
        <v>143.56200000000001</v>
      </c>
      <c r="AL12">
        <f ca="1">IF(AND(ISNUMBER($AL$333),$B$294=1),$AL$333,HLOOKUP(INDIRECT(ADDRESS(2,COLUMN())),OFFSET($BN$2,0,0,ROW()-1,60),ROW()-1,FALSE))</f>
        <v>146.09100000000001</v>
      </c>
      <c r="AM12">
        <f ca="1">IF(AND(ISNUMBER($AM$333),$B$294=1),$AM$333,HLOOKUP(INDIRECT(ADDRESS(2,COLUMN())),OFFSET($BN$2,0,0,ROW()-1,60),ROW()-1,FALSE))</f>
        <v>148.495</v>
      </c>
      <c r="AN12">
        <f ca="1">IF(AND(ISNUMBER($AN$333),$B$294=1),$AN$333,HLOOKUP(INDIRECT(ADDRESS(2,COLUMN())),OFFSET($BN$2,0,0,ROW()-1,60),ROW()-1,FALSE))</f>
        <v>148.202</v>
      </c>
      <c r="AO12">
        <f ca="1">IF(AND(ISNUMBER($AO$333),$B$294=1),$AO$333,HLOOKUP(INDIRECT(ADDRESS(2,COLUMN())),OFFSET($BN$2,0,0,ROW()-1,60),ROW()-1,FALSE))</f>
        <v>147.24100000000001</v>
      </c>
      <c r="AP12">
        <f ca="1">IF(AND(ISNUMBER($AP$333),$B$294=1),$AP$333,HLOOKUP(INDIRECT(ADDRESS(2,COLUMN())),OFFSET($BN$2,0,0,ROW()-1,60),ROW()-1,FALSE))</f>
        <v>153.05099999999999</v>
      </c>
      <c r="AQ12">
        <f ca="1">IF(AND(ISNUMBER($AQ$333),$B$294=1),$AQ$333,HLOOKUP(INDIRECT(ADDRESS(2,COLUMN())),OFFSET($BN$2,0,0,ROW()-1,60),ROW()-1,FALSE))</f>
        <v>154.553</v>
      </c>
      <c r="AR12">
        <f ca="1">IF(AND(ISNUMBER($AR$333),$B$294=1),$AR$333,HLOOKUP(INDIRECT(ADDRESS(2,COLUMN())),OFFSET($BN$2,0,0,ROW()-1,60),ROW()-1,FALSE))</f>
        <v>154.54900000000001</v>
      </c>
      <c r="AS12">
        <f ca="1">IF(AND(ISNUMBER($AS$333),$B$294=1),$AS$333,HLOOKUP(INDIRECT(ADDRESS(2,COLUMN())),OFFSET($BN$2,0,0,ROW()-1,60),ROW()-1,FALSE))</f>
        <v>151.27799999999999</v>
      </c>
      <c r="AT12">
        <f ca="1">IF(AND(ISNUMBER($AT$333),$B$294=1),$AT$333,HLOOKUP(INDIRECT(ADDRESS(2,COLUMN())),OFFSET($BN$2,0,0,ROW()-1,60),ROW()-1,FALSE))</f>
        <v>158.34</v>
      </c>
      <c r="AU12">
        <f ca="1">IF(AND(ISNUMBER($AU$333),$B$294=1),$AU$333,HLOOKUP(INDIRECT(ADDRESS(2,COLUMN())),OFFSET($BN$2,0,0,ROW()-1,60),ROW()-1,FALSE))</f>
        <v>148.077</v>
      </c>
      <c r="AV12">
        <f ca="1">IF(AND(ISNUMBER($AV$333),$B$294=1),$AV$333,HLOOKUP(INDIRECT(ADDRESS(2,COLUMN())),OFFSET($BN$2,0,0,ROW()-1,60),ROW()-1,FALSE))</f>
        <v>148.798</v>
      </c>
      <c r="AW12">
        <f ca="1">IF(AND(ISNUMBER($AW$333),$B$294=1),$AW$333,HLOOKUP(INDIRECT(ADDRESS(2,COLUMN())),OFFSET($BN$2,0,0,ROW()-1,60),ROW()-1,FALSE))</f>
        <v>145.69800000000001</v>
      </c>
      <c r="AX12">
        <f ca="1">IF(AND(ISNUMBER($AX$333),$B$294=1),$AX$333,HLOOKUP(INDIRECT(ADDRESS(2,COLUMN())),OFFSET($BN$2,0,0,ROW()-1,60),ROW()-1,FALSE))</f>
        <v>148.21799999999999</v>
      </c>
      <c r="AY12">
        <f ca="1">IF(AND(ISNUMBER($AY$333),$B$294=1),$AY$333,HLOOKUP(INDIRECT(ADDRESS(2,COLUMN())),OFFSET($BN$2,0,0,ROW()-1,60),ROW()-1,FALSE))</f>
        <v>139.56</v>
      </c>
      <c r="AZ12">
        <f ca="1">IF(AND(ISNUMBER($AZ$333),$B$294=1),$AZ$333,HLOOKUP(INDIRECT(ADDRESS(2,COLUMN())),OFFSET($BN$2,0,0,ROW()-1,60),ROW()-1,FALSE))</f>
        <v>151.64699999999999</v>
      </c>
      <c r="BA12">
        <f ca="1">IF(AND(ISNUMBER($BA$333),$B$294=1),$BA$333,HLOOKUP(INDIRECT(ADDRESS(2,COLUMN())),OFFSET($BN$2,0,0,ROW()-1,60),ROW()-1,FALSE))</f>
        <v>141.107</v>
      </c>
      <c r="BB12">
        <f ca="1">IF(AND(ISNUMBER($BB$333),$B$294=1),$BB$333,HLOOKUP(INDIRECT(ADDRESS(2,COLUMN())),OFFSET($BN$2,0,0,ROW()-1,60),ROW()-1,FALSE))</f>
        <v>139.04900000000001</v>
      </c>
      <c r="BC12">
        <f ca="1">IF(AND(ISNUMBER($BC$333),$B$294=1),$BC$333,HLOOKUP(INDIRECT(ADDRESS(2,COLUMN())),OFFSET($BN$2,0,0,ROW()-1,60),ROW()-1,FALSE))</f>
        <v>135.761</v>
      </c>
      <c r="BD12">
        <f ca="1">IF(AND(ISNUMBER($BD$333),$B$294=1),$BD$333,HLOOKUP(INDIRECT(ADDRESS(2,COLUMN())),OFFSET($BN$2,0,0,ROW()-1,60),ROW()-1,FALSE))</f>
        <v>140.55500000000001</v>
      </c>
      <c r="BE12">
        <f ca="1">IF(AND(ISNUMBER($BE$333),$B$294=1),$BE$333,HLOOKUP(INDIRECT(ADDRESS(2,COLUMN())),OFFSET($BN$2,0,0,ROW()-1,60),ROW()-1,FALSE))</f>
        <v>144.476</v>
      </c>
      <c r="BF12">
        <f ca="1">IF(AND(ISNUMBER($BF$333),$B$294=1),$BF$333,HLOOKUP(INDIRECT(ADDRESS(2,COLUMN())),OFFSET($BN$2,0,0,ROW()-1,60),ROW()-1,FALSE))</f>
        <v>143.214</v>
      </c>
      <c r="BG12">
        <f ca="1">IF(AND(ISNUMBER($BG$333),$B$294=1),$BG$333,HLOOKUP(INDIRECT(ADDRESS(2,COLUMN())),OFFSET($BN$2,0,0,ROW()-1,60),ROW()-1,FALSE))</f>
        <v>131.39500000000001</v>
      </c>
      <c r="BH12">
        <f ca="1">IF(AND(ISNUMBER($BH$333),$B$294=1),$BH$333,HLOOKUP(INDIRECT(ADDRESS(2,COLUMN())),OFFSET($BN$2,0,0,ROW()-1,60),ROW()-1,FALSE))</f>
        <v>136.417</v>
      </c>
      <c r="BI12">
        <f ca="1">IF(AND(ISNUMBER($BI$333),$B$294=1),$BI$333,HLOOKUP(INDIRECT(ADDRESS(2,COLUMN())),OFFSET($BN$2,0,0,ROW()-1,60),ROW()-1,FALSE))</f>
        <v>144.72700499999999</v>
      </c>
      <c r="BJ12">
        <f ca="1">IF(AND(ISNUMBER($BJ$333),$B$294=1),$BJ$333,HLOOKUP(INDIRECT(ADDRESS(2,COLUMN())),OFFSET($BN$2,0,0,ROW()-1,60),ROW()-1,FALSE))</f>
        <v>134.98300169999999</v>
      </c>
      <c r="BK12">
        <f ca="1">IF(AND(ISNUMBER($BK$333),$B$294=1),$BK$333,HLOOKUP(INDIRECT(ADDRESS(2,COLUMN())),OFFSET($BN$2,0,0,ROW()-1,60),ROW()-1,FALSE))</f>
        <v>123.8550034</v>
      </c>
      <c r="BL12">
        <f ca="1">IF(AND(ISNUMBER($BL$333),$B$294=1),$BL$333,HLOOKUP(INDIRECT(ADDRESS(2,COLUMN())),OFFSET($BN$2,0,0,ROW()-1,60),ROW()-1,FALSE))</f>
        <v>106.0749969</v>
      </c>
      <c r="BM12">
        <f ca="1">IF(AND(ISNUMBER($BM$333),$B$294=1),$BM$333,HLOOKUP(INDIRECT(ADDRESS(2,COLUMN())),OFFSET($BN$2,0,0,ROW()-1,60),ROW()-1,FALSE))</f>
        <v>84.680999760000006</v>
      </c>
      <c r="BN12" t="str">
        <f>""</f>
        <v/>
      </c>
      <c r="BO12">
        <f>139.1</f>
        <v>139.1</v>
      </c>
      <c r="BP12">
        <f>137.146</f>
        <v>137.14599999999999</v>
      </c>
      <c r="BQ12">
        <f>148.292</f>
        <v>148.292</v>
      </c>
      <c r="BR12">
        <f>147.95</f>
        <v>147.94999999999999</v>
      </c>
      <c r="BS12">
        <f>143.525</f>
        <v>143.52500000000001</v>
      </c>
      <c r="BT12">
        <f>137.984</f>
        <v>137.98400000000001</v>
      </c>
      <c r="BU12">
        <f>134.853</f>
        <v>134.85300000000001</v>
      </c>
      <c r="BV12">
        <f>137.489</f>
        <v>137.489</v>
      </c>
      <c r="BW12">
        <f>139.022</f>
        <v>139.02199999999999</v>
      </c>
      <c r="BX12">
        <f>148.267</f>
        <v>148.267</v>
      </c>
      <c r="BY12">
        <f>146.267</f>
        <v>146.267</v>
      </c>
      <c r="BZ12">
        <f>149.197</f>
        <v>149.197</v>
      </c>
      <c r="CA12">
        <f>146.21</f>
        <v>146.21</v>
      </c>
      <c r="CB12">
        <f>144.108</f>
        <v>144.108</v>
      </c>
      <c r="CC12">
        <f>138.032</f>
        <v>138.03200000000001</v>
      </c>
      <c r="CD12">
        <f>135.833</f>
        <v>135.833</v>
      </c>
      <c r="CE12">
        <f>141.287</f>
        <v>141.28700000000001</v>
      </c>
      <c r="CF12">
        <f>142.499</f>
        <v>142.499</v>
      </c>
      <c r="CG12">
        <f>132.052</f>
        <v>132.05199999999999</v>
      </c>
      <c r="CH12">
        <f>131.52</f>
        <v>131.52000000000001</v>
      </c>
      <c r="CI12">
        <f>131.78</f>
        <v>131.78</v>
      </c>
      <c r="CJ12">
        <f>132.08</f>
        <v>132.08000000000001</v>
      </c>
      <c r="CK12">
        <f>131.026</f>
        <v>131.02600000000001</v>
      </c>
      <c r="CL12">
        <f>130.512</f>
        <v>130.512</v>
      </c>
      <c r="CM12">
        <f>135.342</f>
        <v>135.34200000000001</v>
      </c>
      <c r="CN12">
        <f>132.368</f>
        <v>132.36799999999999</v>
      </c>
      <c r="CO12">
        <f>135.192</f>
        <v>135.19200000000001</v>
      </c>
      <c r="CP12">
        <f>130.62</f>
        <v>130.62</v>
      </c>
      <c r="CQ12">
        <f>134.285</f>
        <v>134.285</v>
      </c>
      <c r="CR12">
        <f>133.31</f>
        <v>133.31</v>
      </c>
      <c r="CS12">
        <f>143.562</f>
        <v>143.56200000000001</v>
      </c>
      <c r="CT12">
        <f>146.091</f>
        <v>146.09100000000001</v>
      </c>
      <c r="CU12">
        <f>148.495</f>
        <v>148.495</v>
      </c>
      <c r="CV12">
        <f>148.202</f>
        <v>148.202</v>
      </c>
      <c r="CW12">
        <f>147.241</f>
        <v>147.24100000000001</v>
      </c>
      <c r="CX12">
        <f>153.051</f>
        <v>153.05099999999999</v>
      </c>
      <c r="CY12">
        <f>154.553</f>
        <v>154.553</v>
      </c>
      <c r="CZ12">
        <f>154.549</f>
        <v>154.54900000000001</v>
      </c>
      <c r="DA12">
        <f>151.278</f>
        <v>151.27799999999999</v>
      </c>
      <c r="DB12">
        <f>158.34</f>
        <v>158.34</v>
      </c>
      <c r="DC12">
        <f>148.077</f>
        <v>148.077</v>
      </c>
      <c r="DD12">
        <f>148.798</f>
        <v>148.798</v>
      </c>
      <c r="DE12">
        <f>145.698</f>
        <v>145.69800000000001</v>
      </c>
      <c r="DF12">
        <f>148.218</f>
        <v>148.21799999999999</v>
      </c>
      <c r="DG12">
        <f>139.56</f>
        <v>139.56</v>
      </c>
      <c r="DH12">
        <f>151.647</f>
        <v>151.64699999999999</v>
      </c>
      <c r="DI12">
        <f>141.107</f>
        <v>141.107</v>
      </c>
      <c r="DJ12">
        <f>139.049</f>
        <v>139.04900000000001</v>
      </c>
      <c r="DK12">
        <f>135.761</f>
        <v>135.761</v>
      </c>
      <c r="DL12">
        <f>140.555</f>
        <v>140.55500000000001</v>
      </c>
      <c r="DM12">
        <f>144.476</f>
        <v>144.476</v>
      </c>
      <c r="DN12">
        <f>143.214</f>
        <v>143.214</v>
      </c>
      <c r="DO12">
        <f>131.395</f>
        <v>131.39500000000001</v>
      </c>
      <c r="DP12">
        <f>136.417</f>
        <v>136.417</v>
      </c>
      <c r="DQ12">
        <f>144.727005</f>
        <v>144.72700499999999</v>
      </c>
      <c r="DR12">
        <f>134.9830017</f>
        <v>134.98300169999999</v>
      </c>
      <c r="DS12">
        <f>123.8550034</f>
        <v>123.8550034</v>
      </c>
      <c r="DT12">
        <f>106.0749969</f>
        <v>106.0749969</v>
      </c>
      <c r="DU12">
        <f>84.68099976</f>
        <v>84.680999760000006</v>
      </c>
    </row>
    <row r="13" spans="1:125">
      <c r="A13" t="str">
        <f>"    SL Green Realty Corp"</f>
        <v xml:space="preserve">    SL Green Realty Corp</v>
      </c>
      <c r="B13" t="str">
        <f>"SLG US Equity"</f>
        <v>SLG US Equity</v>
      </c>
      <c r="C13" t="str">
        <f t="shared" si="0"/>
        <v>IS030</v>
      </c>
      <c r="D13" t="str">
        <f t="shared" si="1"/>
        <v>IS_RENT_INC</v>
      </c>
      <c r="E13" t="str">
        <f t="shared" si="2"/>
        <v>动态</v>
      </c>
      <c r="F13" t="str">
        <f ca="1">IF(AND(ISNUMBER($F$334),$B$294=1),$F$334,HLOOKUP(INDIRECT(ADDRESS(2,COLUMN())),OFFSET($BN$2,0,0,ROW()-1,60),ROW()-1,FALSE))</f>
        <v/>
      </c>
      <c r="G13">
        <f ca="1">IF(AND(ISNUMBER($G$334),$B$294=1),$G$334,HLOOKUP(INDIRECT(ADDRESS(2,COLUMN())),OFFSET($BN$2,0,0,ROW()-1,60),ROW()-1,FALSE))</f>
        <v>306.87</v>
      </c>
      <c r="H13">
        <f ca="1">IF(AND(ISNUMBER($H$334),$B$294=1),$H$334,HLOOKUP(INDIRECT(ADDRESS(2,COLUMN())),OFFSET($BN$2,0,0,ROW()-1,60),ROW()-1,FALSE))</f>
        <v>319.51400000000001</v>
      </c>
      <c r="I13">
        <f ca="1">IF(AND(ISNUMBER($I$334),$B$294=1),$I$334,HLOOKUP(INDIRECT(ADDRESS(2,COLUMN())),OFFSET($BN$2,0,0,ROW()-1,60),ROW()-1,FALSE))</f>
        <v>322.02699999999999</v>
      </c>
      <c r="J13">
        <f ca="1">IF(AND(ISNUMBER($J$334),$B$294=1),$J$334,HLOOKUP(INDIRECT(ADDRESS(2,COLUMN())),OFFSET($BN$2,0,0,ROW()-1,60),ROW()-1,FALSE))</f>
        <v>325.52100000000002</v>
      </c>
      <c r="K13">
        <f ca="1">IF(AND(ISNUMBER($K$334),$B$294=1),$K$334,HLOOKUP(INDIRECT(ADDRESS(2,COLUMN())),OFFSET($BN$2,0,0,ROW()-1,60),ROW()-1,FALSE))</f>
        <v>329.37</v>
      </c>
      <c r="L13">
        <f ca="1">IF(AND(ISNUMBER($L$334),$B$294=1),$L$334,HLOOKUP(INDIRECT(ADDRESS(2,COLUMN())),OFFSET($BN$2,0,0,ROW()-1,60),ROW()-1,FALSE))</f>
        <v>334.61200000000002</v>
      </c>
      <c r="M13">
        <f ca="1">IF(AND(ISNUMBER($M$334),$B$294=1),$M$334,HLOOKUP(INDIRECT(ADDRESS(2,COLUMN())),OFFSET($BN$2,0,0,ROW()-1,60),ROW()-1,FALSE))</f>
        <v>465.42500000000001</v>
      </c>
      <c r="N13">
        <f ca="1">IF(AND(ISNUMBER($N$334),$B$294=1),$N$334,HLOOKUP(INDIRECT(ADDRESS(2,COLUMN())),OFFSET($BN$2,0,0,ROW()-1,60),ROW()-1,FALSE))</f>
        <v>391.21800000000002</v>
      </c>
      <c r="O13">
        <f ca="1">IF(AND(ISNUMBER($O$334),$B$294=1),$O$334,HLOOKUP(INDIRECT(ADDRESS(2,COLUMN())),OFFSET($BN$2,0,0,ROW()-1,60),ROW()-1,FALSE))</f>
        <v>367.84300000000002</v>
      </c>
      <c r="P13">
        <f ca="1">IF(AND(ISNUMBER($P$334),$B$294=1),$P$334,HLOOKUP(INDIRECT(ADDRESS(2,COLUMN())),OFFSET($BN$2,0,0,ROW()-1,60),ROW()-1,FALSE))</f>
        <v>366.71899999999999</v>
      </c>
      <c r="Q13">
        <f ca="1">IF(AND(ISNUMBER($Q$334),$B$294=1),$Q$334,HLOOKUP(INDIRECT(ADDRESS(2,COLUMN())),OFFSET($BN$2,0,0,ROW()-1,60),ROW()-1,FALSE))</f>
        <v>345.63299999999998</v>
      </c>
      <c r="R13">
        <f ca="1">IF(AND(ISNUMBER($R$334),$B$294=1),$R$334,HLOOKUP(INDIRECT(ADDRESS(2,COLUMN())),OFFSET($BN$2,0,0,ROW()-1,60),ROW()-1,FALSE))</f>
        <v>344.298</v>
      </c>
      <c r="S13">
        <f ca="1">IF(AND(ISNUMBER($S$334),$B$294=1),$S$334,HLOOKUP(INDIRECT(ADDRESS(2,COLUMN())),OFFSET($BN$2,0,0,ROW()-1,60),ROW()-1,FALSE))</f>
        <v>338.35599999999999</v>
      </c>
      <c r="T13">
        <f ca="1">IF(AND(ISNUMBER($T$334),$B$294=1),$T$334,HLOOKUP(INDIRECT(ADDRESS(2,COLUMN())),OFFSET($BN$2,0,0,ROW()-1,60),ROW()-1,FALSE))</f>
        <v>335.11900000000003</v>
      </c>
      <c r="U13">
        <f ca="1">IF(AND(ISNUMBER($U$334),$B$294=1),$U$334,HLOOKUP(INDIRECT(ADDRESS(2,COLUMN())),OFFSET($BN$2,0,0,ROW()-1,60),ROW()-1,FALSE))</f>
        <v>318.18400000000003</v>
      </c>
      <c r="V13">
        <f ca="1">IF(AND(ISNUMBER($V$334),$B$294=1),$V$334,HLOOKUP(INDIRECT(ADDRESS(2,COLUMN())),OFFSET($BN$2,0,0,ROW()-1,60),ROW()-1,FALSE))</f>
        <v>293.78300000000002</v>
      </c>
      <c r="W13">
        <f ca="1">IF(AND(ISNUMBER($W$334),$B$294=1),$W$334,HLOOKUP(INDIRECT(ADDRESS(2,COLUMN())),OFFSET($BN$2,0,0,ROW()-1,60),ROW()-1,FALSE))</f>
        <v>296.875</v>
      </c>
      <c r="X13">
        <f ca="1">IF(AND(ISNUMBER($X$334),$B$294=1),$X$334,HLOOKUP(INDIRECT(ADDRESS(2,COLUMN())),OFFSET($BN$2,0,0,ROW()-1,60),ROW()-1,FALSE))</f>
        <v>284.46499999999997</v>
      </c>
      <c r="Y13">
        <f ca="1">IF(AND(ISNUMBER($Y$334),$B$294=1),$Y$334,HLOOKUP(INDIRECT(ADDRESS(2,COLUMN())),OFFSET($BN$2,0,0,ROW()-1,60),ROW()-1,FALSE))</f>
        <v>301.49</v>
      </c>
      <c r="Z13">
        <f ca="1">IF(AND(ISNUMBER($Z$334),$B$294=1),$Z$334,HLOOKUP(INDIRECT(ADDRESS(2,COLUMN())),OFFSET($BN$2,0,0,ROW()-1,60),ROW()-1,FALSE))</f>
        <v>301.47899999999998</v>
      </c>
      <c r="AA13">
        <f ca="1">IF(AND(ISNUMBER($AA$334),$B$294=1),$AA$334,HLOOKUP(INDIRECT(ADDRESS(2,COLUMN())),OFFSET($BN$2,0,0,ROW()-1,60),ROW()-1,FALSE))</f>
        <v>305.29399999999998</v>
      </c>
      <c r="AB13">
        <f ca="1">IF(AND(ISNUMBER($AB$334),$B$294=1),$AB$334,HLOOKUP(INDIRECT(ADDRESS(2,COLUMN())),OFFSET($BN$2,0,0,ROW()-1,60),ROW()-1,FALSE))</f>
        <v>319.87</v>
      </c>
      <c r="AC13">
        <f ca="1">IF(AND(ISNUMBER($AC$334),$B$294=1),$AC$334,HLOOKUP(INDIRECT(ADDRESS(2,COLUMN())),OFFSET($BN$2,0,0,ROW()-1,60),ROW()-1,FALSE))</f>
        <v>304.80500000000001</v>
      </c>
      <c r="AD13">
        <f ca="1">IF(AND(ISNUMBER($AD$334),$B$294=1),$AD$334,HLOOKUP(INDIRECT(ADDRESS(2,COLUMN())),OFFSET($BN$2,0,0,ROW()-1,60),ROW()-1,FALSE))</f>
        <v>302.41800000000001</v>
      </c>
      <c r="AE13">
        <f ca="1">IF(AND(ISNUMBER($AE$334),$B$294=1),$AE$334,HLOOKUP(INDIRECT(ADDRESS(2,COLUMN())),OFFSET($BN$2,0,0,ROW()-1,60),ROW()-1,FALSE))</f>
        <v>294.495</v>
      </c>
      <c r="AF13">
        <f ca="1">IF(AND(ISNUMBER($AF$334),$B$294=1),$AF$334,HLOOKUP(INDIRECT(ADDRESS(2,COLUMN())),OFFSET($BN$2,0,0,ROW()-1,60),ROW()-1,FALSE))</f>
        <v>282.11399999999998</v>
      </c>
      <c r="AG13">
        <f ca="1">IF(AND(ISNUMBER($AG$334),$B$294=1),$AG$334,HLOOKUP(INDIRECT(ADDRESS(2,COLUMN())),OFFSET($BN$2,0,0,ROW()-1,60),ROW()-1,FALSE))</f>
        <v>273.62900000000002</v>
      </c>
      <c r="AH13">
        <f ca="1">IF(AND(ISNUMBER($AH$334),$B$294=1),$AH$334,HLOOKUP(INDIRECT(ADDRESS(2,COLUMN())),OFFSET($BN$2,0,0,ROW()-1,60),ROW()-1,FALSE))</f>
        <v>257.29500000000002</v>
      </c>
      <c r="AI13">
        <f ca="1">IF(AND(ISNUMBER($AI$334),$B$294=1),$AI$334,HLOOKUP(INDIRECT(ADDRESS(2,COLUMN())),OFFSET($BN$2,0,0,ROW()-1,60),ROW()-1,FALSE))</f>
        <v>229.82300000000001</v>
      </c>
      <c r="AJ13">
        <f ca="1">IF(AND(ISNUMBER($AJ$334),$B$294=1),$AJ$334,HLOOKUP(INDIRECT(ADDRESS(2,COLUMN())),OFFSET($BN$2,0,0,ROW()-1,60),ROW()-1,FALSE))</f>
        <v>226.709</v>
      </c>
      <c r="AK13">
        <f ca="1">IF(AND(ISNUMBER($AK$334),$B$294=1),$AK$334,HLOOKUP(INDIRECT(ADDRESS(2,COLUMN())),OFFSET($BN$2,0,0,ROW()-1,60),ROW()-1,FALSE))</f>
        <v>221.90700000000001</v>
      </c>
      <c r="AL13">
        <f ca="1">IF(AND(ISNUMBER($AL$334),$B$294=1),$AL$334,HLOOKUP(INDIRECT(ADDRESS(2,COLUMN())),OFFSET($BN$2,0,0,ROW()-1,60),ROW()-1,FALSE))</f>
        <v>222.303</v>
      </c>
      <c r="AM13">
        <f ca="1">IF(AND(ISNUMBER($AM$334),$B$294=1),$AM$334,HLOOKUP(INDIRECT(ADDRESS(2,COLUMN())),OFFSET($BN$2,0,0,ROW()-1,60),ROW()-1,FALSE))</f>
        <v>219.184</v>
      </c>
      <c r="AN13">
        <f ca="1">IF(AND(ISNUMBER($AN$334),$B$294=1),$AN$334,HLOOKUP(INDIRECT(ADDRESS(2,COLUMN())),OFFSET($BN$2,0,0,ROW()-1,60),ROW()-1,FALSE))</f>
        <v>218.51499999999999</v>
      </c>
      <c r="AO13">
        <f ca="1">IF(AND(ISNUMBER($AO$334),$B$294=1),$AO$334,HLOOKUP(INDIRECT(ADDRESS(2,COLUMN())),OFFSET($BN$2,0,0,ROW()-1,60),ROW()-1,FALSE))</f>
        <v>223.30699999999999</v>
      </c>
      <c r="AP13">
        <f ca="1">IF(AND(ISNUMBER($AP$334),$B$294=1),$AP$334,HLOOKUP(INDIRECT(ADDRESS(2,COLUMN())),OFFSET($BN$2,0,0,ROW()-1,60),ROW()-1,FALSE))</f>
        <v>229.25800000000001</v>
      </c>
      <c r="AQ13">
        <f ca="1">IF(AND(ISNUMBER($AQ$334),$B$294=1),$AQ$334,HLOOKUP(INDIRECT(ADDRESS(2,COLUMN())),OFFSET($BN$2,0,0,ROW()-1,60),ROW()-1,FALSE))</f>
        <v>223.7</v>
      </c>
      <c r="AR13">
        <f ca="1">IF(AND(ISNUMBER($AR$334),$B$294=1),$AR$334,HLOOKUP(INDIRECT(ADDRESS(2,COLUMN())),OFFSET($BN$2,0,0,ROW()-1,60),ROW()-1,FALSE))</f>
        <v>228.93</v>
      </c>
      <c r="AS13">
        <f ca="1">IF(AND(ISNUMBER($AS$334),$B$294=1),$AS$334,HLOOKUP(INDIRECT(ADDRESS(2,COLUMN())),OFFSET($BN$2,0,0,ROW()-1,60),ROW()-1,FALSE))</f>
        <v>222.58199999999999</v>
      </c>
      <c r="AT13">
        <f ca="1">IF(AND(ISNUMBER($AT$334),$B$294=1),$AT$334,HLOOKUP(INDIRECT(ADDRESS(2,COLUMN())),OFFSET($BN$2,0,0,ROW()-1,60),ROW()-1,FALSE))</f>
        <v>223.8</v>
      </c>
      <c r="AU13">
        <f ca="1">IF(AND(ISNUMBER($AU$334),$B$294=1),$AU$334,HLOOKUP(INDIRECT(ADDRESS(2,COLUMN())),OFFSET($BN$2,0,0,ROW()-1,60),ROW()-1,FALSE))</f>
        <v>209.155</v>
      </c>
      <c r="AV13">
        <f ca="1">IF(AND(ISNUMBER($AV$334),$B$294=1),$AV$334,HLOOKUP(INDIRECT(ADDRESS(2,COLUMN())),OFFSET($BN$2,0,0,ROW()-1,60),ROW()-1,FALSE))</f>
        <v>208.613</v>
      </c>
      <c r="AW13">
        <f ca="1">IF(AND(ISNUMBER($AW$334),$B$294=1),$AW$334,HLOOKUP(INDIRECT(ADDRESS(2,COLUMN())),OFFSET($BN$2,0,0,ROW()-1,60),ROW()-1,FALSE))</f>
        <v>201.191</v>
      </c>
      <c r="AX13">
        <f ca="1">IF(AND(ISNUMBER($AX$334),$B$294=1),$AX$334,HLOOKUP(INDIRECT(ADDRESS(2,COLUMN())),OFFSET($BN$2,0,0,ROW()-1,60),ROW()-1,FALSE))</f>
        <v>174.33099999999999</v>
      </c>
      <c r="AY13">
        <f ca="1">IF(AND(ISNUMBER($AY$334),$B$294=1),$AY$334,HLOOKUP(INDIRECT(ADDRESS(2,COLUMN())),OFFSET($BN$2,0,0,ROW()-1,60),ROW()-1,FALSE))</f>
        <v>89.238</v>
      </c>
      <c r="AZ13">
        <f ca="1">IF(AND(ISNUMBER($AZ$334),$B$294=1),$AZ$334,HLOOKUP(INDIRECT(ADDRESS(2,COLUMN())),OFFSET($BN$2,0,0,ROW()-1,60),ROW()-1,FALSE))</f>
        <v>104.169</v>
      </c>
      <c r="BA13">
        <f ca="1">IF(AND(ISNUMBER($BA$334),$B$294=1),$BA$334,HLOOKUP(INDIRECT(ADDRESS(2,COLUMN())),OFFSET($BN$2,0,0,ROW()-1,60),ROW()-1,FALSE))</f>
        <v>94.953000000000003</v>
      </c>
      <c r="BB13">
        <f ca="1">IF(AND(ISNUMBER($BB$334),$B$294=1),$BB$334,HLOOKUP(INDIRECT(ADDRESS(2,COLUMN())),OFFSET($BN$2,0,0,ROW()-1,60),ROW()-1,FALSE))</f>
        <v>93.016999999999996</v>
      </c>
      <c r="BC13">
        <f ca="1">IF(AND(ISNUMBER($BC$334),$B$294=1),$BC$334,HLOOKUP(INDIRECT(ADDRESS(2,COLUMN())),OFFSET($BN$2,0,0,ROW()-1,60),ROW()-1,FALSE))</f>
        <v>86.828000000000003</v>
      </c>
      <c r="BD13">
        <f ca="1">IF(AND(ISNUMBER($BD$334),$B$294=1),$BD$334,HLOOKUP(INDIRECT(ADDRESS(2,COLUMN())),OFFSET($BN$2,0,0,ROW()-1,60),ROW()-1,FALSE))</f>
        <v>88.049000000000007</v>
      </c>
      <c r="BE13">
        <f ca="1">IF(AND(ISNUMBER($BE$334),$B$294=1),$BE$334,HLOOKUP(INDIRECT(ADDRESS(2,COLUMN())),OFFSET($BN$2,0,0,ROW()-1,60),ROW()-1,FALSE))</f>
        <v>83.991</v>
      </c>
      <c r="BF13">
        <f ca="1">IF(AND(ISNUMBER($BF$334),$B$294=1),$BF$334,HLOOKUP(INDIRECT(ADDRESS(2,COLUMN())),OFFSET($BN$2,0,0,ROW()-1,60),ROW()-1,FALSE))</f>
        <v>82.188999999999993</v>
      </c>
      <c r="BG13">
        <f ca="1">IF(AND(ISNUMBER($BG$334),$B$294=1),$BG$334,HLOOKUP(INDIRECT(ADDRESS(2,COLUMN())),OFFSET($BN$2,0,0,ROW()-1,60),ROW()-1,FALSE))</f>
        <v>80.23</v>
      </c>
      <c r="BH13">
        <f ca="1">IF(AND(ISNUMBER($BH$334),$B$294=1),$BH$334,HLOOKUP(INDIRECT(ADDRESS(2,COLUMN())),OFFSET($BN$2,0,0,ROW()-1,60),ROW()-1,FALSE))</f>
        <v>72.602000000000004</v>
      </c>
      <c r="BI13">
        <f ca="1">IF(AND(ISNUMBER($BI$334),$B$294=1),$BI$334,HLOOKUP(INDIRECT(ADDRESS(2,COLUMN())),OFFSET($BN$2,0,0,ROW()-1,60),ROW()-1,FALSE))</f>
        <v>73.900999999999996</v>
      </c>
      <c r="BJ13">
        <f ca="1">IF(AND(ISNUMBER($BJ$334),$B$294=1),$BJ$334,HLOOKUP(INDIRECT(ADDRESS(2,COLUMN())),OFFSET($BN$2,0,0,ROW()-1,60),ROW()-1,FALSE))</f>
        <v>71.370999999999995</v>
      </c>
      <c r="BK13">
        <f ca="1">IF(AND(ISNUMBER($BK$334),$B$294=1),$BK$334,HLOOKUP(INDIRECT(ADDRESS(2,COLUMN())),OFFSET($BN$2,0,0,ROW()-1,60),ROW()-1,FALSE))</f>
        <v>67.535003660000001</v>
      </c>
      <c r="BL13">
        <f ca="1">IF(AND(ISNUMBER($BL$334),$B$294=1),$BL$334,HLOOKUP(INDIRECT(ADDRESS(2,COLUMN())),OFFSET($BN$2,0,0,ROW()-1,60),ROW()-1,FALSE))</f>
        <v>67.947999999999993</v>
      </c>
      <c r="BM13">
        <f ca="1">IF(AND(ISNUMBER($BM$334),$B$294=1),$BM$334,HLOOKUP(INDIRECT(ADDRESS(2,COLUMN())),OFFSET($BN$2,0,0,ROW()-1,60),ROW()-1,FALSE))</f>
        <v>69.738</v>
      </c>
      <c r="BN13" t="str">
        <f>""</f>
        <v/>
      </c>
      <c r="BO13">
        <f>306.87</f>
        <v>306.87</v>
      </c>
      <c r="BP13">
        <f>319.514</f>
        <v>319.51400000000001</v>
      </c>
      <c r="BQ13">
        <f>322.027</f>
        <v>322.02699999999999</v>
      </c>
      <c r="BR13">
        <f>325.521</f>
        <v>325.52100000000002</v>
      </c>
      <c r="BS13">
        <f>329.37</f>
        <v>329.37</v>
      </c>
      <c r="BT13">
        <f>334.612</f>
        <v>334.61200000000002</v>
      </c>
      <c r="BU13">
        <f>465.425</f>
        <v>465.42500000000001</v>
      </c>
      <c r="BV13">
        <f>391.218</f>
        <v>391.21800000000002</v>
      </c>
      <c r="BW13">
        <f>367.843</f>
        <v>367.84300000000002</v>
      </c>
      <c r="BX13">
        <f>366.719</f>
        <v>366.71899999999999</v>
      </c>
      <c r="BY13">
        <f>345.633</f>
        <v>345.63299999999998</v>
      </c>
      <c r="BZ13">
        <f>344.298</f>
        <v>344.298</v>
      </c>
      <c r="CA13">
        <f>338.356</f>
        <v>338.35599999999999</v>
      </c>
      <c r="CB13">
        <f>335.119</f>
        <v>335.11900000000003</v>
      </c>
      <c r="CC13">
        <f>318.184</f>
        <v>318.18400000000003</v>
      </c>
      <c r="CD13">
        <f>293.783</f>
        <v>293.78300000000002</v>
      </c>
      <c r="CE13">
        <f>296.875</f>
        <v>296.875</v>
      </c>
      <c r="CF13">
        <f>284.465</f>
        <v>284.46499999999997</v>
      </c>
      <c r="CG13">
        <f>301.49</f>
        <v>301.49</v>
      </c>
      <c r="CH13">
        <f>301.479</f>
        <v>301.47899999999998</v>
      </c>
      <c r="CI13">
        <f>305.294</f>
        <v>305.29399999999998</v>
      </c>
      <c r="CJ13">
        <f>319.87</f>
        <v>319.87</v>
      </c>
      <c r="CK13">
        <f>304.805</f>
        <v>304.80500000000001</v>
      </c>
      <c r="CL13">
        <f>302.418</f>
        <v>302.41800000000001</v>
      </c>
      <c r="CM13">
        <f>294.495</f>
        <v>294.495</v>
      </c>
      <c r="CN13">
        <f>282.114</f>
        <v>282.11399999999998</v>
      </c>
      <c r="CO13">
        <f>273.629</f>
        <v>273.62900000000002</v>
      </c>
      <c r="CP13">
        <f>257.295</f>
        <v>257.29500000000002</v>
      </c>
      <c r="CQ13">
        <f>229.823</f>
        <v>229.82300000000001</v>
      </c>
      <c r="CR13">
        <f>226.709</f>
        <v>226.709</v>
      </c>
      <c r="CS13">
        <f>221.907</f>
        <v>221.90700000000001</v>
      </c>
      <c r="CT13">
        <f>222.303</f>
        <v>222.303</v>
      </c>
      <c r="CU13">
        <f>219.184</f>
        <v>219.184</v>
      </c>
      <c r="CV13">
        <f>218.515</f>
        <v>218.51499999999999</v>
      </c>
      <c r="CW13">
        <f>223.307</f>
        <v>223.30699999999999</v>
      </c>
      <c r="CX13">
        <f>229.258</f>
        <v>229.25800000000001</v>
      </c>
      <c r="CY13">
        <f>223.7</f>
        <v>223.7</v>
      </c>
      <c r="CZ13">
        <f>228.93</f>
        <v>228.93</v>
      </c>
      <c r="DA13">
        <f>222.582</f>
        <v>222.58199999999999</v>
      </c>
      <c r="DB13">
        <f>223.8</f>
        <v>223.8</v>
      </c>
      <c r="DC13">
        <f>209.155</f>
        <v>209.155</v>
      </c>
      <c r="DD13">
        <f>208.613</f>
        <v>208.613</v>
      </c>
      <c r="DE13">
        <f>201.191</f>
        <v>201.191</v>
      </c>
      <c r="DF13">
        <f>174.331</f>
        <v>174.33099999999999</v>
      </c>
      <c r="DG13">
        <f>89.238</f>
        <v>89.238</v>
      </c>
      <c r="DH13">
        <f>104.169</f>
        <v>104.169</v>
      </c>
      <c r="DI13">
        <f>94.953</f>
        <v>94.953000000000003</v>
      </c>
      <c r="DJ13">
        <f>93.017</f>
        <v>93.016999999999996</v>
      </c>
      <c r="DK13">
        <f>86.828</f>
        <v>86.828000000000003</v>
      </c>
      <c r="DL13">
        <f>88.049</f>
        <v>88.049000000000007</v>
      </c>
      <c r="DM13">
        <f>83.991</f>
        <v>83.991</v>
      </c>
      <c r="DN13">
        <f>82.189</f>
        <v>82.188999999999993</v>
      </c>
      <c r="DO13">
        <f>80.23</f>
        <v>80.23</v>
      </c>
      <c r="DP13">
        <f>72.602</f>
        <v>72.602000000000004</v>
      </c>
      <c r="DQ13">
        <f>73.901</f>
        <v>73.900999999999996</v>
      </c>
      <c r="DR13">
        <f>71.371</f>
        <v>71.370999999999995</v>
      </c>
      <c r="DS13">
        <f>67.53500366</f>
        <v>67.535003660000001</v>
      </c>
      <c r="DT13">
        <f>67.948</f>
        <v>67.947999999999993</v>
      </c>
      <c r="DU13">
        <f>69.738</f>
        <v>69.738</v>
      </c>
    </row>
    <row r="14" spans="1:125">
      <c r="A14" t="str">
        <f>"    Vornado Realty Trust"</f>
        <v xml:space="preserve">    Vornado Realty Trust</v>
      </c>
      <c r="B14" t="str">
        <f>"VNO US Equity"</f>
        <v>VNO US Equity</v>
      </c>
      <c r="C14" t="str">
        <f t="shared" si="0"/>
        <v>IS030</v>
      </c>
      <c r="D14" t="str">
        <f t="shared" si="1"/>
        <v>IS_RENT_INC</v>
      </c>
      <c r="E14" t="str">
        <f t="shared" si="2"/>
        <v>动态</v>
      </c>
      <c r="F14" t="str">
        <f ca="1">IF(AND(ISNUMBER($F$335),$B$294=1),$F$335,HLOOKUP(INDIRECT(ADDRESS(2,COLUMN())),OFFSET($BN$2,0,0,ROW()-1,60),ROW()-1,FALSE))</f>
        <v/>
      </c>
      <c r="G14">
        <f ca="1">IF(AND(ISNUMBER($G$335),$B$294=1),$G$335,HLOOKUP(INDIRECT(ADDRESS(2,COLUMN())),OFFSET($BN$2,0,0,ROW()-1,60),ROW()-1,FALSE))</f>
        <v>498.68799999999999</v>
      </c>
      <c r="H14">
        <f ca="1">IF(AND(ISNUMBER($H$335),$B$294=1),$H$335,HLOOKUP(INDIRECT(ADDRESS(2,COLUMN())),OFFSET($BN$2,0,0,ROW()-1,60),ROW()-1,FALSE))</f>
        <v>495.46300000000002</v>
      </c>
      <c r="I14">
        <f ca="1">IF(AND(ISNUMBER($I$335),$B$294=1),$I$335,HLOOKUP(INDIRECT(ADDRESS(2,COLUMN())),OFFSET($BN$2,0,0,ROW()-1,60),ROW()-1,FALSE))</f>
        <v>589.98099999999999</v>
      </c>
      <c r="J14">
        <f ca="1">IF(AND(ISNUMBER($J$335),$B$294=1),$J$335,HLOOKUP(INDIRECT(ADDRESS(2,COLUMN())),OFFSET($BN$2,0,0,ROW()-1,60),ROW()-1,FALSE))</f>
        <v>581.48800000000006</v>
      </c>
      <c r="K14">
        <f ca="1">IF(AND(ISNUMBER($K$335),$B$294=1),$K$335,HLOOKUP(INDIRECT(ADDRESS(2,COLUMN())),OFFSET($BN$2,0,0,ROW()-1,60),ROW()-1,FALSE))</f>
        <v>601.88599999999997</v>
      </c>
      <c r="L14">
        <f ca="1">IF(AND(ISNUMBER($L$335),$B$294=1),$L$335,HLOOKUP(INDIRECT(ADDRESS(2,COLUMN())),OFFSET($BN$2,0,0,ROW()-1,60),ROW()-1,FALSE))</f>
        <v>595.423</v>
      </c>
      <c r="M14">
        <f ca="1">IF(AND(ISNUMBER($M$335),$B$294=1),$M$335,HLOOKUP(INDIRECT(ADDRESS(2,COLUMN())),OFFSET($BN$2,0,0,ROW()-1,60),ROW()-1,FALSE))</f>
        <v>588.01900000000001</v>
      </c>
      <c r="N14">
        <f ca="1">IF(AND(ISNUMBER($N$335),$B$294=1),$N$335,HLOOKUP(INDIRECT(ADDRESS(2,COLUMN())),OFFSET($BN$2,0,0,ROW()-1,60),ROW()-1,FALSE))</f>
        <v>579.06700000000001</v>
      </c>
      <c r="O14">
        <f ca="1">IF(AND(ISNUMBER($O$335),$B$294=1),$O$335,HLOOKUP(INDIRECT(ADDRESS(2,COLUMN())),OFFSET($BN$2,0,0,ROW()-1,60),ROW()-1,FALSE))</f>
        <v>599.87400000000002</v>
      </c>
      <c r="P14">
        <f ca="1">IF(AND(ISNUMBER($P$335),$B$294=1),$P$335,HLOOKUP(INDIRECT(ADDRESS(2,COLUMN())),OFFSET($BN$2,0,0,ROW()-1,60),ROW()-1,FALSE))</f>
        <v>593.43499999999995</v>
      </c>
      <c r="Q14">
        <f ca="1">IF(AND(ISNUMBER($Q$335),$B$294=1),$Q$335,HLOOKUP(INDIRECT(ADDRESS(2,COLUMN())),OFFSET($BN$2,0,0,ROW()-1,60),ROW()-1,FALSE))</f>
        <v>577.05799999999999</v>
      </c>
      <c r="R14">
        <f ca="1">IF(AND(ISNUMBER($R$335),$B$294=1),$R$335,HLOOKUP(INDIRECT(ADDRESS(2,COLUMN())),OFFSET($BN$2,0,0,ROW()-1,60),ROW()-1,FALSE))</f>
        <v>567.19500000000005</v>
      </c>
      <c r="S14">
        <f ca="1">IF(AND(ISNUMBER($S$335),$B$294=1),$S$335,HLOOKUP(INDIRECT(ADDRESS(2,COLUMN())),OFFSET($BN$2,0,0,ROW()-1,60),ROW()-1,FALSE))</f>
        <v>556.33399999999995</v>
      </c>
      <c r="T14">
        <f ca="1">IF(AND(ISNUMBER($T$335),$B$294=1),$T$335,HLOOKUP(INDIRECT(ADDRESS(2,COLUMN())),OFFSET($BN$2,0,0,ROW()-1,60),ROW()-1,FALSE))</f>
        <v>540.93100000000004</v>
      </c>
      <c r="U14">
        <f ca="1">IF(AND(ISNUMBER($U$335),$B$294=1),$U$335,HLOOKUP(INDIRECT(ADDRESS(2,COLUMN())),OFFSET($BN$2,0,0,ROW()-1,60),ROW()-1,FALSE))</f>
        <v>533.6</v>
      </c>
      <c r="V14">
        <f ca="1">IF(AND(ISNUMBER($V$335),$B$294=1),$V$335,HLOOKUP(INDIRECT(ADDRESS(2,COLUMN())),OFFSET($BN$2,0,0,ROW()-1,60),ROW()-1,FALSE))</f>
        <v>526.44100000000003</v>
      </c>
      <c r="W14">
        <f ca="1">IF(AND(ISNUMBER($W$335),$B$294=1),$W$335,HLOOKUP(INDIRECT(ADDRESS(2,COLUMN())),OFFSET($BN$2,0,0,ROW()-1,60),ROW()-1,FALSE))</f>
        <v>601.95100000000002</v>
      </c>
      <c r="X14">
        <f ca="1">IF(AND(ISNUMBER($X$335),$B$294=1),$X$335,HLOOKUP(INDIRECT(ADDRESS(2,COLUMN())),OFFSET($BN$2,0,0,ROW()-1,60),ROW()-1,FALSE))</f>
        <v>608.14</v>
      </c>
      <c r="Y14">
        <f ca="1">IF(AND(ISNUMBER($Y$335),$B$294=1),$Y$335,HLOOKUP(INDIRECT(ADDRESS(2,COLUMN())),OFFSET($BN$2,0,0,ROW()-1,60),ROW()-1,FALSE))</f>
        <v>623.35500000000002</v>
      </c>
      <c r="Z14">
        <f ca="1">IF(AND(ISNUMBER($Z$335),$B$294=1),$Z$335,HLOOKUP(INDIRECT(ADDRESS(2,COLUMN())),OFFSET($BN$2,0,0,ROW()-1,60),ROW()-1,FALSE))</f>
        <v>621.9</v>
      </c>
      <c r="AA14">
        <f ca="1">IF(AND(ISNUMBER($AA$335),$B$294=1),$AA$335,HLOOKUP(INDIRECT(ADDRESS(2,COLUMN())),OFFSET($BN$2,0,0,ROW()-1,60),ROW()-1,FALSE))</f>
        <v>648.21600000000001</v>
      </c>
      <c r="AB14">
        <f ca="1">IF(AND(ISNUMBER($AB$335),$B$294=1),$AB$335,HLOOKUP(INDIRECT(ADDRESS(2,COLUMN())),OFFSET($BN$2,0,0,ROW()-1,60),ROW()-1,FALSE))</f>
        <v>663.42700000000002</v>
      </c>
      <c r="AC14">
        <f ca="1">IF(AND(ISNUMBER($AC$335),$B$294=1),$AC$335,HLOOKUP(INDIRECT(ADDRESS(2,COLUMN())),OFFSET($BN$2,0,0,ROW()-1,60),ROW()-1,FALSE))</f>
        <v>644.94600000000003</v>
      </c>
      <c r="AD14">
        <f ca="1">IF(AND(ISNUMBER($AD$335),$B$294=1),$AD$335,HLOOKUP(INDIRECT(ADDRESS(2,COLUMN())),OFFSET($BN$2,0,0,ROW()-1,60),ROW()-1,FALSE))</f>
        <v>635.96299999999997</v>
      </c>
      <c r="AE14">
        <f ca="1">IF(AND(ISNUMBER($AE$335),$B$294=1),$AE$335,HLOOKUP(INDIRECT(ADDRESS(2,COLUMN())),OFFSET($BN$2,0,0,ROW()-1,60),ROW()-1,FALSE))</f>
        <v>652.02300000000002</v>
      </c>
      <c r="AF14">
        <f ca="1">IF(AND(ISNUMBER($AF$335),$B$294=1),$AF$335,HLOOKUP(INDIRECT(ADDRESS(2,COLUMN())),OFFSET($BN$2,0,0,ROW()-1,60),ROW()-1,FALSE))</f>
        <v>651.08399999999995</v>
      </c>
      <c r="AG14">
        <f ca="1">IF(AND(ISNUMBER($AG$335),$B$294=1),$AG$335,HLOOKUP(INDIRECT(ADDRESS(2,COLUMN())),OFFSET($BN$2,0,0,ROW()-1,60),ROW()-1,FALSE))</f>
        <v>655.17600000000004</v>
      </c>
      <c r="AH14">
        <f ca="1">IF(AND(ISNUMBER($AH$335),$B$294=1),$AH$335,HLOOKUP(INDIRECT(ADDRESS(2,COLUMN())),OFFSET($BN$2,0,0,ROW()-1,60),ROW()-1,FALSE))</f>
        <v>692.62</v>
      </c>
      <c r="AI14">
        <f ca="1">IF(AND(ISNUMBER($AI$335),$B$294=1),$AI$335,HLOOKUP(INDIRECT(ADDRESS(2,COLUMN())),OFFSET($BN$2,0,0,ROW()-1,60),ROW()-1,FALSE))</f>
        <v>642.245</v>
      </c>
      <c r="AJ14">
        <f ca="1">IF(AND(ISNUMBER($AJ$335),$B$294=1),$AJ$335,HLOOKUP(INDIRECT(ADDRESS(2,COLUMN())),OFFSET($BN$2,0,0,ROW()-1,60),ROW()-1,FALSE))</f>
        <v>654.85900000000004</v>
      </c>
      <c r="AK14">
        <f ca="1">IF(AND(ISNUMBER($AK$335),$B$294=1),$AK$335,HLOOKUP(INDIRECT(ADDRESS(2,COLUMN())),OFFSET($BN$2,0,0,ROW()-1,60),ROW()-1,FALSE))</f>
        <v>651.83199999999999</v>
      </c>
      <c r="AL14">
        <f ca="1">IF(AND(ISNUMBER($AL$335),$B$294=1),$AL$335,HLOOKUP(INDIRECT(ADDRESS(2,COLUMN())),OFFSET($BN$2,0,0,ROW()-1,60),ROW()-1,FALSE))</f>
        <v>644.38699999999994</v>
      </c>
      <c r="AM14">
        <f ca="1">IF(AND(ISNUMBER($AM$335),$B$294=1),$AM$335,HLOOKUP(INDIRECT(ADDRESS(2,COLUMN())),OFFSET($BN$2,0,0,ROW()-1,60),ROW()-1,FALSE))</f>
        <v>646.62300000000005</v>
      </c>
      <c r="AN14">
        <f ca="1">IF(AND(ISNUMBER($AN$335),$B$294=1),$AN$335,HLOOKUP(INDIRECT(ADDRESS(2,COLUMN())),OFFSET($BN$2,0,0,ROW()-1,60),ROW()-1,FALSE))</f>
        <v>639.58399999999995</v>
      </c>
      <c r="AO14">
        <f ca="1">IF(AND(ISNUMBER($AO$335),$B$294=1),$AO$335,HLOOKUP(INDIRECT(ADDRESS(2,COLUMN())),OFFSET($BN$2,0,0,ROW()-1,60),ROW()-1,FALSE))</f>
        <v>637.89099999999996</v>
      </c>
      <c r="AP14">
        <f ca="1">IF(AND(ISNUMBER($AP$335),$B$294=1),$AP$335,HLOOKUP(INDIRECT(ADDRESS(2,COLUMN())),OFFSET($BN$2,0,0,ROW()-1,60),ROW()-1,FALSE))</f>
        <v>647.81600000000003</v>
      </c>
      <c r="AQ14">
        <f ca="1">IF(AND(ISNUMBER($AQ$335),$B$294=1),$AQ$335,HLOOKUP(INDIRECT(ADDRESS(2,COLUMN())),OFFSET($BN$2,0,0,ROW()-1,60),ROW()-1,FALSE))</f>
        <v>657.90800000000002</v>
      </c>
      <c r="AR14">
        <f ca="1">IF(AND(ISNUMBER($AR$335),$B$294=1),$AR$335,HLOOKUP(INDIRECT(ADDRESS(2,COLUMN())),OFFSET($BN$2,0,0,ROW()-1,60),ROW()-1,FALSE))</f>
        <v>645.31299999999999</v>
      </c>
      <c r="AS14">
        <f ca="1">IF(AND(ISNUMBER($AS$335),$B$294=1),$AS$335,HLOOKUP(INDIRECT(ADDRESS(2,COLUMN())),OFFSET($BN$2,0,0,ROW()-1,60),ROW()-1,FALSE))</f>
        <v>643.75300000000004</v>
      </c>
      <c r="AT14">
        <f ca="1">IF(AND(ISNUMBER($AT$335),$B$294=1),$AT$335,HLOOKUP(INDIRECT(ADDRESS(2,COLUMN())),OFFSET($BN$2,0,0,ROW()-1,60),ROW()-1,FALSE))</f>
        <v>620.59400000000005</v>
      </c>
      <c r="AU14">
        <f ca="1">IF(AND(ISNUMBER($AU$335),$B$294=1),$AU$335,HLOOKUP(INDIRECT(ADDRESS(2,COLUMN())),OFFSET($BN$2,0,0,ROW()-1,60),ROW()-1,FALSE))</f>
        <v>629.06500000000005</v>
      </c>
      <c r="AV14">
        <f ca="1">IF(AND(ISNUMBER($AV$335),$B$294=1),$AV$335,HLOOKUP(INDIRECT(ADDRESS(2,COLUMN())),OFFSET($BN$2,0,0,ROW()-1,60),ROW()-1,FALSE))</f>
        <v>609.07299999999998</v>
      </c>
      <c r="AW14">
        <f ca="1">IF(AND(ISNUMBER($AW$335),$B$294=1),$AW$335,HLOOKUP(INDIRECT(ADDRESS(2,COLUMN())),OFFSET($BN$2,0,0,ROW()-1,60),ROW()-1,FALSE))</f>
        <v>558.39800000000002</v>
      </c>
      <c r="AX14">
        <f ca="1">IF(AND(ISNUMBER($AX$335),$B$294=1),$AX$335,HLOOKUP(INDIRECT(ADDRESS(2,COLUMN())),OFFSET($BN$2,0,0,ROW()-1,60),ROW()-1,FALSE))</f>
        <v>507.18900000000002</v>
      </c>
      <c r="AY14">
        <f ca="1">IF(AND(ISNUMBER($AY$335),$B$294=1),$AY$335,HLOOKUP(INDIRECT(ADDRESS(2,COLUMN())),OFFSET($BN$2,0,0,ROW()-1,60),ROW()-1,FALSE))</f>
        <v>690.19500000000005</v>
      </c>
      <c r="AZ14">
        <f ca="1">IF(AND(ISNUMBER($AZ$335),$B$294=1),$AZ$335,HLOOKUP(INDIRECT(ADDRESS(2,COLUMN())),OFFSET($BN$2,0,0,ROW()-1,60),ROW()-1,FALSE))</f>
        <v>647.93200000000002</v>
      </c>
      <c r="BA14">
        <f ca="1">IF(AND(ISNUMBER($BA$335),$B$294=1),$BA$335,HLOOKUP(INDIRECT(ADDRESS(2,COLUMN())),OFFSET($BN$2,0,0,ROW()-1,60),ROW()-1,FALSE))</f>
        <v>641.44299999999998</v>
      </c>
      <c r="BB14">
        <f ca="1">IF(AND(ISNUMBER($BB$335),$B$294=1),$BB$335,HLOOKUP(INDIRECT(ADDRESS(2,COLUMN())),OFFSET($BN$2,0,0,ROW()-1,60),ROW()-1,FALSE))</f>
        <v>625.67999999999995</v>
      </c>
      <c r="BC14">
        <f ca="1">IF(AND(ISNUMBER($BC$335),$B$294=1),$BC$335,HLOOKUP(INDIRECT(ADDRESS(2,COLUMN())),OFFSET($BN$2,0,0,ROW()-1,60),ROW()-1,FALSE))</f>
        <v>670.99099999999999</v>
      </c>
      <c r="BD14">
        <f ca="1">IF(AND(ISNUMBER($BD$335),$B$294=1),$BD$335,HLOOKUP(INDIRECT(ADDRESS(2,COLUMN())),OFFSET($BN$2,0,0,ROW()-1,60),ROW()-1,FALSE))</f>
        <v>632.81700000000001</v>
      </c>
      <c r="BE14">
        <f ca="1">IF(AND(ISNUMBER($BE$335),$B$294=1),$BE$335,HLOOKUP(INDIRECT(ADDRESS(2,COLUMN())),OFFSET($BN$2,0,0,ROW()-1,60),ROW()-1,FALSE))</f>
        <v>569.899</v>
      </c>
      <c r="BF14">
        <f ca="1">IF(AND(ISNUMBER($BF$335),$B$294=1),$BF$335,HLOOKUP(INDIRECT(ADDRESS(2,COLUMN())),OFFSET($BN$2,0,0,ROW()-1,60),ROW()-1,FALSE))</f>
        <v>566.35500000000002</v>
      </c>
      <c r="BG14">
        <f ca="1">IF(AND(ISNUMBER($BG$335),$B$294=1),$BG$335,HLOOKUP(INDIRECT(ADDRESS(2,COLUMN())),OFFSET($BN$2,0,0,ROW()-1,60),ROW()-1,FALSE))</f>
        <v>484.06299999999999</v>
      </c>
      <c r="BH14">
        <f ca="1">IF(AND(ISNUMBER($BH$335),$B$294=1),$BH$335,HLOOKUP(INDIRECT(ADDRESS(2,COLUMN())),OFFSET($BN$2,0,0,ROW()-1,60),ROW()-1,FALSE))</f>
        <v>388.41699999999997</v>
      </c>
      <c r="BI14">
        <f ca="1">IF(AND(ISNUMBER($BI$335),$B$294=1),$BI$335,HLOOKUP(INDIRECT(ADDRESS(2,COLUMN())),OFFSET($BN$2,0,0,ROW()-1,60),ROW()-1,FALSE))</f>
        <v>380.006012</v>
      </c>
      <c r="BJ14">
        <f ca="1">IF(AND(ISNUMBER($BJ$335),$B$294=1),$BJ$335,HLOOKUP(INDIRECT(ADDRESS(2,COLUMN())),OFFSET($BN$2,0,0,ROW()-1,60),ROW()-1,FALSE))</f>
        <v>375.01800500000002</v>
      </c>
      <c r="BK14">
        <f ca="1">IF(AND(ISNUMBER($BK$335),$B$294=1),$BK$335,HLOOKUP(INDIRECT(ADDRESS(2,COLUMN())),OFFSET($BN$2,0,0,ROW()-1,60),ROW()-1,FALSE))</f>
        <v>367.425995</v>
      </c>
      <c r="BL14">
        <f ca="1">IF(AND(ISNUMBER($BL$335),$B$294=1),$BL$335,HLOOKUP(INDIRECT(ADDRESS(2,COLUMN())),OFFSET($BN$2,0,0,ROW()-1,60),ROW()-1,FALSE))</f>
        <v>364.90600599999999</v>
      </c>
      <c r="BM14">
        <f ca="1">IF(AND(ISNUMBER($BM$335),$B$294=1),$BM$335,HLOOKUP(INDIRECT(ADDRESS(2,COLUMN())),OFFSET($BN$2,0,0,ROW()-1,60),ROW()-1,FALSE))</f>
        <v>354.618988</v>
      </c>
      <c r="BN14" t="str">
        <f>""</f>
        <v/>
      </c>
      <c r="BO14">
        <f>498.688</f>
        <v>498.68799999999999</v>
      </c>
      <c r="BP14">
        <f>495.463</f>
        <v>495.46300000000002</v>
      </c>
      <c r="BQ14">
        <f>589.981</f>
        <v>589.98099999999999</v>
      </c>
      <c r="BR14">
        <f>581.488</f>
        <v>581.48800000000006</v>
      </c>
      <c r="BS14">
        <f>601.886</f>
        <v>601.88599999999997</v>
      </c>
      <c r="BT14">
        <f>595.423</f>
        <v>595.423</v>
      </c>
      <c r="BU14">
        <f>588.019</f>
        <v>588.01900000000001</v>
      </c>
      <c r="BV14">
        <f>579.067</f>
        <v>579.06700000000001</v>
      </c>
      <c r="BW14">
        <f>599.874</f>
        <v>599.87400000000002</v>
      </c>
      <c r="BX14">
        <f>593.435</f>
        <v>593.43499999999995</v>
      </c>
      <c r="BY14">
        <f>577.058</f>
        <v>577.05799999999999</v>
      </c>
      <c r="BZ14">
        <f>567.195</f>
        <v>567.19500000000005</v>
      </c>
      <c r="CA14">
        <f>556.334</f>
        <v>556.33399999999995</v>
      </c>
      <c r="CB14">
        <f>540.931</f>
        <v>540.93100000000004</v>
      </c>
      <c r="CC14">
        <f>533.6</f>
        <v>533.6</v>
      </c>
      <c r="CD14">
        <f>526.441</f>
        <v>526.44100000000003</v>
      </c>
      <c r="CE14">
        <f>601.951</f>
        <v>601.95100000000002</v>
      </c>
      <c r="CF14">
        <f>608.14</f>
        <v>608.14</v>
      </c>
      <c r="CG14">
        <f>623.355</f>
        <v>623.35500000000002</v>
      </c>
      <c r="CH14">
        <f>621.9</f>
        <v>621.9</v>
      </c>
      <c r="CI14">
        <f>648.216</f>
        <v>648.21600000000001</v>
      </c>
      <c r="CJ14">
        <f>663.427</f>
        <v>663.42700000000002</v>
      </c>
      <c r="CK14">
        <f>644.946</f>
        <v>644.94600000000003</v>
      </c>
      <c r="CL14">
        <f>635.963</f>
        <v>635.96299999999997</v>
      </c>
      <c r="CM14">
        <f>652.023</f>
        <v>652.02300000000002</v>
      </c>
      <c r="CN14">
        <f>651.084</f>
        <v>651.08399999999995</v>
      </c>
      <c r="CO14">
        <f>655.176</f>
        <v>655.17600000000004</v>
      </c>
      <c r="CP14">
        <f>692.62</f>
        <v>692.62</v>
      </c>
      <c r="CQ14">
        <f>642.245</f>
        <v>642.245</v>
      </c>
      <c r="CR14">
        <f>654.859</f>
        <v>654.85900000000004</v>
      </c>
      <c r="CS14">
        <f>651.832</f>
        <v>651.83199999999999</v>
      </c>
      <c r="CT14">
        <f>644.387</f>
        <v>644.38699999999994</v>
      </c>
      <c r="CU14">
        <f>646.623</f>
        <v>646.62300000000005</v>
      </c>
      <c r="CV14">
        <f>639.584</f>
        <v>639.58399999999995</v>
      </c>
      <c r="CW14">
        <f>637.891</f>
        <v>637.89099999999996</v>
      </c>
      <c r="CX14">
        <f>647.816</f>
        <v>647.81600000000003</v>
      </c>
      <c r="CY14">
        <f>657.908</f>
        <v>657.90800000000002</v>
      </c>
      <c r="CZ14">
        <f>645.313</f>
        <v>645.31299999999999</v>
      </c>
      <c r="DA14">
        <f>643.753</f>
        <v>643.75300000000004</v>
      </c>
      <c r="DB14">
        <f>620.594</f>
        <v>620.59400000000005</v>
      </c>
      <c r="DC14">
        <f>629.065</f>
        <v>629.06500000000005</v>
      </c>
      <c r="DD14">
        <f>609.073</f>
        <v>609.07299999999998</v>
      </c>
      <c r="DE14">
        <f>558.398</f>
        <v>558.39800000000002</v>
      </c>
      <c r="DF14">
        <f>507.189</f>
        <v>507.18900000000002</v>
      </c>
      <c r="DG14">
        <f>690.195</f>
        <v>690.19500000000005</v>
      </c>
      <c r="DH14">
        <f>647.932</f>
        <v>647.93200000000002</v>
      </c>
      <c r="DI14">
        <f>641.443</f>
        <v>641.44299999999998</v>
      </c>
      <c r="DJ14">
        <f>625.68</f>
        <v>625.67999999999995</v>
      </c>
      <c r="DK14">
        <f>670.991</f>
        <v>670.99099999999999</v>
      </c>
      <c r="DL14">
        <f>632.817</f>
        <v>632.81700000000001</v>
      </c>
      <c r="DM14">
        <f>569.899</f>
        <v>569.899</v>
      </c>
      <c r="DN14">
        <f>566.355</f>
        <v>566.35500000000002</v>
      </c>
      <c r="DO14">
        <f>484.063</f>
        <v>484.06299999999999</v>
      </c>
      <c r="DP14">
        <f>388.417</f>
        <v>388.41699999999997</v>
      </c>
      <c r="DQ14">
        <f>380.006012</f>
        <v>380.006012</v>
      </c>
      <c r="DR14">
        <f>375.018005</f>
        <v>375.01800500000002</v>
      </c>
      <c r="DS14">
        <f>367.425995</f>
        <v>367.425995</v>
      </c>
      <c r="DT14">
        <f>364.906006</f>
        <v>364.90600599999999</v>
      </c>
      <c r="DU14">
        <f>354.618988</f>
        <v>354.618988</v>
      </c>
    </row>
    <row r="15" spans="1:125">
      <c r="A15" t="str">
        <f>"其他租赁收入"</f>
        <v>其他租赁收入</v>
      </c>
      <c r="B15" t="str">
        <f>""</f>
        <v/>
      </c>
      <c r="E15" t="str">
        <f>"Median"</f>
        <v>Median</v>
      </c>
      <c r="F15" t="str">
        <f ca="1">IF(ISERROR(IF(MEDIAN($F$16:$F$25) = 0, "", MEDIAN($F$16:$F$25))), "", (IF(MEDIAN($F$16:$F$25) = 0, "", MEDIAN($F$16:$F$25))))</f>
        <v/>
      </c>
      <c r="G15">
        <f ca="1">IF(ISERROR(IF(MEDIAN($G$16:$G$25) = 0, "", MEDIAN($G$16:$G$25))), "", (IF(MEDIAN($G$16:$G$25) = 0, "", MEDIAN($G$16:$G$25))))</f>
        <v>104.887</v>
      </c>
      <c r="H15">
        <f ca="1">IF(ISERROR(IF(MEDIAN($H$16:$H$25) = 0, "", MEDIAN($H$16:$H$25))), "", (IF(MEDIAN($H$16:$H$25) = 0, "", MEDIAN($H$16:$H$25))))</f>
        <v>102.557</v>
      </c>
      <c r="I15">
        <f ca="1">IF(ISERROR(IF(MEDIAN($I$16:$I$25) = 0, "", MEDIAN($I$16:$I$25))), "", (IF(MEDIAN($I$16:$I$25) = 0, "", MEDIAN($I$16:$I$25))))</f>
        <v>101.557</v>
      </c>
      <c r="J15">
        <f ca="1">IF(ISERROR(IF(MEDIAN($J$16:$J$25) = 0, "", MEDIAN($J$16:$J$25))), "", (IF(MEDIAN($J$16:$J$25) = 0, "", MEDIAN($J$16:$J$25))))</f>
        <v>103.33199999999999</v>
      </c>
      <c r="K15">
        <f ca="1">IF(ISERROR(IF(MEDIAN($K$16:$K$25) = 0, "", MEDIAN($K$16:$K$25))), "", (IF(MEDIAN($K$16:$K$25) = 0, "", MEDIAN($K$16:$K$25))))</f>
        <v>103.181</v>
      </c>
      <c r="L15">
        <f ca="1">IF(ISERROR(IF(MEDIAN($L$16:$L$25) = 0, "", MEDIAN($L$16:$L$25))), "", (IF(MEDIAN($L$16:$L$25) = 0, "", MEDIAN($L$16:$L$25))))</f>
        <v>104.53700000000001</v>
      </c>
      <c r="M15">
        <f ca="1">IF(ISERROR(IF(MEDIAN($M$16:$M$25) = 0, "", MEDIAN($M$16:$M$25))), "", (IF(MEDIAN($M$16:$M$25) = 0, "", MEDIAN($M$16:$M$25))))</f>
        <v>107.524</v>
      </c>
      <c r="N15">
        <f ca="1">IF(ISERROR(IF(MEDIAN($N$16:$N$25) = 0, "", MEDIAN($N$16:$N$25))), "", (IF(MEDIAN($N$16:$N$25) = 0, "", MEDIAN($N$16:$N$25))))</f>
        <v>110.163</v>
      </c>
      <c r="O15">
        <f ca="1">IF(ISERROR(IF(MEDIAN($O$16:$O$25) = 0, "", MEDIAN($O$16:$O$25))), "", (IF(MEDIAN($O$16:$O$25) = 0, "", MEDIAN($O$16:$O$25))))</f>
        <v>119.274</v>
      </c>
      <c r="P15">
        <f ca="1">IF(ISERROR(IF(MEDIAN($P$16:$P$25) = 0, "", MEDIAN($P$16:$P$25))), "", (IF(MEDIAN($P$16:$P$25) = 0, "", MEDIAN($P$16:$P$25))))</f>
        <v>117.994</v>
      </c>
      <c r="Q15">
        <f ca="1">IF(ISERROR(IF(MEDIAN($Q$16:$Q$25) = 0, "", MEDIAN($Q$16:$Q$25))), "", (IF(MEDIAN($Q$16:$Q$25) = 0, "", MEDIAN($Q$16:$Q$25))))</f>
        <v>117.45399999999999</v>
      </c>
      <c r="R15">
        <f ca="1">IF(ISERROR(IF(MEDIAN($R$16:$R$25) = 0, "", MEDIAN($R$16:$R$25))), "", (IF(MEDIAN($R$16:$R$25) = 0, "", MEDIAN($R$16:$R$25))))</f>
        <v>117.807</v>
      </c>
      <c r="S15">
        <f ca="1">IF(ISERROR(IF(MEDIAN($S$16:$S$25) = 0, "", MEDIAN($S$16:$S$25))), "", (IF(MEDIAN($S$16:$S$25) = 0, "", MEDIAN($S$16:$S$25))))</f>
        <v>118.00800000000001</v>
      </c>
      <c r="T15">
        <f ca="1">IF(ISERROR(IF(MEDIAN($T$16:$T$25) = 0, "", MEDIAN($T$16:$T$25))), "", (IF(MEDIAN($T$16:$T$25) = 0, "", MEDIAN($T$16:$T$25))))</f>
        <v>114.529</v>
      </c>
      <c r="U15">
        <f ca="1">IF(ISERROR(IF(MEDIAN($U$16:$U$25) = 0, "", MEDIAN($U$16:$U$25))), "", (IF(MEDIAN($U$16:$U$25) = 0, "", MEDIAN($U$16:$U$25))))</f>
        <v>113.28700000000001</v>
      </c>
      <c r="V15">
        <f ca="1">IF(ISERROR(IF(MEDIAN($V$16:$V$25) = 0, "", MEDIAN($V$16:$V$25))), "", (IF(MEDIAN($V$16:$V$25) = 0, "", MEDIAN($V$16:$V$25))))</f>
        <v>110.098</v>
      </c>
      <c r="W15">
        <f ca="1">IF(ISERROR(IF(MEDIAN($W$16:$W$25) = 0, "", MEDIAN($W$16:$W$25))), "", (IF(MEDIAN($W$16:$W$25) = 0, "", MEDIAN($W$16:$W$25))))</f>
        <v>111.1275</v>
      </c>
      <c r="X15">
        <f ca="1">IF(ISERROR(IF(MEDIAN($X$16:$X$25) = 0, "", MEDIAN($X$16:$X$25))), "", (IF(MEDIAN($X$16:$X$25) = 0, "", MEDIAN($X$16:$X$25))))</f>
        <v>103.354</v>
      </c>
      <c r="Y15">
        <f ca="1">IF(ISERROR(IF(MEDIAN($Y$16:$Y$25) = 0, "", MEDIAN($Y$16:$Y$25))), "", (IF(MEDIAN($Y$16:$Y$25) = 0, "", MEDIAN($Y$16:$Y$25))))</f>
        <v>104.069</v>
      </c>
      <c r="Z15">
        <f ca="1">IF(ISERROR(IF(MEDIAN($Z$16:$Z$25) = 0, "", MEDIAN($Z$16:$Z$25))), "", (IF(MEDIAN($Z$16:$Z$25) = 0, "", MEDIAN($Z$16:$Z$25))))</f>
        <v>101.607</v>
      </c>
      <c r="AA15">
        <f ca="1">IF(ISERROR(IF(MEDIAN($AA$16:$AA$25) = 0, "", MEDIAN($AA$16:$AA$25))), "", (IF(MEDIAN($AA$16:$AA$25) = 0, "", MEDIAN($AA$16:$AA$25))))</f>
        <v>103.274</v>
      </c>
      <c r="AB15">
        <f ca="1">IF(ISERROR(IF(MEDIAN($AB$16:$AB$25) = 0, "", MEDIAN($AB$16:$AB$25))), "", (IF(MEDIAN($AB$16:$AB$25) = 0, "", MEDIAN($AB$16:$AB$25))))</f>
        <v>104.94799999999999</v>
      </c>
      <c r="AC15">
        <f ca="1">IF(ISERROR(IF(MEDIAN($AC$16:$AC$25) = 0, "", MEDIAN($AC$16:$AC$25))), "", (IF(MEDIAN($AC$16:$AC$25) = 0, "", MEDIAN($AC$16:$AC$25))))</f>
        <v>104.241</v>
      </c>
      <c r="AD15">
        <f ca="1">IF(ISERROR(IF(MEDIAN($AD$16:$AD$25) = 0, "", MEDIAN($AD$16:$AD$25))), "", (IF(MEDIAN($AD$16:$AD$25) = 0, "", MEDIAN($AD$16:$AD$25))))</f>
        <v>103.999</v>
      </c>
      <c r="AE15">
        <f ca="1">IF(ISERROR(IF(MEDIAN($AE$16:$AE$25) = 0, "", MEDIAN($AE$16:$AE$25))), "", (IF(MEDIAN($AE$16:$AE$25) = 0, "", MEDIAN($AE$16:$AE$25))))</f>
        <v>91.980999999999995</v>
      </c>
      <c r="AF15">
        <f ca="1">IF(ISERROR(IF(MEDIAN($AF$16:$AF$25) = 0, "", MEDIAN($AF$16:$AF$25))), "", (IF(MEDIAN($AF$16:$AF$25) = 0, "", MEDIAN($AF$16:$AF$25))))</f>
        <v>104.134</v>
      </c>
      <c r="AG15">
        <f ca="1">IF(ISERROR(IF(MEDIAN($AG$16:$AG$25) = 0, "", MEDIAN($AG$16:$AG$25))), "", (IF(MEDIAN($AG$16:$AG$25) = 0, "", MEDIAN($AG$16:$AG$25))))</f>
        <v>104.55200000000001</v>
      </c>
      <c r="AH15">
        <f ca="1">IF(ISERROR(IF(MEDIAN($AH$16:$AH$25) = 0, "", MEDIAN($AH$16:$AH$25))), "", (IF(MEDIAN($AH$16:$AH$25) = 0, "", MEDIAN($AH$16:$AH$25))))</f>
        <v>103.726</v>
      </c>
      <c r="AI15">
        <f ca="1">IF(ISERROR(IF(MEDIAN($AI$16:$AI$25) = 0, "", MEDIAN($AI$16:$AI$25))), "", (IF(MEDIAN($AI$16:$AI$25) = 0, "", MEDIAN($AI$16:$AI$25))))</f>
        <v>103.19200000000001</v>
      </c>
      <c r="AJ15">
        <f ca="1">IF(ISERROR(IF(MEDIAN($AJ$16:$AJ$25) = 0, "", MEDIAN($AJ$16:$AJ$25))), "", (IF(MEDIAN($AJ$16:$AJ$25) = 0, "", MEDIAN($AJ$16:$AJ$25))))</f>
        <v>106.327</v>
      </c>
      <c r="AK15">
        <f ca="1">IF(ISERROR(IF(MEDIAN($AK$16:$AK$25) = 0, "", MEDIAN($AK$16:$AK$25))), "", (IF(MEDIAN($AK$16:$AK$25) = 0, "", MEDIAN($AK$16:$AK$25))))</f>
        <v>110.52800000000001</v>
      </c>
      <c r="AL15">
        <f ca="1">IF(ISERROR(IF(MEDIAN($AL$16:$AL$25) = 0, "", MEDIAN($AL$16:$AL$25))), "", (IF(MEDIAN($AL$16:$AL$25) = 0, "", MEDIAN($AL$16:$AL$25))))</f>
        <v>108.16800000000001</v>
      </c>
      <c r="AM15">
        <f ca="1">IF(ISERROR(IF(MEDIAN($AM$16:$AM$25) = 0, "", MEDIAN($AM$16:$AM$25))), "", (IF(MEDIAN($AM$16:$AM$25) = 0, "", MEDIAN($AM$16:$AM$25))))</f>
        <v>115.551</v>
      </c>
      <c r="AN15">
        <f ca="1">IF(ISERROR(IF(MEDIAN($AN$16:$AN$25) = 0, "", MEDIAN($AN$16:$AN$25))), "", (IF(MEDIAN($AN$16:$AN$25) = 0, "", MEDIAN($AN$16:$AN$25))))</f>
        <v>106.843</v>
      </c>
      <c r="AO15">
        <f ca="1">IF(ISERROR(IF(MEDIAN($AO$16:$AO$25) = 0, "", MEDIAN($AO$16:$AO$25))), "", (IF(MEDIAN($AO$16:$AO$25) = 0, "", MEDIAN($AO$16:$AO$25))))</f>
        <v>107.738</v>
      </c>
      <c r="AP15">
        <f ca="1">IF(ISERROR(IF(MEDIAN($AP$16:$AP$25) = 0, "", MEDIAN($AP$16:$AP$25))), "", (IF(MEDIAN($AP$16:$AP$25) = 0, "", MEDIAN($AP$16:$AP$25))))</f>
        <v>107.11</v>
      </c>
      <c r="AQ15" t="str">
        <f ca="1">IF(ISERROR(IF(MEDIAN($AQ$16:$AQ$25) = 0, "", MEDIAN($AQ$16:$AQ$25))), "", (IF(MEDIAN($AQ$16:$AQ$25) = 0, "", MEDIAN($AQ$16:$AQ$25))))</f>
        <v/>
      </c>
      <c r="AR15" t="str">
        <f ca="1">IF(ISERROR(IF(MEDIAN($AR$16:$AR$25) = 0, "", MEDIAN($AR$16:$AR$25))), "", (IF(MEDIAN($AR$16:$AR$25) = 0, "", MEDIAN($AR$16:$AR$25))))</f>
        <v/>
      </c>
      <c r="AS15" t="str">
        <f ca="1">IF(ISERROR(IF(MEDIAN($AS$16:$AS$25) = 0, "", MEDIAN($AS$16:$AS$25))), "", (IF(MEDIAN($AS$16:$AS$25) = 0, "", MEDIAN($AS$16:$AS$25))))</f>
        <v/>
      </c>
      <c r="AT15" t="str">
        <f ca="1">IF(ISERROR(IF(MEDIAN($AT$16:$AT$25) = 0, "", MEDIAN($AT$16:$AT$25))), "", (IF(MEDIAN($AT$16:$AT$25) = 0, "", MEDIAN($AT$16:$AT$25))))</f>
        <v/>
      </c>
      <c r="AU15" t="str">
        <f ca="1">IF(ISERROR(IF(MEDIAN($AU$16:$AU$25) = 0, "", MEDIAN($AU$16:$AU$25))), "", (IF(MEDIAN($AU$16:$AU$25) = 0, "", MEDIAN($AU$16:$AU$25))))</f>
        <v/>
      </c>
      <c r="AV15" t="str">
        <f ca="1">IF(ISERROR(IF(MEDIAN($AV$16:$AV$25) = 0, "", MEDIAN($AV$16:$AV$25))), "", (IF(MEDIAN($AV$16:$AV$25) = 0, "", MEDIAN($AV$16:$AV$25))))</f>
        <v/>
      </c>
      <c r="AW15" t="str">
        <f ca="1">IF(ISERROR(IF(MEDIAN($AW$16:$AW$25) = 0, "", MEDIAN($AW$16:$AW$25))), "", (IF(MEDIAN($AW$16:$AW$25) = 0, "", MEDIAN($AW$16:$AW$25))))</f>
        <v/>
      </c>
      <c r="AX15" t="str">
        <f ca="1">IF(ISERROR(IF(MEDIAN($AX$16:$AX$25) = 0, "", MEDIAN($AX$16:$AX$25))), "", (IF(MEDIAN($AX$16:$AX$25) = 0, "", MEDIAN($AX$16:$AX$25))))</f>
        <v/>
      </c>
      <c r="AY15" t="str">
        <f ca="1">IF(ISERROR(IF(MEDIAN($AY$16:$AY$25) = 0, "", MEDIAN($AY$16:$AY$25))), "", (IF(MEDIAN($AY$16:$AY$25) = 0, "", MEDIAN($AY$16:$AY$25))))</f>
        <v/>
      </c>
      <c r="AZ15" t="str">
        <f ca="1">IF(ISERROR(IF(MEDIAN($AZ$16:$AZ$25) = 0, "", MEDIAN($AZ$16:$AZ$25))), "", (IF(MEDIAN($AZ$16:$AZ$25) = 0, "", MEDIAN($AZ$16:$AZ$25))))</f>
        <v/>
      </c>
      <c r="BA15" t="str">
        <f ca="1">IF(ISERROR(IF(MEDIAN($BA$16:$BA$25) = 0, "", MEDIAN($BA$16:$BA$25))), "", (IF(MEDIAN($BA$16:$BA$25) = 0, "", MEDIAN($BA$16:$BA$25))))</f>
        <v/>
      </c>
      <c r="BB15" t="str">
        <f ca="1">IF(ISERROR(IF(MEDIAN($BB$16:$BB$25) = 0, "", MEDIAN($BB$16:$BB$25))), "", (IF(MEDIAN($BB$16:$BB$25) = 0, "", MEDIAN($BB$16:$BB$25))))</f>
        <v/>
      </c>
      <c r="BC15" t="str">
        <f ca="1">IF(ISERROR(IF(MEDIAN($BC$16:$BC$25) = 0, "", MEDIAN($BC$16:$BC$25))), "", (IF(MEDIAN($BC$16:$BC$25) = 0, "", MEDIAN($BC$16:$BC$25))))</f>
        <v/>
      </c>
      <c r="BD15" t="str">
        <f ca="1">IF(ISERROR(IF(MEDIAN($BD$16:$BD$25) = 0, "", MEDIAN($BD$16:$BD$25))), "", (IF(MEDIAN($BD$16:$BD$25) = 0, "", MEDIAN($BD$16:$BD$25))))</f>
        <v/>
      </c>
      <c r="BE15" t="str">
        <f ca="1">IF(ISERROR(IF(MEDIAN($BE$16:$BE$25) = 0, "", MEDIAN($BE$16:$BE$25))), "", (IF(MEDIAN($BE$16:$BE$25) = 0, "", MEDIAN($BE$16:$BE$25))))</f>
        <v/>
      </c>
      <c r="BF15" t="str">
        <f ca="1">IF(ISERROR(IF(MEDIAN($BF$16:$BF$25) = 0, "", MEDIAN($BF$16:$BF$25))), "", (IF(MEDIAN($BF$16:$BF$25) = 0, "", MEDIAN($BF$16:$BF$25))))</f>
        <v/>
      </c>
      <c r="BG15" t="str">
        <f ca="1">IF(ISERROR(IF(MEDIAN($BG$16:$BG$25) = 0, "", MEDIAN($BG$16:$BG$25))), "", (IF(MEDIAN($BG$16:$BG$25) = 0, "", MEDIAN($BG$16:$BG$25))))</f>
        <v/>
      </c>
      <c r="BH15" t="str">
        <f ca="1">IF(ISERROR(IF(MEDIAN($BH$16:$BH$25) = 0, "", MEDIAN($BH$16:$BH$25))), "", (IF(MEDIAN($BH$16:$BH$25) = 0, "", MEDIAN($BH$16:$BH$25))))</f>
        <v/>
      </c>
      <c r="BI15" t="str">
        <f ca="1">IF(ISERROR(IF(MEDIAN($BI$16:$BI$25) = 0, "", MEDIAN($BI$16:$BI$25))), "", (IF(MEDIAN($BI$16:$BI$25) = 0, "", MEDIAN($BI$16:$BI$25))))</f>
        <v/>
      </c>
      <c r="BJ15" t="str">
        <f ca="1">IF(ISERROR(IF(MEDIAN($BJ$16:$BJ$25) = 0, "", MEDIAN($BJ$16:$BJ$25))), "", (IF(MEDIAN($BJ$16:$BJ$25) = 0, "", MEDIAN($BJ$16:$BJ$25))))</f>
        <v/>
      </c>
      <c r="BK15" t="str">
        <f ca="1">IF(ISERROR(IF(MEDIAN($BK$16:$BK$25) = 0, "", MEDIAN($BK$16:$BK$25))), "", (IF(MEDIAN($BK$16:$BK$25) = 0, "", MEDIAN($BK$16:$BK$25))))</f>
        <v/>
      </c>
      <c r="BL15" t="str">
        <f ca="1">IF(ISERROR(IF(MEDIAN($BL$16:$BL$25) = 0, "", MEDIAN($BL$16:$BL$25))), "", (IF(MEDIAN($BL$16:$BL$25) = 0, "", MEDIAN($BL$16:$BL$25))))</f>
        <v/>
      </c>
      <c r="BM15" t="str">
        <f ca="1">IF(ISERROR(IF(MEDIAN($BM$16:$BM$25) = 0, "", MEDIAN($BM$16:$BM$25))), "", (IF(MEDIAN($BM$16:$BM$25) = 0, "", MEDIAN($BM$16:$BM$25))))</f>
        <v/>
      </c>
      <c r="BN15" t="str">
        <f>""</f>
        <v/>
      </c>
      <c r="BO15">
        <f>104.887</f>
        <v>104.887</v>
      </c>
      <c r="BP15">
        <f>102.557</f>
        <v>102.557</v>
      </c>
      <c r="BQ15">
        <f>101.557</f>
        <v>101.557</v>
      </c>
      <c r="BR15">
        <f>103.332</f>
        <v>103.33199999999999</v>
      </c>
      <c r="BS15">
        <f>103.181</f>
        <v>103.181</v>
      </c>
      <c r="BT15">
        <f>104.537</f>
        <v>104.53700000000001</v>
      </c>
      <c r="BU15">
        <f>107.524</f>
        <v>107.524</v>
      </c>
      <c r="BV15">
        <f>110.163</f>
        <v>110.163</v>
      </c>
      <c r="BW15">
        <f>119.274</f>
        <v>119.274</v>
      </c>
      <c r="BX15">
        <f>117.994</f>
        <v>117.994</v>
      </c>
      <c r="BY15">
        <f>117.454</f>
        <v>117.45399999999999</v>
      </c>
      <c r="BZ15">
        <f>117.807</f>
        <v>117.807</v>
      </c>
      <c r="CA15">
        <f>118.008</f>
        <v>118.008</v>
      </c>
      <c r="CB15">
        <f>114.529</f>
        <v>114.529</v>
      </c>
      <c r="CC15">
        <f>113.287</f>
        <v>113.28700000000001</v>
      </c>
      <c r="CD15">
        <f>110.098</f>
        <v>110.098</v>
      </c>
      <c r="CE15">
        <f>111.1275</f>
        <v>111.1275</v>
      </c>
      <c r="CF15">
        <f>103.354</f>
        <v>103.354</v>
      </c>
      <c r="CG15">
        <f>104.069</f>
        <v>104.069</v>
      </c>
      <c r="CH15">
        <f>101.607</f>
        <v>101.607</v>
      </c>
      <c r="CI15">
        <f>103.274</f>
        <v>103.274</v>
      </c>
      <c r="CJ15">
        <f>104.948</f>
        <v>104.94799999999999</v>
      </c>
      <c r="CK15">
        <f>104.241</f>
        <v>104.241</v>
      </c>
      <c r="CL15">
        <f>103.999</f>
        <v>103.999</v>
      </c>
      <c r="CM15">
        <f>91.981</f>
        <v>91.980999999999995</v>
      </c>
      <c r="CN15">
        <f>104.134</f>
        <v>104.134</v>
      </c>
      <c r="CO15">
        <f>104.552</f>
        <v>104.55200000000001</v>
      </c>
      <c r="CP15">
        <f>103.726</f>
        <v>103.726</v>
      </c>
      <c r="CQ15">
        <f>103.192</f>
        <v>103.19199999999999</v>
      </c>
      <c r="CR15">
        <f>106.327</f>
        <v>106.327</v>
      </c>
      <c r="CS15">
        <f>110.528</f>
        <v>110.52800000000001</v>
      </c>
      <c r="CT15">
        <f>108.168</f>
        <v>108.16800000000001</v>
      </c>
      <c r="CU15">
        <f>115.551</f>
        <v>115.551</v>
      </c>
      <c r="CV15">
        <f>106.843</f>
        <v>106.843</v>
      </c>
      <c r="CW15">
        <f>107.738</f>
        <v>107.738</v>
      </c>
      <c r="CX15">
        <f>107.11</f>
        <v>107.11</v>
      </c>
      <c r="CY15" t="str">
        <f>""</f>
        <v/>
      </c>
      <c r="CZ15" t="str">
        <f>""</f>
        <v/>
      </c>
      <c r="DA15" t="str">
        <f>""</f>
        <v/>
      </c>
      <c r="DB15" t="str">
        <f>""</f>
        <v/>
      </c>
      <c r="DC15" t="str">
        <f>""</f>
        <v/>
      </c>
      <c r="DD15" t="str">
        <f>""</f>
        <v/>
      </c>
      <c r="DE15" t="str">
        <f>""</f>
        <v/>
      </c>
      <c r="DF15" t="str">
        <f>""</f>
        <v/>
      </c>
      <c r="DG15" t="str">
        <f>""</f>
        <v/>
      </c>
      <c r="DH15" t="str">
        <f>""</f>
        <v/>
      </c>
      <c r="DI15" t="str">
        <f>""</f>
        <v/>
      </c>
      <c r="DJ15" t="str">
        <f>""</f>
        <v/>
      </c>
      <c r="DK15" t="str">
        <f>""</f>
        <v/>
      </c>
      <c r="DL15" t="str">
        <f>""</f>
        <v/>
      </c>
      <c r="DM15" t="str">
        <f>""</f>
        <v/>
      </c>
      <c r="DN15" t="str">
        <f>""</f>
        <v/>
      </c>
      <c r="DO15" t="str">
        <f>""</f>
        <v/>
      </c>
      <c r="DP15" t="str">
        <f>""</f>
        <v/>
      </c>
      <c r="DQ15" t="str">
        <f>""</f>
        <v/>
      </c>
      <c r="DR15" t="str">
        <f>""</f>
        <v/>
      </c>
      <c r="DS15" t="str">
        <f>""</f>
        <v/>
      </c>
      <c r="DT15" t="str">
        <f>""</f>
        <v/>
      </c>
      <c r="DU15" t="str">
        <f>""</f>
        <v/>
      </c>
    </row>
    <row r="16" spans="1:125">
      <c r="A16" t="str">
        <f>"    Boston Properties Inc"</f>
        <v xml:space="preserve">    Boston Properties Inc</v>
      </c>
      <c r="B16" t="str">
        <f>"BXP US Equity"</f>
        <v>BXP US Equity</v>
      </c>
      <c r="C16" t="str">
        <f t="shared" ref="C16:C25" si="3">"IM275"</f>
        <v>IM275</v>
      </c>
      <c r="D16" t="str">
        <f t="shared" ref="D16:D25" si="4">"IS_OTHER_RENTAL_INCOME"</f>
        <v>IS_OTHER_RENTAL_INCOME</v>
      </c>
      <c r="E16" t="str">
        <f t="shared" ref="E16:E25" si="5">"动态"</f>
        <v>动态</v>
      </c>
      <c r="F16" t="str">
        <f ca="1">IF(AND(ISNUMBER($F$336),$B$294=1),$F$336,HLOOKUP(INDIRECT(ADDRESS(2,COLUMN())),OFFSET($BN$2,0,0,ROW()-1,60),ROW()-1,FALSE))</f>
        <v/>
      </c>
      <c r="G16">
        <f ca="1">IF(AND(ISNUMBER($G$336),$B$294=1),$G$336,HLOOKUP(INDIRECT(ADDRESS(2,COLUMN())),OFFSET($BN$2,0,0,ROW()-1,60),ROW()-1,FALSE))</f>
        <v>26.835999999999999</v>
      </c>
      <c r="H16">
        <f ca="1">IF(AND(ISNUMBER($H$336),$B$294=1),$H$336,HLOOKUP(INDIRECT(ADDRESS(2,COLUMN())),OFFSET($BN$2,0,0,ROW()-1,60),ROW()-1,FALSE))</f>
        <v>26.091999999999999</v>
      </c>
      <c r="I16">
        <f ca="1">IF(AND(ISNUMBER($I$336),$B$294=1),$I$336,HLOOKUP(INDIRECT(ADDRESS(2,COLUMN())),OFFSET($BN$2,0,0,ROW()-1,60),ROW()-1,FALSE))</f>
        <v>26.462</v>
      </c>
      <c r="J16">
        <f ca="1">IF(AND(ISNUMBER($J$336),$B$294=1),$J$336,HLOOKUP(INDIRECT(ADDRESS(2,COLUMN())),OFFSET($BN$2,0,0,ROW()-1,60),ROW()-1,FALSE))</f>
        <v>25.61</v>
      </c>
      <c r="K16">
        <f ca="1">IF(AND(ISNUMBER($K$336),$B$294=1),$K$336,HLOOKUP(INDIRECT(ADDRESS(2,COLUMN())),OFFSET($BN$2,0,0,ROW()-1,60),ROW()-1,FALSE))</f>
        <v>25.334</v>
      </c>
      <c r="L16">
        <f ca="1">IF(AND(ISNUMBER($L$336),$B$294=1),$L$336,HLOOKUP(INDIRECT(ADDRESS(2,COLUMN())),OFFSET($BN$2,0,0,ROW()-1,60),ROW()-1,FALSE))</f>
        <v>24.638000000000002</v>
      </c>
      <c r="M16">
        <f ca="1">IF(AND(ISNUMBER($M$336),$B$294=1),$M$336,HLOOKUP(INDIRECT(ADDRESS(2,COLUMN())),OFFSET($BN$2,0,0,ROW()-1,60),ROW()-1,FALSE))</f>
        <v>26.113</v>
      </c>
      <c r="N16">
        <f ca="1">IF(AND(ISNUMBER($N$336),$B$294=1),$N$336,HLOOKUP(INDIRECT(ADDRESS(2,COLUMN())),OFFSET($BN$2,0,0,ROW()-1,60),ROW()-1,FALSE))</f>
        <v>24.824999999999999</v>
      </c>
      <c r="O16">
        <f ca="1">IF(AND(ISNUMBER($O$336),$B$294=1),$O$336,HLOOKUP(INDIRECT(ADDRESS(2,COLUMN())),OFFSET($BN$2,0,0,ROW()-1,60),ROW()-1,FALSE))</f>
        <v>25.132000000000001</v>
      </c>
      <c r="P16">
        <f ca="1">IF(AND(ISNUMBER($P$336),$B$294=1),$P$336,HLOOKUP(INDIRECT(ADDRESS(2,COLUMN())),OFFSET($BN$2,0,0,ROW()-1,60),ROW()-1,FALSE))</f>
        <v>25.509</v>
      </c>
      <c r="Q16">
        <f ca="1">IF(AND(ISNUMBER($Q$336),$B$294=1),$Q$336,HLOOKUP(INDIRECT(ADDRESS(2,COLUMN())),OFFSET($BN$2,0,0,ROW()-1,60),ROW()-1,FALSE))</f>
        <v>26.552</v>
      </c>
      <c r="R16">
        <f ca="1">IF(AND(ISNUMBER($R$336),$B$294=1),$R$336,HLOOKUP(INDIRECT(ADDRESS(2,COLUMN())),OFFSET($BN$2,0,0,ROW()-1,60),ROW()-1,FALSE))</f>
        <v>24.788</v>
      </c>
      <c r="S16">
        <f ca="1">IF(AND(ISNUMBER($S$336),$B$294=1),$S$336,HLOOKUP(INDIRECT(ADDRESS(2,COLUMN())),OFFSET($BN$2,0,0,ROW()-1,60),ROW()-1,FALSE))</f>
        <v>25.724</v>
      </c>
      <c r="T16">
        <f ca="1">IF(AND(ISNUMBER($T$336),$B$294=1),$T$336,HLOOKUP(INDIRECT(ADDRESS(2,COLUMN())),OFFSET($BN$2,0,0,ROW()-1,60),ROW()-1,FALSE))</f>
        <v>0</v>
      </c>
      <c r="U16">
        <f ca="1">IF(AND(ISNUMBER($U$336),$B$294=1),$U$336,HLOOKUP(INDIRECT(ADDRESS(2,COLUMN())),OFFSET($BN$2,0,0,ROW()-1,60),ROW()-1,FALSE))</f>
        <v>0</v>
      </c>
      <c r="V16">
        <f ca="1">IF(AND(ISNUMBER($V$336),$B$294=1),$V$336,HLOOKUP(INDIRECT(ADDRESS(2,COLUMN())),OFFSET($BN$2,0,0,ROW()-1,60),ROW()-1,FALSE))</f>
        <v>24.332999999999998</v>
      </c>
      <c r="W16">
        <f ca="1">IF(AND(ISNUMBER($W$336),$B$294=1),$W$336,HLOOKUP(INDIRECT(ADDRESS(2,COLUMN())),OFFSET($BN$2,0,0,ROW()-1,60),ROW()-1,FALSE))</f>
        <v>25.173999999999999</v>
      </c>
      <c r="X16">
        <f ca="1">IF(AND(ISNUMBER($X$336),$B$294=1),$X$336,HLOOKUP(INDIRECT(ADDRESS(2,COLUMN())),OFFSET($BN$2,0,0,ROW()-1,60),ROW()-1,FALSE))</f>
        <v>0</v>
      </c>
      <c r="Y16">
        <f ca="1">IF(AND(ISNUMBER($Y$336),$B$294=1),$Y$336,HLOOKUP(INDIRECT(ADDRESS(2,COLUMN())),OFFSET($BN$2,0,0,ROW()-1,60),ROW()-1,FALSE))</f>
        <v>0</v>
      </c>
      <c r="Z16">
        <f ca="1">IF(AND(ISNUMBER($Z$336),$B$294=1),$Z$336,HLOOKUP(INDIRECT(ADDRESS(2,COLUMN())),OFFSET($BN$2,0,0,ROW()-1,60),ROW()-1,FALSE))</f>
        <v>23.437000000000001</v>
      </c>
      <c r="AA16">
        <f ca="1">IF(AND(ISNUMBER($AA$336),$B$294=1),$AA$336,HLOOKUP(INDIRECT(ADDRESS(2,COLUMN())),OFFSET($BN$2,0,0,ROW()-1,60),ROW()-1,FALSE))</f>
        <v>21.991</v>
      </c>
      <c r="AB16">
        <f ca="1">IF(AND(ISNUMBER($AB$336),$B$294=1),$AB$336,HLOOKUP(INDIRECT(ADDRESS(2,COLUMN())),OFFSET($BN$2,0,0,ROW()-1,60),ROW()-1,FALSE))</f>
        <v>0</v>
      </c>
      <c r="AC16">
        <f ca="1">IF(AND(ISNUMBER($AC$336),$B$294=1),$AC$336,HLOOKUP(INDIRECT(ADDRESS(2,COLUMN())),OFFSET($BN$2,0,0,ROW()-1,60),ROW()-1,FALSE))</f>
        <v>0</v>
      </c>
      <c r="AD16">
        <f ca="1">IF(AND(ISNUMBER($AD$336),$B$294=1),$AD$336,HLOOKUP(INDIRECT(ADDRESS(2,COLUMN())),OFFSET($BN$2,0,0,ROW()-1,60),ROW()-1,FALSE))</f>
        <v>0</v>
      </c>
      <c r="AE16">
        <f ca="1">IF(AND(ISNUMBER($AE$336),$B$294=1),$AE$336,HLOOKUP(INDIRECT(ADDRESS(2,COLUMN())),OFFSET($BN$2,0,0,ROW()-1,60),ROW()-1,FALSE))</f>
        <v>0</v>
      </c>
      <c r="AF16">
        <f ca="1">IF(AND(ISNUMBER($AF$336),$B$294=1),$AF$336,HLOOKUP(INDIRECT(ADDRESS(2,COLUMN())),OFFSET($BN$2,0,0,ROW()-1,60),ROW()-1,FALSE))</f>
        <v>0</v>
      </c>
      <c r="AG16">
        <f ca="1">IF(AND(ISNUMBER($AG$336),$B$294=1),$AG$336,HLOOKUP(INDIRECT(ADDRESS(2,COLUMN())),OFFSET($BN$2,0,0,ROW()-1,60),ROW()-1,FALSE))</f>
        <v>0</v>
      </c>
      <c r="AH16">
        <f ca="1">IF(AND(ISNUMBER($AH$336),$B$294=1),$AH$336,HLOOKUP(INDIRECT(ADDRESS(2,COLUMN())),OFFSET($BN$2,0,0,ROW()-1,60),ROW()-1,FALSE))</f>
        <v>0</v>
      </c>
      <c r="AI16">
        <f ca="1">IF(AND(ISNUMBER($AI$336),$B$294=1),$AI$336,HLOOKUP(INDIRECT(ADDRESS(2,COLUMN())),OFFSET($BN$2,0,0,ROW()-1,60),ROW()-1,FALSE))</f>
        <v>0</v>
      </c>
      <c r="AJ16">
        <f ca="1">IF(AND(ISNUMBER($AJ$336),$B$294=1),$AJ$336,HLOOKUP(INDIRECT(ADDRESS(2,COLUMN())),OFFSET($BN$2,0,0,ROW()-1,60),ROW()-1,FALSE))</f>
        <v>0</v>
      </c>
      <c r="AK16">
        <f ca="1">IF(AND(ISNUMBER($AK$336),$B$294=1),$AK$336,HLOOKUP(INDIRECT(ADDRESS(2,COLUMN())),OFFSET($BN$2,0,0,ROW()-1,60),ROW()-1,FALSE))</f>
        <v>0</v>
      </c>
      <c r="AL16">
        <f ca="1">IF(AND(ISNUMBER($AL$336),$B$294=1),$AL$336,HLOOKUP(INDIRECT(ADDRESS(2,COLUMN())),OFFSET($BN$2,0,0,ROW()-1,60),ROW()-1,FALSE))</f>
        <v>0</v>
      </c>
      <c r="AM16">
        <f ca="1">IF(AND(ISNUMBER($AM$336),$B$294=1),$AM$336,HLOOKUP(INDIRECT(ADDRESS(2,COLUMN())),OFFSET($BN$2,0,0,ROW()-1,60),ROW()-1,FALSE))</f>
        <v>0</v>
      </c>
      <c r="AN16">
        <f ca="1">IF(AND(ISNUMBER($AN$336),$B$294=1),$AN$336,HLOOKUP(INDIRECT(ADDRESS(2,COLUMN())),OFFSET($BN$2,0,0,ROW()-1,60),ROW()-1,FALSE))</f>
        <v>0</v>
      </c>
      <c r="AO16">
        <f ca="1">IF(AND(ISNUMBER($AO$336),$B$294=1),$AO$336,HLOOKUP(INDIRECT(ADDRESS(2,COLUMN())),OFFSET($BN$2,0,0,ROW()-1,60),ROW()-1,FALSE))</f>
        <v>0</v>
      </c>
      <c r="AP16">
        <f ca="1">IF(AND(ISNUMBER($AP$336),$B$294=1),$AP$336,HLOOKUP(INDIRECT(ADDRESS(2,COLUMN())),OFFSET($BN$2,0,0,ROW()-1,60),ROW()-1,FALSE))</f>
        <v>0</v>
      </c>
      <c r="AQ16" t="str">
        <f ca="1">IF(AND(ISNUMBER($AQ$336),$B$294=1),$AQ$336,HLOOKUP(INDIRECT(ADDRESS(2,COLUMN())),OFFSET($BN$2,0,0,ROW()-1,60),ROW()-1,FALSE))</f>
        <v/>
      </c>
      <c r="AR16" t="str">
        <f ca="1">IF(AND(ISNUMBER($AR$336),$B$294=1),$AR$336,HLOOKUP(INDIRECT(ADDRESS(2,COLUMN())),OFFSET($BN$2,0,0,ROW()-1,60),ROW()-1,FALSE))</f>
        <v/>
      </c>
      <c r="AS16" t="str">
        <f ca="1">IF(AND(ISNUMBER($AS$336),$B$294=1),$AS$336,HLOOKUP(INDIRECT(ADDRESS(2,COLUMN())),OFFSET($BN$2,0,0,ROW()-1,60),ROW()-1,FALSE))</f>
        <v/>
      </c>
      <c r="AT16" t="str">
        <f ca="1">IF(AND(ISNUMBER($AT$336),$B$294=1),$AT$336,HLOOKUP(INDIRECT(ADDRESS(2,COLUMN())),OFFSET($BN$2,0,0,ROW()-1,60),ROW()-1,FALSE))</f>
        <v/>
      </c>
      <c r="AU16" t="str">
        <f ca="1">IF(AND(ISNUMBER($AU$336),$B$294=1),$AU$336,HLOOKUP(INDIRECT(ADDRESS(2,COLUMN())),OFFSET($BN$2,0,0,ROW()-1,60),ROW()-1,FALSE))</f>
        <v/>
      </c>
      <c r="AV16" t="str">
        <f ca="1">IF(AND(ISNUMBER($AV$336),$B$294=1),$AV$336,HLOOKUP(INDIRECT(ADDRESS(2,COLUMN())),OFFSET($BN$2,0,0,ROW()-1,60),ROW()-1,FALSE))</f>
        <v/>
      </c>
      <c r="AW16" t="str">
        <f ca="1">IF(AND(ISNUMBER($AW$336),$B$294=1),$AW$336,HLOOKUP(INDIRECT(ADDRESS(2,COLUMN())),OFFSET($BN$2,0,0,ROW()-1,60),ROW()-1,FALSE))</f>
        <v/>
      </c>
      <c r="AX16" t="str">
        <f ca="1">IF(AND(ISNUMBER($AX$336),$B$294=1),$AX$336,HLOOKUP(INDIRECT(ADDRESS(2,COLUMN())),OFFSET($BN$2,0,0,ROW()-1,60),ROW()-1,FALSE))</f>
        <v/>
      </c>
      <c r="AY16" t="str">
        <f ca="1">IF(AND(ISNUMBER($AY$336),$B$294=1),$AY$336,HLOOKUP(INDIRECT(ADDRESS(2,COLUMN())),OFFSET($BN$2,0,0,ROW()-1,60),ROW()-1,FALSE))</f>
        <v/>
      </c>
      <c r="AZ16" t="str">
        <f ca="1">IF(AND(ISNUMBER($AZ$336),$B$294=1),$AZ$336,HLOOKUP(INDIRECT(ADDRESS(2,COLUMN())),OFFSET($BN$2,0,0,ROW()-1,60),ROW()-1,FALSE))</f>
        <v/>
      </c>
      <c r="BA16" t="str">
        <f ca="1">IF(AND(ISNUMBER($BA$336),$B$294=1),$BA$336,HLOOKUP(INDIRECT(ADDRESS(2,COLUMN())),OFFSET($BN$2,0,0,ROW()-1,60),ROW()-1,FALSE))</f>
        <v/>
      </c>
      <c r="BB16" t="str">
        <f ca="1">IF(AND(ISNUMBER($BB$336),$B$294=1),$BB$336,HLOOKUP(INDIRECT(ADDRESS(2,COLUMN())),OFFSET($BN$2,0,0,ROW()-1,60),ROW()-1,FALSE))</f>
        <v/>
      </c>
      <c r="BC16" t="str">
        <f ca="1">IF(AND(ISNUMBER($BC$336),$B$294=1),$BC$336,HLOOKUP(INDIRECT(ADDRESS(2,COLUMN())),OFFSET($BN$2,0,0,ROW()-1,60),ROW()-1,FALSE))</f>
        <v/>
      </c>
      <c r="BD16" t="str">
        <f ca="1">IF(AND(ISNUMBER($BD$336),$B$294=1),$BD$336,HLOOKUP(INDIRECT(ADDRESS(2,COLUMN())),OFFSET($BN$2,0,0,ROW()-1,60),ROW()-1,FALSE))</f>
        <v/>
      </c>
      <c r="BE16" t="str">
        <f ca="1">IF(AND(ISNUMBER($BE$336),$B$294=1),$BE$336,HLOOKUP(INDIRECT(ADDRESS(2,COLUMN())),OFFSET($BN$2,0,0,ROW()-1,60),ROW()-1,FALSE))</f>
        <v/>
      </c>
      <c r="BF16" t="str">
        <f ca="1">IF(AND(ISNUMBER($BF$336),$B$294=1),$BF$336,HLOOKUP(INDIRECT(ADDRESS(2,COLUMN())),OFFSET($BN$2,0,0,ROW()-1,60),ROW()-1,FALSE))</f>
        <v/>
      </c>
      <c r="BG16" t="str">
        <f ca="1">IF(AND(ISNUMBER($BG$336),$B$294=1),$BG$336,HLOOKUP(INDIRECT(ADDRESS(2,COLUMN())),OFFSET($BN$2,0,0,ROW()-1,60),ROW()-1,FALSE))</f>
        <v/>
      </c>
      <c r="BH16" t="str">
        <f ca="1">IF(AND(ISNUMBER($BH$336),$B$294=1),$BH$336,HLOOKUP(INDIRECT(ADDRESS(2,COLUMN())),OFFSET($BN$2,0,0,ROW()-1,60),ROW()-1,FALSE))</f>
        <v/>
      </c>
      <c r="BI16" t="str">
        <f ca="1">IF(AND(ISNUMBER($BI$336),$B$294=1),$BI$336,HLOOKUP(INDIRECT(ADDRESS(2,COLUMN())),OFFSET($BN$2,0,0,ROW()-1,60),ROW()-1,FALSE))</f>
        <v/>
      </c>
      <c r="BJ16" t="str">
        <f ca="1">IF(AND(ISNUMBER($BJ$336),$B$294=1),$BJ$336,HLOOKUP(INDIRECT(ADDRESS(2,COLUMN())),OFFSET($BN$2,0,0,ROW()-1,60),ROW()-1,FALSE))</f>
        <v/>
      </c>
      <c r="BK16" t="str">
        <f ca="1">IF(AND(ISNUMBER($BK$336),$B$294=1),$BK$336,HLOOKUP(INDIRECT(ADDRESS(2,COLUMN())),OFFSET($BN$2,0,0,ROW()-1,60),ROW()-1,FALSE))</f>
        <v/>
      </c>
      <c r="BL16" t="str">
        <f ca="1">IF(AND(ISNUMBER($BL$336),$B$294=1),$BL$336,HLOOKUP(INDIRECT(ADDRESS(2,COLUMN())),OFFSET($BN$2,0,0,ROW()-1,60),ROW()-1,FALSE))</f>
        <v/>
      </c>
      <c r="BM16" t="str">
        <f ca="1">IF(AND(ISNUMBER($BM$336),$B$294=1),$BM$336,HLOOKUP(INDIRECT(ADDRESS(2,COLUMN())),OFFSET($BN$2,0,0,ROW()-1,60),ROW()-1,FALSE))</f>
        <v/>
      </c>
      <c r="BN16" t="str">
        <f>""</f>
        <v/>
      </c>
      <c r="BO16">
        <f>26.836</f>
        <v>26.835999999999999</v>
      </c>
      <c r="BP16">
        <f>26.092</f>
        <v>26.091999999999999</v>
      </c>
      <c r="BQ16">
        <f>26.462</f>
        <v>26.462</v>
      </c>
      <c r="BR16">
        <f>25.61</f>
        <v>25.61</v>
      </c>
      <c r="BS16">
        <f>25.334</f>
        <v>25.334</v>
      </c>
      <c r="BT16">
        <f>24.638</f>
        <v>24.638000000000002</v>
      </c>
      <c r="BU16">
        <f>26.113</f>
        <v>26.113</v>
      </c>
      <c r="BV16">
        <f>24.825</f>
        <v>24.824999999999999</v>
      </c>
      <c r="BW16">
        <f>25.132</f>
        <v>25.132000000000001</v>
      </c>
      <c r="BX16">
        <f>25.509</f>
        <v>25.509</v>
      </c>
      <c r="BY16">
        <f>26.552</f>
        <v>26.552</v>
      </c>
      <c r="BZ16">
        <f>24.788</f>
        <v>24.788</v>
      </c>
      <c r="CA16">
        <f>25.724</f>
        <v>25.724</v>
      </c>
      <c r="CB16">
        <f>0</f>
        <v>0</v>
      </c>
      <c r="CC16">
        <f>0</f>
        <v>0</v>
      </c>
      <c r="CD16">
        <f>24.333</f>
        <v>24.332999999999998</v>
      </c>
      <c r="CE16">
        <f>25.174</f>
        <v>25.173999999999999</v>
      </c>
      <c r="CF16">
        <f>0</f>
        <v>0</v>
      </c>
      <c r="CG16">
        <f>0</f>
        <v>0</v>
      </c>
      <c r="CH16">
        <f>23.437</f>
        <v>23.437000000000001</v>
      </c>
      <c r="CI16">
        <f>21.991</f>
        <v>21.991</v>
      </c>
      <c r="CJ16">
        <f>0</f>
        <v>0</v>
      </c>
      <c r="CK16">
        <f>0</f>
        <v>0</v>
      </c>
      <c r="CL16">
        <f>0</f>
        <v>0</v>
      </c>
      <c r="CM16">
        <f>0</f>
        <v>0</v>
      </c>
      <c r="CN16">
        <f>0</f>
        <v>0</v>
      </c>
      <c r="CO16">
        <f>0</f>
        <v>0</v>
      </c>
      <c r="CP16">
        <f>0</f>
        <v>0</v>
      </c>
      <c r="CQ16">
        <f>0</f>
        <v>0</v>
      </c>
      <c r="CR16">
        <f>0</f>
        <v>0</v>
      </c>
      <c r="CS16">
        <f>0</f>
        <v>0</v>
      </c>
      <c r="CT16">
        <f>0</f>
        <v>0</v>
      </c>
      <c r="CU16">
        <f>0</f>
        <v>0</v>
      </c>
      <c r="CV16">
        <f>0</f>
        <v>0</v>
      </c>
      <c r="CW16">
        <f>0</f>
        <v>0</v>
      </c>
      <c r="CX16">
        <f>0</f>
        <v>0</v>
      </c>
      <c r="CY16" t="str">
        <f>""</f>
        <v/>
      </c>
      <c r="CZ16" t="str">
        <f>""</f>
        <v/>
      </c>
      <c r="DA16" t="str">
        <f>""</f>
        <v/>
      </c>
      <c r="DB16" t="str">
        <f>""</f>
        <v/>
      </c>
      <c r="DC16" t="str">
        <f>""</f>
        <v/>
      </c>
      <c r="DD16" t="str">
        <f>""</f>
        <v/>
      </c>
      <c r="DE16" t="str">
        <f>""</f>
        <v/>
      </c>
      <c r="DF16" t="str">
        <f>""</f>
        <v/>
      </c>
      <c r="DG16" t="str">
        <f>""</f>
        <v/>
      </c>
      <c r="DH16" t="str">
        <f>""</f>
        <v/>
      </c>
      <c r="DI16" t="str">
        <f>""</f>
        <v/>
      </c>
      <c r="DJ16" t="str">
        <f>""</f>
        <v/>
      </c>
      <c r="DK16" t="str">
        <f>""</f>
        <v/>
      </c>
      <c r="DL16" t="str">
        <f>""</f>
        <v/>
      </c>
      <c r="DM16" t="str">
        <f>""</f>
        <v/>
      </c>
      <c r="DN16" t="str">
        <f>""</f>
        <v/>
      </c>
      <c r="DO16" t="str">
        <f>""</f>
        <v/>
      </c>
      <c r="DP16" t="str">
        <f>""</f>
        <v/>
      </c>
      <c r="DQ16" t="str">
        <f>""</f>
        <v/>
      </c>
      <c r="DR16" t="str">
        <f>""</f>
        <v/>
      </c>
      <c r="DS16" t="str">
        <f>""</f>
        <v/>
      </c>
      <c r="DT16" t="str">
        <f>""</f>
        <v/>
      </c>
      <c r="DU16" t="str">
        <f>""</f>
        <v/>
      </c>
    </row>
    <row r="17" spans="1:125">
      <c r="A17" t="str">
        <f>"    Brandywine Realty Trust"</f>
        <v xml:space="preserve">    Brandywine Realty Trust</v>
      </c>
      <c r="B17" t="str">
        <f>"BDN US Equity"</f>
        <v>BDN US Equity</v>
      </c>
      <c r="C17" t="str">
        <f t="shared" si="3"/>
        <v>IM275</v>
      </c>
      <c r="D17" t="str">
        <f t="shared" si="4"/>
        <v>IS_OTHER_RENTAL_INCOME</v>
      </c>
      <c r="E17" t="str">
        <f t="shared" si="5"/>
        <v>动态</v>
      </c>
      <c r="F17" t="str">
        <f ca="1">IF(AND(ISNUMBER($F$337),$B$294=1),$F$337,HLOOKUP(INDIRECT(ADDRESS(2,COLUMN())),OFFSET($BN$2,0,0,ROW()-1,60),ROW()-1,FALSE))</f>
        <v/>
      </c>
      <c r="G17">
        <f ca="1">IF(AND(ISNUMBER($G$337),$B$294=1),$G$337,HLOOKUP(INDIRECT(ADDRESS(2,COLUMN())),OFFSET($BN$2,0,0,ROW()-1,60),ROW()-1,FALSE))</f>
        <v>104.887</v>
      </c>
      <c r="H17">
        <f ca="1">IF(AND(ISNUMBER($H$337),$B$294=1),$H$337,HLOOKUP(INDIRECT(ADDRESS(2,COLUMN())),OFFSET($BN$2,0,0,ROW()-1,60),ROW()-1,FALSE))</f>
        <v>102.557</v>
      </c>
      <c r="I17">
        <f ca="1">IF(AND(ISNUMBER($I$337),$B$294=1),$I$337,HLOOKUP(INDIRECT(ADDRESS(2,COLUMN())),OFFSET($BN$2,0,0,ROW()-1,60),ROW()-1,FALSE))</f>
        <v>101.557</v>
      </c>
      <c r="J17">
        <f ca="1">IF(AND(ISNUMBER($J$337),$B$294=1),$J$337,HLOOKUP(INDIRECT(ADDRESS(2,COLUMN())),OFFSET($BN$2,0,0,ROW()-1,60),ROW()-1,FALSE))</f>
        <v>103.33199999999999</v>
      </c>
      <c r="K17">
        <f ca="1">IF(AND(ISNUMBER($K$337),$B$294=1),$K$337,HLOOKUP(INDIRECT(ADDRESS(2,COLUMN())),OFFSET($BN$2,0,0,ROW()-1,60),ROW()-1,FALSE))</f>
        <v>103.181</v>
      </c>
      <c r="L17">
        <f ca="1">IF(AND(ISNUMBER($L$337),$B$294=1),$L$337,HLOOKUP(INDIRECT(ADDRESS(2,COLUMN())),OFFSET($BN$2,0,0,ROW()-1,60),ROW()-1,FALSE))</f>
        <v>104.53700000000001</v>
      </c>
      <c r="M17">
        <f ca="1">IF(AND(ISNUMBER($M$337),$B$294=1),$M$337,HLOOKUP(INDIRECT(ADDRESS(2,COLUMN())),OFFSET($BN$2,0,0,ROW()-1,60),ROW()-1,FALSE))</f>
        <v>103.624</v>
      </c>
      <c r="N17">
        <f ca="1">IF(AND(ISNUMBER($N$337),$B$294=1),$N$337,HLOOKUP(INDIRECT(ADDRESS(2,COLUMN())),OFFSET($BN$2,0,0,ROW()-1,60),ROW()-1,FALSE))</f>
        <v>110.163</v>
      </c>
      <c r="O17">
        <f ca="1">IF(AND(ISNUMBER($O$337),$B$294=1),$O$337,HLOOKUP(INDIRECT(ADDRESS(2,COLUMN())),OFFSET($BN$2,0,0,ROW()-1,60),ROW()-1,FALSE))</f>
        <v>122.931</v>
      </c>
      <c r="P17">
        <f ca="1">IF(AND(ISNUMBER($P$337),$B$294=1),$P$337,HLOOKUP(INDIRECT(ADDRESS(2,COLUMN())),OFFSET($BN$2,0,0,ROW()-1,60),ROW()-1,FALSE))</f>
        <v>124.26300000000001</v>
      </c>
      <c r="Q17">
        <f ca="1">IF(AND(ISNUMBER($Q$337),$B$294=1),$Q$337,HLOOKUP(INDIRECT(ADDRESS(2,COLUMN())),OFFSET($BN$2,0,0,ROW()-1,60),ROW()-1,FALSE))</f>
        <v>119.127</v>
      </c>
      <c r="R17">
        <f ca="1">IF(AND(ISNUMBER($R$337),$B$294=1),$R$337,HLOOKUP(INDIRECT(ADDRESS(2,COLUMN())),OFFSET($BN$2,0,0,ROW()-1,60),ROW()-1,FALSE))</f>
        <v>120.41</v>
      </c>
      <c r="S17">
        <f ca="1">IF(AND(ISNUMBER($S$337),$B$294=1),$S$337,HLOOKUP(INDIRECT(ADDRESS(2,COLUMN())),OFFSET($BN$2,0,0,ROW()-1,60),ROW()-1,FALSE))</f>
        <v>120.101</v>
      </c>
      <c r="T17">
        <f ca="1">IF(AND(ISNUMBER($T$337),$B$294=1),$T$337,HLOOKUP(INDIRECT(ADDRESS(2,COLUMN())),OFFSET($BN$2,0,0,ROW()-1,60),ROW()-1,FALSE))</f>
        <v>120.288</v>
      </c>
      <c r="U17">
        <f ca="1">IF(AND(ISNUMBER($U$337),$B$294=1),$U$337,HLOOKUP(INDIRECT(ADDRESS(2,COLUMN())),OFFSET($BN$2,0,0,ROW()-1,60),ROW()-1,FALSE))</f>
        <v>121.622</v>
      </c>
      <c r="V17">
        <f ca="1">IF(AND(ISNUMBER($V$337),$B$294=1),$V$337,HLOOKUP(INDIRECT(ADDRESS(2,COLUMN())),OFFSET($BN$2,0,0,ROW()-1,60),ROW()-1,FALSE))</f>
        <v>121.67100000000001</v>
      </c>
      <c r="W17">
        <f ca="1">IF(AND(ISNUMBER($W$337),$B$294=1),$W$337,HLOOKUP(INDIRECT(ADDRESS(2,COLUMN())),OFFSET($BN$2,0,0,ROW()-1,60),ROW()-1,FALSE))</f>
        <v>114.333</v>
      </c>
      <c r="X17">
        <f ca="1">IF(AND(ISNUMBER($X$337),$B$294=1),$X$337,HLOOKUP(INDIRECT(ADDRESS(2,COLUMN())),OFFSET($BN$2,0,0,ROW()-1,60),ROW()-1,FALSE))</f>
        <v>116.38200000000001</v>
      </c>
      <c r="Y17">
        <f ca="1">IF(AND(ISNUMBER($Y$337),$B$294=1),$Y$337,HLOOKUP(INDIRECT(ADDRESS(2,COLUMN())),OFFSET($BN$2,0,0,ROW()-1,60),ROW()-1,FALSE))</f>
        <v>116.06399999999999</v>
      </c>
      <c r="Z17">
        <f ca="1">IF(AND(ISNUMBER($Z$337),$B$294=1),$Z$337,HLOOKUP(INDIRECT(ADDRESS(2,COLUMN())),OFFSET($BN$2,0,0,ROW()-1,60),ROW()-1,FALSE))</f>
        <v>114.608</v>
      </c>
      <c r="AA17">
        <f ca="1">IF(AND(ISNUMBER($AA$337),$B$294=1),$AA$337,HLOOKUP(INDIRECT(ADDRESS(2,COLUMN())),OFFSET($BN$2,0,0,ROW()-1,60),ROW()-1,FALSE))</f>
        <v>110.977</v>
      </c>
      <c r="AB17">
        <f ca="1">IF(AND(ISNUMBER($AB$337),$B$294=1),$AB$337,HLOOKUP(INDIRECT(ADDRESS(2,COLUMN())),OFFSET($BN$2,0,0,ROW()-1,60),ROW()-1,FALSE))</f>
        <v>108.658</v>
      </c>
      <c r="AC17">
        <f ca="1">IF(AND(ISNUMBER($AC$337),$B$294=1),$AC$337,HLOOKUP(INDIRECT(ADDRESS(2,COLUMN())),OFFSET($BN$2,0,0,ROW()-1,60),ROW()-1,FALSE))</f>
        <v>109.71299999999999</v>
      </c>
      <c r="AD17">
        <f ca="1">IF(AND(ISNUMBER($AD$337),$B$294=1),$AD$337,HLOOKUP(INDIRECT(ADDRESS(2,COLUMN())),OFFSET($BN$2,0,0,ROW()-1,60),ROW()-1,FALSE))</f>
        <v>109.699</v>
      </c>
      <c r="AE17">
        <f ca="1">IF(AND(ISNUMBER($AE$337),$B$294=1),$AE$337,HLOOKUP(INDIRECT(ADDRESS(2,COLUMN())),OFFSET($BN$2,0,0,ROW()-1,60),ROW()-1,FALSE))</f>
        <v>116.19199999999999</v>
      </c>
      <c r="AF17">
        <f ca="1">IF(AND(ISNUMBER($AF$337),$B$294=1),$AF$337,HLOOKUP(INDIRECT(ADDRESS(2,COLUMN())),OFFSET($BN$2,0,0,ROW()-1,60),ROW()-1,FALSE))</f>
        <v>116.251</v>
      </c>
      <c r="AG17">
        <f ca="1">IF(AND(ISNUMBER($AG$337),$B$294=1),$AG$337,HLOOKUP(INDIRECT(ADDRESS(2,COLUMN())),OFFSET($BN$2,0,0,ROW()-1,60),ROW()-1,FALSE))</f>
        <v>114.995</v>
      </c>
      <c r="AH17">
        <f ca="1">IF(AND(ISNUMBER($AH$337),$B$294=1),$AH$337,HLOOKUP(INDIRECT(ADDRESS(2,COLUMN())),OFFSET($BN$2,0,0,ROW()-1,60),ROW()-1,FALSE))</f>
        <v>117.36199999999999</v>
      </c>
      <c r="AI17">
        <f ca="1">IF(AND(ISNUMBER($AI$337),$B$294=1),$AI$337,HLOOKUP(INDIRECT(ADDRESS(2,COLUMN())),OFFSET($BN$2,0,0,ROW()-1,60),ROW()-1,FALSE))</f>
        <v>120.419</v>
      </c>
      <c r="AJ17">
        <f ca="1">IF(AND(ISNUMBER($AJ$337),$B$294=1),$AJ$337,HLOOKUP(INDIRECT(ADDRESS(2,COLUMN())),OFFSET($BN$2,0,0,ROW()-1,60),ROW()-1,FALSE))</f>
        <v>116.52</v>
      </c>
      <c r="AK17">
        <f ca="1">IF(AND(ISNUMBER($AK$337),$B$294=1),$AK$337,HLOOKUP(INDIRECT(ADDRESS(2,COLUMN())),OFFSET($BN$2,0,0,ROW()-1,60),ROW()-1,FALSE))</f>
        <v>113.006</v>
      </c>
      <c r="AL17">
        <f ca="1">IF(AND(ISNUMBER($AL$337),$B$294=1),$AL$337,HLOOKUP(INDIRECT(ADDRESS(2,COLUMN())),OFFSET($BN$2,0,0,ROW()-1,60),ROW()-1,FALSE))</f>
        <v>114.378</v>
      </c>
      <c r="AM17">
        <f ca="1">IF(AND(ISNUMBER($AM$337),$B$294=1),$AM$337,HLOOKUP(INDIRECT(ADDRESS(2,COLUMN())),OFFSET($BN$2,0,0,ROW()-1,60),ROW()-1,FALSE))</f>
        <v>118.715</v>
      </c>
      <c r="AN17">
        <f ca="1">IF(AND(ISNUMBER($AN$337),$B$294=1),$AN$337,HLOOKUP(INDIRECT(ADDRESS(2,COLUMN())),OFFSET($BN$2,0,0,ROW()-1,60),ROW()-1,FALSE))</f>
        <v>119.14100000000001</v>
      </c>
      <c r="AO17">
        <f ca="1">IF(AND(ISNUMBER($AO$337),$B$294=1),$AO$337,HLOOKUP(INDIRECT(ADDRESS(2,COLUMN())),OFFSET($BN$2,0,0,ROW()-1,60),ROW()-1,FALSE))</f>
        <v>119.44499999999999</v>
      </c>
      <c r="AP17">
        <f ca="1">IF(AND(ISNUMBER($AP$337),$B$294=1),$AP$337,HLOOKUP(INDIRECT(ADDRESS(2,COLUMN())),OFFSET($BN$2,0,0,ROW()-1,60),ROW()-1,FALSE))</f>
        <v>120.285</v>
      </c>
      <c r="AQ17" t="str">
        <f ca="1">IF(AND(ISNUMBER($AQ$337),$B$294=1),$AQ$337,HLOOKUP(INDIRECT(ADDRESS(2,COLUMN())),OFFSET($BN$2,0,0,ROW()-1,60),ROW()-1,FALSE))</f>
        <v/>
      </c>
      <c r="AR17" t="str">
        <f ca="1">IF(AND(ISNUMBER($AR$337),$B$294=1),$AR$337,HLOOKUP(INDIRECT(ADDRESS(2,COLUMN())),OFFSET($BN$2,0,0,ROW()-1,60),ROW()-1,FALSE))</f>
        <v/>
      </c>
      <c r="AS17" t="str">
        <f ca="1">IF(AND(ISNUMBER($AS$337),$B$294=1),$AS$337,HLOOKUP(INDIRECT(ADDRESS(2,COLUMN())),OFFSET($BN$2,0,0,ROW()-1,60),ROW()-1,FALSE))</f>
        <v/>
      </c>
      <c r="AT17" t="str">
        <f ca="1">IF(AND(ISNUMBER($AT$337),$B$294=1),$AT$337,HLOOKUP(INDIRECT(ADDRESS(2,COLUMN())),OFFSET($BN$2,0,0,ROW()-1,60),ROW()-1,FALSE))</f>
        <v/>
      </c>
      <c r="AU17" t="str">
        <f ca="1">IF(AND(ISNUMBER($AU$337),$B$294=1),$AU$337,HLOOKUP(INDIRECT(ADDRESS(2,COLUMN())),OFFSET($BN$2,0,0,ROW()-1,60),ROW()-1,FALSE))</f>
        <v/>
      </c>
      <c r="AV17" t="str">
        <f ca="1">IF(AND(ISNUMBER($AV$337),$B$294=1),$AV$337,HLOOKUP(INDIRECT(ADDRESS(2,COLUMN())),OFFSET($BN$2,0,0,ROW()-1,60),ROW()-1,FALSE))</f>
        <v/>
      </c>
      <c r="AW17" t="str">
        <f ca="1">IF(AND(ISNUMBER($AW$337),$B$294=1),$AW$337,HLOOKUP(INDIRECT(ADDRESS(2,COLUMN())),OFFSET($BN$2,0,0,ROW()-1,60),ROW()-1,FALSE))</f>
        <v/>
      </c>
      <c r="AX17" t="str">
        <f ca="1">IF(AND(ISNUMBER($AX$337),$B$294=1),$AX$337,HLOOKUP(INDIRECT(ADDRESS(2,COLUMN())),OFFSET($BN$2,0,0,ROW()-1,60),ROW()-1,FALSE))</f>
        <v/>
      </c>
      <c r="AY17" t="str">
        <f ca="1">IF(AND(ISNUMBER($AY$337),$B$294=1),$AY$337,HLOOKUP(INDIRECT(ADDRESS(2,COLUMN())),OFFSET($BN$2,0,0,ROW()-1,60),ROW()-1,FALSE))</f>
        <v/>
      </c>
      <c r="AZ17" t="str">
        <f ca="1">IF(AND(ISNUMBER($AZ$337),$B$294=1),$AZ$337,HLOOKUP(INDIRECT(ADDRESS(2,COLUMN())),OFFSET($BN$2,0,0,ROW()-1,60),ROW()-1,FALSE))</f>
        <v/>
      </c>
      <c r="BA17" t="str">
        <f ca="1">IF(AND(ISNUMBER($BA$337),$B$294=1),$BA$337,HLOOKUP(INDIRECT(ADDRESS(2,COLUMN())),OFFSET($BN$2,0,0,ROW()-1,60),ROW()-1,FALSE))</f>
        <v/>
      </c>
      <c r="BB17" t="str">
        <f ca="1">IF(AND(ISNUMBER($BB$337),$B$294=1),$BB$337,HLOOKUP(INDIRECT(ADDRESS(2,COLUMN())),OFFSET($BN$2,0,0,ROW()-1,60),ROW()-1,FALSE))</f>
        <v/>
      </c>
      <c r="BC17" t="str">
        <f ca="1">IF(AND(ISNUMBER($BC$337),$B$294=1),$BC$337,HLOOKUP(INDIRECT(ADDRESS(2,COLUMN())),OFFSET($BN$2,0,0,ROW()-1,60),ROW()-1,FALSE))</f>
        <v/>
      </c>
      <c r="BD17" t="str">
        <f ca="1">IF(AND(ISNUMBER($BD$337),$B$294=1),$BD$337,HLOOKUP(INDIRECT(ADDRESS(2,COLUMN())),OFFSET($BN$2,0,0,ROW()-1,60),ROW()-1,FALSE))</f>
        <v/>
      </c>
      <c r="BE17" t="str">
        <f ca="1">IF(AND(ISNUMBER($BE$337),$B$294=1),$BE$337,HLOOKUP(INDIRECT(ADDRESS(2,COLUMN())),OFFSET($BN$2,0,0,ROW()-1,60),ROW()-1,FALSE))</f>
        <v/>
      </c>
      <c r="BF17" t="str">
        <f ca="1">IF(AND(ISNUMBER($BF$337),$B$294=1),$BF$337,HLOOKUP(INDIRECT(ADDRESS(2,COLUMN())),OFFSET($BN$2,0,0,ROW()-1,60),ROW()-1,FALSE))</f>
        <v/>
      </c>
      <c r="BG17" t="str">
        <f ca="1">IF(AND(ISNUMBER($BG$337),$B$294=1),$BG$337,HLOOKUP(INDIRECT(ADDRESS(2,COLUMN())),OFFSET($BN$2,0,0,ROW()-1,60),ROW()-1,FALSE))</f>
        <v/>
      </c>
      <c r="BH17" t="str">
        <f ca="1">IF(AND(ISNUMBER($BH$337),$B$294=1),$BH$337,HLOOKUP(INDIRECT(ADDRESS(2,COLUMN())),OFFSET($BN$2,0,0,ROW()-1,60),ROW()-1,FALSE))</f>
        <v/>
      </c>
      <c r="BI17" t="str">
        <f ca="1">IF(AND(ISNUMBER($BI$337),$B$294=1),$BI$337,HLOOKUP(INDIRECT(ADDRESS(2,COLUMN())),OFFSET($BN$2,0,0,ROW()-1,60),ROW()-1,FALSE))</f>
        <v/>
      </c>
      <c r="BJ17" t="str">
        <f ca="1">IF(AND(ISNUMBER($BJ$337),$B$294=1),$BJ$337,HLOOKUP(INDIRECT(ADDRESS(2,COLUMN())),OFFSET($BN$2,0,0,ROW()-1,60),ROW()-1,FALSE))</f>
        <v/>
      </c>
      <c r="BK17" t="str">
        <f ca="1">IF(AND(ISNUMBER($BK$337),$B$294=1),$BK$337,HLOOKUP(INDIRECT(ADDRESS(2,COLUMN())),OFFSET($BN$2,0,0,ROW()-1,60),ROW()-1,FALSE))</f>
        <v/>
      </c>
      <c r="BL17" t="str">
        <f ca="1">IF(AND(ISNUMBER($BL$337),$B$294=1),$BL$337,HLOOKUP(INDIRECT(ADDRESS(2,COLUMN())),OFFSET($BN$2,0,0,ROW()-1,60),ROW()-1,FALSE))</f>
        <v/>
      </c>
      <c r="BM17" t="str">
        <f ca="1">IF(AND(ISNUMBER($BM$337),$B$294=1),$BM$337,HLOOKUP(INDIRECT(ADDRESS(2,COLUMN())),OFFSET($BN$2,0,0,ROW()-1,60),ROW()-1,FALSE))</f>
        <v/>
      </c>
      <c r="BN17" t="str">
        <f>""</f>
        <v/>
      </c>
      <c r="BO17">
        <f>104.887</f>
        <v>104.887</v>
      </c>
      <c r="BP17">
        <f>102.557</f>
        <v>102.557</v>
      </c>
      <c r="BQ17">
        <f>101.557</f>
        <v>101.557</v>
      </c>
      <c r="BR17">
        <f>103.332</f>
        <v>103.33199999999999</v>
      </c>
      <c r="BS17">
        <f>103.181</f>
        <v>103.181</v>
      </c>
      <c r="BT17">
        <f>104.537</f>
        <v>104.53700000000001</v>
      </c>
      <c r="BU17">
        <f>103.624</f>
        <v>103.624</v>
      </c>
      <c r="BV17">
        <f>110.163</f>
        <v>110.163</v>
      </c>
      <c r="BW17">
        <f>122.931</f>
        <v>122.931</v>
      </c>
      <c r="BX17">
        <f>124.263</f>
        <v>124.26300000000001</v>
      </c>
      <c r="BY17">
        <f>119.127</f>
        <v>119.127</v>
      </c>
      <c r="BZ17">
        <f>120.41</f>
        <v>120.41</v>
      </c>
      <c r="CA17">
        <f>120.101</f>
        <v>120.101</v>
      </c>
      <c r="CB17">
        <f>120.288</f>
        <v>120.288</v>
      </c>
      <c r="CC17">
        <f>121.622</f>
        <v>121.622</v>
      </c>
      <c r="CD17">
        <f>121.671</f>
        <v>121.67100000000001</v>
      </c>
      <c r="CE17">
        <f>114.333</f>
        <v>114.333</v>
      </c>
      <c r="CF17">
        <f>116.382</f>
        <v>116.38200000000001</v>
      </c>
      <c r="CG17">
        <f>116.064</f>
        <v>116.06399999999999</v>
      </c>
      <c r="CH17">
        <f>114.608</f>
        <v>114.608</v>
      </c>
      <c r="CI17">
        <f>110.977</f>
        <v>110.977</v>
      </c>
      <c r="CJ17">
        <f>108.658</f>
        <v>108.658</v>
      </c>
      <c r="CK17">
        <f>109.713</f>
        <v>109.71299999999999</v>
      </c>
      <c r="CL17">
        <f>109.699</f>
        <v>109.699</v>
      </c>
      <c r="CM17">
        <f>116.192</f>
        <v>116.19199999999999</v>
      </c>
      <c r="CN17">
        <f>116.251</f>
        <v>116.251</v>
      </c>
      <c r="CO17">
        <f>114.995</f>
        <v>114.995</v>
      </c>
      <c r="CP17">
        <f>117.362</f>
        <v>117.36199999999999</v>
      </c>
      <c r="CQ17">
        <f>120.419</f>
        <v>120.419</v>
      </c>
      <c r="CR17">
        <f>116.52</f>
        <v>116.52</v>
      </c>
      <c r="CS17">
        <f>113.006</f>
        <v>113.006</v>
      </c>
      <c r="CT17">
        <f>114.378</f>
        <v>114.378</v>
      </c>
      <c r="CU17">
        <f>118.715</f>
        <v>118.715</v>
      </c>
      <c r="CV17">
        <f>119.141</f>
        <v>119.14100000000001</v>
      </c>
      <c r="CW17">
        <f>119.445</f>
        <v>119.44499999999999</v>
      </c>
      <c r="CX17">
        <f>120.285</f>
        <v>120.285</v>
      </c>
      <c r="CY17" t="str">
        <f>""</f>
        <v/>
      </c>
      <c r="CZ17" t="str">
        <f>""</f>
        <v/>
      </c>
      <c r="DA17" t="str">
        <f>""</f>
        <v/>
      </c>
      <c r="DB17" t="str">
        <f>""</f>
        <v/>
      </c>
      <c r="DC17" t="str">
        <f>""</f>
        <v/>
      </c>
      <c r="DD17" t="str">
        <f>""</f>
        <v/>
      </c>
      <c r="DE17" t="str">
        <f>""</f>
        <v/>
      </c>
      <c r="DF17" t="str">
        <f>""</f>
        <v/>
      </c>
      <c r="DG17" t="str">
        <f>""</f>
        <v/>
      </c>
      <c r="DH17" t="str">
        <f>""</f>
        <v/>
      </c>
      <c r="DI17" t="str">
        <f>""</f>
        <v/>
      </c>
      <c r="DJ17" t="str">
        <f>""</f>
        <v/>
      </c>
      <c r="DK17" t="str">
        <f>""</f>
        <v/>
      </c>
      <c r="DL17" t="str">
        <f>""</f>
        <v/>
      </c>
      <c r="DM17" t="str">
        <f>""</f>
        <v/>
      </c>
      <c r="DN17" t="str">
        <f>""</f>
        <v/>
      </c>
      <c r="DO17" t="str">
        <f>""</f>
        <v/>
      </c>
      <c r="DP17" t="str">
        <f>""</f>
        <v/>
      </c>
      <c r="DQ17" t="str">
        <f>""</f>
        <v/>
      </c>
      <c r="DR17" t="str">
        <f>""</f>
        <v/>
      </c>
      <c r="DS17" t="str">
        <f>""</f>
        <v/>
      </c>
      <c r="DT17" t="str">
        <f>""</f>
        <v/>
      </c>
      <c r="DU17" t="str">
        <f>""</f>
        <v/>
      </c>
    </row>
    <row r="18" spans="1:125">
      <c r="A18" t="str">
        <f>"    Columbia Property Trust Inc"</f>
        <v xml:space="preserve">    Columbia Property Trust Inc</v>
      </c>
      <c r="B18" t="str">
        <f>"CXP US Equity"</f>
        <v>CXP US Equity</v>
      </c>
      <c r="C18" t="str">
        <f t="shared" si="3"/>
        <v>IM275</v>
      </c>
      <c r="D18" t="str">
        <f t="shared" si="4"/>
        <v>IS_OTHER_RENTAL_INCOME</v>
      </c>
      <c r="E18" t="str">
        <f t="shared" si="5"/>
        <v>动态</v>
      </c>
      <c r="F18" t="str">
        <f ca="1">IF(AND(ISNUMBER($F$338),$B$294=1),$F$338,HLOOKUP(INDIRECT(ADDRESS(2,COLUMN())),OFFSET($BN$2,0,0,ROW()-1,60),ROW()-1,FALSE))</f>
        <v/>
      </c>
      <c r="G18">
        <f ca="1">IF(AND(ISNUMBER($G$338),$B$294=1),$G$338,HLOOKUP(INDIRECT(ADDRESS(2,COLUMN())),OFFSET($BN$2,0,0,ROW()-1,60),ROW()-1,FALSE))</f>
        <v>65.066999999999993</v>
      </c>
      <c r="H18">
        <f ca="1">IF(AND(ISNUMBER($H$338),$B$294=1),$H$338,HLOOKUP(INDIRECT(ADDRESS(2,COLUMN())),OFFSET($BN$2,0,0,ROW()-1,60),ROW()-1,FALSE))</f>
        <v>56.155000000000001</v>
      </c>
      <c r="I18">
        <f ca="1">IF(AND(ISNUMBER($I$338),$B$294=1),$I$338,HLOOKUP(INDIRECT(ADDRESS(2,COLUMN())),OFFSET($BN$2,0,0,ROW()-1,60),ROW()-1,FALSE))</f>
        <v>67.885000000000005</v>
      </c>
      <c r="J18">
        <f ca="1">IF(AND(ISNUMBER($J$338),$B$294=1),$J$338,HLOOKUP(INDIRECT(ADDRESS(2,COLUMN())),OFFSET($BN$2,0,0,ROW()-1,60),ROW()-1,FALSE))</f>
        <v>72.233000000000004</v>
      </c>
      <c r="K18">
        <f ca="1">IF(AND(ISNUMBER($K$338),$B$294=1),$K$338,HLOOKUP(INDIRECT(ADDRESS(2,COLUMN())),OFFSET($BN$2,0,0,ROW()-1,60),ROW()-1,FALSE))</f>
        <v>86.372</v>
      </c>
      <c r="L18">
        <f ca="1">IF(AND(ISNUMBER($L$338),$B$294=1),$L$338,HLOOKUP(INDIRECT(ADDRESS(2,COLUMN())),OFFSET($BN$2,0,0,ROW()-1,60),ROW()-1,FALSE))</f>
        <v>89.906000000000006</v>
      </c>
      <c r="M18">
        <f ca="1">IF(AND(ISNUMBER($M$338),$B$294=1),$M$338,HLOOKUP(INDIRECT(ADDRESS(2,COLUMN())),OFFSET($BN$2,0,0,ROW()-1,60),ROW()-1,FALSE))</f>
        <v>102.67100000000001</v>
      </c>
      <c r="N18">
        <f ca="1">IF(AND(ISNUMBER($N$338),$B$294=1),$N$338,HLOOKUP(INDIRECT(ADDRESS(2,COLUMN())),OFFSET($BN$2,0,0,ROW()-1,60),ROW()-1,FALSE))</f>
        <v>102.163</v>
      </c>
      <c r="O18">
        <f ca="1">IF(AND(ISNUMBER($O$338),$B$294=1),$O$338,HLOOKUP(INDIRECT(ADDRESS(2,COLUMN())),OFFSET($BN$2,0,0,ROW()-1,60),ROW()-1,FALSE))</f>
        <v>105.008</v>
      </c>
      <c r="P18">
        <f ca="1">IF(AND(ISNUMBER($P$338),$B$294=1),$P$338,HLOOKUP(INDIRECT(ADDRESS(2,COLUMN())),OFFSET($BN$2,0,0,ROW()-1,60),ROW()-1,FALSE))</f>
        <v>108.151</v>
      </c>
      <c r="Q18">
        <f ca="1">IF(AND(ISNUMBER($Q$338),$B$294=1),$Q$338,HLOOKUP(INDIRECT(ADDRESS(2,COLUMN())),OFFSET($BN$2,0,0,ROW()-1,60),ROW()-1,FALSE))</f>
        <v>114.64100000000001</v>
      </c>
      <c r="R18">
        <f ca="1">IF(AND(ISNUMBER($R$338),$B$294=1),$R$338,HLOOKUP(INDIRECT(ADDRESS(2,COLUMN())),OFFSET($BN$2,0,0,ROW()-1,60),ROW()-1,FALSE))</f>
        <v>114.301</v>
      </c>
      <c r="S18">
        <f ca="1">IF(AND(ISNUMBER($S$338),$B$294=1),$S$338,HLOOKUP(INDIRECT(ADDRESS(2,COLUMN())),OFFSET($BN$2,0,0,ROW()-1,60),ROW()-1,FALSE))</f>
        <v>107.45699999999999</v>
      </c>
      <c r="T18">
        <f ca="1">IF(AND(ISNUMBER($T$338),$B$294=1),$T$338,HLOOKUP(INDIRECT(ADDRESS(2,COLUMN())),OFFSET($BN$2,0,0,ROW()-1,60),ROW()-1,FALSE))</f>
        <v>106.38800000000001</v>
      </c>
      <c r="U18">
        <f ca="1">IF(AND(ISNUMBER($U$338),$B$294=1),$U$338,HLOOKUP(INDIRECT(ADDRESS(2,COLUMN())),OFFSET($BN$2,0,0,ROW()-1,60),ROW()-1,FALSE))</f>
        <v>107.318</v>
      </c>
      <c r="V18">
        <f ca="1">IF(AND(ISNUMBER($V$338),$B$294=1),$V$338,HLOOKUP(INDIRECT(ADDRESS(2,COLUMN())),OFFSET($BN$2,0,0,ROW()-1,60),ROW()-1,FALSE))</f>
        <v>101.374</v>
      </c>
      <c r="W18">
        <f ca="1">IF(AND(ISNUMBER($W$338),$B$294=1),$W$338,HLOOKUP(INDIRECT(ADDRESS(2,COLUMN())),OFFSET($BN$2,0,0,ROW()-1,60),ROW()-1,FALSE))</f>
        <v>103.643</v>
      </c>
      <c r="X18">
        <f ca="1">IF(AND(ISNUMBER($X$338),$B$294=1),$X$338,HLOOKUP(INDIRECT(ADDRESS(2,COLUMN())),OFFSET($BN$2,0,0,ROW()-1,60),ROW()-1,FALSE))</f>
        <v>102.64100000000001</v>
      </c>
      <c r="Y18">
        <f ca="1">IF(AND(ISNUMBER($Y$338),$B$294=1),$Y$338,HLOOKUP(INDIRECT(ADDRESS(2,COLUMN())),OFFSET($BN$2,0,0,ROW()-1,60),ROW()-1,FALSE))</f>
        <v>104.069</v>
      </c>
      <c r="Z18">
        <f ca="1">IF(AND(ISNUMBER($Z$338),$B$294=1),$Z$338,HLOOKUP(INDIRECT(ADDRESS(2,COLUMN())),OFFSET($BN$2,0,0,ROW()-1,60),ROW()-1,FALSE))</f>
        <v>101.59399999999999</v>
      </c>
      <c r="AA18">
        <f ca="1">IF(AND(ISNUMBER($AA$338),$B$294=1),$AA$338,HLOOKUP(INDIRECT(ADDRESS(2,COLUMN())),OFFSET($BN$2,0,0,ROW()-1,60),ROW()-1,FALSE))</f>
        <v>96.046999999999997</v>
      </c>
      <c r="AB18">
        <f ca="1">IF(AND(ISNUMBER($AB$338),$B$294=1),$AB$338,HLOOKUP(INDIRECT(ADDRESS(2,COLUMN())),OFFSET($BN$2,0,0,ROW()-1,60),ROW()-1,FALSE))</f>
        <v>111.437</v>
      </c>
      <c r="AC18">
        <f ca="1">IF(AND(ISNUMBER($AC$338),$B$294=1),$AC$338,HLOOKUP(INDIRECT(ADDRESS(2,COLUMN())),OFFSET($BN$2,0,0,ROW()-1,60),ROW()-1,FALSE))</f>
        <v>110.315</v>
      </c>
      <c r="AD18">
        <f ca="1">IF(AND(ISNUMBER($AD$338),$B$294=1),$AD$338,HLOOKUP(INDIRECT(ADDRESS(2,COLUMN())),OFFSET($BN$2,0,0,ROW()-1,60),ROW()-1,FALSE))</f>
        <v>111.88500000000001</v>
      </c>
      <c r="AE18">
        <f ca="1">IF(AND(ISNUMBER($AE$338),$B$294=1),$AE$338,HLOOKUP(INDIRECT(ADDRESS(2,COLUMN())),OFFSET($BN$2,0,0,ROW()-1,60),ROW()-1,FALSE))</f>
        <v>91.980999999999995</v>
      </c>
      <c r="AF18">
        <f ca="1">IF(AND(ISNUMBER($AF$338),$B$294=1),$AF$338,HLOOKUP(INDIRECT(ADDRESS(2,COLUMN())),OFFSET($BN$2,0,0,ROW()-1,60),ROW()-1,FALSE))</f>
        <v>123.849</v>
      </c>
      <c r="AG18">
        <f ca="1">IF(AND(ISNUMBER($AG$338),$B$294=1),$AG$338,HLOOKUP(INDIRECT(ADDRESS(2,COLUMN())),OFFSET($BN$2,0,0,ROW()-1,60),ROW()-1,FALSE))</f>
        <v>123.113</v>
      </c>
      <c r="AH18">
        <f ca="1">IF(AND(ISNUMBER($AH$338),$B$294=1),$AH$338,HLOOKUP(INDIRECT(ADDRESS(2,COLUMN())),OFFSET($BN$2,0,0,ROW()-1,60),ROW()-1,FALSE))</f>
        <v>113.902</v>
      </c>
      <c r="AI18">
        <f ca="1">IF(AND(ISNUMBER($AI$338),$B$294=1),$AI$338,HLOOKUP(INDIRECT(ADDRESS(2,COLUMN())),OFFSET($BN$2,0,0,ROW()-1,60),ROW()-1,FALSE))</f>
        <v>102.79300000000001</v>
      </c>
      <c r="AJ18">
        <f ca="1">IF(AND(ISNUMBER($AJ$338),$B$294=1),$AJ$338,HLOOKUP(INDIRECT(ADDRESS(2,COLUMN())),OFFSET($BN$2,0,0,ROW()-1,60),ROW()-1,FALSE))</f>
        <v>113</v>
      </c>
      <c r="AK18">
        <f ca="1">IF(AND(ISNUMBER($AK$338),$B$294=1),$AK$338,HLOOKUP(INDIRECT(ADDRESS(2,COLUMN())),OFFSET($BN$2,0,0,ROW()-1,60),ROW()-1,FALSE))</f>
        <v>111.491</v>
      </c>
      <c r="AL18">
        <f ca="1">IF(AND(ISNUMBER($AL$338),$B$294=1),$AL$338,HLOOKUP(INDIRECT(ADDRESS(2,COLUMN())),OFFSET($BN$2,0,0,ROW()-1,60),ROW()-1,FALSE))</f>
        <v>108.16800000000001</v>
      </c>
      <c r="AM18">
        <f ca="1">IF(AND(ISNUMBER($AM$338),$B$294=1),$AM$338,HLOOKUP(INDIRECT(ADDRESS(2,COLUMN())),OFFSET($BN$2,0,0,ROW()-1,60),ROW()-1,FALSE))</f>
        <v>121.937</v>
      </c>
      <c r="AN18">
        <f ca="1">IF(AND(ISNUMBER($AN$338),$B$294=1),$AN$338,HLOOKUP(INDIRECT(ADDRESS(2,COLUMN())),OFFSET($BN$2,0,0,ROW()-1,60),ROW()-1,FALSE))</f>
        <v>106.843</v>
      </c>
      <c r="AO18">
        <f ca="1">IF(AND(ISNUMBER($AO$338),$B$294=1),$AO$338,HLOOKUP(INDIRECT(ADDRESS(2,COLUMN())),OFFSET($BN$2,0,0,ROW()-1,60),ROW()-1,FALSE))</f>
        <v>107.738</v>
      </c>
      <c r="AP18">
        <f ca="1">IF(AND(ISNUMBER($AP$338),$B$294=1),$AP$338,HLOOKUP(INDIRECT(ADDRESS(2,COLUMN())),OFFSET($BN$2,0,0,ROW()-1,60),ROW()-1,FALSE))</f>
        <v>107.11</v>
      </c>
      <c r="AQ18" t="str">
        <f ca="1">IF(AND(ISNUMBER($AQ$338),$B$294=1),$AQ$338,HLOOKUP(INDIRECT(ADDRESS(2,COLUMN())),OFFSET($BN$2,0,0,ROW()-1,60),ROW()-1,FALSE))</f>
        <v/>
      </c>
      <c r="AR18" t="str">
        <f ca="1">IF(AND(ISNUMBER($AR$338),$B$294=1),$AR$338,HLOOKUP(INDIRECT(ADDRESS(2,COLUMN())),OFFSET($BN$2,0,0,ROW()-1,60),ROW()-1,FALSE))</f>
        <v/>
      </c>
      <c r="AS18" t="str">
        <f ca="1">IF(AND(ISNUMBER($AS$338),$B$294=1),$AS$338,HLOOKUP(INDIRECT(ADDRESS(2,COLUMN())),OFFSET($BN$2,0,0,ROW()-1,60),ROW()-1,FALSE))</f>
        <v/>
      </c>
      <c r="AT18" t="str">
        <f ca="1">IF(AND(ISNUMBER($AT$338),$B$294=1),$AT$338,HLOOKUP(INDIRECT(ADDRESS(2,COLUMN())),OFFSET($BN$2,0,0,ROW()-1,60),ROW()-1,FALSE))</f>
        <v/>
      </c>
      <c r="AU18" t="str">
        <f ca="1">IF(AND(ISNUMBER($AU$338),$B$294=1),$AU$338,HLOOKUP(INDIRECT(ADDRESS(2,COLUMN())),OFFSET($BN$2,0,0,ROW()-1,60),ROW()-1,FALSE))</f>
        <v/>
      </c>
      <c r="AV18" t="str">
        <f ca="1">IF(AND(ISNUMBER($AV$338),$B$294=1),$AV$338,HLOOKUP(INDIRECT(ADDRESS(2,COLUMN())),OFFSET($BN$2,0,0,ROW()-1,60),ROW()-1,FALSE))</f>
        <v/>
      </c>
      <c r="AW18" t="str">
        <f ca="1">IF(AND(ISNUMBER($AW$338),$B$294=1),$AW$338,HLOOKUP(INDIRECT(ADDRESS(2,COLUMN())),OFFSET($BN$2,0,0,ROW()-1,60),ROW()-1,FALSE))</f>
        <v/>
      </c>
      <c r="AX18" t="str">
        <f ca="1">IF(AND(ISNUMBER($AX$338),$B$294=1),$AX$338,HLOOKUP(INDIRECT(ADDRESS(2,COLUMN())),OFFSET($BN$2,0,0,ROW()-1,60),ROW()-1,FALSE))</f>
        <v/>
      </c>
      <c r="AY18" t="str">
        <f ca="1">IF(AND(ISNUMBER($AY$338),$B$294=1),$AY$338,HLOOKUP(INDIRECT(ADDRESS(2,COLUMN())),OFFSET($BN$2,0,0,ROW()-1,60),ROW()-1,FALSE))</f>
        <v/>
      </c>
      <c r="AZ18" t="str">
        <f ca="1">IF(AND(ISNUMBER($AZ$338),$B$294=1),$AZ$338,HLOOKUP(INDIRECT(ADDRESS(2,COLUMN())),OFFSET($BN$2,0,0,ROW()-1,60),ROW()-1,FALSE))</f>
        <v/>
      </c>
      <c r="BA18" t="str">
        <f ca="1">IF(AND(ISNUMBER($BA$338),$B$294=1),$BA$338,HLOOKUP(INDIRECT(ADDRESS(2,COLUMN())),OFFSET($BN$2,0,0,ROW()-1,60),ROW()-1,FALSE))</f>
        <v/>
      </c>
      <c r="BB18" t="str">
        <f ca="1">IF(AND(ISNUMBER($BB$338),$B$294=1),$BB$338,HLOOKUP(INDIRECT(ADDRESS(2,COLUMN())),OFFSET($BN$2,0,0,ROW()-1,60),ROW()-1,FALSE))</f>
        <v/>
      </c>
      <c r="BC18" t="str">
        <f ca="1">IF(AND(ISNUMBER($BC$338),$B$294=1),$BC$338,HLOOKUP(INDIRECT(ADDRESS(2,COLUMN())),OFFSET($BN$2,0,0,ROW()-1,60),ROW()-1,FALSE))</f>
        <v/>
      </c>
      <c r="BD18" t="str">
        <f ca="1">IF(AND(ISNUMBER($BD$338),$B$294=1),$BD$338,HLOOKUP(INDIRECT(ADDRESS(2,COLUMN())),OFFSET($BN$2,0,0,ROW()-1,60),ROW()-1,FALSE))</f>
        <v/>
      </c>
      <c r="BE18" t="str">
        <f ca="1">IF(AND(ISNUMBER($BE$338),$B$294=1),$BE$338,HLOOKUP(INDIRECT(ADDRESS(2,COLUMN())),OFFSET($BN$2,0,0,ROW()-1,60),ROW()-1,FALSE))</f>
        <v/>
      </c>
      <c r="BF18" t="str">
        <f ca="1">IF(AND(ISNUMBER($BF$338),$B$294=1),$BF$338,HLOOKUP(INDIRECT(ADDRESS(2,COLUMN())),OFFSET($BN$2,0,0,ROW()-1,60),ROW()-1,FALSE))</f>
        <v/>
      </c>
      <c r="BG18" t="str">
        <f ca="1">IF(AND(ISNUMBER($BG$338),$B$294=1),$BG$338,HLOOKUP(INDIRECT(ADDRESS(2,COLUMN())),OFFSET($BN$2,0,0,ROW()-1,60),ROW()-1,FALSE))</f>
        <v/>
      </c>
      <c r="BH18" t="str">
        <f ca="1">IF(AND(ISNUMBER($BH$338),$B$294=1),$BH$338,HLOOKUP(INDIRECT(ADDRESS(2,COLUMN())),OFFSET($BN$2,0,0,ROW()-1,60),ROW()-1,FALSE))</f>
        <v/>
      </c>
      <c r="BI18" t="str">
        <f ca="1">IF(AND(ISNUMBER($BI$338),$B$294=1),$BI$338,HLOOKUP(INDIRECT(ADDRESS(2,COLUMN())),OFFSET($BN$2,0,0,ROW()-1,60),ROW()-1,FALSE))</f>
        <v/>
      </c>
      <c r="BJ18" t="str">
        <f ca="1">IF(AND(ISNUMBER($BJ$338),$B$294=1),$BJ$338,HLOOKUP(INDIRECT(ADDRESS(2,COLUMN())),OFFSET($BN$2,0,0,ROW()-1,60),ROW()-1,FALSE))</f>
        <v/>
      </c>
      <c r="BK18" t="str">
        <f ca="1">IF(AND(ISNUMBER($BK$338),$B$294=1),$BK$338,HLOOKUP(INDIRECT(ADDRESS(2,COLUMN())),OFFSET($BN$2,0,0,ROW()-1,60),ROW()-1,FALSE))</f>
        <v/>
      </c>
      <c r="BL18" t="str">
        <f ca="1">IF(AND(ISNUMBER($BL$338),$B$294=1),$BL$338,HLOOKUP(INDIRECT(ADDRESS(2,COLUMN())),OFFSET($BN$2,0,0,ROW()-1,60),ROW()-1,FALSE))</f>
        <v/>
      </c>
      <c r="BM18" t="str">
        <f ca="1">IF(AND(ISNUMBER($BM$338),$B$294=1),$BM$338,HLOOKUP(INDIRECT(ADDRESS(2,COLUMN())),OFFSET($BN$2,0,0,ROW()-1,60),ROW()-1,FALSE))</f>
        <v/>
      </c>
      <c r="BN18" t="str">
        <f>""</f>
        <v/>
      </c>
      <c r="BO18">
        <f>65.067</f>
        <v>65.066999999999993</v>
      </c>
      <c r="BP18">
        <f>56.155</f>
        <v>56.155000000000001</v>
      </c>
      <c r="BQ18">
        <f>67.885</f>
        <v>67.885000000000005</v>
      </c>
      <c r="BR18">
        <f>72.233</f>
        <v>72.233000000000004</v>
      </c>
      <c r="BS18">
        <f>86.372</f>
        <v>86.372</v>
      </c>
      <c r="BT18">
        <f>89.906</f>
        <v>89.906000000000006</v>
      </c>
      <c r="BU18">
        <f>102.671</f>
        <v>102.67100000000001</v>
      </c>
      <c r="BV18">
        <f>102.163</f>
        <v>102.163</v>
      </c>
      <c r="BW18">
        <f>105.008</f>
        <v>105.008</v>
      </c>
      <c r="BX18">
        <f>108.151</f>
        <v>108.151</v>
      </c>
      <c r="BY18">
        <f>114.641</f>
        <v>114.64100000000001</v>
      </c>
      <c r="BZ18">
        <f>114.301</f>
        <v>114.301</v>
      </c>
      <c r="CA18">
        <f>107.457</f>
        <v>107.45699999999999</v>
      </c>
      <c r="CB18">
        <f>106.388</f>
        <v>106.38800000000001</v>
      </c>
      <c r="CC18">
        <f>107.318</f>
        <v>107.318</v>
      </c>
      <c r="CD18">
        <f>101.374</f>
        <v>101.374</v>
      </c>
      <c r="CE18">
        <f>103.643</f>
        <v>103.643</v>
      </c>
      <c r="CF18">
        <f>102.641</f>
        <v>102.64100000000001</v>
      </c>
      <c r="CG18">
        <f>104.069</f>
        <v>104.069</v>
      </c>
      <c r="CH18">
        <f>101.594</f>
        <v>101.59399999999999</v>
      </c>
      <c r="CI18">
        <f>96.047</f>
        <v>96.046999999999997</v>
      </c>
      <c r="CJ18">
        <f>111.437</f>
        <v>111.437</v>
      </c>
      <c r="CK18">
        <f>110.315</f>
        <v>110.315</v>
      </c>
      <c r="CL18">
        <f>111.885</f>
        <v>111.88500000000001</v>
      </c>
      <c r="CM18">
        <f>91.981</f>
        <v>91.980999999999995</v>
      </c>
      <c r="CN18">
        <f>123.849</f>
        <v>123.849</v>
      </c>
      <c r="CO18">
        <f>123.113</f>
        <v>123.113</v>
      </c>
      <c r="CP18">
        <f>113.902</f>
        <v>113.902</v>
      </c>
      <c r="CQ18">
        <f>102.793</f>
        <v>102.79300000000001</v>
      </c>
      <c r="CR18">
        <f>113</f>
        <v>113</v>
      </c>
      <c r="CS18">
        <f>111.491</f>
        <v>111.491</v>
      </c>
      <c r="CT18">
        <f>108.168</f>
        <v>108.16800000000001</v>
      </c>
      <c r="CU18">
        <f>121.937</f>
        <v>121.937</v>
      </c>
      <c r="CV18">
        <f>106.843</f>
        <v>106.843</v>
      </c>
      <c r="CW18">
        <f>107.738</f>
        <v>107.738</v>
      </c>
      <c r="CX18">
        <f>107.11</f>
        <v>107.11</v>
      </c>
      <c r="CY18" t="str">
        <f>""</f>
        <v/>
      </c>
      <c r="CZ18" t="str">
        <f>""</f>
        <v/>
      </c>
      <c r="DA18" t="str">
        <f>""</f>
        <v/>
      </c>
      <c r="DB18" t="str">
        <f>""</f>
        <v/>
      </c>
      <c r="DC18" t="str">
        <f>""</f>
        <v/>
      </c>
      <c r="DD18" t="str">
        <f>""</f>
        <v/>
      </c>
      <c r="DE18" t="str">
        <f>""</f>
        <v/>
      </c>
      <c r="DF18" t="str">
        <f>""</f>
        <v/>
      </c>
      <c r="DG18" t="str">
        <f>""</f>
        <v/>
      </c>
      <c r="DH18" t="str">
        <f>""</f>
        <v/>
      </c>
      <c r="DI18" t="str">
        <f>""</f>
        <v/>
      </c>
      <c r="DJ18" t="str">
        <f>""</f>
        <v/>
      </c>
      <c r="DK18" t="str">
        <f>""</f>
        <v/>
      </c>
      <c r="DL18" t="str">
        <f>""</f>
        <v/>
      </c>
      <c r="DM18" t="str">
        <f>""</f>
        <v/>
      </c>
      <c r="DN18" t="str">
        <f>""</f>
        <v/>
      </c>
      <c r="DO18" t="str">
        <f>""</f>
        <v/>
      </c>
      <c r="DP18" t="str">
        <f>""</f>
        <v/>
      </c>
      <c r="DQ18" t="str">
        <f>""</f>
        <v/>
      </c>
      <c r="DR18" t="str">
        <f>""</f>
        <v/>
      </c>
      <c r="DS18" t="str">
        <f>""</f>
        <v/>
      </c>
      <c r="DT18" t="str">
        <f>""</f>
        <v/>
      </c>
      <c r="DU18" t="str">
        <f>""</f>
        <v/>
      </c>
    </row>
    <row r="19" spans="1:125">
      <c r="A19" t="str">
        <f>"    Corporate Office Properties Tr"</f>
        <v xml:space="preserve">    Corporate Office Properties Tr</v>
      </c>
      <c r="B19" t="str">
        <f>"OFC US Equity"</f>
        <v>OFC US Equity</v>
      </c>
      <c r="C19" t="str">
        <f t="shared" si="3"/>
        <v>IM275</v>
      </c>
      <c r="D19" t="str">
        <f t="shared" si="4"/>
        <v>IS_OTHER_RENTAL_INCOME</v>
      </c>
      <c r="E19" t="str">
        <f t="shared" si="5"/>
        <v>动态</v>
      </c>
      <c r="F19" t="str">
        <f ca="1">IF(AND(ISNUMBER($F$339),$B$294=1),$F$339,HLOOKUP(INDIRECT(ADDRESS(2,COLUMN())),OFFSET($BN$2,0,0,ROW()-1,60),ROW()-1,FALSE))</f>
        <v/>
      </c>
      <c r="G19">
        <f ca="1">IF(AND(ISNUMBER($G$339),$B$294=1),$G$339,HLOOKUP(INDIRECT(ADDRESS(2,COLUMN())),OFFSET($BN$2,0,0,ROW()-1,60),ROW()-1,FALSE))</f>
        <v>101.485</v>
      </c>
      <c r="H19">
        <f ca="1">IF(AND(ISNUMBER($H$339),$B$294=1),$H$339,HLOOKUP(INDIRECT(ADDRESS(2,COLUMN())),OFFSET($BN$2,0,0,ROW()-1,60),ROW()-1,FALSE))</f>
        <v>102.27500000000001</v>
      </c>
      <c r="I19">
        <f ca="1">IF(AND(ISNUMBER($I$339),$B$294=1),$I$339,HLOOKUP(INDIRECT(ADDRESS(2,COLUMN())),OFFSET($BN$2,0,0,ROW()-1,60),ROW()-1,FALSE))</f>
        <v>101.34699999999999</v>
      </c>
      <c r="J19">
        <f ca="1">IF(AND(ISNUMBER($J$339),$B$294=1),$J$339,HLOOKUP(INDIRECT(ADDRESS(2,COLUMN())),OFFSET($BN$2,0,0,ROW()-1,60),ROW()-1,FALSE))</f>
        <v>100.61499999999999</v>
      </c>
      <c r="K19">
        <f ca="1">IF(AND(ISNUMBER($K$339),$B$294=1),$K$339,HLOOKUP(INDIRECT(ADDRESS(2,COLUMN())),OFFSET($BN$2,0,0,ROW()-1,60),ROW()-1,FALSE))</f>
        <v>100.849</v>
      </c>
      <c r="L19">
        <f ca="1">IF(AND(ISNUMBER($L$339),$B$294=1),$L$339,HLOOKUP(INDIRECT(ADDRESS(2,COLUMN())),OFFSET($BN$2,0,0,ROW()-1,60),ROW()-1,FALSE))</f>
        <v>103.956</v>
      </c>
      <c r="M19">
        <f ca="1">IF(AND(ISNUMBER($M$339),$B$294=1),$M$339,HLOOKUP(INDIRECT(ADDRESS(2,COLUMN())),OFFSET($BN$2,0,0,ROW()-1,60),ROW()-1,FALSE))</f>
        <v>107.524</v>
      </c>
      <c r="N19">
        <f ca="1">IF(AND(ISNUMBER($N$339),$B$294=1),$N$339,HLOOKUP(INDIRECT(ADDRESS(2,COLUMN())),OFFSET($BN$2,0,0,ROW()-1,60),ROW()-1,FALSE))</f>
        <v>105.38200000000001</v>
      </c>
      <c r="O19" t="str">
        <f ca="1">IF(AND(ISNUMBER($O$339),$B$294=1),$O$339,HLOOKUP(INDIRECT(ADDRESS(2,COLUMN())),OFFSET($BN$2,0,0,ROW()-1,60),ROW()-1,FALSE))</f>
        <v/>
      </c>
      <c r="P19">
        <f ca="1">IF(AND(ISNUMBER($P$339),$B$294=1),$P$339,HLOOKUP(INDIRECT(ADDRESS(2,COLUMN())),OFFSET($BN$2,0,0,ROW()-1,60),ROW()-1,FALSE))</f>
        <v>109.08</v>
      </c>
      <c r="Q19">
        <f ca="1">IF(AND(ISNUMBER($Q$339),$B$294=1),$Q$339,HLOOKUP(INDIRECT(ADDRESS(2,COLUMN())),OFFSET($BN$2,0,0,ROW()-1,60),ROW()-1,FALSE))</f>
        <v>105.508</v>
      </c>
      <c r="R19">
        <f ca="1">IF(AND(ISNUMBER($R$339),$B$294=1),$R$339,HLOOKUP(INDIRECT(ADDRESS(2,COLUMN())),OFFSET($BN$2,0,0,ROW()-1,60),ROW()-1,FALSE))</f>
        <v>98.238</v>
      </c>
      <c r="S19" t="str">
        <f ca="1">IF(AND(ISNUMBER($S$339),$B$294=1),$S$339,HLOOKUP(INDIRECT(ADDRESS(2,COLUMN())),OFFSET($BN$2,0,0,ROW()-1,60),ROW()-1,FALSE))</f>
        <v/>
      </c>
      <c r="T19">
        <f ca="1">IF(AND(ISNUMBER($T$339),$B$294=1),$T$339,HLOOKUP(INDIRECT(ADDRESS(2,COLUMN())),OFFSET($BN$2,0,0,ROW()-1,60),ROW()-1,FALSE))</f>
        <v>96.206999999999994</v>
      </c>
      <c r="U19">
        <f ca="1">IF(AND(ISNUMBER($U$339),$B$294=1),$U$339,HLOOKUP(INDIRECT(ADDRESS(2,COLUMN())),OFFSET($BN$2,0,0,ROW()-1,60),ROW()-1,FALSE))</f>
        <v>94.331999999999994</v>
      </c>
      <c r="V19">
        <f ca="1">IF(AND(ISNUMBER($V$339),$B$294=1),$V$339,HLOOKUP(INDIRECT(ADDRESS(2,COLUMN())),OFFSET($BN$2,0,0,ROW()-1,60),ROW()-1,FALSE))</f>
        <v>98.034999999999997</v>
      </c>
      <c r="W19" t="str">
        <f ca="1">IF(AND(ISNUMBER($W$339),$B$294=1),$W$339,HLOOKUP(INDIRECT(ADDRESS(2,COLUMN())),OFFSET($BN$2,0,0,ROW()-1,60),ROW()-1,FALSE))</f>
        <v/>
      </c>
      <c r="X19">
        <f ca="1">IF(AND(ISNUMBER($X$339),$B$294=1),$X$339,HLOOKUP(INDIRECT(ADDRESS(2,COLUMN())),OFFSET($BN$2,0,0,ROW()-1,60),ROW()-1,FALSE))</f>
        <v>94.641000000000005</v>
      </c>
      <c r="Y19">
        <f ca="1">IF(AND(ISNUMBER($Y$339),$B$294=1),$Y$339,HLOOKUP(INDIRECT(ADDRESS(2,COLUMN())),OFFSET($BN$2,0,0,ROW()-1,60),ROW()-1,FALSE))</f>
        <v>94.421000000000006</v>
      </c>
      <c r="Z19">
        <f ca="1">IF(AND(ISNUMBER($Z$339),$B$294=1),$Z$339,HLOOKUP(INDIRECT(ADDRESS(2,COLUMN())),OFFSET($BN$2,0,0,ROW()-1,60),ROW()-1,FALSE))</f>
        <v>91.849000000000004</v>
      </c>
      <c r="AA19" t="str">
        <f ca="1">IF(AND(ISNUMBER($AA$339),$B$294=1),$AA$339,HLOOKUP(INDIRECT(ADDRESS(2,COLUMN())),OFFSET($BN$2,0,0,ROW()-1,60),ROW()-1,FALSE))</f>
        <v/>
      </c>
      <c r="AB19">
        <f ca="1">IF(AND(ISNUMBER($AB$339),$B$294=1),$AB$339,HLOOKUP(INDIRECT(ADDRESS(2,COLUMN())),OFFSET($BN$2,0,0,ROW()-1,60),ROW()-1,FALSE))</f>
        <v>92.783000000000001</v>
      </c>
      <c r="AC19">
        <f ca="1">IF(AND(ISNUMBER($AC$339),$B$294=1),$AC$339,HLOOKUP(INDIRECT(ADDRESS(2,COLUMN())),OFFSET($BN$2,0,0,ROW()-1,60),ROW()-1,FALSE))</f>
        <v>89.953999999999994</v>
      </c>
      <c r="AD19">
        <f ca="1">IF(AND(ISNUMBER($AD$339),$B$294=1),$AD$339,HLOOKUP(INDIRECT(ADDRESS(2,COLUMN())),OFFSET($BN$2,0,0,ROW()-1,60),ROW()-1,FALSE))</f>
        <v>89.858999999999995</v>
      </c>
      <c r="AE19">
        <f ca="1">IF(AND(ISNUMBER($AE$339),$B$294=1),$AE$339,HLOOKUP(INDIRECT(ADDRESS(2,COLUMN())),OFFSET($BN$2,0,0,ROW()-1,60),ROW()-1,FALSE))</f>
        <v>89.11</v>
      </c>
      <c r="AF19">
        <f ca="1">IF(AND(ISNUMBER($AF$339),$B$294=1),$AF$339,HLOOKUP(INDIRECT(ADDRESS(2,COLUMN())),OFFSET($BN$2,0,0,ROW()-1,60),ROW()-1,FALSE))</f>
        <v>87.691999999999993</v>
      </c>
      <c r="AG19">
        <f ca="1">IF(AND(ISNUMBER($AG$339),$B$294=1),$AG$339,HLOOKUP(INDIRECT(ADDRESS(2,COLUMN())),OFFSET($BN$2,0,0,ROW()-1,60),ROW()-1,FALSE))</f>
        <v>90.337000000000003</v>
      </c>
      <c r="AH19">
        <f ca="1">IF(AND(ISNUMBER($AH$339),$B$294=1),$AH$339,HLOOKUP(INDIRECT(ADDRESS(2,COLUMN())),OFFSET($BN$2,0,0,ROW()-1,60),ROW()-1,FALSE))</f>
        <v>94.248999999999995</v>
      </c>
      <c r="AI19" t="str">
        <f ca="1">IF(AND(ISNUMBER($AI$339),$B$294=1),$AI$339,HLOOKUP(INDIRECT(ADDRESS(2,COLUMN())),OFFSET($BN$2,0,0,ROW()-1,60),ROW()-1,FALSE))</f>
        <v/>
      </c>
      <c r="AJ19">
        <f ca="1">IF(AND(ISNUMBER($AJ$339),$B$294=1),$AJ$339,HLOOKUP(INDIRECT(ADDRESS(2,COLUMN())),OFFSET($BN$2,0,0,ROW()-1,60),ROW()-1,FALSE))</f>
        <v>90.263999999999996</v>
      </c>
      <c r="AK19">
        <f ca="1">IF(AND(ISNUMBER($AK$339),$B$294=1),$AK$339,HLOOKUP(INDIRECT(ADDRESS(2,COLUMN())),OFFSET($BN$2,0,0,ROW()-1,60),ROW()-1,FALSE))</f>
        <v>88.778999999999996</v>
      </c>
      <c r="AL19">
        <f ca="1">IF(AND(ISNUMBER($AL$339),$B$294=1),$AL$339,HLOOKUP(INDIRECT(ADDRESS(2,COLUMN())),OFFSET($BN$2,0,0,ROW()-1,60),ROW()-1,FALSE))</f>
        <v>91.01</v>
      </c>
      <c r="AM19" t="str">
        <f ca="1">IF(AND(ISNUMBER($AM$339),$B$294=1),$AM$339,HLOOKUP(INDIRECT(ADDRESS(2,COLUMN())),OFFSET($BN$2,0,0,ROW()-1,60),ROW()-1,FALSE))</f>
        <v/>
      </c>
      <c r="AN19">
        <f ca="1">IF(AND(ISNUMBER($AN$339),$B$294=1),$AN$339,HLOOKUP(INDIRECT(ADDRESS(2,COLUMN())),OFFSET($BN$2,0,0,ROW()-1,60),ROW()-1,FALSE))</f>
        <v>86.972999999999999</v>
      </c>
      <c r="AO19">
        <f ca="1">IF(AND(ISNUMBER($AO$339),$B$294=1),$AO$339,HLOOKUP(INDIRECT(ADDRESS(2,COLUMN())),OFFSET($BN$2,0,0,ROW()-1,60),ROW()-1,FALSE))</f>
        <v>87.649000000000001</v>
      </c>
      <c r="AP19">
        <f ca="1">IF(AND(ISNUMBER($AP$339),$B$294=1),$AP$339,HLOOKUP(INDIRECT(ADDRESS(2,COLUMN())),OFFSET($BN$2,0,0,ROW()-1,60),ROW()-1,FALSE))</f>
        <v>88.844999999999999</v>
      </c>
      <c r="AQ19" t="str">
        <f ca="1">IF(AND(ISNUMBER($AQ$339),$B$294=1),$AQ$339,HLOOKUP(INDIRECT(ADDRESS(2,COLUMN())),OFFSET($BN$2,0,0,ROW()-1,60),ROW()-1,FALSE))</f>
        <v/>
      </c>
      <c r="AR19" t="str">
        <f ca="1">IF(AND(ISNUMBER($AR$339),$B$294=1),$AR$339,HLOOKUP(INDIRECT(ADDRESS(2,COLUMN())),OFFSET($BN$2,0,0,ROW()-1,60),ROW()-1,FALSE))</f>
        <v/>
      </c>
      <c r="AS19" t="str">
        <f ca="1">IF(AND(ISNUMBER($AS$339),$B$294=1),$AS$339,HLOOKUP(INDIRECT(ADDRESS(2,COLUMN())),OFFSET($BN$2,0,0,ROW()-1,60),ROW()-1,FALSE))</f>
        <v/>
      </c>
      <c r="AT19" t="str">
        <f ca="1">IF(AND(ISNUMBER($AT$339),$B$294=1),$AT$339,HLOOKUP(INDIRECT(ADDRESS(2,COLUMN())),OFFSET($BN$2,0,0,ROW()-1,60),ROW()-1,FALSE))</f>
        <v/>
      </c>
      <c r="AU19" t="str">
        <f ca="1">IF(AND(ISNUMBER($AU$339),$B$294=1),$AU$339,HLOOKUP(INDIRECT(ADDRESS(2,COLUMN())),OFFSET($BN$2,0,0,ROW()-1,60),ROW()-1,FALSE))</f>
        <v/>
      </c>
      <c r="AV19" t="str">
        <f ca="1">IF(AND(ISNUMBER($AV$339),$B$294=1),$AV$339,HLOOKUP(INDIRECT(ADDRESS(2,COLUMN())),OFFSET($BN$2,0,0,ROW()-1,60),ROW()-1,FALSE))</f>
        <v/>
      </c>
      <c r="AW19" t="str">
        <f ca="1">IF(AND(ISNUMBER($AW$339),$B$294=1),$AW$339,HLOOKUP(INDIRECT(ADDRESS(2,COLUMN())),OFFSET($BN$2,0,0,ROW()-1,60),ROW()-1,FALSE))</f>
        <v/>
      </c>
      <c r="AX19" t="str">
        <f ca="1">IF(AND(ISNUMBER($AX$339),$B$294=1),$AX$339,HLOOKUP(INDIRECT(ADDRESS(2,COLUMN())),OFFSET($BN$2,0,0,ROW()-1,60),ROW()-1,FALSE))</f>
        <v/>
      </c>
      <c r="AY19" t="str">
        <f ca="1">IF(AND(ISNUMBER($AY$339),$B$294=1),$AY$339,HLOOKUP(INDIRECT(ADDRESS(2,COLUMN())),OFFSET($BN$2,0,0,ROW()-1,60),ROW()-1,FALSE))</f>
        <v/>
      </c>
      <c r="AZ19" t="str">
        <f ca="1">IF(AND(ISNUMBER($AZ$339),$B$294=1),$AZ$339,HLOOKUP(INDIRECT(ADDRESS(2,COLUMN())),OFFSET($BN$2,0,0,ROW()-1,60),ROW()-1,FALSE))</f>
        <v/>
      </c>
      <c r="BA19" t="str">
        <f ca="1">IF(AND(ISNUMBER($BA$339),$B$294=1),$BA$339,HLOOKUP(INDIRECT(ADDRESS(2,COLUMN())),OFFSET($BN$2,0,0,ROW()-1,60),ROW()-1,FALSE))</f>
        <v/>
      </c>
      <c r="BB19" t="str">
        <f ca="1">IF(AND(ISNUMBER($BB$339),$B$294=1),$BB$339,HLOOKUP(INDIRECT(ADDRESS(2,COLUMN())),OFFSET($BN$2,0,0,ROW()-1,60),ROW()-1,FALSE))</f>
        <v/>
      </c>
      <c r="BC19" t="str">
        <f ca="1">IF(AND(ISNUMBER($BC$339),$B$294=1),$BC$339,HLOOKUP(INDIRECT(ADDRESS(2,COLUMN())),OFFSET($BN$2,0,0,ROW()-1,60),ROW()-1,FALSE))</f>
        <v/>
      </c>
      <c r="BD19" t="str">
        <f ca="1">IF(AND(ISNUMBER($BD$339),$B$294=1),$BD$339,HLOOKUP(INDIRECT(ADDRESS(2,COLUMN())),OFFSET($BN$2,0,0,ROW()-1,60),ROW()-1,FALSE))</f>
        <v/>
      </c>
      <c r="BE19" t="str">
        <f ca="1">IF(AND(ISNUMBER($BE$339),$B$294=1),$BE$339,HLOOKUP(INDIRECT(ADDRESS(2,COLUMN())),OFFSET($BN$2,0,0,ROW()-1,60),ROW()-1,FALSE))</f>
        <v/>
      </c>
      <c r="BF19" t="str">
        <f ca="1">IF(AND(ISNUMBER($BF$339),$B$294=1),$BF$339,HLOOKUP(INDIRECT(ADDRESS(2,COLUMN())),OFFSET($BN$2,0,0,ROW()-1,60),ROW()-1,FALSE))</f>
        <v/>
      </c>
      <c r="BG19" t="str">
        <f ca="1">IF(AND(ISNUMBER($BG$339),$B$294=1),$BG$339,HLOOKUP(INDIRECT(ADDRESS(2,COLUMN())),OFFSET($BN$2,0,0,ROW()-1,60),ROW()-1,FALSE))</f>
        <v/>
      </c>
      <c r="BH19" t="str">
        <f ca="1">IF(AND(ISNUMBER($BH$339),$B$294=1),$BH$339,HLOOKUP(INDIRECT(ADDRESS(2,COLUMN())),OFFSET($BN$2,0,0,ROW()-1,60),ROW()-1,FALSE))</f>
        <v/>
      </c>
      <c r="BI19" t="str">
        <f ca="1">IF(AND(ISNUMBER($BI$339),$B$294=1),$BI$339,HLOOKUP(INDIRECT(ADDRESS(2,COLUMN())),OFFSET($BN$2,0,0,ROW()-1,60),ROW()-1,FALSE))</f>
        <v/>
      </c>
      <c r="BJ19" t="str">
        <f ca="1">IF(AND(ISNUMBER($BJ$339),$B$294=1),$BJ$339,HLOOKUP(INDIRECT(ADDRESS(2,COLUMN())),OFFSET($BN$2,0,0,ROW()-1,60),ROW()-1,FALSE))</f>
        <v/>
      </c>
      <c r="BK19" t="str">
        <f ca="1">IF(AND(ISNUMBER($BK$339),$B$294=1),$BK$339,HLOOKUP(INDIRECT(ADDRESS(2,COLUMN())),OFFSET($BN$2,0,0,ROW()-1,60),ROW()-1,FALSE))</f>
        <v/>
      </c>
      <c r="BL19" t="str">
        <f ca="1">IF(AND(ISNUMBER($BL$339),$B$294=1),$BL$339,HLOOKUP(INDIRECT(ADDRESS(2,COLUMN())),OFFSET($BN$2,0,0,ROW()-1,60),ROW()-1,FALSE))</f>
        <v/>
      </c>
      <c r="BM19" t="str">
        <f ca="1">IF(AND(ISNUMBER($BM$339),$B$294=1),$BM$339,HLOOKUP(INDIRECT(ADDRESS(2,COLUMN())),OFFSET($BN$2,0,0,ROW()-1,60),ROW()-1,FALSE))</f>
        <v/>
      </c>
      <c r="BN19" t="str">
        <f>""</f>
        <v/>
      </c>
      <c r="BO19">
        <f>101.485</f>
        <v>101.485</v>
      </c>
      <c r="BP19">
        <f>102.275</f>
        <v>102.27500000000001</v>
      </c>
      <c r="BQ19">
        <f>101.347</f>
        <v>101.34699999999999</v>
      </c>
      <c r="BR19">
        <f>100.615</f>
        <v>100.61499999999999</v>
      </c>
      <c r="BS19">
        <f>100.849</f>
        <v>100.849</v>
      </c>
      <c r="BT19">
        <f>103.956</f>
        <v>103.956</v>
      </c>
      <c r="BU19">
        <f>107.524</f>
        <v>107.524</v>
      </c>
      <c r="BV19">
        <f>105.382</f>
        <v>105.38200000000001</v>
      </c>
      <c r="BW19" t="str">
        <f>""</f>
        <v/>
      </c>
      <c r="BX19">
        <f>109.08</f>
        <v>109.08</v>
      </c>
      <c r="BY19">
        <f>105.508</f>
        <v>105.508</v>
      </c>
      <c r="BZ19">
        <f>98.238</f>
        <v>98.238</v>
      </c>
      <c r="CA19" t="str">
        <f>""</f>
        <v/>
      </c>
      <c r="CB19">
        <f>96.207</f>
        <v>96.206999999999994</v>
      </c>
      <c r="CC19">
        <f>94.332</f>
        <v>94.331999999999994</v>
      </c>
      <c r="CD19">
        <f>98.035</f>
        <v>98.034999999999997</v>
      </c>
      <c r="CE19" t="str">
        <f>""</f>
        <v/>
      </c>
      <c r="CF19">
        <f>94.641</f>
        <v>94.641000000000005</v>
      </c>
      <c r="CG19">
        <f>94.421</f>
        <v>94.421000000000006</v>
      </c>
      <c r="CH19">
        <f>91.849</f>
        <v>91.849000000000004</v>
      </c>
      <c r="CI19" t="str">
        <f>""</f>
        <v/>
      </c>
      <c r="CJ19">
        <f>92.783</f>
        <v>92.783000000000001</v>
      </c>
      <c r="CK19">
        <f>89.954</f>
        <v>89.953999999999994</v>
      </c>
      <c r="CL19">
        <f>89.859</f>
        <v>89.858999999999995</v>
      </c>
      <c r="CM19">
        <f>89.11</f>
        <v>89.11</v>
      </c>
      <c r="CN19">
        <f>87.692</f>
        <v>87.691999999999993</v>
      </c>
      <c r="CO19">
        <f>90.337</f>
        <v>90.337000000000003</v>
      </c>
      <c r="CP19">
        <f>94.249</f>
        <v>94.248999999999995</v>
      </c>
      <c r="CQ19" t="str">
        <f>""</f>
        <v/>
      </c>
      <c r="CR19">
        <f>90.264</f>
        <v>90.263999999999996</v>
      </c>
      <c r="CS19">
        <f>88.779</f>
        <v>88.778999999999996</v>
      </c>
      <c r="CT19">
        <f>91.01</f>
        <v>91.01</v>
      </c>
      <c r="CU19" t="str">
        <f>""</f>
        <v/>
      </c>
      <c r="CV19">
        <f>86.973</f>
        <v>86.972999999999999</v>
      </c>
      <c r="CW19">
        <f>87.649</f>
        <v>87.649000000000001</v>
      </c>
      <c r="CX19">
        <f>88.845</f>
        <v>88.844999999999999</v>
      </c>
      <c r="CY19" t="str">
        <f>""</f>
        <v/>
      </c>
      <c r="CZ19" t="str">
        <f>""</f>
        <v/>
      </c>
      <c r="DA19" t="str">
        <f>""</f>
        <v/>
      </c>
      <c r="DB19" t="str">
        <f>""</f>
        <v/>
      </c>
      <c r="DC19" t="str">
        <f>""</f>
        <v/>
      </c>
      <c r="DD19" t="str">
        <f>""</f>
        <v/>
      </c>
      <c r="DE19" t="str">
        <f>""</f>
        <v/>
      </c>
      <c r="DF19" t="str">
        <f>""</f>
        <v/>
      </c>
      <c r="DG19" t="str">
        <f>""</f>
        <v/>
      </c>
      <c r="DH19" t="str">
        <f>""</f>
        <v/>
      </c>
      <c r="DI19" t="str">
        <f>""</f>
        <v/>
      </c>
      <c r="DJ19" t="str">
        <f>""</f>
        <v/>
      </c>
      <c r="DK19" t="str">
        <f>""</f>
        <v/>
      </c>
      <c r="DL19" t="str">
        <f>""</f>
        <v/>
      </c>
      <c r="DM19" t="str">
        <f>""</f>
        <v/>
      </c>
      <c r="DN19" t="str">
        <f>""</f>
        <v/>
      </c>
      <c r="DO19" t="str">
        <f>""</f>
        <v/>
      </c>
      <c r="DP19" t="str">
        <f>""</f>
        <v/>
      </c>
      <c r="DQ19" t="str">
        <f>""</f>
        <v/>
      </c>
      <c r="DR19" t="str">
        <f>""</f>
        <v/>
      </c>
      <c r="DS19" t="str">
        <f>""</f>
        <v/>
      </c>
      <c r="DT19" t="str">
        <f>""</f>
        <v/>
      </c>
      <c r="DU19" t="str">
        <f>""</f>
        <v/>
      </c>
    </row>
    <row r="20" spans="1:125">
      <c r="A20" t="str">
        <f>"    Highwoods Properties Inc"</f>
        <v xml:space="preserve">    Highwoods Properties Inc</v>
      </c>
      <c r="B20" t="str">
        <f>"HIW US Equity"</f>
        <v>HIW US Equity</v>
      </c>
      <c r="C20" t="str">
        <f t="shared" si="3"/>
        <v>IM275</v>
      </c>
      <c r="D20" t="str">
        <f t="shared" si="4"/>
        <v>IS_OTHER_RENTAL_INCOME</v>
      </c>
      <c r="E20" t="str">
        <f t="shared" si="5"/>
        <v>动态</v>
      </c>
      <c r="F20" t="str">
        <f ca="1">IF(AND(ISNUMBER($F$340),$B$294=1),$F$340,HLOOKUP(INDIRECT(ADDRESS(2,COLUMN())),OFFSET($BN$2,0,0,ROW()-1,60),ROW()-1,FALSE))</f>
        <v/>
      </c>
      <c r="G20" t="str">
        <f ca="1">IF(AND(ISNUMBER($G$340),$B$294=1),$G$340,HLOOKUP(INDIRECT(ADDRESS(2,COLUMN())),OFFSET($BN$2,0,0,ROW()-1,60),ROW()-1,FALSE))</f>
        <v/>
      </c>
      <c r="H20" t="str">
        <f ca="1">IF(AND(ISNUMBER($H$340),$B$294=1),$H$340,HLOOKUP(INDIRECT(ADDRESS(2,COLUMN())),OFFSET($BN$2,0,0,ROW()-1,60),ROW()-1,FALSE))</f>
        <v/>
      </c>
      <c r="I20" t="str">
        <f ca="1">IF(AND(ISNUMBER($I$340),$B$294=1),$I$340,HLOOKUP(INDIRECT(ADDRESS(2,COLUMN())),OFFSET($BN$2,0,0,ROW()-1,60),ROW()-1,FALSE))</f>
        <v/>
      </c>
      <c r="J20" t="str">
        <f ca="1">IF(AND(ISNUMBER($J$340),$B$294=1),$J$340,HLOOKUP(INDIRECT(ADDRESS(2,COLUMN())),OFFSET($BN$2,0,0,ROW()-1,60),ROW()-1,FALSE))</f>
        <v/>
      </c>
      <c r="K20" t="str">
        <f ca="1">IF(AND(ISNUMBER($K$340),$B$294=1),$K$340,HLOOKUP(INDIRECT(ADDRESS(2,COLUMN())),OFFSET($BN$2,0,0,ROW()-1,60),ROW()-1,FALSE))</f>
        <v/>
      </c>
      <c r="L20" t="str">
        <f ca="1">IF(AND(ISNUMBER($L$340),$B$294=1),$L$340,HLOOKUP(INDIRECT(ADDRESS(2,COLUMN())),OFFSET($BN$2,0,0,ROW()-1,60),ROW()-1,FALSE))</f>
        <v/>
      </c>
      <c r="M20" t="str">
        <f ca="1">IF(AND(ISNUMBER($M$340),$B$294=1),$M$340,HLOOKUP(INDIRECT(ADDRESS(2,COLUMN())),OFFSET($BN$2,0,0,ROW()-1,60),ROW()-1,FALSE))</f>
        <v/>
      </c>
      <c r="N20" t="str">
        <f ca="1">IF(AND(ISNUMBER($N$340),$B$294=1),$N$340,HLOOKUP(INDIRECT(ADDRESS(2,COLUMN())),OFFSET($BN$2,0,0,ROW()-1,60),ROW()-1,FALSE))</f>
        <v/>
      </c>
      <c r="O20" t="str">
        <f ca="1">IF(AND(ISNUMBER($O$340),$B$294=1),$O$340,HLOOKUP(INDIRECT(ADDRESS(2,COLUMN())),OFFSET($BN$2,0,0,ROW()-1,60),ROW()-1,FALSE))</f>
        <v/>
      </c>
      <c r="P20" t="str">
        <f ca="1">IF(AND(ISNUMBER($P$340),$B$294=1),$P$340,HLOOKUP(INDIRECT(ADDRESS(2,COLUMN())),OFFSET($BN$2,0,0,ROW()-1,60),ROW()-1,FALSE))</f>
        <v/>
      </c>
      <c r="Q20" t="str">
        <f ca="1">IF(AND(ISNUMBER($Q$340),$B$294=1),$Q$340,HLOOKUP(INDIRECT(ADDRESS(2,COLUMN())),OFFSET($BN$2,0,0,ROW()-1,60),ROW()-1,FALSE))</f>
        <v/>
      </c>
      <c r="R20" t="str">
        <f ca="1">IF(AND(ISNUMBER($R$340),$B$294=1),$R$340,HLOOKUP(INDIRECT(ADDRESS(2,COLUMN())),OFFSET($BN$2,0,0,ROW()-1,60),ROW()-1,FALSE))</f>
        <v/>
      </c>
      <c r="S20" t="str">
        <f ca="1">IF(AND(ISNUMBER($S$340),$B$294=1),$S$340,HLOOKUP(INDIRECT(ADDRESS(2,COLUMN())),OFFSET($BN$2,0,0,ROW()-1,60),ROW()-1,FALSE))</f>
        <v/>
      </c>
      <c r="T20" t="str">
        <f ca="1">IF(AND(ISNUMBER($T$340),$B$294=1),$T$340,HLOOKUP(INDIRECT(ADDRESS(2,COLUMN())),OFFSET($BN$2,0,0,ROW()-1,60),ROW()-1,FALSE))</f>
        <v/>
      </c>
      <c r="U20" t="str">
        <f ca="1">IF(AND(ISNUMBER($U$340),$B$294=1),$U$340,HLOOKUP(INDIRECT(ADDRESS(2,COLUMN())),OFFSET($BN$2,0,0,ROW()-1,60),ROW()-1,FALSE))</f>
        <v/>
      </c>
      <c r="V20" t="str">
        <f ca="1">IF(AND(ISNUMBER($V$340),$B$294=1),$V$340,HLOOKUP(INDIRECT(ADDRESS(2,COLUMN())),OFFSET($BN$2,0,0,ROW()-1,60),ROW()-1,FALSE))</f>
        <v/>
      </c>
      <c r="W20" t="str">
        <f ca="1">IF(AND(ISNUMBER($W$340),$B$294=1),$W$340,HLOOKUP(INDIRECT(ADDRESS(2,COLUMN())),OFFSET($BN$2,0,0,ROW()-1,60),ROW()-1,FALSE))</f>
        <v/>
      </c>
      <c r="X20" t="str">
        <f ca="1">IF(AND(ISNUMBER($X$340),$B$294=1),$X$340,HLOOKUP(INDIRECT(ADDRESS(2,COLUMN())),OFFSET($BN$2,0,0,ROW()-1,60),ROW()-1,FALSE))</f>
        <v/>
      </c>
      <c r="Y20" t="str">
        <f ca="1">IF(AND(ISNUMBER($Y$340),$B$294=1),$Y$340,HLOOKUP(INDIRECT(ADDRESS(2,COLUMN())),OFFSET($BN$2,0,0,ROW()-1,60),ROW()-1,FALSE))</f>
        <v/>
      </c>
      <c r="Z20" t="str">
        <f ca="1">IF(AND(ISNUMBER($Z$340),$B$294=1),$Z$340,HLOOKUP(INDIRECT(ADDRESS(2,COLUMN())),OFFSET($BN$2,0,0,ROW()-1,60),ROW()-1,FALSE))</f>
        <v/>
      </c>
      <c r="AA20" t="str">
        <f ca="1">IF(AND(ISNUMBER($AA$340),$B$294=1),$AA$340,HLOOKUP(INDIRECT(ADDRESS(2,COLUMN())),OFFSET($BN$2,0,0,ROW()-1,60),ROW()-1,FALSE))</f>
        <v/>
      </c>
      <c r="AB20" t="str">
        <f ca="1">IF(AND(ISNUMBER($AB$340),$B$294=1),$AB$340,HLOOKUP(INDIRECT(ADDRESS(2,COLUMN())),OFFSET($BN$2,0,0,ROW()-1,60),ROW()-1,FALSE))</f>
        <v/>
      </c>
      <c r="AC20" t="str">
        <f ca="1">IF(AND(ISNUMBER($AC$340),$B$294=1),$AC$340,HLOOKUP(INDIRECT(ADDRESS(2,COLUMN())),OFFSET($BN$2,0,0,ROW()-1,60),ROW()-1,FALSE))</f>
        <v/>
      </c>
      <c r="AD20" t="str">
        <f ca="1">IF(AND(ISNUMBER($AD$340),$B$294=1),$AD$340,HLOOKUP(INDIRECT(ADDRESS(2,COLUMN())),OFFSET($BN$2,0,0,ROW()-1,60),ROW()-1,FALSE))</f>
        <v/>
      </c>
      <c r="AE20" t="str">
        <f ca="1">IF(AND(ISNUMBER($AE$340),$B$294=1),$AE$340,HLOOKUP(INDIRECT(ADDRESS(2,COLUMN())),OFFSET($BN$2,0,0,ROW()-1,60),ROW()-1,FALSE))</f>
        <v/>
      </c>
      <c r="AF20" t="str">
        <f ca="1">IF(AND(ISNUMBER($AF$340),$B$294=1),$AF$340,HLOOKUP(INDIRECT(ADDRESS(2,COLUMN())),OFFSET($BN$2,0,0,ROW()-1,60),ROW()-1,FALSE))</f>
        <v/>
      </c>
      <c r="AG20" t="str">
        <f ca="1">IF(AND(ISNUMBER($AG$340),$B$294=1),$AG$340,HLOOKUP(INDIRECT(ADDRESS(2,COLUMN())),OFFSET($BN$2,0,0,ROW()-1,60),ROW()-1,FALSE))</f>
        <v/>
      </c>
      <c r="AH20" t="str">
        <f ca="1">IF(AND(ISNUMBER($AH$340),$B$294=1),$AH$340,HLOOKUP(INDIRECT(ADDRESS(2,COLUMN())),OFFSET($BN$2,0,0,ROW()-1,60),ROW()-1,FALSE))</f>
        <v/>
      </c>
      <c r="AI20" t="str">
        <f ca="1">IF(AND(ISNUMBER($AI$340),$B$294=1),$AI$340,HLOOKUP(INDIRECT(ADDRESS(2,COLUMN())),OFFSET($BN$2,0,0,ROW()-1,60),ROW()-1,FALSE))</f>
        <v/>
      </c>
      <c r="AJ20" t="str">
        <f ca="1">IF(AND(ISNUMBER($AJ$340),$B$294=1),$AJ$340,HLOOKUP(INDIRECT(ADDRESS(2,COLUMN())),OFFSET($BN$2,0,0,ROW()-1,60),ROW()-1,FALSE))</f>
        <v/>
      </c>
      <c r="AK20" t="str">
        <f ca="1">IF(AND(ISNUMBER($AK$340),$B$294=1),$AK$340,HLOOKUP(INDIRECT(ADDRESS(2,COLUMN())),OFFSET($BN$2,0,0,ROW()-1,60),ROW()-1,FALSE))</f>
        <v/>
      </c>
      <c r="AL20" t="str">
        <f ca="1">IF(AND(ISNUMBER($AL$340),$B$294=1),$AL$340,HLOOKUP(INDIRECT(ADDRESS(2,COLUMN())),OFFSET($BN$2,0,0,ROW()-1,60),ROW()-1,FALSE))</f>
        <v/>
      </c>
      <c r="AM20" t="str">
        <f ca="1">IF(AND(ISNUMBER($AM$340),$B$294=1),$AM$340,HLOOKUP(INDIRECT(ADDRESS(2,COLUMN())),OFFSET($BN$2,0,0,ROW()-1,60),ROW()-1,FALSE))</f>
        <v/>
      </c>
      <c r="AN20" t="str">
        <f ca="1">IF(AND(ISNUMBER($AN$340),$B$294=1),$AN$340,HLOOKUP(INDIRECT(ADDRESS(2,COLUMN())),OFFSET($BN$2,0,0,ROW()-1,60),ROW()-1,FALSE))</f>
        <v/>
      </c>
      <c r="AO20" t="str">
        <f ca="1">IF(AND(ISNUMBER($AO$340),$B$294=1),$AO$340,HLOOKUP(INDIRECT(ADDRESS(2,COLUMN())),OFFSET($BN$2,0,0,ROW()-1,60),ROW()-1,FALSE))</f>
        <v/>
      </c>
      <c r="AP20" t="str">
        <f ca="1">IF(AND(ISNUMBER($AP$340),$B$294=1),$AP$340,HLOOKUP(INDIRECT(ADDRESS(2,COLUMN())),OFFSET($BN$2,0,0,ROW()-1,60),ROW()-1,FALSE))</f>
        <v/>
      </c>
      <c r="AQ20" t="str">
        <f ca="1">IF(AND(ISNUMBER($AQ$340),$B$294=1),$AQ$340,HLOOKUP(INDIRECT(ADDRESS(2,COLUMN())),OFFSET($BN$2,0,0,ROW()-1,60),ROW()-1,FALSE))</f>
        <v/>
      </c>
      <c r="AR20" t="str">
        <f ca="1">IF(AND(ISNUMBER($AR$340),$B$294=1),$AR$340,HLOOKUP(INDIRECT(ADDRESS(2,COLUMN())),OFFSET($BN$2,0,0,ROW()-1,60),ROW()-1,FALSE))</f>
        <v/>
      </c>
      <c r="AS20" t="str">
        <f ca="1">IF(AND(ISNUMBER($AS$340),$B$294=1),$AS$340,HLOOKUP(INDIRECT(ADDRESS(2,COLUMN())),OFFSET($BN$2,0,0,ROW()-1,60),ROW()-1,FALSE))</f>
        <v/>
      </c>
      <c r="AT20" t="str">
        <f ca="1">IF(AND(ISNUMBER($AT$340),$B$294=1),$AT$340,HLOOKUP(INDIRECT(ADDRESS(2,COLUMN())),OFFSET($BN$2,0,0,ROW()-1,60),ROW()-1,FALSE))</f>
        <v/>
      </c>
      <c r="AU20" t="str">
        <f ca="1">IF(AND(ISNUMBER($AU$340),$B$294=1),$AU$340,HLOOKUP(INDIRECT(ADDRESS(2,COLUMN())),OFFSET($BN$2,0,0,ROW()-1,60),ROW()-1,FALSE))</f>
        <v/>
      </c>
      <c r="AV20" t="str">
        <f ca="1">IF(AND(ISNUMBER($AV$340),$B$294=1),$AV$340,HLOOKUP(INDIRECT(ADDRESS(2,COLUMN())),OFFSET($BN$2,0,0,ROW()-1,60),ROW()-1,FALSE))</f>
        <v/>
      </c>
      <c r="AW20" t="str">
        <f ca="1">IF(AND(ISNUMBER($AW$340),$B$294=1),$AW$340,HLOOKUP(INDIRECT(ADDRESS(2,COLUMN())),OFFSET($BN$2,0,0,ROW()-1,60),ROW()-1,FALSE))</f>
        <v/>
      </c>
      <c r="AX20" t="str">
        <f ca="1">IF(AND(ISNUMBER($AX$340),$B$294=1),$AX$340,HLOOKUP(INDIRECT(ADDRESS(2,COLUMN())),OFFSET($BN$2,0,0,ROW()-1,60),ROW()-1,FALSE))</f>
        <v/>
      </c>
      <c r="AY20" t="str">
        <f ca="1">IF(AND(ISNUMBER($AY$340),$B$294=1),$AY$340,HLOOKUP(INDIRECT(ADDRESS(2,COLUMN())),OFFSET($BN$2,0,0,ROW()-1,60),ROW()-1,FALSE))</f>
        <v/>
      </c>
      <c r="AZ20" t="str">
        <f ca="1">IF(AND(ISNUMBER($AZ$340),$B$294=1),$AZ$340,HLOOKUP(INDIRECT(ADDRESS(2,COLUMN())),OFFSET($BN$2,0,0,ROW()-1,60),ROW()-1,FALSE))</f>
        <v/>
      </c>
      <c r="BA20" t="str">
        <f ca="1">IF(AND(ISNUMBER($BA$340),$B$294=1),$BA$340,HLOOKUP(INDIRECT(ADDRESS(2,COLUMN())),OFFSET($BN$2,0,0,ROW()-1,60),ROW()-1,FALSE))</f>
        <v/>
      </c>
      <c r="BB20" t="str">
        <f ca="1">IF(AND(ISNUMBER($BB$340),$B$294=1),$BB$340,HLOOKUP(INDIRECT(ADDRESS(2,COLUMN())),OFFSET($BN$2,0,0,ROW()-1,60),ROW()-1,FALSE))</f>
        <v/>
      </c>
      <c r="BC20" t="str">
        <f ca="1">IF(AND(ISNUMBER($BC$340),$B$294=1),$BC$340,HLOOKUP(INDIRECT(ADDRESS(2,COLUMN())),OFFSET($BN$2,0,0,ROW()-1,60),ROW()-1,FALSE))</f>
        <v/>
      </c>
      <c r="BD20" t="str">
        <f ca="1">IF(AND(ISNUMBER($BD$340),$B$294=1),$BD$340,HLOOKUP(INDIRECT(ADDRESS(2,COLUMN())),OFFSET($BN$2,0,0,ROW()-1,60),ROW()-1,FALSE))</f>
        <v/>
      </c>
      <c r="BE20" t="str">
        <f ca="1">IF(AND(ISNUMBER($BE$340),$B$294=1),$BE$340,HLOOKUP(INDIRECT(ADDRESS(2,COLUMN())),OFFSET($BN$2,0,0,ROW()-1,60),ROW()-1,FALSE))</f>
        <v/>
      </c>
      <c r="BF20" t="str">
        <f ca="1">IF(AND(ISNUMBER($BF$340),$B$294=1),$BF$340,HLOOKUP(INDIRECT(ADDRESS(2,COLUMN())),OFFSET($BN$2,0,0,ROW()-1,60),ROW()-1,FALSE))</f>
        <v/>
      </c>
      <c r="BG20" t="str">
        <f ca="1">IF(AND(ISNUMBER($BG$340),$B$294=1),$BG$340,HLOOKUP(INDIRECT(ADDRESS(2,COLUMN())),OFFSET($BN$2,0,0,ROW()-1,60),ROW()-1,FALSE))</f>
        <v/>
      </c>
      <c r="BH20" t="str">
        <f ca="1">IF(AND(ISNUMBER($BH$340),$B$294=1),$BH$340,HLOOKUP(INDIRECT(ADDRESS(2,COLUMN())),OFFSET($BN$2,0,0,ROW()-1,60),ROW()-1,FALSE))</f>
        <v/>
      </c>
      <c r="BI20" t="str">
        <f ca="1">IF(AND(ISNUMBER($BI$340),$B$294=1),$BI$340,HLOOKUP(INDIRECT(ADDRESS(2,COLUMN())),OFFSET($BN$2,0,0,ROW()-1,60),ROW()-1,FALSE))</f>
        <v/>
      </c>
      <c r="BJ20" t="str">
        <f ca="1">IF(AND(ISNUMBER($BJ$340),$B$294=1),$BJ$340,HLOOKUP(INDIRECT(ADDRESS(2,COLUMN())),OFFSET($BN$2,0,0,ROW()-1,60),ROW()-1,FALSE))</f>
        <v/>
      </c>
      <c r="BK20" t="str">
        <f ca="1">IF(AND(ISNUMBER($BK$340),$B$294=1),$BK$340,HLOOKUP(INDIRECT(ADDRESS(2,COLUMN())),OFFSET($BN$2,0,0,ROW()-1,60),ROW()-1,FALSE))</f>
        <v/>
      </c>
      <c r="BL20" t="str">
        <f ca="1">IF(AND(ISNUMBER($BL$340),$B$294=1),$BL$340,HLOOKUP(INDIRECT(ADDRESS(2,COLUMN())),OFFSET($BN$2,0,0,ROW()-1,60),ROW()-1,FALSE))</f>
        <v/>
      </c>
      <c r="BM20" t="str">
        <f ca="1">IF(AND(ISNUMBER($BM$340),$B$294=1),$BM$340,HLOOKUP(INDIRECT(ADDRESS(2,COLUMN())),OFFSET($BN$2,0,0,ROW()-1,60),ROW()-1,FALSE))</f>
        <v/>
      </c>
      <c r="BN20" t="str">
        <f>""</f>
        <v/>
      </c>
      <c r="BO20" t="str">
        <f>""</f>
        <v/>
      </c>
      <c r="BP20" t="str">
        <f>""</f>
        <v/>
      </c>
      <c r="BQ20" t="str">
        <f>""</f>
        <v/>
      </c>
      <c r="BR20" t="str">
        <f>""</f>
        <v/>
      </c>
      <c r="BS20" t="str">
        <f>""</f>
        <v/>
      </c>
      <c r="BT20" t="str">
        <f>""</f>
        <v/>
      </c>
      <c r="BU20" t="str">
        <f>""</f>
        <v/>
      </c>
      <c r="BV20" t="str">
        <f>""</f>
        <v/>
      </c>
      <c r="BW20" t="str">
        <f>""</f>
        <v/>
      </c>
      <c r="BX20" t="str">
        <f>""</f>
        <v/>
      </c>
      <c r="BY20" t="str">
        <f>""</f>
        <v/>
      </c>
      <c r="BZ20" t="str">
        <f>""</f>
        <v/>
      </c>
      <c r="CA20" t="str">
        <f>""</f>
        <v/>
      </c>
      <c r="CB20" t="str">
        <f>""</f>
        <v/>
      </c>
      <c r="CC20" t="str">
        <f>""</f>
        <v/>
      </c>
      <c r="CD20" t="str">
        <f>""</f>
        <v/>
      </c>
      <c r="CE20" t="str">
        <f>""</f>
        <v/>
      </c>
      <c r="CF20" t="str">
        <f>""</f>
        <v/>
      </c>
      <c r="CG20" t="str">
        <f>""</f>
        <v/>
      </c>
      <c r="CH20" t="str">
        <f>""</f>
        <v/>
      </c>
      <c r="CI20" t="str">
        <f>""</f>
        <v/>
      </c>
      <c r="CJ20" t="str">
        <f>""</f>
        <v/>
      </c>
      <c r="CK20" t="str">
        <f>""</f>
        <v/>
      </c>
      <c r="CL20" t="str">
        <f>""</f>
        <v/>
      </c>
      <c r="CM20" t="str">
        <f>""</f>
        <v/>
      </c>
      <c r="CN20" t="str">
        <f>""</f>
        <v/>
      </c>
      <c r="CO20" t="str">
        <f>""</f>
        <v/>
      </c>
      <c r="CP20" t="str">
        <f>""</f>
        <v/>
      </c>
      <c r="CQ20" t="str">
        <f>""</f>
        <v/>
      </c>
      <c r="CR20" t="str">
        <f>""</f>
        <v/>
      </c>
      <c r="CS20" t="str">
        <f>""</f>
        <v/>
      </c>
      <c r="CT20" t="str">
        <f>""</f>
        <v/>
      </c>
      <c r="CU20" t="str">
        <f>""</f>
        <v/>
      </c>
      <c r="CV20" t="str">
        <f>""</f>
        <v/>
      </c>
      <c r="CW20" t="str">
        <f>""</f>
        <v/>
      </c>
      <c r="CX20" t="str">
        <f>""</f>
        <v/>
      </c>
      <c r="CY20" t="str">
        <f>""</f>
        <v/>
      </c>
      <c r="CZ20" t="str">
        <f>""</f>
        <v/>
      </c>
      <c r="DA20" t="str">
        <f>""</f>
        <v/>
      </c>
      <c r="DB20" t="str">
        <f>""</f>
        <v/>
      </c>
      <c r="DC20" t="str">
        <f>""</f>
        <v/>
      </c>
      <c r="DD20" t="str">
        <f>""</f>
        <v/>
      </c>
      <c r="DE20" t="str">
        <f>""</f>
        <v/>
      </c>
      <c r="DF20" t="str">
        <f>""</f>
        <v/>
      </c>
      <c r="DG20" t="str">
        <f>""</f>
        <v/>
      </c>
      <c r="DH20" t="str">
        <f>""</f>
        <v/>
      </c>
      <c r="DI20" t="str">
        <f>""</f>
        <v/>
      </c>
      <c r="DJ20" t="str">
        <f>""</f>
        <v/>
      </c>
      <c r="DK20" t="str">
        <f>""</f>
        <v/>
      </c>
      <c r="DL20" t="str">
        <f>""</f>
        <v/>
      </c>
      <c r="DM20" t="str">
        <f>""</f>
        <v/>
      </c>
      <c r="DN20" t="str">
        <f>""</f>
        <v/>
      </c>
      <c r="DO20" t="str">
        <f>""</f>
        <v/>
      </c>
      <c r="DP20" t="str">
        <f>""</f>
        <v/>
      </c>
      <c r="DQ20" t="str">
        <f>""</f>
        <v/>
      </c>
      <c r="DR20" t="str">
        <f>""</f>
        <v/>
      </c>
      <c r="DS20" t="str">
        <f>""</f>
        <v/>
      </c>
      <c r="DT20" t="str">
        <f>""</f>
        <v/>
      </c>
      <c r="DU20" t="str">
        <f>""</f>
        <v/>
      </c>
    </row>
    <row r="21" spans="1:125">
      <c r="A21" t="str">
        <f>"    Kilroy Realty Corp"</f>
        <v xml:space="preserve">    Kilroy Realty Corp</v>
      </c>
      <c r="B21" t="str">
        <f>"KRC US Equity"</f>
        <v>KRC US Equity</v>
      </c>
      <c r="C21" t="str">
        <f t="shared" si="3"/>
        <v>IM275</v>
      </c>
      <c r="D21" t="str">
        <f t="shared" si="4"/>
        <v>IS_OTHER_RENTAL_INCOME</v>
      </c>
      <c r="E21" t="str">
        <f t="shared" si="5"/>
        <v>动态</v>
      </c>
      <c r="F21" t="str">
        <f ca="1">IF(AND(ISNUMBER($F$341),$B$294=1),$F$341,HLOOKUP(INDIRECT(ADDRESS(2,COLUMN())),OFFSET($BN$2,0,0,ROW()-1,60),ROW()-1,FALSE))</f>
        <v/>
      </c>
      <c r="G21">
        <f ca="1">IF(AND(ISNUMBER($G$341),$B$294=1),$G$341,HLOOKUP(INDIRECT(ADDRESS(2,COLUMN())),OFFSET($BN$2,0,0,ROW()-1,60),ROW()-1,FALSE))</f>
        <v>158.369</v>
      </c>
      <c r="H21">
        <f ca="1">IF(AND(ISNUMBER($H$341),$B$294=1),$H$341,HLOOKUP(INDIRECT(ADDRESS(2,COLUMN())),OFFSET($BN$2,0,0,ROW()-1,60),ROW()-1,FALSE))</f>
        <v>159.95400000000001</v>
      </c>
      <c r="I21">
        <f ca="1">IF(AND(ISNUMBER($I$341),$B$294=1),$I$341,HLOOKUP(INDIRECT(ADDRESS(2,COLUMN())),OFFSET($BN$2,0,0,ROW()-1,60),ROW()-1,FALSE))</f>
        <v>158.92500000000001</v>
      </c>
      <c r="J21">
        <f ca="1">IF(AND(ISNUMBER($J$341),$B$294=1),$J$341,HLOOKUP(INDIRECT(ADDRESS(2,COLUMN())),OFFSET($BN$2,0,0,ROW()-1,60),ROW()-1,FALSE))</f>
        <v>156.648</v>
      </c>
      <c r="K21">
        <f ca="1">IF(AND(ISNUMBER($K$341),$B$294=1),$K$341,HLOOKUP(INDIRECT(ADDRESS(2,COLUMN())),OFFSET($BN$2,0,0,ROW()-1,60),ROW()-1,FALSE))</f>
        <v>150.46600000000001</v>
      </c>
      <c r="L21">
        <f ca="1">IF(AND(ISNUMBER($L$341),$B$294=1),$L$341,HLOOKUP(INDIRECT(ADDRESS(2,COLUMN())),OFFSET($BN$2,0,0,ROW()-1,60),ROW()-1,FALSE))</f>
        <v>146.53899999999999</v>
      </c>
      <c r="M21">
        <f ca="1">IF(AND(ISNUMBER($M$341),$B$294=1),$M$341,HLOOKUP(INDIRECT(ADDRESS(2,COLUMN())),OFFSET($BN$2,0,0,ROW()-1,60),ROW()-1,FALSE))</f>
        <v>143.65299999999999</v>
      </c>
      <c r="N21">
        <f ca="1">IF(AND(ISNUMBER($N$341),$B$294=1),$N$341,HLOOKUP(INDIRECT(ADDRESS(2,COLUMN())),OFFSET($BN$2,0,0,ROW()-1,60),ROW()-1,FALSE))</f>
        <v>133.755</v>
      </c>
      <c r="O21">
        <f ca="1">IF(AND(ISNUMBER($O$341),$B$294=1),$O$341,HLOOKUP(INDIRECT(ADDRESS(2,COLUMN())),OFFSET($BN$2,0,0,ROW()-1,60),ROW()-1,FALSE))</f>
        <v>133.46299999999999</v>
      </c>
      <c r="P21">
        <f ca="1">IF(AND(ISNUMBER($P$341),$B$294=1),$P$341,HLOOKUP(INDIRECT(ADDRESS(2,COLUMN())),OFFSET($BN$2,0,0,ROW()-1,60),ROW()-1,FALSE))</f>
        <v>129.51</v>
      </c>
      <c r="Q21">
        <f ca="1">IF(AND(ISNUMBER($Q$341),$B$294=1),$Q$341,HLOOKUP(INDIRECT(ADDRESS(2,COLUMN())),OFFSET($BN$2,0,0,ROW()-1,60),ROW()-1,FALSE))</f>
        <v>131.44999999999999</v>
      </c>
      <c r="R21">
        <f ca="1">IF(AND(ISNUMBER($R$341),$B$294=1),$R$341,HLOOKUP(INDIRECT(ADDRESS(2,COLUMN())),OFFSET($BN$2,0,0,ROW()-1,60),ROW()-1,FALSE))</f>
        <v>130.93199999999999</v>
      </c>
      <c r="S21">
        <f ca="1">IF(AND(ISNUMBER($S$341),$B$294=1),$S$341,HLOOKUP(INDIRECT(ADDRESS(2,COLUMN())),OFFSET($BN$2,0,0,ROW()-1,60),ROW()-1,FALSE))</f>
        <v>127.417</v>
      </c>
      <c r="T21">
        <f ca="1">IF(AND(ISNUMBER($T$341),$B$294=1),$T$341,HLOOKUP(INDIRECT(ADDRESS(2,COLUMN())),OFFSET($BN$2,0,0,ROW()-1,60),ROW()-1,FALSE))</f>
        <v>115.221</v>
      </c>
      <c r="U21">
        <f ca="1">IF(AND(ISNUMBER($U$341),$B$294=1),$U$341,HLOOKUP(INDIRECT(ADDRESS(2,COLUMN())),OFFSET($BN$2,0,0,ROW()-1,60),ROW()-1,FALSE))</f>
        <v>113.592</v>
      </c>
      <c r="V21">
        <f ca="1">IF(AND(ISNUMBER($V$341),$B$294=1),$V$341,HLOOKUP(INDIRECT(ADDRESS(2,COLUMN())),OFFSET($BN$2,0,0,ROW()-1,60),ROW()-1,FALSE))</f>
        <v>110.098</v>
      </c>
      <c r="W21">
        <f ca="1">IF(AND(ISNUMBER($W$341),$B$294=1),$W$341,HLOOKUP(INDIRECT(ADDRESS(2,COLUMN())),OFFSET($BN$2,0,0,ROW()-1,60),ROW()-1,FALSE))</f>
        <v>108.32599999999999</v>
      </c>
      <c r="X21">
        <f ca="1">IF(AND(ISNUMBER($X$341),$B$294=1),$X$341,HLOOKUP(INDIRECT(ADDRESS(2,COLUMN())),OFFSET($BN$2,0,0,ROW()-1,60),ROW()-1,FALSE))</f>
        <v>103.354</v>
      </c>
      <c r="Y21">
        <f ca="1">IF(AND(ISNUMBER($Y$341),$B$294=1),$Y$341,HLOOKUP(INDIRECT(ADDRESS(2,COLUMN())),OFFSET($BN$2,0,0,ROW()-1,60),ROW()-1,FALSE))</f>
        <v>102.38500000000001</v>
      </c>
      <c r="Z21">
        <f ca="1">IF(AND(ISNUMBER($Z$341),$B$294=1),$Z$341,HLOOKUP(INDIRECT(ADDRESS(2,COLUMN())),OFFSET($BN$2,0,0,ROW()-1,60),ROW()-1,FALSE))</f>
        <v>101.607</v>
      </c>
      <c r="AA21">
        <f ca="1">IF(AND(ISNUMBER($AA$341),$B$294=1),$AA$341,HLOOKUP(INDIRECT(ADDRESS(2,COLUMN())),OFFSET($BN$2,0,0,ROW()-1,60),ROW()-1,FALSE))</f>
        <v>101.288</v>
      </c>
      <c r="AB21">
        <f ca="1">IF(AND(ISNUMBER($AB$341),$B$294=1),$AB$341,HLOOKUP(INDIRECT(ADDRESS(2,COLUMN())),OFFSET($BN$2,0,0,ROW()-1,60),ROW()-1,FALSE))</f>
        <v>90.828000000000003</v>
      </c>
      <c r="AC21">
        <f ca="1">IF(AND(ISNUMBER($AC$341),$B$294=1),$AC$341,HLOOKUP(INDIRECT(ADDRESS(2,COLUMN())),OFFSET($BN$2,0,0,ROW()-1,60),ROW()-1,FALSE))</f>
        <v>88.474000000000004</v>
      </c>
      <c r="AD21">
        <f ca="1">IF(AND(ISNUMBER($AD$341),$B$294=1),$AD$341,HLOOKUP(INDIRECT(ADDRESS(2,COLUMN())),OFFSET($BN$2,0,0,ROW()-1,60),ROW()-1,FALSE))</f>
        <v>84.349000000000004</v>
      </c>
      <c r="AE21">
        <f ca="1">IF(AND(ISNUMBER($AE$341),$B$294=1),$AE$341,HLOOKUP(INDIRECT(ADDRESS(2,COLUMN())),OFFSET($BN$2,0,0,ROW()-1,60),ROW()-1,FALSE))</f>
        <v>83.265000000000001</v>
      </c>
      <c r="AF21">
        <f ca="1">IF(AND(ISNUMBER($AF$341),$B$294=1),$AF$341,HLOOKUP(INDIRECT(ADDRESS(2,COLUMN())),OFFSET($BN$2,0,0,ROW()-1,60),ROW()-1,FALSE))</f>
        <v>79.673000000000002</v>
      </c>
      <c r="AG21">
        <f ca="1">IF(AND(ISNUMBER($AG$341),$B$294=1),$AG$341,HLOOKUP(INDIRECT(ADDRESS(2,COLUMN())),OFFSET($BN$2,0,0,ROW()-1,60),ROW()-1,FALSE))</f>
        <v>80.158000000000001</v>
      </c>
      <c r="AH21">
        <f ca="1">IF(AND(ISNUMBER($AH$341),$B$294=1),$AH$341,HLOOKUP(INDIRECT(ADDRESS(2,COLUMN())),OFFSET($BN$2,0,0,ROW()-1,60),ROW()-1,FALSE))</f>
        <v>76.997</v>
      </c>
      <c r="AI21">
        <f ca="1">IF(AND(ISNUMBER($AI$341),$B$294=1),$AI$341,HLOOKUP(INDIRECT(ADDRESS(2,COLUMN())),OFFSET($BN$2,0,0,ROW()-1,60),ROW()-1,FALSE))</f>
        <v>73.111999999999995</v>
      </c>
      <c r="AJ21">
        <f ca="1">IF(AND(ISNUMBER($AJ$341),$B$294=1),$AJ$341,HLOOKUP(INDIRECT(ADDRESS(2,COLUMN())),OFFSET($BN$2,0,0,ROW()-1,60),ROW()-1,FALSE))</f>
        <v>72.135000000000005</v>
      </c>
      <c r="AK21">
        <f ca="1">IF(AND(ISNUMBER($AK$341),$B$294=1),$AK$341,HLOOKUP(INDIRECT(ADDRESS(2,COLUMN())),OFFSET($BN$2,0,0,ROW()-1,60),ROW()-1,FALSE))</f>
        <v>65.037999999999997</v>
      </c>
      <c r="AL21">
        <f ca="1">IF(AND(ISNUMBER($AL$341),$B$294=1),$AL$341,HLOOKUP(INDIRECT(ADDRESS(2,COLUMN())),OFFSET($BN$2,0,0,ROW()-1,60),ROW()-1,FALSE))</f>
        <v>60.655999999999999</v>
      </c>
      <c r="AM21">
        <f ca="1">IF(AND(ISNUMBER($AM$341),$B$294=1),$AM$341,HLOOKUP(INDIRECT(ADDRESS(2,COLUMN())),OFFSET($BN$2,0,0,ROW()-1,60),ROW()-1,FALSE))</f>
        <v>60.69</v>
      </c>
      <c r="AN21">
        <f ca="1">IF(AND(ISNUMBER($AN$341),$B$294=1),$AN$341,HLOOKUP(INDIRECT(ADDRESS(2,COLUMN())),OFFSET($BN$2,0,0,ROW()-1,60),ROW()-1,FALSE))</f>
        <v>61.296999999999997</v>
      </c>
      <c r="AO21">
        <f ca="1">IF(AND(ISNUMBER($AO$341),$B$294=1),$AO$341,HLOOKUP(INDIRECT(ADDRESS(2,COLUMN())),OFFSET($BN$2,0,0,ROW()-1,60),ROW()-1,FALSE))</f>
        <v>62.597999999999999</v>
      </c>
      <c r="AP21">
        <f ca="1">IF(AND(ISNUMBER($AP$341),$B$294=1),$AP$341,HLOOKUP(INDIRECT(ADDRESS(2,COLUMN())),OFFSET($BN$2,0,0,ROW()-1,60),ROW()-1,FALSE))</f>
        <v>63.064</v>
      </c>
      <c r="AQ21" t="str">
        <f ca="1">IF(AND(ISNUMBER($AQ$341),$B$294=1),$AQ$341,HLOOKUP(INDIRECT(ADDRESS(2,COLUMN())),OFFSET($BN$2,0,0,ROW()-1,60),ROW()-1,FALSE))</f>
        <v/>
      </c>
      <c r="AR21" t="str">
        <f ca="1">IF(AND(ISNUMBER($AR$341),$B$294=1),$AR$341,HLOOKUP(INDIRECT(ADDRESS(2,COLUMN())),OFFSET($BN$2,0,0,ROW()-1,60),ROW()-1,FALSE))</f>
        <v/>
      </c>
      <c r="AS21" t="str">
        <f ca="1">IF(AND(ISNUMBER($AS$341),$B$294=1),$AS$341,HLOOKUP(INDIRECT(ADDRESS(2,COLUMN())),OFFSET($BN$2,0,0,ROW()-1,60),ROW()-1,FALSE))</f>
        <v/>
      </c>
      <c r="AT21" t="str">
        <f ca="1">IF(AND(ISNUMBER($AT$341),$B$294=1),$AT$341,HLOOKUP(INDIRECT(ADDRESS(2,COLUMN())),OFFSET($BN$2,0,0,ROW()-1,60),ROW()-1,FALSE))</f>
        <v/>
      </c>
      <c r="AU21" t="str">
        <f ca="1">IF(AND(ISNUMBER($AU$341),$B$294=1),$AU$341,HLOOKUP(INDIRECT(ADDRESS(2,COLUMN())),OFFSET($BN$2,0,0,ROW()-1,60),ROW()-1,FALSE))</f>
        <v/>
      </c>
      <c r="AV21" t="str">
        <f ca="1">IF(AND(ISNUMBER($AV$341),$B$294=1),$AV$341,HLOOKUP(INDIRECT(ADDRESS(2,COLUMN())),OFFSET($BN$2,0,0,ROW()-1,60),ROW()-1,FALSE))</f>
        <v/>
      </c>
      <c r="AW21" t="str">
        <f ca="1">IF(AND(ISNUMBER($AW$341),$B$294=1),$AW$341,HLOOKUP(INDIRECT(ADDRESS(2,COLUMN())),OFFSET($BN$2,0,0,ROW()-1,60),ROW()-1,FALSE))</f>
        <v/>
      </c>
      <c r="AX21" t="str">
        <f ca="1">IF(AND(ISNUMBER($AX$341),$B$294=1),$AX$341,HLOOKUP(INDIRECT(ADDRESS(2,COLUMN())),OFFSET($BN$2,0,0,ROW()-1,60),ROW()-1,FALSE))</f>
        <v/>
      </c>
      <c r="AY21" t="str">
        <f ca="1">IF(AND(ISNUMBER($AY$341),$B$294=1),$AY$341,HLOOKUP(INDIRECT(ADDRESS(2,COLUMN())),OFFSET($BN$2,0,0,ROW()-1,60),ROW()-1,FALSE))</f>
        <v/>
      </c>
      <c r="AZ21" t="str">
        <f ca="1">IF(AND(ISNUMBER($AZ$341),$B$294=1),$AZ$341,HLOOKUP(INDIRECT(ADDRESS(2,COLUMN())),OFFSET($BN$2,0,0,ROW()-1,60),ROW()-1,FALSE))</f>
        <v/>
      </c>
      <c r="BA21" t="str">
        <f ca="1">IF(AND(ISNUMBER($BA$341),$B$294=1),$BA$341,HLOOKUP(INDIRECT(ADDRESS(2,COLUMN())),OFFSET($BN$2,0,0,ROW()-1,60),ROW()-1,FALSE))</f>
        <v/>
      </c>
      <c r="BB21" t="str">
        <f ca="1">IF(AND(ISNUMBER($BB$341),$B$294=1),$BB$341,HLOOKUP(INDIRECT(ADDRESS(2,COLUMN())),OFFSET($BN$2,0,0,ROW()-1,60),ROW()-1,FALSE))</f>
        <v/>
      </c>
      <c r="BC21" t="str">
        <f ca="1">IF(AND(ISNUMBER($BC$341),$B$294=1),$BC$341,HLOOKUP(INDIRECT(ADDRESS(2,COLUMN())),OFFSET($BN$2,0,0,ROW()-1,60),ROW()-1,FALSE))</f>
        <v/>
      </c>
      <c r="BD21" t="str">
        <f ca="1">IF(AND(ISNUMBER($BD$341),$B$294=1),$BD$341,HLOOKUP(INDIRECT(ADDRESS(2,COLUMN())),OFFSET($BN$2,0,0,ROW()-1,60),ROW()-1,FALSE))</f>
        <v/>
      </c>
      <c r="BE21" t="str">
        <f ca="1">IF(AND(ISNUMBER($BE$341),$B$294=1),$BE$341,HLOOKUP(INDIRECT(ADDRESS(2,COLUMN())),OFFSET($BN$2,0,0,ROW()-1,60),ROW()-1,FALSE))</f>
        <v/>
      </c>
      <c r="BF21" t="str">
        <f ca="1">IF(AND(ISNUMBER($BF$341),$B$294=1),$BF$341,HLOOKUP(INDIRECT(ADDRESS(2,COLUMN())),OFFSET($BN$2,0,0,ROW()-1,60),ROW()-1,FALSE))</f>
        <v/>
      </c>
      <c r="BG21" t="str">
        <f ca="1">IF(AND(ISNUMBER($BG$341),$B$294=1),$BG$341,HLOOKUP(INDIRECT(ADDRESS(2,COLUMN())),OFFSET($BN$2,0,0,ROW()-1,60),ROW()-1,FALSE))</f>
        <v/>
      </c>
      <c r="BH21" t="str">
        <f ca="1">IF(AND(ISNUMBER($BH$341),$B$294=1),$BH$341,HLOOKUP(INDIRECT(ADDRESS(2,COLUMN())),OFFSET($BN$2,0,0,ROW()-1,60),ROW()-1,FALSE))</f>
        <v/>
      </c>
      <c r="BI21" t="str">
        <f ca="1">IF(AND(ISNUMBER($BI$341),$B$294=1),$BI$341,HLOOKUP(INDIRECT(ADDRESS(2,COLUMN())),OFFSET($BN$2,0,0,ROW()-1,60),ROW()-1,FALSE))</f>
        <v/>
      </c>
      <c r="BJ21" t="str">
        <f ca="1">IF(AND(ISNUMBER($BJ$341),$B$294=1),$BJ$341,HLOOKUP(INDIRECT(ADDRESS(2,COLUMN())),OFFSET($BN$2,0,0,ROW()-1,60),ROW()-1,FALSE))</f>
        <v/>
      </c>
      <c r="BK21" t="str">
        <f ca="1">IF(AND(ISNUMBER($BK$341),$B$294=1),$BK$341,HLOOKUP(INDIRECT(ADDRESS(2,COLUMN())),OFFSET($BN$2,0,0,ROW()-1,60),ROW()-1,FALSE))</f>
        <v/>
      </c>
      <c r="BL21" t="str">
        <f ca="1">IF(AND(ISNUMBER($BL$341),$B$294=1),$BL$341,HLOOKUP(INDIRECT(ADDRESS(2,COLUMN())),OFFSET($BN$2,0,0,ROW()-1,60),ROW()-1,FALSE))</f>
        <v/>
      </c>
      <c r="BM21" t="str">
        <f ca="1">IF(AND(ISNUMBER($BM$341),$B$294=1),$BM$341,HLOOKUP(INDIRECT(ADDRESS(2,COLUMN())),OFFSET($BN$2,0,0,ROW()-1,60),ROW()-1,FALSE))</f>
        <v/>
      </c>
      <c r="BN21" t="str">
        <f>""</f>
        <v/>
      </c>
      <c r="BO21">
        <f>158.369</f>
        <v>158.369</v>
      </c>
      <c r="BP21">
        <f>159.954</f>
        <v>159.95400000000001</v>
      </c>
      <c r="BQ21">
        <f>158.925</f>
        <v>158.92500000000001</v>
      </c>
      <c r="BR21">
        <f>156.648</f>
        <v>156.648</v>
      </c>
      <c r="BS21">
        <f>150.466</f>
        <v>150.46600000000001</v>
      </c>
      <c r="BT21">
        <f>146.539</f>
        <v>146.53899999999999</v>
      </c>
      <c r="BU21">
        <f>143.653</f>
        <v>143.65299999999999</v>
      </c>
      <c r="BV21">
        <f>133.755</f>
        <v>133.755</v>
      </c>
      <c r="BW21">
        <f>133.463</f>
        <v>133.46299999999999</v>
      </c>
      <c r="BX21">
        <f>129.51</f>
        <v>129.51</v>
      </c>
      <c r="BY21">
        <f>131.45</f>
        <v>131.44999999999999</v>
      </c>
      <c r="BZ21">
        <f>130.932</f>
        <v>130.93199999999999</v>
      </c>
      <c r="CA21">
        <f>127.417</f>
        <v>127.417</v>
      </c>
      <c r="CB21">
        <f>115.221</f>
        <v>115.221</v>
      </c>
      <c r="CC21">
        <f>113.592</f>
        <v>113.592</v>
      </c>
      <c r="CD21">
        <f>110.098</f>
        <v>110.098</v>
      </c>
      <c r="CE21">
        <f>108.326</f>
        <v>108.32599999999999</v>
      </c>
      <c r="CF21">
        <f>103.354</f>
        <v>103.354</v>
      </c>
      <c r="CG21">
        <f>102.385</f>
        <v>102.38500000000001</v>
      </c>
      <c r="CH21">
        <f>101.607</f>
        <v>101.607</v>
      </c>
      <c r="CI21">
        <f>101.288</f>
        <v>101.288</v>
      </c>
      <c r="CJ21">
        <f>90.828</f>
        <v>90.828000000000003</v>
      </c>
      <c r="CK21">
        <f>88.474</f>
        <v>88.474000000000004</v>
      </c>
      <c r="CL21">
        <f>84.349</f>
        <v>84.349000000000004</v>
      </c>
      <c r="CM21">
        <f>83.265</f>
        <v>83.265000000000001</v>
      </c>
      <c r="CN21">
        <f>79.673</f>
        <v>79.673000000000002</v>
      </c>
      <c r="CO21">
        <f>80.158</f>
        <v>80.158000000000001</v>
      </c>
      <c r="CP21">
        <f>76.997</f>
        <v>76.997</v>
      </c>
      <c r="CQ21">
        <f>73.112</f>
        <v>73.111999999999995</v>
      </c>
      <c r="CR21">
        <f>72.135</f>
        <v>72.135000000000005</v>
      </c>
      <c r="CS21">
        <f>65.038</f>
        <v>65.037999999999997</v>
      </c>
      <c r="CT21">
        <f>60.656</f>
        <v>60.655999999999999</v>
      </c>
      <c r="CU21">
        <f>60.69</f>
        <v>60.69</v>
      </c>
      <c r="CV21">
        <f>61.297</f>
        <v>61.296999999999997</v>
      </c>
      <c r="CW21">
        <f>62.598</f>
        <v>62.597999999999999</v>
      </c>
      <c r="CX21">
        <f>63.064</f>
        <v>63.064</v>
      </c>
      <c r="CY21" t="str">
        <f>""</f>
        <v/>
      </c>
      <c r="CZ21" t="str">
        <f>""</f>
        <v/>
      </c>
      <c r="DA21" t="str">
        <f>""</f>
        <v/>
      </c>
      <c r="DB21" t="str">
        <f>""</f>
        <v/>
      </c>
      <c r="DC21" t="str">
        <f>""</f>
        <v/>
      </c>
      <c r="DD21" t="str">
        <f>""</f>
        <v/>
      </c>
      <c r="DE21" t="str">
        <f>""</f>
        <v/>
      </c>
      <c r="DF21" t="str">
        <f>""</f>
        <v/>
      </c>
      <c r="DG21" t="str">
        <f>""</f>
        <v/>
      </c>
      <c r="DH21" t="str">
        <f>""</f>
        <v/>
      </c>
      <c r="DI21" t="str">
        <f>""</f>
        <v/>
      </c>
      <c r="DJ21" t="str">
        <f>""</f>
        <v/>
      </c>
      <c r="DK21" t="str">
        <f>""</f>
        <v/>
      </c>
      <c r="DL21" t="str">
        <f>""</f>
        <v/>
      </c>
      <c r="DM21" t="str">
        <f>""</f>
        <v/>
      </c>
      <c r="DN21" t="str">
        <f>""</f>
        <v/>
      </c>
      <c r="DO21" t="str">
        <f>""</f>
        <v/>
      </c>
      <c r="DP21" t="str">
        <f>""</f>
        <v/>
      </c>
      <c r="DQ21" t="str">
        <f>""</f>
        <v/>
      </c>
      <c r="DR21" t="str">
        <f>""</f>
        <v/>
      </c>
      <c r="DS21" t="str">
        <f>""</f>
        <v/>
      </c>
      <c r="DT21" t="str">
        <f>""</f>
        <v/>
      </c>
      <c r="DU21" t="str">
        <f>""</f>
        <v/>
      </c>
    </row>
    <row r="22" spans="1:125">
      <c r="A22" t="str">
        <f>"    Mack-Cali Realty Corp"</f>
        <v xml:space="preserve">    Mack-Cali Realty Corp</v>
      </c>
      <c r="B22" t="str">
        <f>"CLI US Equity"</f>
        <v>CLI US Equity</v>
      </c>
      <c r="C22" t="str">
        <f t="shared" si="3"/>
        <v>IM275</v>
      </c>
      <c r="D22" t="str">
        <f t="shared" si="4"/>
        <v>IS_OTHER_RENTAL_INCOME</v>
      </c>
      <c r="E22" t="str">
        <f t="shared" si="5"/>
        <v>动态</v>
      </c>
      <c r="F22" t="str">
        <f ca="1">IF(AND(ISNUMBER($F$342),$B$294=1),$F$342,HLOOKUP(INDIRECT(ADDRESS(2,COLUMN())),OFFSET($BN$2,0,0,ROW()-1,60),ROW()-1,FALSE))</f>
        <v/>
      </c>
      <c r="G22">
        <f ca="1">IF(AND(ISNUMBER($G$342),$B$294=1),$G$342,HLOOKUP(INDIRECT(ADDRESS(2,COLUMN())),OFFSET($BN$2,0,0,ROW()-1,60),ROW()-1,FALSE))</f>
        <v>5.2229999999999999</v>
      </c>
      <c r="H22">
        <f ca="1">IF(AND(ISNUMBER($H$342),$B$294=1),$H$342,HLOOKUP(INDIRECT(ADDRESS(2,COLUMN())),OFFSET($BN$2,0,0,ROW()-1,60),ROW()-1,FALSE))</f>
        <v>5.766</v>
      </c>
      <c r="I22">
        <f ca="1">IF(AND(ISNUMBER($I$342),$B$294=1),$I$342,HLOOKUP(INDIRECT(ADDRESS(2,COLUMN())),OFFSET($BN$2,0,0,ROW()-1,60),ROW()-1,FALSE))</f>
        <v>5.0519999999999996</v>
      </c>
      <c r="J22">
        <f ca="1">IF(AND(ISNUMBER($J$342),$B$294=1),$J$342,HLOOKUP(INDIRECT(ADDRESS(2,COLUMN())),OFFSET($BN$2,0,0,ROW()-1,60),ROW()-1,FALSE))</f>
        <v>4.2290000000000001</v>
      </c>
      <c r="K22">
        <f ca="1">IF(AND(ISNUMBER($K$342),$B$294=1),$K$342,HLOOKUP(INDIRECT(ADDRESS(2,COLUMN())),OFFSET($BN$2,0,0,ROW()-1,60),ROW()-1,FALSE))</f>
        <v>3.4990000000000001</v>
      </c>
      <c r="L22">
        <f ca="1">IF(AND(ISNUMBER($L$342),$B$294=1),$L$342,HLOOKUP(INDIRECT(ADDRESS(2,COLUMN())),OFFSET($BN$2,0,0,ROW()-1,60),ROW()-1,FALSE))</f>
        <v>3.4430000000000001</v>
      </c>
      <c r="M22">
        <f ca="1">IF(AND(ISNUMBER($M$342),$B$294=1),$M$342,HLOOKUP(INDIRECT(ADDRESS(2,COLUMN())),OFFSET($BN$2,0,0,ROW()-1,60),ROW()-1,FALSE))</f>
        <v>3.532</v>
      </c>
      <c r="N22">
        <f ca="1">IF(AND(ISNUMBER($N$342),$B$294=1),$N$342,HLOOKUP(INDIRECT(ADDRESS(2,COLUMN())),OFFSET($BN$2,0,0,ROW()-1,60),ROW()-1,FALSE))</f>
        <v>3.1560000000000001</v>
      </c>
      <c r="O22">
        <f ca="1">IF(AND(ISNUMBER($O$342),$B$294=1),$O$342,HLOOKUP(INDIRECT(ADDRESS(2,COLUMN())),OFFSET($BN$2,0,0,ROW()-1,60),ROW()-1,FALSE))</f>
        <v>2.9830000000000001</v>
      </c>
      <c r="P22">
        <f ca="1">IF(AND(ISNUMBER($P$342),$B$294=1),$P$342,HLOOKUP(INDIRECT(ADDRESS(2,COLUMN())),OFFSET($BN$2,0,0,ROW()-1,60),ROW()-1,FALSE))</f>
        <v>2.7490000000000001</v>
      </c>
      <c r="Q22">
        <f ca="1">IF(AND(ISNUMBER($Q$342),$B$294=1),$Q$342,HLOOKUP(INDIRECT(ADDRESS(2,COLUMN())),OFFSET($BN$2,0,0,ROW()-1,60),ROW()-1,FALSE))</f>
        <v>2.85</v>
      </c>
      <c r="R22">
        <f ca="1">IF(AND(ISNUMBER($R$342),$B$294=1),$R$342,HLOOKUP(INDIRECT(ADDRESS(2,COLUMN())),OFFSET($BN$2,0,0,ROW()-1,60),ROW()-1,FALSE))</f>
        <v>2.5419999999999998</v>
      </c>
      <c r="S22">
        <f ca="1">IF(AND(ISNUMBER($S$342),$B$294=1),$S$342,HLOOKUP(INDIRECT(ADDRESS(2,COLUMN())),OFFSET($BN$2,0,0,ROW()-1,60),ROW()-1,FALSE))</f>
        <v>2.5019999999999998</v>
      </c>
      <c r="T22">
        <f ca="1">IF(AND(ISNUMBER($T$342),$B$294=1),$T$342,HLOOKUP(INDIRECT(ADDRESS(2,COLUMN())),OFFSET($BN$2,0,0,ROW()-1,60),ROW()-1,FALSE))</f>
        <v>2.2549999999999999</v>
      </c>
      <c r="U22">
        <f ca="1">IF(AND(ISNUMBER($U$342),$B$294=1),$U$342,HLOOKUP(INDIRECT(ADDRESS(2,COLUMN())),OFFSET($BN$2,0,0,ROW()-1,60),ROW()-1,FALSE))</f>
        <v>2.2360000000000002</v>
      </c>
      <c r="V22">
        <f ca="1">IF(AND(ISNUMBER($V$342),$B$294=1),$V$342,HLOOKUP(INDIRECT(ADDRESS(2,COLUMN())),OFFSET($BN$2,0,0,ROW()-1,60),ROW()-1,FALSE))</f>
        <v>2.1139999999999999</v>
      </c>
      <c r="W22">
        <f ca="1">IF(AND(ISNUMBER($W$342),$B$294=1),$W$342,HLOOKUP(INDIRECT(ADDRESS(2,COLUMN())),OFFSET($BN$2,0,0,ROW()-1,60),ROW()-1,FALSE))</f>
        <v>2.2090000000000001</v>
      </c>
      <c r="X22">
        <f ca="1">IF(AND(ISNUMBER($X$342),$B$294=1),$X$342,HLOOKUP(INDIRECT(ADDRESS(2,COLUMN())),OFFSET($BN$2,0,0,ROW()-1,60),ROW()-1,FALSE))</f>
        <v>1.6419999999999999</v>
      </c>
      <c r="Y22">
        <f ca="1">IF(AND(ISNUMBER($Y$342),$B$294=1),$Y$342,HLOOKUP(INDIRECT(ADDRESS(2,COLUMN())),OFFSET($BN$2,0,0,ROW()-1,60),ROW()-1,FALSE))</f>
        <v>1.597</v>
      </c>
      <c r="Z22">
        <f ca="1">IF(AND(ISNUMBER($Z$342),$B$294=1),$Z$342,HLOOKUP(INDIRECT(ADDRESS(2,COLUMN())),OFFSET($BN$2,0,0,ROW()-1,60),ROW()-1,FALSE))</f>
        <v>1.3919999999999999</v>
      </c>
      <c r="AA22">
        <f ca="1">IF(AND(ISNUMBER($AA$342),$B$294=1),$AA$342,HLOOKUP(INDIRECT(ADDRESS(2,COLUMN())),OFFSET($BN$2,0,0,ROW()-1,60),ROW()-1,FALSE))</f>
        <v>0</v>
      </c>
      <c r="AB22">
        <f ca="1">IF(AND(ISNUMBER($AB$342),$B$294=1),$AB$342,HLOOKUP(INDIRECT(ADDRESS(2,COLUMN())),OFFSET($BN$2,0,0,ROW()-1,60),ROW()-1,FALSE))</f>
        <v>1.427</v>
      </c>
      <c r="AC22">
        <f ca="1">IF(AND(ISNUMBER($AC$342),$B$294=1),$AC$342,HLOOKUP(INDIRECT(ADDRESS(2,COLUMN())),OFFSET($BN$2,0,0,ROW()-1,60),ROW()-1,FALSE))</f>
        <v>1.53</v>
      </c>
      <c r="AD22">
        <f ca="1">IF(AND(ISNUMBER($AD$342),$B$294=1),$AD$342,HLOOKUP(INDIRECT(ADDRESS(2,COLUMN())),OFFSET($BN$2,0,0,ROW()-1,60),ROW()-1,FALSE))</f>
        <v>1.611</v>
      </c>
      <c r="AE22">
        <f ca="1">IF(AND(ISNUMBER($AE$342),$B$294=1),$AE$342,HLOOKUP(INDIRECT(ADDRESS(2,COLUMN())),OFFSET($BN$2,0,0,ROW()-1,60),ROW()-1,FALSE))</f>
        <v>0</v>
      </c>
      <c r="AF22">
        <f ca="1">IF(AND(ISNUMBER($AF$342),$B$294=1),$AF$342,HLOOKUP(INDIRECT(ADDRESS(2,COLUMN())),OFFSET($BN$2,0,0,ROW()-1,60),ROW()-1,FALSE))</f>
        <v>0</v>
      </c>
      <c r="AG22">
        <f ca="1">IF(AND(ISNUMBER($AG$342),$B$294=1),$AG$342,HLOOKUP(INDIRECT(ADDRESS(2,COLUMN())),OFFSET($BN$2,0,0,ROW()-1,60),ROW()-1,FALSE))</f>
        <v>0</v>
      </c>
      <c r="AH22">
        <f ca="1">IF(AND(ISNUMBER($AH$342),$B$294=1),$AH$342,HLOOKUP(INDIRECT(ADDRESS(2,COLUMN())),OFFSET($BN$2,0,0,ROW()-1,60),ROW()-1,FALSE))</f>
        <v>0</v>
      </c>
      <c r="AI22">
        <f ca="1">IF(AND(ISNUMBER($AI$342),$B$294=1),$AI$342,HLOOKUP(INDIRECT(ADDRESS(2,COLUMN())),OFFSET($BN$2,0,0,ROW()-1,60),ROW()-1,FALSE))</f>
        <v>0</v>
      </c>
      <c r="AJ22">
        <f ca="1">IF(AND(ISNUMBER($AJ$342),$B$294=1),$AJ$342,HLOOKUP(INDIRECT(ADDRESS(2,COLUMN())),OFFSET($BN$2,0,0,ROW()-1,60),ROW()-1,FALSE))</f>
        <v>0</v>
      </c>
      <c r="AK22">
        <f ca="1">IF(AND(ISNUMBER($AK$342),$B$294=1),$AK$342,HLOOKUP(INDIRECT(ADDRESS(2,COLUMN())),OFFSET($BN$2,0,0,ROW()-1,60),ROW()-1,FALSE))</f>
        <v>0</v>
      </c>
      <c r="AL22">
        <f ca="1">IF(AND(ISNUMBER($AL$342),$B$294=1),$AL$342,HLOOKUP(INDIRECT(ADDRESS(2,COLUMN())),OFFSET($BN$2,0,0,ROW()-1,60),ROW()-1,FALSE))</f>
        <v>0</v>
      </c>
      <c r="AM22">
        <f ca="1">IF(AND(ISNUMBER($AM$342),$B$294=1),$AM$342,HLOOKUP(INDIRECT(ADDRESS(2,COLUMN())),OFFSET($BN$2,0,0,ROW()-1,60),ROW()-1,FALSE))</f>
        <v>0</v>
      </c>
      <c r="AN22">
        <f ca="1">IF(AND(ISNUMBER($AN$342),$B$294=1),$AN$342,HLOOKUP(INDIRECT(ADDRESS(2,COLUMN())),OFFSET($BN$2,0,0,ROW()-1,60),ROW()-1,FALSE))</f>
        <v>0</v>
      </c>
      <c r="AO22">
        <f ca="1">IF(AND(ISNUMBER($AO$342),$B$294=1),$AO$342,HLOOKUP(INDIRECT(ADDRESS(2,COLUMN())),OFFSET($BN$2,0,0,ROW()-1,60),ROW()-1,FALSE))</f>
        <v>0</v>
      </c>
      <c r="AP22">
        <f ca="1">IF(AND(ISNUMBER($AP$342),$B$294=1),$AP$342,HLOOKUP(INDIRECT(ADDRESS(2,COLUMN())),OFFSET($BN$2,0,0,ROW()-1,60),ROW()-1,FALSE))</f>
        <v>0</v>
      </c>
      <c r="AQ22" t="str">
        <f ca="1">IF(AND(ISNUMBER($AQ$342),$B$294=1),$AQ$342,HLOOKUP(INDIRECT(ADDRESS(2,COLUMN())),OFFSET($BN$2,0,0,ROW()-1,60),ROW()-1,FALSE))</f>
        <v/>
      </c>
      <c r="AR22" t="str">
        <f ca="1">IF(AND(ISNUMBER($AR$342),$B$294=1),$AR$342,HLOOKUP(INDIRECT(ADDRESS(2,COLUMN())),OFFSET($BN$2,0,0,ROW()-1,60),ROW()-1,FALSE))</f>
        <v/>
      </c>
      <c r="AS22" t="str">
        <f ca="1">IF(AND(ISNUMBER($AS$342),$B$294=1),$AS$342,HLOOKUP(INDIRECT(ADDRESS(2,COLUMN())),OFFSET($BN$2,0,0,ROW()-1,60),ROW()-1,FALSE))</f>
        <v/>
      </c>
      <c r="AT22" t="str">
        <f ca="1">IF(AND(ISNUMBER($AT$342),$B$294=1),$AT$342,HLOOKUP(INDIRECT(ADDRESS(2,COLUMN())),OFFSET($BN$2,0,0,ROW()-1,60),ROW()-1,FALSE))</f>
        <v/>
      </c>
      <c r="AU22" t="str">
        <f ca="1">IF(AND(ISNUMBER($AU$342),$B$294=1),$AU$342,HLOOKUP(INDIRECT(ADDRESS(2,COLUMN())),OFFSET($BN$2,0,0,ROW()-1,60),ROW()-1,FALSE))</f>
        <v/>
      </c>
      <c r="AV22" t="str">
        <f ca="1">IF(AND(ISNUMBER($AV$342),$B$294=1),$AV$342,HLOOKUP(INDIRECT(ADDRESS(2,COLUMN())),OFFSET($BN$2,0,0,ROW()-1,60),ROW()-1,FALSE))</f>
        <v/>
      </c>
      <c r="AW22" t="str">
        <f ca="1">IF(AND(ISNUMBER($AW$342),$B$294=1),$AW$342,HLOOKUP(INDIRECT(ADDRESS(2,COLUMN())),OFFSET($BN$2,0,0,ROW()-1,60),ROW()-1,FALSE))</f>
        <v/>
      </c>
      <c r="AX22" t="str">
        <f ca="1">IF(AND(ISNUMBER($AX$342),$B$294=1),$AX$342,HLOOKUP(INDIRECT(ADDRESS(2,COLUMN())),OFFSET($BN$2,0,0,ROW()-1,60),ROW()-1,FALSE))</f>
        <v/>
      </c>
      <c r="AY22" t="str">
        <f ca="1">IF(AND(ISNUMBER($AY$342),$B$294=1),$AY$342,HLOOKUP(INDIRECT(ADDRESS(2,COLUMN())),OFFSET($BN$2,0,0,ROW()-1,60),ROW()-1,FALSE))</f>
        <v/>
      </c>
      <c r="AZ22" t="str">
        <f ca="1">IF(AND(ISNUMBER($AZ$342),$B$294=1),$AZ$342,HLOOKUP(INDIRECT(ADDRESS(2,COLUMN())),OFFSET($BN$2,0,0,ROW()-1,60),ROW()-1,FALSE))</f>
        <v/>
      </c>
      <c r="BA22" t="str">
        <f ca="1">IF(AND(ISNUMBER($BA$342),$B$294=1),$BA$342,HLOOKUP(INDIRECT(ADDRESS(2,COLUMN())),OFFSET($BN$2,0,0,ROW()-1,60),ROW()-1,FALSE))</f>
        <v/>
      </c>
      <c r="BB22" t="str">
        <f ca="1">IF(AND(ISNUMBER($BB$342),$B$294=1),$BB$342,HLOOKUP(INDIRECT(ADDRESS(2,COLUMN())),OFFSET($BN$2,0,0,ROW()-1,60),ROW()-1,FALSE))</f>
        <v/>
      </c>
      <c r="BC22" t="str">
        <f ca="1">IF(AND(ISNUMBER($BC$342),$B$294=1),$BC$342,HLOOKUP(INDIRECT(ADDRESS(2,COLUMN())),OFFSET($BN$2,0,0,ROW()-1,60),ROW()-1,FALSE))</f>
        <v/>
      </c>
      <c r="BD22" t="str">
        <f ca="1">IF(AND(ISNUMBER($BD$342),$B$294=1),$BD$342,HLOOKUP(INDIRECT(ADDRESS(2,COLUMN())),OFFSET($BN$2,0,0,ROW()-1,60),ROW()-1,FALSE))</f>
        <v/>
      </c>
      <c r="BE22" t="str">
        <f ca="1">IF(AND(ISNUMBER($BE$342),$B$294=1),$BE$342,HLOOKUP(INDIRECT(ADDRESS(2,COLUMN())),OFFSET($BN$2,0,0,ROW()-1,60),ROW()-1,FALSE))</f>
        <v/>
      </c>
      <c r="BF22" t="str">
        <f ca="1">IF(AND(ISNUMBER($BF$342),$B$294=1),$BF$342,HLOOKUP(INDIRECT(ADDRESS(2,COLUMN())),OFFSET($BN$2,0,0,ROW()-1,60),ROW()-1,FALSE))</f>
        <v/>
      </c>
      <c r="BG22" t="str">
        <f ca="1">IF(AND(ISNUMBER($BG$342),$B$294=1),$BG$342,HLOOKUP(INDIRECT(ADDRESS(2,COLUMN())),OFFSET($BN$2,0,0,ROW()-1,60),ROW()-1,FALSE))</f>
        <v/>
      </c>
      <c r="BH22" t="str">
        <f ca="1">IF(AND(ISNUMBER($BH$342),$B$294=1),$BH$342,HLOOKUP(INDIRECT(ADDRESS(2,COLUMN())),OFFSET($BN$2,0,0,ROW()-1,60),ROW()-1,FALSE))</f>
        <v/>
      </c>
      <c r="BI22" t="str">
        <f ca="1">IF(AND(ISNUMBER($BI$342),$B$294=1),$BI$342,HLOOKUP(INDIRECT(ADDRESS(2,COLUMN())),OFFSET($BN$2,0,0,ROW()-1,60),ROW()-1,FALSE))</f>
        <v/>
      </c>
      <c r="BJ22" t="str">
        <f ca="1">IF(AND(ISNUMBER($BJ$342),$B$294=1),$BJ$342,HLOOKUP(INDIRECT(ADDRESS(2,COLUMN())),OFFSET($BN$2,0,0,ROW()-1,60),ROW()-1,FALSE))</f>
        <v/>
      </c>
      <c r="BK22" t="str">
        <f ca="1">IF(AND(ISNUMBER($BK$342),$B$294=1),$BK$342,HLOOKUP(INDIRECT(ADDRESS(2,COLUMN())),OFFSET($BN$2,0,0,ROW()-1,60),ROW()-1,FALSE))</f>
        <v/>
      </c>
      <c r="BL22" t="str">
        <f ca="1">IF(AND(ISNUMBER($BL$342),$B$294=1),$BL$342,HLOOKUP(INDIRECT(ADDRESS(2,COLUMN())),OFFSET($BN$2,0,0,ROW()-1,60),ROW()-1,FALSE))</f>
        <v/>
      </c>
      <c r="BM22" t="str">
        <f ca="1">IF(AND(ISNUMBER($BM$342),$B$294=1),$BM$342,HLOOKUP(INDIRECT(ADDRESS(2,COLUMN())),OFFSET($BN$2,0,0,ROW()-1,60),ROW()-1,FALSE))</f>
        <v/>
      </c>
      <c r="BN22" t="str">
        <f>""</f>
        <v/>
      </c>
      <c r="BO22">
        <f>5.223</f>
        <v>5.2229999999999999</v>
      </c>
      <c r="BP22">
        <f>5.766</f>
        <v>5.766</v>
      </c>
      <c r="BQ22">
        <f>5.052</f>
        <v>5.0519999999999996</v>
      </c>
      <c r="BR22">
        <f>4.229</f>
        <v>4.2290000000000001</v>
      </c>
      <c r="BS22">
        <f>3.499</f>
        <v>3.4990000000000001</v>
      </c>
      <c r="BT22">
        <f>3.443</f>
        <v>3.4430000000000001</v>
      </c>
      <c r="BU22">
        <f>3.532</f>
        <v>3.532</v>
      </c>
      <c r="BV22">
        <f>3.156</f>
        <v>3.1560000000000001</v>
      </c>
      <c r="BW22">
        <f>2.983</f>
        <v>2.9830000000000001</v>
      </c>
      <c r="BX22">
        <f>2.749</f>
        <v>2.7490000000000001</v>
      </c>
      <c r="BY22">
        <f>2.85</f>
        <v>2.85</v>
      </c>
      <c r="BZ22">
        <f>2.542</f>
        <v>2.5419999999999998</v>
      </c>
      <c r="CA22">
        <f>2.502</f>
        <v>2.5019999999999998</v>
      </c>
      <c r="CB22">
        <f>2.255</f>
        <v>2.2549999999999999</v>
      </c>
      <c r="CC22">
        <f>2.236</f>
        <v>2.2360000000000002</v>
      </c>
      <c r="CD22">
        <f>2.114</f>
        <v>2.1139999999999999</v>
      </c>
      <c r="CE22">
        <f>2.209</f>
        <v>2.2090000000000001</v>
      </c>
      <c r="CF22">
        <f>1.642</f>
        <v>1.6419999999999999</v>
      </c>
      <c r="CG22">
        <f>1.597</f>
        <v>1.597</v>
      </c>
      <c r="CH22">
        <f>1.392</f>
        <v>1.3919999999999999</v>
      </c>
      <c r="CI22">
        <f>0</f>
        <v>0</v>
      </c>
      <c r="CJ22">
        <f>1.427</f>
        <v>1.427</v>
      </c>
      <c r="CK22">
        <f>1.53</f>
        <v>1.53</v>
      </c>
      <c r="CL22">
        <f>1.611</f>
        <v>1.611</v>
      </c>
      <c r="CM22">
        <f>0</f>
        <v>0</v>
      </c>
      <c r="CN22">
        <f>0</f>
        <v>0</v>
      </c>
      <c r="CO22">
        <f>0</f>
        <v>0</v>
      </c>
      <c r="CP22">
        <f>0</f>
        <v>0</v>
      </c>
      <c r="CQ22">
        <f>0</f>
        <v>0</v>
      </c>
      <c r="CR22">
        <f>0</f>
        <v>0</v>
      </c>
      <c r="CS22">
        <f>0</f>
        <v>0</v>
      </c>
      <c r="CT22">
        <f>0</f>
        <v>0</v>
      </c>
      <c r="CU22">
        <f>0</f>
        <v>0</v>
      </c>
      <c r="CV22">
        <f>0</f>
        <v>0</v>
      </c>
      <c r="CW22">
        <f>0</f>
        <v>0</v>
      </c>
      <c r="CX22">
        <f>0</f>
        <v>0</v>
      </c>
      <c r="CY22" t="str">
        <f>""</f>
        <v/>
      </c>
      <c r="CZ22" t="str">
        <f>""</f>
        <v/>
      </c>
      <c r="DA22" t="str">
        <f>""</f>
        <v/>
      </c>
      <c r="DB22" t="str">
        <f>""</f>
        <v/>
      </c>
      <c r="DC22" t="str">
        <f>""</f>
        <v/>
      </c>
      <c r="DD22" t="str">
        <f>""</f>
        <v/>
      </c>
      <c r="DE22" t="str">
        <f>""</f>
        <v/>
      </c>
      <c r="DF22" t="str">
        <f>""</f>
        <v/>
      </c>
      <c r="DG22" t="str">
        <f>""</f>
        <v/>
      </c>
      <c r="DH22" t="str">
        <f>""</f>
        <v/>
      </c>
      <c r="DI22" t="str">
        <f>""</f>
        <v/>
      </c>
      <c r="DJ22" t="str">
        <f>""</f>
        <v/>
      </c>
      <c r="DK22" t="str">
        <f>""</f>
        <v/>
      </c>
      <c r="DL22" t="str">
        <f>""</f>
        <v/>
      </c>
      <c r="DM22" t="str">
        <f>""</f>
        <v/>
      </c>
      <c r="DN22" t="str">
        <f>""</f>
        <v/>
      </c>
      <c r="DO22" t="str">
        <f>""</f>
        <v/>
      </c>
      <c r="DP22" t="str">
        <f>""</f>
        <v/>
      </c>
      <c r="DQ22" t="str">
        <f>""</f>
        <v/>
      </c>
      <c r="DR22" t="str">
        <f>""</f>
        <v/>
      </c>
      <c r="DS22" t="str">
        <f>""</f>
        <v/>
      </c>
      <c r="DT22" t="str">
        <f>""</f>
        <v/>
      </c>
      <c r="DU22" t="str">
        <f>""</f>
        <v/>
      </c>
    </row>
    <row r="23" spans="1:125">
      <c r="A23" t="str">
        <f>"    Piedmont Office Realty Trust I"</f>
        <v xml:space="preserve">    Piedmont Office Realty Trust I</v>
      </c>
      <c r="B23" t="str">
        <f>"PDM US Equity"</f>
        <v>PDM US Equity</v>
      </c>
      <c r="C23" t="str">
        <f t="shared" si="3"/>
        <v>IM275</v>
      </c>
      <c r="D23" t="str">
        <f t="shared" si="4"/>
        <v>IS_OTHER_RENTAL_INCOME</v>
      </c>
      <c r="E23" t="str">
        <f t="shared" si="5"/>
        <v>动态</v>
      </c>
      <c r="F23" t="str">
        <f ca="1">IF(AND(ISNUMBER($F$343),$B$294=1),$F$343,HLOOKUP(INDIRECT(ADDRESS(2,COLUMN())),OFFSET($BN$2,0,0,ROW()-1,60),ROW()-1,FALSE))</f>
        <v/>
      </c>
      <c r="G23">
        <f ca="1">IF(AND(ISNUMBER($G$343),$B$294=1),$G$343,HLOOKUP(INDIRECT(ADDRESS(2,COLUMN())),OFFSET($BN$2,0,0,ROW()-1,60),ROW()-1,FALSE))</f>
        <v>114.729</v>
      </c>
      <c r="H23">
        <f ca="1">IF(AND(ISNUMBER($H$343),$B$294=1),$H$343,HLOOKUP(INDIRECT(ADDRESS(2,COLUMN())),OFFSET($BN$2,0,0,ROW()-1,60),ROW()-1,FALSE))</f>
        <v>113.35</v>
      </c>
      <c r="I23">
        <f ca="1">IF(AND(ISNUMBER($I$343),$B$294=1),$I$343,HLOOKUP(INDIRECT(ADDRESS(2,COLUMN())),OFFSET($BN$2,0,0,ROW()-1,60),ROW()-1,FALSE))</f>
        <v>124.248</v>
      </c>
      <c r="J23">
        <f ca="1">IF(AND(ISNUMBER($J$343),$B$294=1),$J$343,HLOOKUP(INDIRECT(ADDRESS(2,COLUMN())),OFFSET($BN$2,0,0,ROW()-1,60),ROW()-1,FALSE))</f>
        <v>123.45</v>
      </c>
      <c r="K23">
        <f ca="1">IF(AND(ISNUMBER($K$343),$B$294=1),$K$343,HLOOKUP(INDIRECT(ADDRESS(2,COLUMN())),OFFSET($BN$2,0,0,ROW()-1,60),ROW()-1,FALSE))</f>
        <v>119.56399999999999</v>
      </c>
      <c r="L23">
        <f ca="1">IF(AND(ISNUMBER($L$343),$B$294=1),$L$343,HLOOKUP(INDIRECT(ADDRESS(2,COLUMN())),OFFSET($BN$2,0,0,ROW()-1,60),ROW()-1,FALSE))</f>
        <v>113.821</v>
      </c>
      <c r="M23">
        <f ca="1">IF(AND(ISNUMBER($M$343),$B$294=1),$M$343,HLOOKUP(INDIRECT(ADDRESS(2,COLUMN())),OFFSET($BN$2,0,0,ROW()-1,60),ROW()-1,FALSE))</f>
        <v>111.767</v>
      </c>
      <c r="N23">
        <f ca="1">IF(AND(ISNUMBER($N$343),$B$294=1),$N$343,HLOOKUP(INDIRECT(ADDRESS(2,COLUMN())),OFFSET($BN$2,0,0,ROW()-1,60),ROW()-1,FALSE))</f>
        <v>114.738</v>
      </c>
      <c r="O23">
        <f ca="1">IF(AND(ISNUMBER($O$343),$B$294=1),$O$343,HLOOKUP(INDIRECT(ADDRESS(2,COLUMN())),OFFSET($BN$2,0,0,ROW()-1,60),ROW()-1,FALSE))</f>
        <v>115.617</v>
      </c>
      <c r="P23">
        <f ca="1">IF(AND(ISNUMBER($P$343),$B$294=1),$P$343,HLOOKUP(INDIRECT(ADDRESS(2,COLUMN())),OFFSET($BN$2,0,0,ROW()-1,60),ROW()-1,FALSE))</f>
        <v>117.994</v>
      </c>
      <c r="Q23">
        <f ca="1">IF(AND(ISNUMBER($Q$343),$B$294=1),$Q$343,HLOOKUP(INDIRECT(ADDRESS(2,COLUMN())),OFFSET($BN$2,0,0,ROW()-1,60),ROW()-1,FALSE))</f>
        <v>117.45399999999999</v>
      </c>
      <c r="R23">
        <f ca="1">IF(AND(ISNUMBER($R$343),$B$294=1),$R$343,HLOOKUP(INDIRECT(ADDRESS(2,COLUMN())),OFFSET($BN$2,0,0,ROW()-1,60),ROW()-1,FALSE))</f>
        <v>117.807</v>
      </c>
      <c r="S23">
        <f ca="1">IF(AND(ISNUMBER($S$343),$B$294=1),$S$343,HLOOKUP(INDIRECT(ADDRESS(2,COLUMN())),OFFSET($BN$2,0,0,ROW()-1,60),ROW()-1,FALSE))</f>
        <v>115.91500000000001</v>
      </c>
      <c r="T23">
        <f ca="1">IF(AND(ISNUMBER($T$343),$B$294=1),$T$343,HLOOKUP(INDIRECT(ADDRESS(2,COLUMN())),OFFSET($BN$2,0,0,ROW()-1,60),ROW()-1,FALSE))</f>
        <v>114.529</v>
      </c>
      <c r="U23">
        <f ca="1">IF(AND(ISNUMBER($U$343),$B$294=1),$U$343,HLOOKUP(INDIRECT(ADDRESS(2,COLUMN())),OFFSET($BN$2,0,0,ROW()-1,60),ROW()-1,FALSE))</f>
        <v>113.28700000000001</v>
      </c>
      <c r="V23">
        <f ca="1">IF(AND(ISNUMBER($V$343),$B$294=1),$V$343,HLOOKUP(INDIRECT(ADDRESS(2,COLUMN())),OFFSET($BN$2,0,0,ROW()-1,60),ROW()-1,FALSE))</f>
        <v>110.904</v>
      </c>
      <c r="W23">
        <f ca="1">IF(AND(ISNUMBER($W$343),$B$294=1),$W$343,HLOOKUP(INDIRECT(ADDRESS(2,COLUMN())),OFFSET($BN$2,0,0,ROW()-1,60),ROW()-1,FALSE))</f>
        <v>113.929</v>
      </c>
      <c r="X23">
        <f ca="1">IF(AND(ISNUMBER($X$343),$B$294=1),$X$343,HLOOKUP(INDIRECT(ADDRESS(2,COLUMN())),OFFSET($BN$2,0,0,ROW()-1,60),ROW()-1,FALSE))</f>
        <v>115.17</v>
      </c>
      <c r="Y23">
        <f ca="1">IF(AND(ISNUMBER($Y$343),$B$294=1),$Y$343,HLOOKUP(INDIRECT(ADDRESS(2,COLUMN())),OFFSET($BN$2,0,0,ROW()-1,60),ROW()-1,FALSE))</f>
        <v>107.95099999999999</v>
      </c>
      <c r="Z23">
        <f ca="1">IF(AND(ISNUMBER($Z$343),$B$294=1),$Z$343,HLOOKUP(INDIRECT(ADDRESS(2,COLUMN())),OFFSET($BN$2,0,0,ROW()-1,60),ROW()-1,FALSE))</f>
        <v>106.05500000000001</v>
      </c>
      <c r="AA23">
        <f ca="1">IF(AND(ISNUMBER($AA$343),$B$294=1),$AA$343,HLOOKUP(INDIRECT(ADDRESS(2,COLUMN())),OFFSET($BN$2,0,0,ROW()-1,60),ROW()-1,FALSE))</f>
        <v>105.26</v>
      </c>
      <c r="AB23">
        <f ca="1">IF(AND(ISNUMBER($AB$343),$B$294=1),$AB$343,HLOOKUP(INDIRECT(ADDRESS(2,COLUMN())),OFFSET($BN$2,0,0,ROW()-1,60),ROW()-1,FALSE))</f>
        <v>104.94799999999999</v>
      </c>
      <c r="AC23">
        <f ca="1">IF(AND(ISNUMBER($AC$343),$B$294=1),$AC$343,HLOOKUP(INDIRECT(ADDRESS(2,COLUMN())),OFFSET($BN$2,0,0,ROW()-1,60),ROW()-1,FALSE))</f>
        <v>104.241</v>
      </c>
      <c r="AD23">
        <f ca="1">IF(AND(ISNUMBER($AD$343),$B$294=1),$AD$343,HLOOKUP(INDIRECT(ADDRESS(2,COLUMN())),OFFSET($BN$2,0,0,ROW()-1,60),ROW()-1,FALSE))</f>
        <v>103.999</v>
      </c>
      <c r="AE23">
        <f ca="1">IF(AND(ISNUMBER($AE$343),$B$294=1),$AE$343,HLOOKUP(INDIRECT(ADDRESS(2,COLUMN())),OFFSET($BN$2,0,0,ROW()-1,60),ROW()-1,FALSE))</f>
        <v>105.96299999999999</v>
      </c>
      <c r="AF23">
        <f ca="1">IF(AND(ISNUMBER($AF$343),$B$294=1),$AF$343,HLOOKUP(INDIRECT(ADDRESS(2,COLUMN())),OFFSET($BN$2,0,0,ROW()-1,60),ROW()-1,FALSE))</f>
        <v>104.134</v>
      </c>
      <c r="AG23">
        <f ca="1">IF(AND(ISNUMBER($AG$343),$B$294=1),$AG$343,HLOOKUP(INDIRECT(ADDRESS(2,COLUMN())),OFFSET($BN$2,0,0,ROW()-1,60),ROW()-1,FALSE))</f>
        <v>104.55200000000001</v>
      </c>
      <c r="AH23">
        <f ca="1">IF(AND(ISNUMBER($AH$343),$B$294=1),$AH$343,HLOOKUP(INDIRECT(ADDRESS(2,COLUMN())),OFFSET($BN$2,0,0,ROW()-1,60),ROW()-1,FALSE))</f>
        <v>103.726</v>
      </c>
      <c r="AI23">
        <f ca="1">IF(AND(ISNUMBER($AI$343),$B$294=1),$AI$343,HLOOKUP(INDIRECT(ADDRESS(2,COLUMN())),OFFSET($BN$2,0,0,ROW()-1,60),ROW()-1,FALSE))</f>
        <v>103.59099999999999</v>
      </c>
      <c r="AJ23">
        <f ca="1">IF(AND(ISNUMBER($AJ$343),$B$294=1),$AJ$343,HLOOKUP(INDIRECT(ADDRESS(2,COLUMN())),OFFSET($BN$2,0,0,ROW()-1,60),ROW()-1,FALSE))</f>
        <v>106.327</v>
      </c>
      <c r="AK23">
        <f ca="1">IF(AND(ISNUMBER($AK$343),$B$294=1),$AK$343,HLOOKUP(INDIRECT(ADDRESS(2,COLUMN())),OFFSET($BN$2,0,0,ROW()-1,60),ROW()-1,FALSE))</f>
        <v>110.52800000000001</v>
      </c>
      <c r="AL23">
        <f ca="1">IF(AND(ISNUMBER($AL$343),$B$294=1),$AL$343,HLOOKUP(INDIRECT(ADDRESS(2,COLUMN())),OFFSET($BN$2,0,0,ROW()-1,60),ROW()-1,FALSE))</f>
        <v>111.008</v>
      </c>
      <c r="AM23">
        <f ca="1">IF(AND(ISNUMBER($AM$343),$B$294=1),$AM$343,HLOOKUP(INDIRECT(ADDRESS(2,COLUMN())),OFFSET($BN$2,0,0,ROW()-1,60),ROW()-1,FALSE))</f>
        <v>112.387</v>
      </c>
      <c r="AN23">
        <f ca="1">IF(AND(ISNUMBER($AN$343),$B$294=1),$AN$343,HLOOKUP(INDIRECT(ADDRESS(2,COLUMN())),OFFSET($BN$2,0,0,ROW()-1,60),ROW()-1,FALSE))</f>
        <v>111.28</v>
      </c>
      <c r="AO23">
        <f ca="1">IF(AND(ISNUMBER($AO$343),$B$294=1),$AO$343,HLOOKUP(INDIRECT(ADDRESS(2,COLUMN())),OFFSET($BN$2,0,0,ROW()-1,60),ROW()-1,FALSE))</f>
        <v>111.182</v>
      </c>
      <c r="AP23">
        <f ca="1">IF(AND(ISNUMBER($AP$343),$B$294=1),$AP$343,HLOOKUP(INDIRECT(ADDRESS(2,COLUMN())),OFFSET($BN$2,0,0,ROW()-1,60),ROW()-1,FALSE))</f>
        <v>112.946</v>
      </c>
      <c r="AQ23" t="str">
        <f ca="1">IF(AND(ISNUMBER($AQ$343),$B$294=1),$AQ$343,HLOOKUP(INDIRECT(ADDRESS(2,COLUMN())),OFFSET($BN$2,0,0,ROW()-1,60),ROW()-1,FALSE))</f>
        <v/>
      </c>
      <c r="AR23" t="str">
        <f ca="1">IF(AND(ISNUMBER($AR$343),$B$294=1),$AR$343,HLOOKUP(INDIRECT(ADDRESS(2,COLUMN())),OFFSET($BN$2,0,0,ROW()-1,60),ROW()-1,FALSE))</f>
        <v/>
      </c>
      <c r="AS23" t="str">
        <f ca="1">IF(AND(ISNUMBER($AS$343),$B$294=1),$AS$343,HLOOKUP(INDIRECT(ADDRESS(2,COLUMN())),OFFSET($BN$2,0,0,ROW()-1,60),ROW()-1,FALSE))</f>
        <v/>
      </c>
      <c r="AT23" t="str">
        <f ca="1">IF(AND(ISNUMBER($AT$343),$B$294=1),$AT$343,HLOOKUP(INDIRECT(ADDRESS(2,COLUMN())),OFFSET($BN$2,0,0,ROW()-1,60),ROW()-1,FALSE))</f>
        <v/>
      </c>
      <c r="AU23" t="str">
        <f ca="1">IF(AND(ISNUMBER($AU$343),$B$294=1),$AU$343,HLOOKUP(INDIRECT(ADDRESS(2,COLUMN())),OFFSET($BN$2,0,0,ROW()-1,60),ROW()-1,FALSE))</f>
        <v/>
      </c>
      <c r="AV23" t="str">
        <f ca="1">IF(AND(ISNUMBER($AV$343),$B$294=1),$AV$343,HLOOKUP(INDIRECT(ADDRESS(2,COLUMN())),OFFSET($BN$2,0,0,ROW()-1,60),ROW()-1,FALSE))</f>
        <v/>
      </c>
      <c r="AW23" t="str">
        <f ca="1">IF(AND(ISNUMBER($AW$343),$B$294=1),$AW$343,HLOOKUP(INDIRECT(ADDRESS(2,COLUMN())),OFFSET($BN$2,0,0,ROW()-1,60),ROW()-1,FALSE))</f>
        <v/>
      </c>
      <c r="AX23" t="str">
        <f ca="1">IF(AND(ISNUMBER($AX$343),$B$294=1),$AX$343,HLOOKUP(INDIRECT(ADDRESS(2,COLUMN())),OFFSET($BN$2,0,0,ROW()-1,60),ROW()-1,FALSE))</f>
        <v/>
      </c>
      <c r="AY23" t="str">
        <f ca="1">IF(AND(ISNUMBER($AY$343),$B$294=1),$AY$343,HLOOKUP(INDIRECT(ADDRESS(2,COLUMN())),OFFSET($BN$2,0,0,ROW()-1,60),ROW()-1,FALSE))</f>
        <v/>
      </c>
      <c r="AZ23" t="str">
        <f ca="1">IF(AND(ISNUMBER($AZ$343),$B$294=1),$AZ$343,HLOOKUP(INDIRECT(ADDRESS(2,COLUMN())),OFFSET($BN$2,0,0,ROW()-1,60),ROW()-1,FALSE))</f>
        <v/>
      </c>
      <c r="BA23" t="str">
        <f ca="1">IF(AND(ISNUMBER($BA$343),$B$294=1),$BA$343,HLOOKUP(INDIRECT(ADDRESS(2,COLUMN())),OFFSET($BN$2,0,0,ROW()-1,60),ROW()-1,FALSE))</f>
        <v/>
      </c>
      <c r="BB23" t="str">
        <f ca="1">IF(AND(ISNUMBER($BB$343),$B$294=1),$BB$343,HLOOKUP(INDIRECT(ADDRESS(2,COLUMN())),OFFSET($BN$2,0,0,ROW()-1,60),ROW()-1,FALSE))</f>
        <v/>
      </c>
      <c r="BC23" t="str">
        <f ca="1">IF(AND(ISNUMBER($BC$343),$B$294=1),$BC$343,HLOOKUP(INDIRECT(ADDRESS(2,COLUMN())),OFFSET($BN$2,0,0,ROW()-1,60),ROW()-1,FALSE))</f>
        <v/>
      </c>
      <c r="BD23" t="str">
        <f ca="1">IF(AND(ISNUMBER($BD$343),$B$294=1),$BD$343,HLOOKUP(INDIRECT(ADDRESS(2,COLUMN())),OFFSET($BN$2,0,0,ROW()-1,60),ROW()-1,FALSE))</f>
        <v/>
      </c>
      <c r="BE23" t="str">
        <f ca="1">IF(AND(ISNUMBER($BE$343),$B$294=1),$BE$343,HLOOKUP(INDIRECT(ADDRESS(2,COLUMN())),OFFSET($BN$2,0,0,ROW()-1,60),ROW()-1,FALSE))</f>
        <v/>
      </c>
      <c r="BF23" t="str">
        <f ca="1">IF(AND(ISNUMBER($BF$343),$B$294=1),$BF$343,HLOOKUP(INDIRECT(ADDRESS(2,COLUMN())),OFFSET($BN$2,0,0,ROW()-1,60),ROW()-1,FALSE))</f>
        <v/>
      </c>
      <c r="BG23" t="str">
        <f ca="1">IF(AND(ISNUMBER($BG$343),$B$294=1),$BG$343,HLOOKUP(INDIRECT(ADDRESS(2,COLUMN())),OFFSET($BN$2,0,0,ROW()-1,60),ROW()-1,FALSE))</f>
        <v/>
      </c>
      <c r="BH23" t="str">
        <f ca="1">IF(AND(ISNUMBER($BH$343),$B$294=1),$BH$343,HLOOKUP(INDIRECT(ADDRESS(2,COLUMN())),OFFSET($BN$2,0,0,ROW()-1,60),ROW()-1,FALSE))</f>
        <v/>
      </c>
      <c r="BI23" t="str">
        <f ca="1">IF(AND(ISNUMBER($BI$343),$B$294=1),$BI$343,HLOOKUP(INDIRECT(ADDRESS(2,COLUMN())),OFFSET($BN$2,0,0,ROW()-1,60),ROW()-1,FALSE))</f>
        <v/>
      </c>
      <c r="BJ23" t="str">
        <f ca="1">IF(AND(ISNUMBER($BJ$343),$B$294=1),$BJ$343,HLOOKUP(INDIRECT(ADDRESS(2,COLUMN())),OFFSET($BN$2,0,0,ROW()-1,60),ROW()-1,FALSE))</f>
        <v/>
      </c>
      <c r="BK23" t="str">
        <f ca="1">IF(AND(ISNUMBER($BK$343),$B$294=1),$BK$343,HLOOKUP(INDIRECT(ADDRESS(2,COLUMN())),OFFSET($BN$2,0,0,ROW()-1,60),ROW()-1,FALSE))</f>
        <v/>
      </c>
      <c r="BL23" t="str">
        <f ca="1">IF(AND(ISNUMBER($BL$343),$B$294=1),$BL$343,HLOOKUP(INDIRECT(ADDRESS(2,COLUMN())),OFFSET($BN$2,0,0,ROW()-1,60),ROW()-1,FALSE))</f>
        <v/>
      </c>
      <c r="BM23" t="str">
        <f ca="1">IF(AND(ISNUMBER($BM$343),$B$294=1),$BM$343,HLOOKUP(INDIRECT(ADDRESS(2,COLUMN())),OFFSET($BN$2,0,0,ROW()-1,60),ROW()-1,FALSE))</f>
        <v/>
      </c>
      <c r="BN23" t="str">
        <f>""</f>
        <v/>
      </c>
      <c r="BO23">
        <f>114.729</f>
        <v>114.729</v>
      </c>
      <c r="BP23">
        <f>113.35</f>
        <v>113.35</v>
      </c>
      <c r="BQ23">
        <f>124.248</f>
        <v>124.248</v>
      </c>
      <c r="BR23">
        <f>123.45</f>
        <v>123.45</v>
      </c>
      <c r="BS23">
        <f>119.564</f>
        <v>119.56399999999999</v>
      </c>
      <c r="BT23">
        <f>113.821</f>
        <v>113.821</v>
      </c>
      <c r="BU23">
        <f>111.767</f>
        <v>111.767</v>
      </c>
      <c r="BV23">
        <f>114.738</f>
        <v>114.738</v>
      </c>
      <c r="BW23">
        <f>115.617</f>
        <v>115.617</v>
      </c>
      <c r="BX23">
        <f>117.994</f>
        <v>117.994</v>
      </c>
      <c r="BY23">
        <f>117.454</f>
        <v>117.45399999999999</v>
      </c>
      <c r="BZ23">
        <f>117.807</f>
        <v>117.807</v>
      </c>
      <c r="CA23">
        <f>115.915</f>
        <v>115.91500000000001</v>
      </c>
      <c r="CB23">
        <f>114.529</f>
        <v>114.529</v>
      </c>
      <c r="CC23">
        <f>113.287</f>
        <v>113.28700000000001</v>
      </c>
      <c r="CD23">
        <f>110.904</f>
        <v>110.904</v>
      </c>
      <c r="CE23">
        <f>113.929</f>
        <v>113.929</v>
      </c>
      <c r="CF23">
        <f>115.17</f>
        <v>115.17</v>
      </c>
      <c r="CG23">
        <f>107.951</f>
        <v>107.95099999999999</v>
      </c>
      <c r="CH23">
        <f>106.055</f>
        <v>106.05500000000001</v>
      </c>
      <c r="CI23">
        <f>105.26</f>
        <v>105.26</v>
      </c>
      <c r="CJ23">
        <f>104.948</f>
        <v>104.94799999999999</v>
      </c>
      <c r="CK23">
        <f>104.241</f>
        <v>104.241</v>
      </c>
      <c r="CL23">
        <f>103.999</f>
        <v>103.999</v>
      </c>
      <c r="CM23">
        <f>105.963</f>
        <v>105.96299999999999</v>
      </c>
      <c r="CN23">
        <f>104.134</f>
        <v>104.134</v>
      </c>
      <c r="CO23">
        <f>104.552</f>
        <v>104.55200000000001</v>
      </c>
      <c r="CP23">
        <f>103.726</f>
        <v>103.726</v>
      </c>
      <c r="CQ23">
        <f>103.591</f>
        <v>103.59099999999999</v>
      </c>
      <c r="CR23">
        <f>106.327</f>
        <v>106.327</v>
      </c>
      <c r="CS23">
        <f>110.528</f>
        <v>110.52800000000001</v>
      </c>
      <c r="CT23">
        <f>111.008</f>
        <v>111.008</v>
      </c>
      <c r="CU23">
        <f>112.387</f>
        <v>112.387</v>
      </c>
      <c r="CV23">
        <f>111.28</f>
        <v>111.28</v>
      </c>
      <c r="CW23">
        <f>111.182</f>
        <v>111.182</v>
      </c>
      <c r="CX23">
        <f>112.946</f>
        <v>112.946</v>
      </c>
      <c r="CY23" t="str">
        <f>""</f>
        <v/>
      </c>
      <c r="CZ23" t="str">
        <f>""</f>
        <v/>
      </c>
      <c r="DA23" t="str">
        <f>""</f>
        <v/>
      </c>
      <c r="DB23" t="str">
        <f>""</f>
        <v/>
      </c>
      <c r="DC23" t="str">
        <f>""</f>
        <v/>
      </c>
      <c r="DD23" t="str">
        <f>""</f>
        <v/>
      </c>
      <c r="DE23" t="str">
        <f>""</f>
        <v/>
      </c>
      <c r="DF23" t="str">
        <f>""</f>
        <v/>
      </c>
      <c r="DG23" t="str">
        <f>""</f>
        <v/>
      </c>
      <c r="DH23" t="str">
        <f>""</f>
        <v/>
      </c>
      <c r="DI23" t="str">
        <f>""</f>
        <v/>
      </c>
      <c r="DJ23" t="str">
        <f>""</f>
        <v/>
      </c>
      <c r="DK23" t="str">
        <f>""</f>
        <v/>
      </c>
      <c r="DL23" t="str">
        <f>""</f>
        <v/>
      </c>
      <c r="DM23" t="str">
        <f>""</f>
        <v/>
      </c>
      <c r="DN23" t="str">
        <f>""</f>
        <v/>
      </c>
      <c r="DO23" t="str">
        <f>""</f>
        <v/>
      </c>
      <c r="DP23" t="str">
        <f>""</f>
        <v/>
      </c>
      <c r="DQ23" t="str">
        <f>""</f>
        <v/>
      </c>
      <c r="DR23" t="str">
        <f>""</f>
        <v/>
      </c>
      <c r="DS23" t="str">
        <f>""</f>
        <v/>
      </c>
      <c r="DT23" t="str">
        <f>""</f>
        <v/>
      </c>
      <c r="DU23" t="str">
        <f>""</f>
        <v/>
      </c>
    </row>
    <row r="24" spans="1:125">
      <c r="A24" t="str">
        <f>"    SL Green Realty Corp"</f>
        <v xml:space="preserve">    SL Green Realty Corp</v>
      </c>
      <c r="B24" t="str">
        <f>"SLG US Equity"</f>
        <v>SLG US Equity</v>
      </c>
      <c r="C24" t="str">
        <f t="shared" si="3"/>
        <v>IM275</v>
      </c>
      <c r="D24" t="str">
        <f t="shared" si="4"/>
        <v>IS_OTHER_RENTAL_INCOME</v>
      </c>
      <c r="E24" t="str">
        <f t="shared" si="5"/>
        <v>动态</v>
      </c>
      <c r="F24" t="str">
        <f ca="1">IF(AND(ISNUMBER($F$344),$B$294=1),$F$344,HLOOKUP(INDIRECT(ADDRESS(2,COLUMN())),OFFSET($BN$2,0,0,ROW()-1,60),ROW()-1,FALSE))</f>
        <v/>
      </c>
      <c r="G24">
        <f ca="1">IF(AND(ISNUMBER($G$344),$B$294=1),$G$344,HLOOKUP(INDIRECT(ADDRESS(2,COLUMN())),OFFSET($BN$2,0,0,ROW()-1,60),ROW()-1,FALSE))</f>
        <v>265.49200000000002</v>
      </c>
      <c r="H24">
        <f ca="1">IF(AND(ISNUMBER($H$344),$B$294=1),$H$344,HLOOKUP(INDIRECT(ADDRESS(2,COLUMN())),OFFSET($BN$2,0,0,ROW()-1,60),ROW()-1,FALSE))</f>
        <v>274.76499999999999</v>
      </c>
      <c r="I24">
        <f ca="1">IF(AND(ISNUMBER($I$344),$B$294=1),$I$344,HLOOKUP(INDIRECT(ADDRESS(2,COLUMN())),OFFSET($BN$2,0,0,ROW()-1,60),ROW()-1,FALSE))</f>
        <v>279.40699999999998</v>
      </c>
      <c r="J24">
        <f ca="1">IF(AND(ISNUMBER($J$344),$B$294=1),$J$344,HLOOKUP(INDIRECT(ADDRESS(2,COLUMN())),OFFSET($BN$2,0,0,ROW()-1,60),ROW()-1,FALSE))</f>
        <v>281.32900000000001</v>
      </c>
      <c r="K24">
        <f ca="1">IF(AND(ISNUMBER($K$344),$B$294=1),$K$344,HLOOKUP(INDIRECT(ADDRESS(2,COLUMN())),OFFSET($BN$2,0,0,ROW()-1,60),ROW()-1,FALSE))</f>
        <v>279.86900000000003</v>
      </c>
      <c r="L24">
        <f ca="1">IF(AND(ISNUMBER($L$344),$B$294=1),$L$344,HLOOKUP(INDIRECT(ADDRESS(2,COLUMN())),OFFSET($BN$2,0,0,ROW()-1,60),ROW()-1,FALSE))</f>
        <v>281.48200000000003</v>
      </c>
      <c r="M24">
        <f ca="1">IF(AND(ISNUMBER($M$344),$B$294=1),$M$344,HLOOKUP(INDIRECT(ADDRESS(2,COLUMN())),OFFSET($BN$2,0,0,ROW()-1,60),ROW()-1,FALSE))</f>
        <v>416.80900000000003</v>
      </c>
      <c r="N24">
        <f ca="1">IF(AND(ISNUMBER($N$344),$B$294=1),$N$344,HLOOKUP(INDIRECT(ADDRESS(2,COLUMN())),OFFSET($BN$2,0,0,ROW()-1,60),ROW()-1,FALSE))</f>
        <v>345.60700000000003</v>
      </c>
      <c r="O24">
        <f ca="1">IF(AND(ISNUMBER($O$344),$B$294=1),$O$344,HLOOKUP(INDIRECT(ADDRESS(2,COLUMN())),OFFSET($BN$2,0,0,ROW()-1,60),ROW()-1,FALSE))</f>
        <v>319.96100000000001</v>
      </c>
      <c r="P24">
        <f ca="1">IF(AND(ISNUMBER($P$344),$B$294=1),$P$344,HLOOKUP(INDIRECT(ADDRESS(2,COLUMN())),OFFSET($BN$2,0,0,ROW()-1,60),ROW()-1,FALSE))</f>
        <v>318.46499999999997</v>
      </c>
      <c r="Q24">
        <f ca="1">IF(AND(ISNUMBER($Q$344),$B$294=1),$Q$344,HLOOKUP(INDIRECT(ADDRESS(2,COLUMN())),OFFSET($BN$2,0,0,ROW()-1,60),ROW()-1,FALSE))</f>
        <v>304.226</v>
      </c>
      <c r="R24">
        <f ca="1">IF(AND(ISNUMBER($R$344),$B$294=1),$R$344,HLOOKUP(INDIRECT(ADDRESS(2,COLUMN())),OFFSET($BN$2,0,0,ROW()-1,60),ROW()-1,FALSE))</f>
        <v>303.32900000000001</v>
      </c>
      <c r="S24">
        <f ca="1">IF(AND(ISNUMBER($S$344),$B$294=1),$S$344,HLOOKUP(INDIRECT(ADDRESS(2,COLUMN())),OFFSET($BN$2,0,0,ROW()-1,60),ROW()-1,FALSE))</f>
        <v>294.18900000000002</v>
      </c>
      <c r="T24">
        <f ca="1">IF(AND(ISNUMBER($T$344),$B$294=1),$T$344,HLOOKUP(INDIRECT(ADDRESS(2,COLUMN())),OFFSET($BN$2,0,0,ROW()-1,60),ROW()-1,FALSE))</f>
        <v>291.29300000000001</v>
      </c>
      <c r="U24">
        <f ca="1">IF(AND(ISNUMBER($U$344),$B$294=1),$U$344,HLOOKUP(INDIRECT(ADDRESS(2,COLUMN())),OFFSET($BN$2,0,0,ROW()-1,60),ROW()-1,FALSE))</f>
        <v>279.608</v>
      </c>
      <c r="V24">
        <f ca="1">IF(AND(ISNUMBER($V$344),$B$294=1),$V$344,HLOOKUP(INDIRECT(ADDRESS(2,COLUMN())),OFFSET($BN$2,0,0,ROW()-1,60),ROW()-1,FALSE))</f>
        <v>255.976</v>
      </c>
      <c r="W24">
        <f ca="1">IF(AND(ISNUMBER($W$344),$B$294=1),$W$344,HLOOKUP(INDIRECT(ADDRESS(2,COLUMN())),OFFSET($BN$2,0,0,ROW()-1,60),ROW()-1,FALSE))</f>
        <v>255.76</v>
      </c>
      <c r="X24">
        <f ca="1">IF(AND(ISNUMBER($X$344),$B$294=1),$X$344,HLOOKUP(INDIRECT(ADDRESS(2,COLUMN())),OFFSET($BN$2,0,0,ROW()-1,60),ROW()-1,FALSE))</f>
        <v>242.43899999999999</v>
      </c>
      <c r="Y24">
        <f ca="1">IF(AND(ISNUMBER($Y$344),$B$294=1),$Y$344,HLOOKUP(INDIRECT(ADDRESS(2,COLUMN())),OFFSET($BN$2,0,0,ROW()-1,60),ROW()-1,FALSE))</f>
        <v>262.74299999999999</v>
      </c>
      <c r="Z24">
        <f ca="1">IF(AND(ISNUMBER($Z$344),$B$294=1),$Z$344,HLOOKUP(INDIRECT(ADDRESS(2,COLUMN())),OFFSET($BN$2,0,0,ROW()-1,60),ROW()-1,FALSE))</f>
        <v>261.67500000000001</v>
      </c>
      <c r="AA24">
        <f ca="1">IF(AND(ISNUMBER($AA$344),$B$294=1),$AA$344,HLOOKUP(INDIRECT(ADDRESS(2,COLUMN())),OFFSET($BN$2,0,0,ROW()-1,60),ROW()-1,FALSE))</f>
        <v>264.411</v>
      </c>
      <c r="AB24">
        <f ca="1">IF(AND(ISNUMBER($AB$344),$B$294=1),$AB$344,HLOOKUP(INDIRECT(ADDRESS(2,COLUMN())),OFFSET($BN$2,0,0,ROW()-1,60),ROW()-1,FALSE))</f>
        <v>277.67599999999999</v>
      </c>
      <c r="AC24">
        <f ca="1">IF(AND(ISNUMBER($AC$344),$B$294=1),$AC$344,HLOOKUP(INDIRECT(ADDRESS(2,COLUMN())),OFFSET($BN$2,0,0,ROW()-1,60),ROW()-1,FALSE))</f>
        <v>263.83800000000002</v>
      </c>
      <c r="AD24">
        <f ca="1">IF(AND(ISNUMBER($AD$344),$B$294=1),$AD$344,HLOOKUP(INDIRECT(ADDRESS(2,COLUMN())),OFFSET($BN$2,0,0,ROW()-1,60),ROW()-1,FALSE))</f>
        <v>260.762</v>
      </c>
      <c r="AE24">
        <f ca="1">IF(AND(ISNUMBER($AE$344),$B$294=1),$AE$344,HLOOKUP(INDIRECT(ADDRESS(2,COLUMN())),OFFSET($BN$2,0,0,ROW()-1,60),ROW()-1,FALSE))</f>
        <v>253.34299999999999</v>
      </c>
      <c r="AF24">
        <f ca="1">IF(AND(ISNUMBER($AF$344),$B$294=1),$AF$344,HLOOKUP(INDIRECT(ADDRESS(2,COLUMN())),OFFSET($BN$2,0,0,ROW()-1,60),ROW()-1,FALSE))</f>
        <v>242.93799999999999</v>
      </c>
      <c r="AG24">
        <f ca="1">IF(AND(ISNUMBER($AG$344),$B$294=1),$AG$344,HLOOKUP(INDIRECT(ADDRESS(2,COLUMN())),OFFSET($BN$2,0,0,ROW()-1,60),ROW()-1,FALSE))</f>
        <v>238.63499999999999</v>
      </c>
      <c r="AH24">
        <f ca="1">IF(AND(ISNUMBER($AH$344),$B$294=1),$AH$344,HLOOKUP(INDIRECT(ADDRESS(2,COLUMN())),OFFSET($BN$2,0,0,ROW()-1,60),ROW()-1,FALSE))</f>
        <v>227.02</v>
      </c>
      <c r="AI24">
        <f ca="1">IF(AND(ISNUMBER($AI$344),$B$294=1),$AI$344,HLOOKUP(INDIRECT(ADDRESS(2,COLUMN())),OFFSET($BN$2,0,0,ROW()-1,60),ROW()-1,FALSE))</f>
        <v>201.20500000000001</v>
      </c>
      <c r="AJ24">
        <f ca="1">IF(AND(ISNUMBER($AJ$344),$B$294=1),$AJ$344,HLOOKUP(INDIRECT(ADDRESS(2,COLUMN())),OFFSET($BN$2,0,0,ROW()-1,60),ROW()-1,FALSE))</f>
        <v>195.863</v>
      </c>
      <c r="AK24">
        <f ca="1">IF(AND(ISNUMBER($AK$344),$B$294=1),$AK$344,HLOOKUP(INDIRECT(ADDRESS(2,COLUMN())),OFFSET($BN$2,0,0,ROW()-1,60),ROW()-1,FALSE))</f>
        <v>193.25200000000001</v>
      </c>
      <c r="AL24">
        <f ca="1">IF(AND(ISNUMBER($AL$344),$B$294=1),$AL$344,HLOOKUP(INDIRECT(ADDRESS(2,COLUMN())),OFFSET($BN$2,0,0,ROW()-1,60),ROW()-1,FALSE))</f>
        <v>192.21</v>
      </c>
      <c r="AM24">
        <f ca="1">IF(AND(ISNUMBER($AM$344),$B$294=1),$AM$344,HLOOKUP(INDIRECT(ADDRESS(2,COLUMN())),OFFSET($BN$2,0,0,ROW()-1,60),ROW()-1,FALSE))</f>
        <v>190.35300000000001</v>
      </c>
      <c r="AN24">
        <f ca="1">IF(AND(ISNUMBER($AN$344),$B$294=1),$AN$344,HLOOKUP(INDIRECT(ADDRESS(2,COLUMN())),OFFSET($BN$2,0,0,ROW()-1,60),ROW()-1,FALSE))</f>
        <v>189.45400000000001</v>
      </c>
      <c r="AO24">
        <f ca="1">IF(AND(ISNUMBER($AO$344),$B$294=1),$AO$344,HLOOKUP(INDIRECT(ADDRESS(2,COLUMN())),OFFSET($BN$2,0,0,ROW()-1,60),ROW()-1,FALSE))</f>
        <v>191.917</v>
      </c>
      <c r="AP24">
        <f ca="1">IF(AND(ISNUMBER($AP$344),$B$294=1),$AP$344,HLOOKUP(INDIRECT(ADDRESS(2,COLUMN())),OFFSET($BN$2,0,0,ROW()-1,60),ROW()-1,FALSE))</f>
        <v>195.62899999999999</v>
      </c>
      <c r="AQ24" t="str">
        <f ca="1">IF(AND(ISNUMBER($AQ$344),$B$294=1),$AQ$344,HLOOKUP(INDIRECT(ADDRESS(2,COLUMN())),OFFSET($BN$2,0,0,ROW()-1,60),ROW()-1,FALSE))</f>
        <v/>
      </c>
      <c r="AR24" t="str">
        <f ca="1">IF(AND(ISNUMBER($AR$344),$B$294=1),$AR$344,HLOOKUP(INDIRECT(ADDRESS(2,COLUMN())),OFFSET($BN$2,0,0,ROW()-1,60),ROW()-1,FALSE))</f>
        <v/>
      </c>
      <c r="AS24" t="str">
        <f ca="1">IF(AND(ISNUMBER($AS$344),$B$294=1),$AS$344,HLOOKUP(INDIRECT(ADDRESS(2,COLUMN())),OFFSET($BN$2,0,0,ROW()-1,60),ROW()-1,FALSE))</f>
        <v/>
      </c>
      <c r="AT24" t="str">
        <f ca="1">IF(AND(ISNUMBER($AT$344),$B$294=1),$AT$344,HLOOKUP(INDIRECT(ADDRESS(2,COLUMN())),OFFSET($BN$2,0,0,ROW()-1,60),ROW()-1,FALSE))</f>
        <v/>
      </c>
      <c r="AU24" t="str">
        <f ca="1">IF(AND(ISNUMBER($AU$344),$B$294=1),$AU$344,HLOOKUP(INDIRECT(ADDRESS(2,COLUMN())),OFFSET($BN$2,0,0,ROW()-1,60),ROW()-1,FALSE))</f>
        <v/>
      </c>
      <c r="AV24" t="str">
        <f ca="1">IF(AND(ISNUMBER($AV$344),$B$294=1),$AV$344,HLOOKUP(INDIRECT(ADDRESS(2,COLUMN())),OFFSET($BN$2,0,0,ROW()-1,60),ROW()-1,FALSE))</f>
        <v/>
      </c>
      <c r="AW24" t="str">
        <f ca="1">IF(AND(ISNUMBER($AW$344),$B$294=1),$AW$344,HLOOKUP(INDIRECT(ADDRESS(2,COLUMN())),OFFSET($BN$2,0,0,ROW()-1,60),ROW()-1,FALSE))</f>
        <v/>
      </c>
      <c r="AX24" t="str">
        <f ca="1">IF(AND(ISNUMBER($AX$344),$B$294=1),$AX$344,HLOOKUP(INDIRECT(ADDRESS(2,COLUMN())),OFFSET($BN$2,0,0,ROW()-1,60),ROW()-1,FALSE))</f>
        <v/>
      </c>
      <c r="AY24" t="str">
        <f ca="1">IF(AND(ISNUMBER($AY$344),$B$294=1),$AY$344,HLOOKUP(INDIRECT(ADDRESS(2,COLUMN())),OFFSET($BN$2,0,0,ROW()-1,60),ROW()-1,FALSE))</f>
        <v/>
      </c>
      <c r="AZ24" t="str">
        <f ca="1">IF(AND(ISNUMBER($AZ$344),$B$294=1),$AZ$344,HLOOKUP(INDIRECT(ADDRESS(2,COLUMN())),OFFSET($BN$2,0,0,ROW()-1,60),ROW()-1,FALSE))</f>
        <v/>
      </c>
      <c r="BA24" t="str">
        <f ca="1">IF(AND(ISNUMBER($BA$344),$B$294=1),$BA$344,HLOOKUP(INDIRECT(ADDRESS(2,COLUMN())),OFFSET($BN$2,0,0,ROW()-1,60),ROW()-1,FALSE))</f>
        <v/>
      </c>
      <c r="BB24" t="str">
        <f ca="1">IF(AND(ISNUMBER($BB$344),$B$294=1),$BB$344,HLOOKUP(INDIRECT(ADDRESS(2,COLUMN())),OFFSET($BN$2,0,0,ROW()-1,60),ROW()-1,FALSE))</f>
        <v/>
      </c>
      <c r="BC24" t="str">
        <f ca="1">IF(AND(ISNUMBER($BC$344),$B$294=1),$BC$344,HLOOKUP(INDIRECT(ADDRESS(2,COLUMN())),OFFSET($BN$2,0,0,ROW()-1,60),ROW()-1,FALSE))</f>
        <v/>
      </c>
      <c r="BD24" t="str">
        <f ca="1">IF(AND(ISNUMBER($BD$344),$B$294=1),$BD$344,HLOOKUP(INDIRECT(ADDRESS(2,COLUMN())),OFFSET($BN$2,0,0,ROW()-1,60),ROW()-1,FALSE))</f>
        <v/>
      </c>
      <c r="BE24" t="str">
        <f ca="1">IF(AND(ISNUMBER($BE$344),$B$294=1),$BE$344,HLOOKUP(INDIRECT(ADDRESS(2,COLUMN())),OFFSET($BN$2,0,0,ROW()-1,60),ROW()-1,FALSE))</f>
        <v/>
      </c>
      <c r="BF24" t="str">
        <f ca="1">IF(AND(ISNUMBER($BF$344),$B$294=1),$BF$344,HLOOKUP(INDIRECT(ADDRESS(2,COLUMN())),OFFSET($BN$2,0,0,ROW()-1,60),ROW()-1,FALSE))</f>
        <v/>
      </c>
      <c r="BG24" t="str">
        <f ca="1">IF(AND(ISNUMBER($BG$344),$B$294=1),$BG$344,HLOOKUP(INDIRECT(ADDRESS(2,COLUMN())),OFFSET($BN$2,0,0,ROW()-1,60),ROW()-1,FALSE))</f>
        <v/>
      </c>
      <c r="BH24" t="str">
        <f ca="1">IF(AND(ISNUMBER($BH$344),$B$294=1),$BH$344,HLOOKUP(INDIRECT(ADDRESS(2,COLUMN())),OFFSET($BN$2,0,0,ROW()-1,60),ROW()-1,FALSE))</f>
        <v/>
      </c>
      <c r="BI24" t="str">
        <f ca="1">IF(AND(ISNUMBER($BI$344),$B$294=1),$BI$344,HLOOKUP(INDIRECT(ADDRESS(2,COLUMN())),OFFSET($BN$2,0,0,ROW()-1,60),ROW()-1,FALSE))</f>
        <v/>
      </c>
      <c r="BJ24" t="str">
        <f ca="1">IF(AND(ISNUMBER($BJ$344),$B$294=1),$BJ$344,HLOOKUP(INDIRECT(ADDRESS(2,COLUMN())),OFFSET($BN$2,0,0,ROW()-1,60),ROW()-1,FALSE))</f>
        <v/>
      </c>
      <c r="BK24" t="str">
        <f ca="1">IF(AND(ISNUMBER($BK$344),$B$294=1),$BK$344,HLOOKUP(INDIRECT(ADDRESS(2,COLUMN())),OFFSET($BN$2,0,0,ROW()-1,60),ROW()-1,FALSE))</f>
        <v/>
      </c>
      <c r="BL24" t="str">
        <f ca="1">IF(AND(ISNUMBER($BL$344),$B$294=1),$BL$344,HLOOKUP(INDIRECT(ADDRESS(2,COLUMN())),OFFSET($BN$2,0,0,ROW()-1,60),ROW()-1,FALSE))</f>
        <v/>
      </c>
      <c r="BM24" t="str">
        <f ca="1">IF(AND(ISNUMBER($BM$344),$B$294=1),$BM$344,HLOOKUP(INDIRECT(ADDRESS(2,COLUMN())),OFFSET($BN$2,0,0,ROW()-1,60),ROW()-1,FALSE))</f>
        <v/>
      </c>
      <c r="BN24" t="str">
        <f>""</f>
        <v/>
      </c>
      <c r="BO24">
        <f>265.492</f>
        <v>265.49200000000002</v>
      </c>
      <c r="BP24">
        <f>274.765</f>
        <v>274.76499999999999</v>
      </c>
      <c r="BQ24">
        <f>279.407</f>
        <v>279.40699999999998</v>
      </c>
      <c r="BR24">
        <f>281.329</f>
        <v>281.32900000000001</v>
      </c>
      <c r="BS24">
        <f>279.869</f>
        <v>279.86900000000003</v>
      </c>
      <c r="BT24">
        <f>281.482</f>
        <v>281.48200000000003</v>
      </c>
      <c r="BU24">
        <f>416.809</f>
        <v>416.80900000000003</v>
      </c>
      <c r="BV24">
        <f>345.607</f>
        <v>345.60700000000003</v>
      </c>
      <c r="BW24">
        <f>319.961</f>
        <v>319.96100000000001</v>
      </c>
      <c r="BX24">
        <f>318.465</f>
        <v>318.46499999999997</v>
      </c>
      <c r="BY24">
        <f>304.226</f>
        <v>304.226</v>
      </c>
      <c r="BZ24">
        <f>303.329</f>
        <v>303.32900000000001</v>
      </c>
      <c r="CA24">
        <f>294.189</f>
        <v>294.18900000000002</v>
      </c>
      <c r="CB24">
        <f>291.293</f>
        <v>291.29300000000001</v>
      </c>
      <c r="CC24">
        <f>279.608</f>
        <v>279.608</v>
      </c>
      <c r="CD24">
        <f>255.976</f>
        <v>255.976</v>
      </c>
      <c r="CE24">
        <f>255.76</f>
        <v>255.76</v>
      </c>
      <c r="CF24">
        <f>242.439</f>
        <v>242.43899999999999</v>
      </c>
      <c r="CG24">
        <f>262.743</f>
        <v>262.74299999999999</v>
      </c>
      <c r="CH24">
        <f>261.675</f>
        <v>261.67500000000001</v>
      </c>
      <c r="CI24">
        <f>264.411</f>
        <v>264.411</v>
      </c>
      <c r="CJ24">
        <f>277.676</f>
        <v>277.67599999999999</v>
      </c>
      <c r="CK24">
        <f>263.838</f>
        <v>263.83800000000002</v>
      </c>
      <c r="CL24">
        <f>260.762</f>
        <v>260.762</v>
      </c>
      <c r="CM24">
        <f>253.343</f>
        <v>253.34299999999999</v>
      </c>
      <c r="CN24">
        <f>242.938</f>
        <v>242.93799999999999</v>
      </c>
      <c r="CO24">
        <f>238.635</f>
        <v>238.63499999999999</v>
      </c>
      <c r="CP24">
        <f>227.02</f>
        <v>227.02</v>
      </c>
      <c r="CQ24">
        <f>201.205</f>
        <v>201.20500000000001</v>
      </c>
      <c r="CR24">
        <f>195.863</f>
        <v>195.863</v>
      </c>
      <c r="CS24">
        <f>193.252</f>
        <v>193.25200000000001</v>
      </c>
      <c r="CT24">
        <f>192.21</f>
        <v>192.21</v>
      </c>
      <c r="CU24">
        <f>190.353</f>
        <v>190.35300000000001</v>
      </c>
      <c r="CV24">
        <f>189.454</f>
        <v>189.45400000000001</v>
      </c>
      <c r="CW24">
        <f>191.917</f>
        <v>191.917</v>
      </c>
      <c r="CX24">
        <f>195.629</f>
        <v>195.62899999999999</v>
      </c>
      <c r="CY24" t="str">
        <f>""</f>
        <v/>
      </c>
      <c r="CZ24" t="str">
        <f>""</f>
        <v/>
      </c>
      <c r="DA24" t="str">
        <f>""</f>
        <v/>
      </c>
      <c r="DB24" t="str">
        <f>""</f>
        <v/>
      </c>
      <c r="DC24" t="str">
        <f>""</f>
        <v/>
      </c>
      <c r="DD24" t="str">
        <f>""</f>
        <v/>
      </c>
      <c r="DE24" t="str">
        <f>""</f>
        <v/>
      </c>
      <c r="DF24" t="str">
        <f>""</f>
        <v/>
      </c>
      <c r="DG24" t="str">
        <f>""</f>
        <v/>
      </c>
      <c r="DH24" t="str">
        <f>""</f>
        <v/>
      </c>
      <c r="DI24" t="str">
        <f>""</f>
        <v/>
      </c>
      <c r="DJ24" t="str">
        <f>""</f>
        <v/>
      </c>
      <c r="DK24" t="str">
        <f>""</f>
        <v/>
      </c>
      <c r="DL24" t="str">
        <f>""</f>
        <v/>
      </c>
      <c r="DM24" t="str">
        <f>""</f>
        <v/>
      </c>
      <c r="DN24" t="str">
        <f>""</f>
        <v/>
      </c>
      <c r="DO24" t="str">
        <f>""</f>
        <v/>
      </c>
      <c r="DP24" t="str">
        <f>""</f>
        <v/>
      </c>
      <c r="DQ24" t="str">
        <f>""</f>
        <v/>
      </c>
      <c r="DR24" t="str">
        <f>""</f>
        <v/>
      </c>
      <c r="DS24" t="str">
        <f>""</f>
        <v/>
      </c>
      <c r="DT24" t="str">
        <f>""</f>
        <v/>
      </c>
      <c r="DU24" t="str">
        <f>""</f>
        <v/>
      </c>
    </row>
    <row r="25" spans="1:125">
      <c r="A25" t="str">
        <f>"    Vornado Realty Trust"</f>
        <v xml:space="preserve">    Vornado Realty Trust</v>
      </c>
      <c r="B25" t="str">
        <f>"VNO US Equity"</f>
        <v>VNO US Equity</v>
      </c>
      <c r="C25" t="str">
        <f t="shared" si="3"/>
        <v>IM275</v>
      </c>
      <c r="D25" t="str">
        <f t="shared" si="4"/>
        <v>IS_OTHER_RENTAL_INCOME</v>
      </c>
      <c r="E25" t="str">
        <f t="shared" si="5"/>
        <v>动态</v>
      </c>
      <c r="F25" t="str">
        <f ca="1">IF(AND(ISNUMBER($F$345),$B$294=1),$F$345,HLOOKUP(INDIRECT(ADDRESS(2,COLUMN())),OFFSET($BN$2,0,0,ROW()-1,60),ROW()-1,FALSE))</f>
        <v/>
      </c>
      <c r="G25">
        <f ca="1">IF(AND(ISNUMBER($G$345),$B$294=1),$G$345,HLOOKUP(INDIRECT(ADDRESS(2,COLUMN())),OFFSET($BN$2,0,0,ROW()-1,60),ROW()-1,FALSE))</f>
        <v>439.35500000000002</v>
      </c>
      <c r="H25">
        <f ca="1">IF(AND(ISNUMBER($H$345),$B$294=1),$H$345,HLOOKUP(INDIRECT(ADDRESS(2,COLUMN())),OFFSET($BN$2,0,0,ROW()-1,60),ROW()-1,FALSE))</f>
        <v>432.06200000000001</v>
      </c>
      <c r="I25">
        <f ca="1">IF(AND(ISNUMBER($I$345),$B$294=1),$I$345,HLOOKUP(INDIRECT(ADDRESS(2,COLUMN())),OFFSET($BN$2,0,0,ROW()-1,60),ROW()-1,FALSE))</f>
        <v>529.29399999999998</v>
      </c>
      <c r="J25">
        <f ca="1">IF(AND(ISNUMBER($J$345),$B$294=1),$J$345,HLOOKUP(INDIRECT(ADDRESS(2,COLUMN())),OFFSET($BN$2,0,0,ROW()-1,60),ROW()-1,FALSE))</f>
        <v>513.81799999999998</v>
      </c>
      <c r="K25">
        <f ca="1">IF(AND(ISNUMBER($K$345),$B$294=1),$K$345,HLOOKUP(INDIRECT(ADDRESS(2,COLUMN())),OFFSET($BN$2,0,0,ROW()-1,60),ROW()-1,FALSE))</f>
        <v>533.05999999999995</v>
      </c>
      <c r="L25">
        <f ca="1">IF(AND(ISNUMBER($L$345),$B$294=1),$L$345,HLOOKUP(INDIRECT(ADDRESS(2,COLUMN())),OFFSET($BN$2,0,0,ROW()-1,60),ROW()-1,FALSE))</f>
        <v>523.99800000000005</v>
      </c>
      <c r="M25">
        <f ca="1">IF(AND(ISNUMBER($M$345),$B$294=1),$M$345,HLOOKUP(INDIRECT(ADDRESS(2,COLUMN())),OFFSET($BN$2,0,0,ROW()-1,60),ROW()-1,FALSE))</f>
        <v>527.178</v>
      </c>
      <c r="N25">
        <f ca="1">IF(AND(ISNUMBER($N$345),$B$294=1),$N$345,HLOOKUP(INDIRECT(ADDRESS(2,COLUMN())),OFFSET($BN$2,0,0,ROW()-1,60),ROW()-1,FALSE))</f>
        <v>519.49199999999996</v>
      </c>
      <c r="O25">
        <f ca="1">IF(AND(ISNUMBER($O$345),$B$294=1),$O$345,HLOOKUP(INDIRECT(ADDRESS(2,COLUMN())),OFFSET($BN$2,0,0,ROW()-1,60),ROW()-1,FALSE))</f>
        <v>535.13199999999995</v>
      </c>
      <c r="P25">
        <f ca="1">IF(AND(ISNUMBER($P$345),$B$294=1),$P$345,HLOOKUP(INDIRECT(ADDRESS(2,COLUMN())),OFFSET($BN$2,0,0,ROW()-1,60),ROW()-1,FALSE))</f>
        <v>526.33699999999999</v>
      </c>
      <c r="Q25">
        <f ca="1">IF(AND(ISNUMBER($Q$345),$B$294=1),$Q$345,HLOOKUP(INDIRECT(ADDRESS(2,COLUMN())),OFFSET($BN$2,0,0,ROW()-1,60),ROW()-1,FALSE))</f>
        <v>514.84299999999996</v>
      </c>
      <c r="R25">
        <f ca="1">IF(AND(ISNUMBER($R$345),$B$294=1),$R$345,HLOOKUP(INDIRECT(ADDRESS(2,COLUMN())),OFFSET($BN$2,0,0,ROW()-1,60),ROW()-1,FALSE))</f>
        <v>500.274</v>
      </c>
      <c r="S25">
        <f ca="1">IF(AND(ISNUMBER($S$345),$B$294=1),$S$345,HLOOKUP(INDIRECT(ADDRESS(2,COLUMN())),OFFSET($BN$2,0,0,ROW()-1,60),ROW()-1,FALSE))</f>
        <v>490.87900000000002</v>
      </c>
      <c r="T25">
        <f ca="1">IF(AND(ISNUMBER($T$345),$B$294=1),$T$345,HLOOKUP(INDIRECT(ADDRESS(2,COLUMN())),OFFSET($BN$2,0,0,ROW()-1,60),ROW()-1,FALSE))</f>
        <v>474.97800000000001</v>
      </c>
      <c r="U25">
        <f ca="1">IF(AND(ISNUMBER($U$345),$B$294=1),$U$345,HLOOKUP(INDIRECT(ADDRESS(2,COLUMN())),OFFSET($BN$2,0,0,ROW()-1,60),ROW()-1,FALSE))</f>
        <v>478.49</v>
      </c>
      <c r="V25">
        <f ca="1">IF(AND(ISNUMBER($V$345),$B$294=1),$V$345,HLOOKUP(INDIRECT(ADDRESS(2,COLUMN())),OFFSET($BN$2,0,0,ROW()-1,60),ROW()-1,FALSE))</f>
        <v>467.14</v>
      </c>
      <c r="W25">
        <f ca="1">IF(AND(ISNUMBER($W$345),$B$294=1),$W$345,HLOOKUP(INDIRECT(ADDRESS(2,COLUMN())),OFFSET($BN$2,0,0,ROW()-1,60),ROW()-1,FALSE))</f>
        <v>524.95600000000002</v>
      </c>
      <c r="X25">
        <f ca="1">IF(AND(ISNUMBER($X$345),$B$294=1),$X$345,HLOOKUP(INDIRECT(ADDRESS(2,COLUMN())),OFFSET($BN$2,0,0,ROW()-1,60),ROW()-1,FALSE))</f>
        <v>526.32600000000002</v>
      </c>
      <c r="Y25">
        <f ca="1">IF(AND(ISNUMBER($Y$345),$B$294=1),$Y$345,HLOOKUP(INDIRECT(ADDRESS(2,COLUMN())),OFFSET($BN$2,0,0,ROW()-1,60),ROW()-1,FALSE))</f>
        <v>551.06399999999996</v>
      </c>
      <c r="Z25">
        <f ca="1">IF(AND(ISNUMBER($Z$345),$B$294=1),$Z$345,HLOOKUP(INDIRECT(ADDRESS(2,COLUMN())),OFFSET($BN$2,0,0,ROW()-1,60),ROW()-1,FALSE))</f>
        <v>545.93600000000004</v>
      </c>
      <c r="AA25">
        <f ca="1">IF(AND(ISNUMBER($AA$345),$B$294=1),$AA$345,HLOOKUP(INDIRECT(ADDRESS(2,COLUMN())),OFFSET($BN$2,0,0,ROW()-1,60),ROW()-1,FALSE))</f>
        <v>573.94399999999996</v>
      </c>
      <c r="AB25">
        <f ca="1">IF(AND(ISNUMBER($AB$345),$B$294=1),$AB$345,HLOOKUP(INDIRECT(ADDRESS(2,COLUMN())),OFFSET($BN$2,0,0,ROW()-1,60),ROW()-1,FALSE))</f>
        <v>584.21199999999999</v>
      </c>
      <c r="AC25">
        <f ca="1">IF(AND(ISNUMBER($AC$345),$B$294=1),$AC$345,HLOOKUP(INDIRECT(ADDRESS(2,COLUMN())),OFFSET($BN$2,0,0,ROW()-1,60),ROW()-1,FALSE))</f>
        <v>573.53700000000003</v>
      </c>
      <c r="AD25">
        <f ca="1">IF(AND(ISNUMBER($AD$345),$B$294=1),$AD$345,HLOOKUP(INDIRECT(ADDRESS(2,COLUMN())),OFFSET($BN$2,0,0,ROW()-1,60),ROW()-1,FALSE))</f>
        <v>565.16999999999996</v>
      </c>
      <c r="AE25">
        <f ca="1">IF(AND(ISNUMBER($AE$345),$B$294=1),$AE$345,HLOOKUP(INDIRECT(ADDRESS(2,COLUMN())),OFFSET($BN$2,0,0,ROW()-1,60),ROW()-1,FALSE))</f>
        <v>576.27800000000002</v>
      </c>
      <c r="AF25">
        <f ca="1">IF(AND(ISNUMBER($AF$345),$B$294=1),$AF$345,HLOOKUP(INDIRECT(ADDRESS(2,COLUMN())),OFFSET($BN$2,0,0,ROW()-1,60),ROW()-1,FALSE))</f>
        <v>565.327</v>
      </c>
      <c r="AG25">
        <f ca="1">IF(AND(ISNUMBER($AG$345),$B$294=1),$AG$345,HLOOKUP(INDIRECT(ADDRESS(2,COLUMN())),OFFSET($BN$2,0,0,ROW()-1,60),ROW()-1,FALSE))</f>
        <v>577.274</v>
      </c>
      <c r="AH25">
        <f ca="1">IF(AND(ISNUMBER($AH$345),$B$294=1),$AH$345,HLOOKUP(INDIRECT(ADDRESS(2,COLUMN())),OFFSET($BN$2,0,0,ROW()-1,60),ROW()-1,FALSE))</f>
        <v>602.95100000000002</v>
      </c>
      <c r="AI25">
        <f ca="1">IF(AND(ISNUMBER($AI$345),$B$294=1),$AI$345,HLOOKUP(INDIRECT(ADDRESS(2,COLUMN())),OFFSET($BN$2,0,0,ROW()-1,60),ROW()-1,FALSE))</f>
        <v>560.32000000000005</v>
      </c>
      <c r="AJ25">
        <f ca="1">IF(AND(ISNUMBER($AJ$345),$B$294=1),$AJ$345,HLOOKUP(INDIRECT(ADDRESS(2,COLUMN())),OFFSET($BN$2,0,0,ROW()-1,60),ROW()-1,FALSE))</f>
        <v>559.51800000000003</v>
      </c>
      <c r="AK25">
        <f ca="1">IF(AND(ISNUMBER($AK$345),$B$294=1),$AK$345,HLOOKUP(INDIRECT(ADDRESS(2,COLUMN())),OFFSET($BN$2,0,0,ROW()-1,60),ROW()-1,FALSE))</f>
        <v>565.41200000000003</v>
      </c>
      <c r="AL25">
        <f ca="1">IF(AND(ISNUMBER($AL$345),$B$294=1),$AL$345,HLOOKUP(INDIRECT(ADDRESS(2,COLUMN())),OFFSET($BN$2,0,0,ROW()-1,60),ROW()-1,FALSE))</f>
        <v>552.45699999999999</v>
      </c>
      <c r="AM25">
        <f ca="1">IF(AND(ISNUMBER($AM$345),$B$294=1),$AM$345,HLOOKUP(INDIRECT(ADDRESS(2,COLUMN())),OFFSET($BN$2,0,0,ROW()-1,60),ROW()-1,FALSE))</f>
        <v>556.91200000000003</v>
      </c>
      <c r="AN25">
        <f ca="1">IF(AND(ISNUMBER($AN$345),$B$294=1),$AN$345,HLOOKUP(INDIRECT(ADDRESS(2,COLUMN())),OFFSET($BN$2,0,0,ROW()-1,60),ROW()-1,FALSE))</f>
        <v>550.05399999999997</v>
      </c>
      <c r="AO25">
        <f ca="1">IF(AND(ISNUMBER($AO$345),$B$294=1),$AO$345,HLOOKUP(INDIRECT(ADDRESS(2,COLUMN())),OFFSET($BN$2,0,0,ROW()-1,60),ROW()-1,FALSE))</f>
        <v>554.51599999999996</v>
      </c>
      <c r="AP25">
        <f ca="1">IF(AND(ISNUMBER($AP$345),$B$294=1),$AP$345,HLOOKUP(INDIRECT(ADDRESS(2,COLUMN())),OFFSET($BN$2,0,0,ROW()-1,60),ROW()-1,FALSE))</f>
        <v>549.78700000000003</v>
      </c>
      <c r="AQ25" t="str">
        <f ca="1">IF(AND(ISNUMBER($AQ$345),$B$294=1),$AQ$345,HLOOKUP(INDIRECT(ADDRESS(2,COLUMN())),OFFSET($BN$2,0,0,ROW()-1,60),ROW()-1,FALSE))</f>
        <v/>
      </c>
      <c r="AR25" t="str">
        <f ca="1">IF(AND(ISNUMBER($AR$345),$B$294=1),$AR$345,HLOOKUP(INDIRECT(ADDRESS(2,COLUMN())),OFFSET($BN$2,0,0,ROW()-1,60),ROW()-1,FALSE))</f>
        <v/>
      </c>
      <c r="AS25" t="str">
        <f ca="1">IF(AND(ISNUMBER($AS$345),$B$294=1),$AS$345,HLOOKUP(INDIRECT(ADDRESS(2,COLUMN())),OFFSET($BN$2,0,0,ROW()-1,60),ROW()-1,FALSE))</f>
        <v/>
      </c>
      <c r="AT25" t="str">
        <f ca="1">IF(AND(ISNUMBER($AT$345),$B$294=1),$AT$345,HLOOKUP(INDIRECT(ADDRESS(2,COLUMN())),OFFSET($BN$2,0,0,ROW()-1,60),ROW()-1,FALSE))</f>
        <v/>
      </c>
      <c r="AU25" t="str">
        <f ca="1">IF(AND(ISNUMBER($AU$345),$B$294=1),$AU$345,HLOOKUP(INDIRECT(ADDRESS(2,COLUMN())),OFFSET($BN$2,0,0,ROW()-1,60),ROW()-1,FALSE))</f>
        <v/>
      </c>
      <c r="AV25" t="str">
        <f ca="1">IF(AND(ISNUMBER($AV$345),$B$294=1),$AV$345,HLOOKUP(INDIRECT(ADDRESS(2,COLUMN())),OFFSET($BN$2,0,0,ROW()-1,60),ROW()-1,FALSE))</f>
        <v/>
      </c>
      <c r="AW25" t="str">
        <f ca="1">IF(AND(ISNUMBER($AW$345),$B$294=1),$AW$345,HLOOKUP(INDIRECT(ADDRESS(2,COLUMN())),OFFSET($BN$2,0,0,ROW()-1,60),ROW()-1,FALSE))</f>
        <v/>
      </c>
      <c r="AX25" t="str">
        <f ca="1">IF(AND(ISNUMBER($AX$345),$B$294=1),$AX$345,HLOOKUP(INDIRECT(ADDRESS(2,COLUMN())),OFFSET($BN$2,0,0,ROW()-1,60),ROW()-1,FALSE))</f>
        <v/>
      </c>
      <c r="AY25" t="str">
        <f ca="1">IF(AND(ISNUMBER($AY$345),$B$294=1),$AY$345,HLOOKUP(INDIRECT(ADDRESS(2,COLUMN())),OFFSET($BN$2,0,0,ROW()-1,60),ROW()-1,FALSE))</f>
        <v/>
      </c>
      <c r="AZ25" t="str">
        <f ca="1">IF(AND(ISNUMBER($AZ$345),$B$294=1),$AZ$345,HLOOKUP(INDIRECT(ADDRESS(2,COLUMN())),OFFSET($BN$2,0,0,ROW()-1,60),ROW()-1,FALSE))</f>
        <v/>
      </c>
      <c r="BA25" t="str">
        <f ca="1">IF(AND(ISNUMBER($BA$345),$B$294=1),$BA$345,HLOOKUP(INDIRECT(ADDRESS(2,COLUMN())),OFFSET($BN$2,0,0,ROW()-1,60),ROW()-1,FALSE))</f>
        <v/>
      </c>
      <c r="BB25" t="str">
        <f ca="1">IF(AND(ISNUMBER($BB$345),$B$294=1),$BB$345,HLOOKUP(INDIRECT(ADDRESS(2,COLUMN())),OFFSET($BN$2,0,0,ROW()-1,60),ROW()-1,FALSE))</f>
        <v/>
      </c>
      <c r="BC25" t="str">
        <f ca="1">IF(AND(ISNUMBER($BC$345),$B$294=1),$BC$345,HLOOKUP(INDIRECT(ADDRESS(2,COLUMN())),OFFSET($BN$2,0,0,ROW()-1,60),ROW()-1,FALSE))</f>
        <v/>
      </c>
      <c r="BD25" t="str">
        <f ca="1">IF(AND(ISNUMBER($BD$345),$B$294=1),$BD$345,HLOOKUP(INDIRECT(ADDRESS(2,COLUMN())),OFFSET($BN$2,0,0,ROW()-1,60),ROW()-1,FALSE))</f>
        <v/>
      </c>
      <c r="BE25" t="str">
        <f ca="1">IF(AND(ISNUMBER($BE$345),$B$294=1),$BE$345,HLOOKUP(INDIRECT(ADDRESS(2,COLUMN())),OFFSET($BN$2,0,0,ROW()-1,60),ROW()-1,FALSE))</f>
        <v/>
      </c>
      <c r="BF25" t="str">
        <f ca="1">IF(AND(ISNUMBER($BF$345),$B$294=1),$BF$345,HLOOKUP(INDIRECT(ADDRESS(2,COLUMN())),OFFSET($BN$2,0,0,ROW()-1,60),ROW()-1,FALSE))</f>
        <v/>
      </c>
      <c r="BG25" t="str">
        <f ca="1">IF(AND(ISNUMBER($BG$345),$B$294=1),$BG$345,HLOOKUP(INDIRECT(ADDRESS(2,COLUMN())),OFFSET($BN$2,0,0,ROW()-1,60),ROW()-1,FALSE))</f>
        <v/>
      </c>
      <c r="BH25" t="str">
        <f ca="1">IF(AND(ISNUMBER($BH$345),$B$294=1),$BH$345,HLOOKUP(INDIRECT(ADDRESS(2,COLUMN())),OFFSET($BN$2,0,0,ROW()-1,60),ROW()-1,FALSE))</f>
        <v/>
      </c>
      <c r="BI25" t="str">
        <f ca="1">IF(AND(ISNUMBER($BI$345),$B$294=1),$BI$345,HLOOKUP(INDIRECT(ADDRESS(2,COLUMN())),OFFSET($BN$2,0,0,ROW()-1,60),ROW()-1,FALSE))</f>
        <v/>
      </c>
      <c r="BJ25" t="str">
        <f ca="1">IF(AND(ISNUMBER($BJ$345),$B$294=1),$BJ$345,HLOOKUP(INDIRECT(ADDRESS(2,COLUMN())),OFFSET($BN$2,0,0,ROW()-1,60),ROW()-1,FALSE))</f>
        <v/>
      </c>
      <c r="BK25" t="str">
        <f ca="1">IF(AND(ISNUMBER($BK$345),$B$294=1),$BK$345,HLOOKUP(INDIRECT(ADDRESS(2,COLUMN())),OFFSET($BN$2,0,0,ROW()-1,60),ROW()-1,FALSE))</f>
        <v/>
      </c>
      <c r="BL25" t="str">
        <f ca="1">IF(AND(ISNUMBER($BL$345),$B$294=1),$BL$345,HLOOKUP(INDIRECT(ADDRESS(2,COLUMN())),OFFSET($BN$2,0,0,ROW()-1,60),ROW()-1,FALSE))</f>
        <v/>
      </c>
      <c r="BM25" t="str">
        <f ca="1">IF(AND(ISNUMBER($BM$345),$B$294=1),$BM$345,HLOOKUP(INDIRECT(ADDRESS(2,COLUMN())),OFFSET($BN$2,0,0,ROW()-1,60),ROW()-1,FALSE))</f>
        <v/>
      </c>
      <c r="BN25" t="str">
        <f>""</f>
        <v/>
      </c>
      <c r="BO25">
        <f>439.355</f>
        <v>439.35500000000002</v>
      </c>
      <c r="BP25">
        <f>432.062</f>
        <v>432.06200000000001</v>
      </c>
      <c r="BQ25">
        <f>529.294</f>
        <v>529.29399999999998</v>
      </c>
      <c r="BR25">
        <f>513.818</f>
        <v>513.81799999999998</v>
      </c>
      <c r="BS25">
        <f>533.06</f>
        <v>533.05999999999995</v>
      </c>
      <c r="BT25">
        <f>523.998</f>
        <v>523.99800000000005</v>
      </c>
      <c r="BU25">
        <f>527.178</f>
        <v>527.178</v>
      </c>
      <c r="BV25">
        <f>519.492</f>
        <v>519.49199999999996</v>
      </c>
      <c r="BW25">
        <f>535.132</f>
        <v>535.13199999999995</v>
      </c>
      <c r="BX25">
        <f>526.337</f>
        <v>526.33699999999999</v>
      </c>
      <c r="BY25">
        <f>514.843</f>
        <v>514.84299999999996</v>
      </c>
      <c r="BZ25">
        <f>500.274</f>
        <v>500.274</v>
      </c>
      <c r="CA25">
        <f>490.879</f>
        <v>490.87900000000002</v>
      </c>
      <c r="CB25">
        <f>474.978</f>
        <v>474.97800000000001</v>
      </c>
      <c r="CC25">
        <f>478.49</f>
        <v>478.49</v>
      </c>
      <c r="CD25">
        <f>467.14</f>
        <v>467.14</v>
      </c>
      <c r="CE25">
        <f>524.956</f>
        <v>524.95600000000002</v>
      </c>
      <c r="CF25">
        <f>526.326</f>
        <v>526.32600000000002</v>
      </c>
      <c r="CG25">
        <f>551.064</f>
        <v>551.06399999999996</v>
      </c>
      <c r="CH25">
        <f>545.936</f>
        <v>545.93600000000004</v>
      </c>
      <c r="CI25">
        <f>573.944</f>
        <v>573.94399999999996</v>
      </c>
      <c r="CJ25">
        <f>584.212</f>
        <v>584.21199999999999</v>
      </c>
      <c r="CK25">
        <f>573.537</f>
        <v>573.53700000000003</v>
      </c>
      <c r="CL25">
        <f>565.17</f>
        <v>565.16999999999996</v>
      </c>
      <c r="CM25">
        <f>576.278</f>
        <v>576.27800000000002</v>
      </c>
      <c r="CN25">
        <f>565.327</f>
        <v>565.327</v>
      </c>
      <c r="CO25">
        <f>577.274</f>
        <v>577.274</v>
      </c>
      <c r="CP25">
        <f>602.951</f>
        <v>602.95100000000002</v>
      </c>
      <c r="CQ25">
        <f>560.32</f>
        <v>560.32000000000005</v>
      </c>
      <c r="CR25">
        <f>559.518</f>
        <v>559.51800000000003</v>
      </c>
      <c r="CS25">
        <f>565.412</f>
        <v>565.41200000000003</v>
      </c>
      <c r="CT25">
        <f>552.457</f>
        <v>552.45699999999999</v>
      </c>
      <c r="CU25">
        <f>556.912</f>
        <v>556.91200000000003</v>
      </c>
      <c r="CV25">
        <f>550.054</f>
        <v>550.05399999999997</v>
      </c>
      <c r="CW25">
        <f>554.516</f>
        <v>554.51599999999996</v>
      </c>
      <c r="CX25">
        <f>549.787</f>
        <v>549.78700000000003</v>
      </c>
      <c r="CY25" t="str">
        <f>""</f>
        <v/>
      </c>
      <c r="CZ25" t="str">
        <f>""</f>
        <v/>
      </c>
      <c r="DA25" t="str">
        <f>""</f>
        <v/>
      </c>
      <c r="DB25" t="str">
        <f>""</f>
        <v/>
      </c>
      <c r="DC25" t="str">
        <f>""</f>
        <v/>
      </c>
      <c r="DD25" t="str">
        <f>""</f>
        <v/>
      </c>
      <c r="DE25" t="str">
        <f>""</f>
        <v/>
      </c>
      <c r="DF25" t="str">
        <f>""</f>
        <v/>
      </c>
      <c r="DG25" t="str">
        <f>""</f>
        <v/>
      </c>
      <c r="DH25" t="str">
        <f>""</f>
        <v/>
      </c>
      <c r="DI25" t="str">
        <f>""</f>
        <v/>
      </c>
      <c r="DJ25" t="str">
        <f>""</f>
        <v/>
      </c>
      <c r="DK25" t="str">
        <f>""</f>
        <v/>
      </c>
      <c r="DL25" t="str">
        <f>""</f>
        <v/>
      </c>
      <c r="DM25" t="str">
        <f>""</f>
        <v/>
      </c>
      <c r="DN25" t="str">
        <f>""</f>
        <v/>
      </c>
      <c r="DO25" t="str">
        <f>""</f>
        <v/>
      </c>
      <c r="DP25" t="str">
        <f>""</f>
        <v/>
      </c>
      <c r="DQ25" t="str">
        <f>""</f>
        <v/>
      </c>
      <c r="DR25" t="str">
        <f>""</f>
        <v/>
      </c>
      <c r="DS25" t="str">
        <f>""</f>
        <v/>
      </c>
      <c r="DT25" t="str">
        <f>""</f>
        <v/>
      </c>
      <c r="DU25" t="str">
        <f>""</f>
        <v/>
      </c>
    </row>
    <row r="26" spans="1:125">
      <c r="A26" t="str">
        <f>"其他营业收入"</f>
        <v>其他营业收入</v>
      </c>
      <c r="B26" t="str">
        <f>""</f>
        <v/>
      </c>
      <c r="E26" t="str">
        <f>"Median"</f>
        <v>Median</v>
      </c>
      <c r="F26" t="str">
        <f ca="1">IF(ISERROR(IF(MEDIAN($F$27:$F$36) = 0, "", MEDIAN($F$27:$F$36))), "", (IF(MEDIAN($F$27:$F$36) = 0, "", MEDIAN($F$27:$F$36))))</f>
        <v/>
      </c>
      <c r="G26">
        <f ca="1">IF(ISERROR(IF(MEDIAN($G$27:$G$36) = 0, "", MEDIAN($G$27:$G$36))), "", (IF(MEDIAN($G$27:$G$36) = 0, "", MEDIAN($G$27:$G$36))))</f>
        <v>1.5429999999999999</v>
      </c>
      <c r="H26">
        <f ca="1">IF(ISERROR(IF(MEDIAN($H$27:$H$36) = 0, "", MEDIAN($H$27:$H$36))), "", (IF(MEDIAN($H$27:$H$36) = 0, "", MEDIAN($H$27:$H$36))))</f>
        <v>1.7195</v>
      </c>
      <c r="I26">
        <f ca="1">IF(ISERROR(IF(MEDIAN($I$27:$I$36) = 0, "", MEDIAN($I$27:$I$36))), "", (IF(MEDIAN($I$27:$I$36) = 0, "", MEDIAN($I$27:$I$36))))</f>
        <v>1.6910000000000001</v>
      </c>
      <c r="J26">
        <f ca="1">IF(ISERROR(IF(MEDIAN($J$27:$J$36) = 0, "", MEDIAN($J$27:$J$36))), "", (IF(MEDIAN($J$27:$J$36) = 0, "", MEDIAN($J$27:$J$36))))</f>
        <v>2.3514999999999997</v>
      </c>
      <c r="K26">
        <f ca="1">IF(ISERROR(IF(MEDIAN($K$27:$K$36) = 0, "", MEDIAN($K$27:$K$36))), "", (IF(MEDIAN($K$27:$K$36) = 0, "", MEDIAN($K$27:$K$36))))</f>
        <v>3.4524999999999997</v>
      </c>
      <c r="L26">
        <f ca="1">IF(ISERROR(IF(MEDIAN($L$27:$L$36) = 0, "", MEDIAN($L$27:$L$36))), "", (IF(MEDIAN($L$27:$L$36) = 0, "", MEDIAN($L$27:$L$36))))</f>
        <v>5.8364999999999991</v>
      </c>
      <c r="M26">
        <f ca="1">IF(ISERROR(IF(MEDIAN($M$27:$M$36) = 0, "", MEDIAN($M$27:$M$36))), "", (IF(MEDIAN($M$27:$M$36) = 0, "", MEDIAN($M$27:$M$36))))</f>
        <v>3.7045000000000003</v>
      </c>
      <c r="N26">
        <f ca="1">IF(ISERROR(IF(MEDIAN($N$27:$N$36) = 0, "", MEDIAN($N$27:$N$36))), "", (IF(MEDIAN($N$27:$N$36) = 0, "", MEDIAN($N$27:$N$36))))</f>
        <v>2.7095000000000002</v>
      </c>
      <c r="O26">
        <f ca="1">IF(ISERROR(IF(MEDIAN($O$27:$O$36) = 0, "", MEDIAN($O$27:$O$36))), "", (IF(MEDIAN($O$27:$O$36) = 0, "", MEDIAN($O$27:$O$36))))</f>
        <v>3.2804999999999995</v>
      </c>
      <c r="P26">
        <f ca="1">IF(ISERROR(IF(MEDIAN($P$27:$P$36) = 0, "", MEDIAN($P$27:$P$36))), "", (IF(MEDIAN($P$27:$P$36) = 0, "", MEDIAN($P$27:$P$36))))</f>
        <v>4.1695000000000002</v>
      </c>
      <c r="Q26">
        <f ca="1">IF(ISERROR(IF(MEDIAN($Q$27:$Q$36) = 0, "", MEDIAN($Q$27:$Q$36))), "", (IF(MEDIAN($Q$27:$Q$36) = 0, "", MEDIAN($Q$27:$Q$36))))</f>
        <v>4.0994999999999999</v>
      </c>
      <c r="R26">
        <f ca="1">IF(ISERROR(IF(MEDIAN($R$27:$R$36) = 0, "", MEDIAN($R$27:$R$36))), "", (IF(MEDIAN($R$27:$R$36) = 0, "", MEDIAN($R$27:$R$36))))</f>
        <v>3.9135</v>
      </c>
      <c r="S26">
        <f ca="1">IF(ISERROR(IF(MEDIAN($S$27:$S$36) = 0, "", MEDIAN($S$27:$S$36))), "", (IF(MEDIAN($S$27:$S$36) = 0, "", MEDIAN($S$27:$S$36))))</f>
        <v>3.3084999999999996</v>
      </c>
      <c r="T26">
        <f ca="1">IF(ISERROR(IF(MEDIAN($T$27:$T$36) = 0, "", MEDIAN($T$27:$T$36))), "", (IF(MEDIAN($T$27:$T$36) = 0, "", MEDIAN($T$27:$T$36))))</f>
        <v>4.5945</v>
      </c>
      <c r="U26">
        <f ca="1">IF(ISERROR(IF(MEDIAN($U$27:$U$36) = 0, "", MEDIAN($U$27:$U$36))), "", (IF(MEDIAN($U$27:$U$36) = 0, "", MEDIAN($U$27:$U$36))))</f>
        <v>4.7785000000000002</v>
      </c>
      <c r="V26">
        <f ca="1">IF(ISERROR(IF(MEDIAN($V$27:$V$36) = 0, "", MEDIAN($V$27:$V$36))), "", (IF(MEDIAN($V$27:$V$36) = 0, "", MEDIAN($V$27:$V$36))))</f>
        <v>3.101</v>
      </c>
      <c r="W26">
        <f ca="1">IF(ISERROR(IF(MEDIAN($W$27:$W$36) = 0, "", MEDIAN($W$27:$W$36))), "", (IF(MEDIAN($W$27:$W$36) = 0, "", MEDIAN($W$27:$W$36))))</f>
        <v>3.1665000000000001</v>
      </c>
      <c r="X26">
        <f ca="1">IF(ISERROR(IF(MEDIAN($X$27:$X$36) = 0, "", MEDIAN($X$27:$X$36))), "", (IF(MEDIAN($X$27:$X$36) = 0, "", MEDIAN($X$27:$X$36))))</f>
        <v>3.8815000000000004</v>
      </c>
      <c r="Y26">
        <f ca="1">IF(ISERROR(IF(MEDIAN($Y$27:$Y$36) = 0, "", MEDIAN($Y$27:$Y$36))), "", (IF(MEDIAN($Y$27:$Y$36) = 0, "", MEDIAN($Y$27:$Y$36))))</f>
        <v>6.1475</v>
      </c>
      <c r="Z26">
        <f ca="1">IF(ISERROR(IF(MEDIAN($Z$27:$Z$36) = 0, "", MEDIAN($Z$27:$Z$36))), "", (IF(MEDIAN($Z$27:$Z$36) = 0, "", MEDIAN($Z$27:$Z$36))))</f>
        <v>2.9135</v>
      </c>
      <c r="AA26">
        <f ca="1">IF(ISERROR(IF(MEDIAN($AA$27:$AA$36) = 0, "", MEDIAN($AA$27:$AA$36))), "", (IF(MEDIAN($AA$27:$AA$36) = 0, "", MEDIAN($AA$27:$AA$36))))</f>
        <v>3.6015000000000001</v>
      </c>
      <c r="AB26">
        <f ca="1">IF(ISERROR(IF(MEDIAN($AB$27:$AB$36) = 0, "", MEDIAN($AB$27:$AB$36))), "", (IF(MEDIAN($AB$27:$AB$36) = 0, "", MEDIAN($AB$27:$AB$36))))</f>
        <v>2.4474999999999998</v>
      </c>
      <c r="AC26">
        <f ca="1">IF(ISERROR(IF(MEDIAN($AC$27:$AC$36) = 0, "", MEDIAN($AC$27:$AC$36))), "", (IF(MEDIAN($AC$27:$AC$36) = 0, "", MEDIAN($AC$27:$AC$36))))</f>
        <v>3.6755</v>
      </c>
      <c r="AD26">
        <f ca="1">IF(ISERROR(IF(MEDIAN($AD$27:$AD$36) = 0, "", MEDIAN($AD$27:$AD$36))), "", (IF(MEDIAN($AD$27:$AD$36) = 0, "", MEDIAN($AD$27:$AD$36))))</f>
        <v>2.9435000000000002</v>
      </c>
      <c r="AE26">
        <f ca="1">IF(ISERROR(IF(MEDIAN($AE$27:$AE$36) = 0, "", MEDIAN($AE$27:$AE$36))), "", (IF(MEDIAN($AE$27:$AE$36) = 0, "", MEDIAN($AE$27:$AE$36))))</f>
        <v>4.68</v>
      </c>
      <c r="AF26">
        <f ca="1">IF(ISERROR(IF(MEDIAN($AF$27:$AF$36) = 0, "", MEDIAN($AF$27:$AF$36))), "", (IF(MEDIAN($AF$27:$AF$36) = 0, "", MEDIAN($AF$27:$AF$36))))</f>
        <v>3.4005000000000001</v>
      </c>
      <c r="AG26">
        <f ca="1">IF(ISERROR(IF(MEDIAN($AG$27:$AG$36) = 0, "", MEDIAN($AG$27:$AG$36))), "", (IF(MEDIAN($AG$27:$AG$36) = 0, "", MEDIAN($AG$27:$AG$36))))</f>
        <v>3.2759999999999998</v>
      </c>
      <c r="AH26">
        <f ca="1">IF(ISERROR(IF(MEDIAN($AH$27:$AH$36) = 0, "", MEDIAN($AH$27:$AH$36))), "", (IF(MEDIAN($AH$27:$AH$36) = 0, "", MEDIAN($AH$27:$AH$36))))</f>
        <v>2.6165000000000003</v>
      </c>
      <c r="AI26">
        <f ca="1">IF(ISERROR(IF(MEDIAN($AI$27:$AI$36) = 0, "", MEDIAN($AI$27:$AI$36))), "", (IF(MEDIAN($AI$27:$AI$36) = 0, "", MEDIAN($AI$27:$AI$36))))</f>
        <v>3.0374999999999996</v>
      </c>
      <c r="AJ26">
        <f ca="1">IF(ISERROR(IF(MEDIAN($AJ$27:$AJ$36) = 0, "", MEDIAN($AJ$27:$AJ$36))), "", (IF(MEDIAN($AJ$27:$AJ$36) = 0, "", MEDIAN($AJ$27:$AJ$36))))</f>
        <v>3.3639999999999999</v>
      </c>
      <c r="AK26">
        <f ca="1">IF(ISERROR(IF(MEDIAN($AK$27:$AK$36) = 0, "", MEDIAN($AK$27:$AK$36))), "", (IF(MEDIAN($AK$27:$AK$36) = 0, "", MEDIAN($AK$27:$AK$36))))</f>
        <v>3.1894999999999998</v>
      </c>
      <c r="AL26">
        <f ca="1">IF(ISERROR(IF(MEDIAN($AL$27:$AL$36) = 0, "", MEDIAN($AL$27:$AL$36))), "", (IF(MEDIAN($AL$27:$AL$36) = 0, "", MEDIAN($AL$27:$AL$36))))</f>
        <v>2.4814999999999996</v>
      </c>
      <c r="AM26">
        <f ca="1">IF(ISERROR(IF(MEDIAN($AM$27:$AM$36) = 0, "", MEDIAN($AM$27:$AM$36))), "", (IF(MEDIAN($AM$27:$AM$36) = 0, "", MEDIAN($AM$27:$AM$36))))</f>
        <v>2.9020000000000001</v>
      </c>
      <c r="AN26">
        <f ca="1">IF(ISERROR(IF(MEDIAN($AN$27:$AN$36) = 0, "", MEDIAN($AN$27:$AN$36))), "", (IF(MEDIAN($AN$27:$AN$36) = 0, "", MEDIAN($AN$27:$AN$36))))</f>
        <v>3.1945000000000001</v>
      </c>
      <c r="AO26">
        <f ca="1">IF(ISERROR(IF(MEDIAN($AO$27:$AO$36) = 0, "", MEDIAN($AO$27:$AO$36))), "", (IF(MEDIAN($AO$27:$AO$36) = 0, "", MEDIAN($AO$27:$AO$36))))</f>
        <v>3.3350000000000004</v>
      </c>
      <c r="AP26">
        <f ca="1">IF(ISERROR(IF(MEDIAN($AP$27:$AP$36) = 0, "", MEDIAN($AP$27:$AP$36))), "", (IF(MEDIAN($AP$27:$AP$36) = 0, "", MEDIAN($AP$27:$AP$36))))</f>
        <v>3.0754999999999999</v>
      </c>
      <c r="AQ26" t="str">
        <f ca="1">IF(ISERROR(IF(MEDIAN($AQ$27:$AQ$36) = 0, "", MEDIAN($AQ$27:$AQ$36))), "", (IF(MEDIAN($AQ$27:$AQ$36) = 0, "", MEDIAN($AQ$27:$AQ$36))))</f>
        <v/>
      </c>
      <c r="AR26" t="str">
        <f ca="1">IF(ISERROR(IF(MEDIAN($AR$27:$AR$36) = 0, "", MEDIAN($AR$27:$AR$36))), "", (IF(MEDIAN($AR$27:$AR$36) = 0, "", MEDIAN($AR$27:$AR$36))))</f>
        <v/>
      </c>
      <c r="AS26" t="str">
        <f ca="1">IF(ISERROR(IF(MEDIAN($AS$27:$AS$36) = 0, "", MEDIAN($AS$27:$AS$36))), "", (IF(MEDIAN($AS$27:$AS$36) = 0, "", MEDIAN($AS$27:$AS$36))))</f>
        <v/>
      </c>
      <c r="AT26" t="str">
        <f ca="1">IF(ISERROR(IF(MEDIAN($AT$27:$AT$36) = 0, "", MEDIAN($AT$27:$AT$36))), "", (IF(MEDIAN($AT$27:$AT$36) = 0, "", MEDIAN($AT$27:$AT$36))))</f>
        <v/>
      </c>
      <c r="AU26" t="str">
        <f ca="1">IF(ISERROR(IF(MEDIAN($AU$27:$AU$36) = 0, "", MEDIAN($AU$27:$AU$36))), "", (IF(MEDIAN($AU$27:$AU$36) = 0, "", MEDIAN($AU$27:$AU$36))))</f>
        <v/>
      </c>
      <c r="AV26" t="str">
        <f ca="1">IF(ISERROR(IF(MEDIAN($AV$27:$AV$36) = 0, "", MEDIAN($AV$27:$AV$36))), "", (IF(MEDIAN($AV$27:$AV$36) = 0, "", MEDIAN($AV$27:$AV$36))))</f>
        <v/>
      </c>
      <c r="AW26" t="str">
        <f ca="1">IF(ISERROR(IF(MEDIAN($AW$27:$AW$36) = 0, "", MEDIAN($AW$27:$AW$36))), "", (IF(MEDIAN($AW$27:$AW$36) = 0, "", MEDIAN($AW$27:$AW$36))))</f>
        <v/>
      </c>
      <c r="AX26" t="str">
        <f ca="1">IF(ISERROR(IF(MEDIAN($AX$27:$AX$36) = 0, "", MEDIAN($AX$27:$AX$36))), "", (IF(MEDIAN($AX$27:$AX$36) = 0, "", MEDIAN($AX$27:$AX$36))))</f>
        <v/>
      </c>
      <c r="AY26" t="str">
        <f ca="1">IF(ISERROR(IF(MEDIAN($AY$27:$AY$36) = 0, "", MEDIAN($AY$27:$AY$36))), "", (IF(MEDIAN($AY$27:$AY$36) = 0, "", MEDIAN($AY$27:$AY$36))))</f>
        <v/>
      </c>
      <c r="AZ26" t="str">
        <f ca="1">IF(ISERROR(IF(MEDIAN($AZ$27:$AZ$36) = 0, "", MEDIAN($AZ$27:$AZ$36))), "", (IF(MEDIAN($AZ$27:$AZ$36) = 0, "", MEDIAN($AZ$27:$AZ$36))))</f>
        <v/>
      </c>
      <c r="BA26" t="str">
        <f ca="1">IF(ISERROR(IF(MEDIAN($BA$27:$BA$36) = 0, "", MEDIAN($BA$27:$BA$36))), "", (IF(MEDIAN($BA$27:$BA$36) = 0, "", MEDIAN($BA$27:$BA$36))))</f>
        <v/>
      </c>
      <c r="BB26" t="str">
        <f ca="1">IF(ISERROR(IF(MEDIAN($BB$27:$BB$36) = 0, "", MEDIAN($BB$27:$BB$36))), "", (IF(MEDIAN($BB$27:$BB$36) = 0, "", MEDIAN($BB$27:$BB$36))))</f>
        <v/>
      </c>
      <c r="BC26" t="str">
        <f ca="1">IF(ISERROR(IF(MEDIAN($BC$27:$BC$36) = 0, "", MEDIAN($BC$27:$BC$36))), "", (IF(MEDIAN($BC$27:$BC$36) = 0, "", MEDIAN($BC$27:$BC$36))))</f>
        <v/>
      </c>
      <c r="BD26" t="str">
        <f ca="1">IF(ISERROR(IF(MEDIAN($BD$27:$BD$36) = 0, "", MEDIAN($BD$27:$BD$36))), "", (IF(MEDIAN($BD$27:$BD$36) = 0, "", MEDIAN($BD$27:$BD$36))))</f>
        <v/>
      </c>
      <c r="BE26" t="str">
        <f ca="1">IF(ISERROR(IF(MEDIAN($BE$27:$BE$36) = 0, "", MEDIAN($BE$27:$BE$36))), "", (IF(MEDIAN($BE$27:$BE$36) = 0, "", MEDIAN($BE$27:$BE$36))))</f>
        <v/>
      </c>
      <c r="BF26" t="str">
        <f ca="1">IF(ISERROR(IF(MEDIAN($BF$27:$BF$36) = 0, "", MEDIAN($BF$27:$BF$36))), "", (IF(MEDIAN($BF$27:$BF$36) = 0, "", MEDIAN($BF$27:$BF$36))))</f>
        <v/>
      </c>
      <c r="BG26" t="str">
        <f ca="1">IF(ISERROR(IF(MEDIAN($BG$27:$BG$36) = 0, "", MEDIAN($BG$27:$BG$36))), "", (IF(MEDIAN($BG$27:$BG$36) = 0, "", MEDIAN($BG$27:$BG$36))))</f>
        <v/>
      </c>
      <c r="BH26" t="str">
        <f ca="1">IF(ISERROR(IF(MEDIAN($BH$27:$BH$36) = 0, "", MEDIAN($BH$27:$BH$36))), "", (IF(MEDIAN($BH$27:$BH$36) = 0, "", MEDIAN($BH$27:$BH$36))))</f>
        <v/>
      </c>
      <c r="BI26" t="str">
        <f ca="1">IF(ISERROR(IF(MEDIAN($BI$27:$BI$36) = 0, "", MEDIAN($BI$27:$BI$36))), "", (IF(MEDIAN($BI$27:$BI$36) = 0, "", MEDIAN($BI$27:$BI$36))))</f>
        <v/>
      </c>
      <c r="BJ26" t="str">
        <f ca="1">IF(ISERROR(IF(MEDIAN($BJ$27:$BJ$36) = 0, "", MEDIAN($BJ$27:$BJ$36))), "", (IF(MEDIAN($BJ$27:$BJ$36) = 0, "", MEDIAN($BJ$27:$BJ$36))))</f>
        <v/>
      </c>
      <c r="BK26" t="str">
        <f ca="1">IF(ISERROR(IF(MEDIAN($BK$27:$BK$36) = 0, "", MEDIAN($BK$27:$BK$36))), "", (IF(MEDIAN($BK$27:$BK$36) = 0, "", MEDIAN($BK$27:$BK$36))))</f>
        <v/>
      </c>
      <c r="BL26" t="str">
        <f ca="1">IF(ISERROR(IF(MEDIAN($BL$27:$BL$36) = 0, "", MEDIAN($BL$27:$BL$36))), "", (IF(MEDIAN($BL$27:$BL$36) = 0, "", MEDIAN($BL$27:$BL$36))))</f>
        <v/>
      </c>
      <c r="BM26" t="str">
        <f ca="1">IF(ISERROR(IF(MEDIAN($BM$27:$BM$36) = 0, "", MEDIAN($BM$27:$BM$36))), "", (IF(MEDIAN($BM$27:$BM$36) = 0, "", MEDIAN($BM$27:$BM$36))))</f>
        <v/>
      </c>
      <c r="BN26" t="str">
        <f>""</f>
        <v/>
      </c>
      <c r="BO26">
        <f>1.543</f>
        <v>1.5429999999999999</v>
      </c>
      <c r="BP26">
        <f>1.7195</f>
        <v>1.7195</v>
      </c>
      <c r="BQ26">
        <f>1.691</f>
        <v>1.6910000000000001</v>
      </c>
      <c r="BR26">
        <f>2.3515</f>
        <v>2.3515000000000001</v>
      </c>
      <c r="BS26">
        <f>3.4525</f>
        <v>3.4525000000000001</v>
      </c>
      <c r="BT26">
        <f>5.8365</f>
        <v>5.8365</v>
      </c>
      <c r="BU26">
        <f>3.7045</f>
        <v>3.7044999999999999</v>
      </c>
      <c r="BV26">
        <f>2.7095</f>
        <v>2.7094999999999998</v>
      </c>
      <c r="BW26">
        <f>3.2805</f>
        <v>3.2805</v>
      </c>
      <c r="BX26">
        <f>4.1695</f>
        <v>4.1695000000000002</v>
      </c>
      <c r="BY26">
        <f>4.0995</f>
        <v>4.0994999999999999</v>
      </c>
      <c r="BZ26">
        <f>3.9135</f>
        <v>3.9135</v>
      </c>
      <c r="CA26">
        <f>3.3085</f>
        <v>3.3085</v>
      </c>
      <c r="CB26">
        <f>4.5945</f>
        <v>4.5945</v>
      </c>
      <c r="CC26">
        <f>4.7785</f>
        <v>4.7785000000000002</v>
      </c>
      <c r="CD26">
        <f>3.101</f>
        <v>3.101</v>
      </c>
      <c r="CE26">
        <f>3.1665</f>
        <v>3.1665000000000001</v>
      </c>
      <c r="CF26">
        <f>3.8815</f>
        <v>3.8815</v>
      </c>
      <c r="CG26">
        <f>6.1475</f>
        <v>6.1475</v>
      </c>
      <c r="CH26">
        <f>2.9135</f>
        <v>2.9135</v>
      </c>
      <c r="CI26">
        <f>3.6015</f>
        <v>3.6015000000000001</v>
      </c>
      <c r="CJ26">
        <f>2.4475</f>
        <v>2.4474999999999998</v>
      </c>
      <c r="CK26">
        <f>3.6755</f>
        <v>3.6755</v>
      </c>
      <c r="CL26">
        <f>2.9435</f>
        <v>2.9434999999999998</v>
      </c>
      <c r="CM26">
        <f>4.68</f>
        <v>4.68</v>
      </c>
      <c r="CN26">
        <f>3.4005</f>
        <v>3.4005000000000001</v>
      </c>
      <c r="CO26">
        <f>3.276</f>
        <v>3.2759999999999998</v>
      </c>
      <c r="CP26">
        <f>2.6165</f>
        <v>2.6164999999999998</v>
      </c>
      <c r="CQ26">
        <f>3.0375</f>
        <v>3.0375000000000001</v>
      </c>
      <c r="CR26">
        <f>3.364</f>
        <v>3.3639999999999999</v>
      </c>
      <c r="CS26">
        <f>3.1895</f>
        <v>3.1894999999999998</v>
      </c>
      <c r="CT26">
        <f>2.4815</f>
        <v>2.4815</v>
      </c>
      <c r="CU26">
        <f>2.902</f>
        <v>2.9020000000000001</v>
      </c>
      <c r="CV26">
        <f>3.1945</f>
        <v>3.1945000000000001</v>
      </c>
      <c r="CW26">
        <f>3.335</f>
        <v>3.335</v>
      </c>
      <c r="CX26">
        <f>3.0755</f>
        <v>3.0754999999999999</v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>
      <c r="A27" t="str">
        <f>"    Boston Properties Inc"</f>
        <v xml:space="preserve">    Boston Properties Inc</v>
      </c>
      <c r="B27" t="str">
        <f>"BXP US Equity"</f>
        <v>BXP US Equity</v>
      </c>
      <c r="C27" t="str">
        <f t="shared" ref="C27:C36" si="6">"IM281"</f>
        <v>IM281</v>
      </c>
      <c r="D27" t="str">
        <f t="shared" ref="D27:D36" si="7">"IS_NON_REAL_ESTATE_INCOME"</f>
        <v>IS_NON_REAL_ESTATE_INCOME</v>
      </c>
      <c r="E27" t="str">
        <f t="shared" ref="E27:E36" si="8">"动态"</f>
        <v>动态</v>
      </c>
      <c r="F27" t="str">
        <f ca="1">IF(AND(ISNUMBER($F$346),$B$294=1),$F$346,HLOOKUP(INDIRECT(ADDRESS(2,COLUMN())),OFFSET($BN$2,0,0,ROW()-1,60),ROW()-1,FALSE))</f>
        <v/>
      </c>
      <c r="G27">
        <f ca="1">IF(AND(ISNUMBER($G$346),$B$294=1),$G$346,HLOOKUP(INDIRECT(ADDRESS(2,COLUMN())),OFFSET($BN$2,0,0,ROW()-1,60),ROW()-1,FALSE))</f>
        <v>11.744</v>
      </c>
      <c r="H27">
        <f ca="1">IF(AND(ISNUMBER($H$346),$B$294=1),$H$346,HLOOKUP(INDIRECT(ADDRESS(2,COLUMN())),OFFSET($BN$2,0,0,ROW()-1,60),ROW()-1,FALSE))</f>
        <v>13.064</v>
      </c>
      <c r="I27">
        <f ca="1">IF(AND(ISNUMBER($I$346),$B$294=1),$I$346,HLOOKUP(INDIRECT(ADDRESS(2,COLUMN())),OFFSET($BN$2,0,0,ROW()-1,60),ROW()-1,FALSE))</f>
        <v>13.375</v>
      </c>
      <c r="J27">
        <f ca="1">IF(AND(ISNUMBER($J$346),$B$294=1),$J$346,HLOOKUP(INDIRECT(ADDRESS(2,COLUMN())),OFFSET($BN$2,0,0,ROW()-1,60),ROW()-1,FALSE))</f>
        <v>7.42</v>
      </c>
      <c r="K27">
        <f ca="1">IF(AND(ISNUMBER($K$346),$B$294=1),$K$346,HLOOKUP(INDIRECT(ADDRESS(2,COLUMN())),OFFSET($BN$2,0,0,ROW()-1,60),ROW()-1,FALSE))</f>
        <v>10.965</v>
      </c>
      <c r="L27">
        <f ca="1">IF(AND(ISNUMBER($L$346),$B$294=1),$L$346,HLOOKUP(INDIRECT(ADDRESS(2,COLUMN())),OFFSET($BN$2,0,0,ROW()-1,60),ROW()-1,FALSE))</f>
        <v>12.353999999999999</v>
      </c>
      <c r="M27">
        <f ca="1">IF(AND(ISNUMBER($M$346),$B$294=1),$M$346,HLOOKUP(INDIRECT(ADDRESS(2,COLUMN())),OFFSET($BN$2,0,0,ROW()-1,60),ROW()-1,FALSE))</f>
        <v>12.808</v>
      </c>
      <c r="N27">
        <f ca="1">IF(AND(ISNUMBER($N$346),$B$294=1),$N$346,HLOOKUP(INDIRECT(ADDRESS(2,COLUMN())),OFFSET($BN$2,0,0,ROW()-1,60),ROW()-1,FALSE))</f>
        <v>8.7569999999999997</v>
      </c>
      <c r="O27">
        <f ca="1">IF(AND(ISNUMBER($O$346),$B$294=1),$O$346,HLOOKUP(INDIRECT(ADDRESS(2,COLUMN())),OFFSET($BN$2,0,0,ROW()-1,60),ROW()-1,FALSE))</f>
        <v>10.939</v>
      </c>
      <c r="P27">
        <f ca="1">IF(AND(ISNUMBER($P$346),$B$294=1),$P$346,HLOOKUP(INDIRECT(ADDRESS(2,COLUMN())),OFFSET($BN$2,0,0,ROW()-1,60),ROW()-1,FALSE))</f>
        <v>12.619</v>
      </c>
      <c r="Q27">
        <f ca="1">IF(AND(ISNUMBER($Q$346),$B$294=1),$Q$346,HLOOKUP(INDIRECT(ADDRESS(2,COLUMN())),OFFSET($BN$2,0,0,ROW()-1,60),ROW()-1,FALSE))</f>
        <v>13.403</v>
      </c>
      <c r="R27">
        <f ca="1">IF(AND(ISNUMBER($R$346),$B$294=1),$R$346,HLOOKUP(INDIRECT(ADDRESS(2,COLUMN())),OFFSET($BN$2,0,0,ROW()-1,60),ROW()-1,FALSE))</f>
        <v>9.0850000000000009</v>
      </c>
      <c r="S27">
        <f ca="1">IF(AND(ISNUMBER($S$346),$B$294=1),$S$346,HLOOKUP(INDIRECT(ADDRESS(2,COLUMN())),OFFSET($BN$2,0,0,ROW()-1,60),ROW()-1,FALSE))</f>
        <v>10.907</v>
      </c>
      <c r="T27">
        <f ca="1">IF(AND(ISNUMBER($T$346),$B$294=1),$T$346,HLOOKUP(INDIRECT(ADDRESS(2,COLUMN())),OFFSET($BN$2,0,0,ROW()-1,60),ROW()-1,FALSE))</f>
        <v>38.154000000000003</v>
      </c>
      <c r="U27">
        <f ca="1">IF(AND(ISNUMBER($U$346),$B$294=1),$U$346,HLOOKUP(INDIRECT(ADDRESS(2,COLUMN())),OFFSET($BN$2,0,0,ROW()-1,60),ROW()-1,FALSE))</f>
        <v>38.667000000000002</v>
      </c>
      <c r="V27">
        <f ca="1">IF(AND(ISNUMBER($V$346),$B$294=1),$V$346,HLOOKUP(INDIRECT(ADDRESS(2,COLUMN())),OFFSET($BN$2,0,0,ROW()-1,60),ROW()-1,FALSE))</f>
        <v>8.1929999999999996</v>
      </c>
      <c r="W27">
        <f ca="1">IF(AND(ISNUMBER($W$346),$B$294=1),$W$346,HLOOKUP(INDIRECT(ADDRESS(2,COLUMN())),OFFSET($BN$2,0,0,ROW()-1,60),ROW()-1,FALSE))</f>
        <v>10.269</v>
      </c>
      <c r="X27">
        <f ca="1">IF(AND(ISNUMBER($X$346),$B$294=1),$X$346,HLOOKUP(INDIRECT(ADDRESS(2,COLUMN())),OFFSET($BN$2,0,0,ROW()-1,60),ROW()-1,FALSE))</f>
        <v>35.898000000000003</v>
      </c>
      <c r="Y27">
        <f ca="1">IF(AND(ISNUMBER($Y$346),$B$294=1),$Y$346,HLOOKUP(INDIRECT(ADDRESS(2,COLUMN())),OFFSET($BN$2,0,0,ROW()-1,60),ROW()-1,FALSE))</f>
        <v>34.664999999999999</v>
      </c>
      <c r="Z27">
        <f ca="1">IF(AND(ISNUMBER($Z$346),$B$294=1),$Z$346,HLOOKUP(INDIRECT(ADDRESS(2,COLUMN())),OFFSET($BN$2,0,0,ROW()-1,60),ROW()-1,FALSE))</f>
        <v>8.2910000000000004</v>
      </c>
      <c r="AA27">
        <f ca="1">IF(AND(ISNUMBER($AA$346),$B$294=1),$AA$346,HLOOKUP(INDIRECT(ADDRESS(2,COLUMN())),OFFSET($BN$2,0,0,ROW()-1,60),ROW()-1,FALSE))</f>
        <v>11.691000000000001</v>
      </c>
      <c r="AB27">
        <f ca="1">IF(AND(ISNUMBER($AB$346),$B$294=1),$AB$346,HLOOKUP(INDIRECT(ADDRESS(2,COLUMN())),OFFSET($BN$2,0,0,ROW()-1,60),ROW()-1,FALSE))</f>
        <v>32.429000000000002</v>
      </c>
      <c r="AC27">
        <f ca="1">IF(AND(ISNUMBER($AC$346),$B$294=1),$AC$346,HLOOKUP(INDIRECT(ADDRESS(2,COLUMN())),OFFSET($BN$2,0,0,ROW()-1,60),ROW()-1,FALSE))</f>
        <v>33.405000000000001</v>
      </c>
      <c r="AD27">
        <f ca="1">IF(AND(ISNUMBER($AD$346),$B$294=1),$AD$346,HLOOKUP(INDIRECT(ADDRESS(2,COLUMN())),OFFSET($BN$2,0,0,ROW()-1,60),ROW()-1,FALSE))</f>
        <v>29.074999999999999</v>
      </c>
      <c r="AE27">
        <f ca="1">IF(AND(ISNUMBER($AE$346),$B$294=1),$AE$346,HLOOKUP(INDIRECT(ADDRESS(2,COLUMN())),OFFSET($BN$2,0,0,ROW()-1,60),ROW()-1,FALSE))</f>
        <v>32.848999999999997</v>
      </c>
      <c r="AF27">
        <f ca="1">IF(AND(ISNUMBER($AF$346),$B$294=1),$AF$346,HLOOKUP(INDIRECT(ADDRESS(2,COLUMN())),OFFSET($BN$2,0,0,ROW()-1,60),ROW()-1,FALSE))</f>
        <v>29.724</v>
      </c>
      <c r="AG27">
        <f ca="1">IF(AND(ISNUMBER($AG$346),$B$294=1),$AG$346,HLOOKUP(INDIRECT(ADDRESS(2,COLUMN())),OFFSET($BN$2,0,0,ROW()-1,60),ROW()-1,FALSE))</f>
        <v>30.001999999999999</v>
      </c>
      <c r="AH27">
        <f ca="1">IF(AND(ISNUMBER($AH$346),$B$294=1),$AH$346,HLOOKUP(INDIRECT(ADDRESS(2,COLUMN())),OFFSET($BN$2,0,0,ROW()-1,60),ROW()-1,FALSE))</f>
        <v>25.012</v>
      </c>
      <c r="AI27">
        <f ca="1">IF(AND(ISNUMBER($AI$346),$B$294=1),$AI$346,HLOOKUP(INDIRECT(ADDRESS(2,COLUMN())),OFFSET($BN$2,0,0,ROW()-1,60),ROW()-1,FALSE))</f>
        <v>27.43</v>
      </c>
      <c r="AJ27">
        <f ca="1">IF(AND(ISNUMBER($AJ$346),$B$294=1),$AJ$346,HLOOKUP(INDIRECT(ADDRESS(2,COLUMN())),OFFSET($BN$2,0,0,ROW()-1,60),ROW()-1,FALSE))</f>
        <v>25.68</v>
      </c>
      <c r="AK27">
        <f ca="1">IF(AND(ISNUMBER($AK$346),$B$294=1),$AK$346,HLOOKUP(INDIRECT(ADDRESS(2,COLUMN())),OFFSET($BN$2,0,0,ROW()-1,60),ROW()-1,FALSE))</f>
        <v>26.911000000000001</v>
      </c>
      <c r="AL27">
        <f ca="1">IF(AND(ISNUMBER($AL$346),$B$294=1),$AL$346,HLOOKUP(INDIRECT(ADDRESS(2,COLUMN())),OFFSET($BN$2,0,0,ROW()-1,60),ROW()-1,FALSE))</f>
        <v>21.2</v>
      </c>
      <c r="AM27">
        <f ca="1">IF(AND(ISNUMBER($AM$346),$B$294=1),$AM$346,HLOOKUP(INDIRECT(ADDRESS(2,COLUMN())),OFFSET($BN$2,0,0,ROW()-1,60),ROW()-1,FALSE))</f>
        <v>27.417999999999999</v>
      </c>
      <c r="AN27">
        <f ca="1">IF(AND(ISNUMBER($AN$346),$B$294=1),$AN$346,HLOOKUP(INDIRECT(ADDRESS(2,COLUMN())),OFFSET($BN$2,0,0,ROW()-1,60),ROW()-1,FALSE))</f>
        <v>24.045999999999999</v>
      </c>
      <c r="AO27">
        <f ca="1">IF(AND(ISNUMBER($AO$346),$B$294=1),$AO$346,HLOOKUP(INDIRECT(ADDRESS(2,COLUMN())),OFFSET($BN$2,0,0,ROW()-1,60),ROW()-1,FALSE))</f>
        <v>26.254000000000001</v>
      </c>
      <c r="AP27">
        <f ca="1">IF(AND(ISNUMBER($AP$346),$B$294=1),$AP$346,HLOOKUP(INDIRECT(ADDRESS(2,COLUMN())),OFFSET($BN$2,0,0,ROW()-1,60),ROW()-1,FALSE))</f>
        <v>23.323</v>
      </c>
      <c r="AQ27" t="str">
        <f ca="1">IF(AND(ISNUMBER($AQ$346),$B$294=1),$AQ$346,HLOOKUP(INDIRECT(ADDRESS(2,COLUMN())),OFFSET($BN$2,0,0,ROW()-1,60),ROW()-1,FALSE))</f>
        <v/>
      </c>
      <c r="AR27" t="str">
        <f ca="1">IF(AND(ISNUMBER($AR$346),$B$294=1),$AR$346,HLOOKUP(INDIRECT(ADDRESS(2,COLUMN())),OFFSET($BN$2,0,0,ROW()-1,60),ROW()-1,FALSE))</f>
        <v/>
      </c>
      <c r="AS27" t="str">
        <f ca="1">IF(AND(ISNUMBER($AS$346),$B$294=1),$AS$346,HLOOKUP(INDIRECT(ADDRESS(2,COLUMN())),OFFSET($BN$2,0,0,ROW()-1,60),ROW()-1,FALSE))</f>
        <v/>
      </c>
      <c r="AT27" t="str">
        <f ca="1">IF(AND(ISNUMBER($AT$346),$B$294=1),$AT$346,HLOOKUP(INDIRECT(ADDRESS(2,COLUMN())),OFFSET($BN$2,0,0,ROW()-1,60),ROW()-1,FALSE))</f>
        <v/>
      </c>
      <c r="AU27" t="str">
        <f ca="1">IF(AND(ISNUMBER($AU$346),$B$294=1),$AU$346,HLOOKUP(INDIRECT(ADDRESS(2,COLUMN())),OFFSET($BN$2,0,0,ROW()-1,60),ROW()-1,FALSE))</f>
        <v/>
      </c>
      <c r="AV27" t="str">
        <f ca="1">IF(AND(ISNUMBER($AV$346),$B$294=1),$AV$346,HLOOKUP(INDIRECT(ADDRESS(2,COLUMN())),OFFSET($BN$2,0,0,ROW()-1,60),ROW()-1,FALSE))</f>
        <v/>
      </c>
      <c r="AW27" t="str">
        <f ca="1">IF(AND(ISNUMBER($AW$346),$B$294=1),$AW$346,HLOOKUP(INDIRECT(ADDRESS(2,COLUMN())),OFFSET($BN$2,0,0,ROW()-1,60),ROW()-1,FALSE))</f>
        <v/>
      </c>
      <c r="AX27" t="str">
        <f ca="1">IF(AND(ISNUMBER($AX$346),$B$294=1),$AX$346,HLOOKUP(INDIRECT(ADDRESS(2,COLUMN())),OFFSET($BN$2,0,0,ROW()-1,60),ROW()-1,FALSE))</f>
        <v/>
      </c>
      <c r="AY27" t="str">
        <f ca="1">IF(AND(ISNUMBER($AY$346),$B$294=1),$AY$346,HLOOKUP(INDIRECT(ADDRESS(2,COLUMN())),OFFSET($BN$2,0,0,ROW()-1,60),ROW()-1,FALSE))</f>
        <v/>
      </c>
      <c r="AZ27" t="str">
        <f ca="1">IF(AND(ISNUMBER($AZ$346),$B$294=1),$AZ$346,HLOOKUP(INDIRECT(ADDRESS(2,COLUMN())),OFFSET($BN$2,0,0,ROW()-1,60),ROW()-1,FALSE))</f>
        <v/>
      </c>
      <c r="BA27" t="str">
        <f ca="1">IF(AND(ISNUMBER($BA$346),$B$294=1),$BA$346,HLOOKUP(INDIRECT(ADDRESS(2,COLUMN())),OFFSET($BN$2,0,0,ROW()-1,60),ROW()-1,FALSE))</f>
        <v/>
      </c>
      <c r="BB27" t="str">
        <f ca="1">IF(AND(ISNUMBER($BB$346),$B$294=1),$BB$346,HLOOKUP(INDIRECT(ADDRESS(2,COLUMN())),OFFSET($BN$2,0,0,ROW()-1,60),ROW()-1,FALSE))</f>
        <v/>
      </c>
      <c r="BC27" t="str">
        <f ca="1">IF(AND(ISNUMBER($BC$346),$B$294=1),$BC$346,HLOOKUP(INDIRECT(ADDRESS(2,COLUMN())),OFFSET($BN$2,0,0,ROW()-1,60),ROW()-1,FALSE))</f>
        <v/>
      </c>
      <c r="BD27" t="str">
        <f ca="1">IF(AND(ISNUMBER($BD$346),$B$294=1),$BD$346,HLOOKUP(INDIRECT(ADDRESS(2,COLUMN())),OFFSET($BN$2,0,0,ROW()-1,60),ROW()-1,FALSE))</f>
        <v/>
      </c>
      <c r="BE27" t="str">
        <f ca="1">IF(AND(ISNUMBER($BE$346),$B$294=1),$BE$346,HLOOKUP(INDIRECT(ADDRESS(2,COLUMN())),OFFSET($BN$2,0,0,ROW()-1,60),ROW()-1,FALSE))</f>
        <v/>
      </c>
      <c r="BF27" t="str">
        <f ca="1">IF(AND(ISNUMBER($BF$346),$B$294=1),$BF$346,HLOOKUP(INDIRECT(ADDRESS(2,COLUMN())),OFFSET($BN$2,0,0,ROW()-1,60),ROW()-1,FALSE))</f>
        <v/>
      </c>
      <c r="BG27" t="str">
        <f ca="1">IF(AND(ISNUMBER($BG$346),$B$294=1),$BG$346,HLOOKUP(INDIRECT(ADDRESS(2,COLUMN())),OFFSET($BN$2,0,0,ROW()-1,60),ROW()-1,FALSE))</f>
        <v/>
      </c>
      <c r="BH27" t="str">
        <f ca="1">IF(AND(ISNUMBER($BH$346),$B$294=1),$BH$346,HLOOKUP(INDIRECT(ADDRESS(2,COLUMN())),OFFSET($BN$2,0,0,ROW()-1,60),ROW()-1,FALSE))</f>
        <v/>
      </c>
      <c r="BI27" t="str">
        <f ca="1">IF(AND(ISNUMBER($BI$346),$B$294=1),$BI$346,HLOOKUP(INDIRECT(ADDRESS(2,COLUMN())),OFFSET($BN$2,0,0,ROW()-1,60),ROW()-1,FALSE))</f>
        <v/>
      </c>
      <c r="BJ27" t="str">
        <f ca="1">IF(AND(ISNUMBER($BJ$346),$B$294=1),$BJ$346,HLOOKUP(INDIRECT(ADDRESS(2,COLUMN())),OFFSET($BN$2,0,0,ROW()-1,60),ROW()-1,FALSE))</f>
        <v/>
      </c>
      <c r="BK27" t="str">
        <f ca="1">IF(AND(ISNUMBER($BK$346),$B$294=1),$BK$346,HLOOKUP(INDIRECT(ADDRESS(2,COLUMN())),OFFSET($BN$2,0,0,ROW()-1,60),ROW()-1,FALSE))</f>
        <v/>
      </c>
      <c r="BL27" t="str">
        <f ca="1">IF(AND(ISNUMBER($BL$346),$B$294=1),$BL$346,HLOOKUP(INDIRECT(ADDRESS(2,COLUMN())),OFFSET($BN$2,0,0,ROW()-1,60),ROW()-1,FALSE))</f>
        <v/>
      </c>
      <c r="BM27" t="str">
        <f ca="1">IF(AND(ISNUMBER($BM$346),$B$294=1),$BM$346,HLOOKUP(INDIRECT(ADDRESS(2,COLUMN())),OFFSET($BN$2,0,0,ROW()-1,60),ROW()-1,FALSE))</f>
        <v/>
      </c>
      <c r="BN27" t="str">
        <f>""</f>
        <v/>
      </c>
      <c r="BO27">
        <f>11.744</f>
        <v>11.744</v>
      </c>
      <c r="BP27">
        <f>13.064</f>
        <v>13.064</v>
      </c>
      <c r="BQ27">
        <f>13.375</f>
        <v>13.375</v>
      </c>
      <c r="BR27">
        <f>7.42</f>
        <v>7.42</v>
      </c>
      <c r="BS27">
        <f>10.965</f>
        <v>10.965</v>
      </c>
      <c r="BT27">
        <f>12.354</f>
        <v>12.353999999999999</v>
      </c>
      <c r="BU27">
        <f>12.808</f>
        <v>12.808</v>
      </c>
      <c r="BV27">
        <f>8.757</f>
        <v>8.7569999999999997</v>
      </c>
      <c r="BW27">
        <f>10.939</f>
        <v>10.939</v>
      </c>
      <c r="BX27">
        <f>12.619</f>
        <v>12.619</v>
      </c>
      <c r="BY27">
        <f>13.403</f>
        <v>13.403</v>
      </c>
      <c r="BZ27">
        <f>9.085</f>
        <v>9.0850000000000009</v>
      </c>
      <c r="CA27">
        <f>10.907</f>
        <v>10.907</v>
      </c>
      <c r="CB27">
        <f>38.154</f>
        <v>38.154000000000003</v>
      </c>
      <c r="CC27">
        <f>38.667</f>
        <v>38.667000000000002</v>
      </c>
      <c r="CD27">
        <f>8.193</f>
        <v>8.1929999999999996</v>
      </c>
      <c r="CE27">
        <f>10.269</f>
        <v>10.269</v>
      </c>
      <c r="CF27">
        <f>35.898</f>
        <v>35.898000000000003</v>
      </c>
      <c r="CG27">
        <f>34.665</f>
        <v>34.664999999999999</v>
      </c>
      <c r="CH27">
        <f>8.291</f>
        <v>8.2910000000000004</v>
      </c>
      <c r="CI27">
        <f>11.691</f>
        <v>11.691000000000001</v>
      </c>
      <c r="CJ27">
        <f>32.429</f>
        <v>32.429000000000002</v>
      </c>
      <c r="CK27">
        <f>33.405</f>
        <v>33.405000000000001</v>
      </c>
      <c r="CL27">
        <f>29.075</f>
        <v>29.074999999999999</v>
      </c>
      <c r="CM27">
        <f>32.849</f>
        <v>32.848999999999997</v>
      </c>
      <c r="CN27">
        <f>29.724</f>
        <v>29.724</v>
      </c>
      <c r="CO27">
        <f>30.002</f>
        <v>30.001999999999999</v>
      </c>
      <c r="CP27">
        <f>25.012</f>
        <v>25.012</v>
      </c>
      <c r="CQ27">
        <f>27.43</f>
        <v>27.43</v>
      </c>
      <c r="CR27">
        <f>25.68</f>
        <v>25.68</v>
      </c>
      <c r="CS27">
        <f>26.911</f>
        <v>26.911000000000001</v>
      </c>
      <c r="CT27">
        <f>21.2</f>
        <v>21.2</v>
      </c>
      <c r="CU27">
        <f>27.418</f>
        <v>27.417999999999999</v>
      </c>
      <c r="CV27">
        <f>24.046</f>
        <v>24.045999999999999</v>
      </c>
      <c r="CW27">
        <f>26.254</f>
        <v>26.254000000000001</v>
      </c>
      <c r="CX27">
        <f>23.323</f>
        <v>23.323</v>
      </c>
      <c r="CY27" t="str">
        <f>""</f>
        <v/>
      </c>
      <c r="CZ27" t="str">
        <f>""</f>
        <v/>
      </c>
      <c r="DA27" t="str">
        <f>""</f>
        <v/>
      </c>
      <c r="DB27" t="str">
        <f>""</f>
        <v/>
      </c>
      <c r="DC27" t="str">
        <f>""</f>
        <v/>
      </c>
      <c r="DD27" t="str">
        <f>""</f>
        <v/>
      </c>
      <c r="DE27" t="str">
        <f>""</f>
        <v/>
      </c>
      <c r="DF27" t="str">
        <f>""</f>
        <v/>
      </c>
      <c r="DG27" t="str">
        <f>""</f>
        <v/>
      </c>
      <c r="DH27" t="str">
        <f>""</f>
        <v/>
      </c>
      <c r="DI27" t="str">
        <f>""</f>
        <v/>
      </c>
      <c r="DJ27" t="str">
        <f>""</f>
        <v/>
      </c>
      <c r="DK27" t="str">
        <f>""</f>
        <v/>
      </c>
      <c r="DL27" t="str">
        <f>""</f>
        <v/>
      </c>
      <c r="DM27" t="str">
        <f>""</f>
        <v/>
      </c>
      <c r="DN27" t="str">
        <f>""</f>
        <v/>
      </c>
      <c r="DO27" t="str">
        <f>""</f>
        <v/>
      </c>
      <c r="DP27" t="str">
        <f>""</f>
        <v/>
      </c>
      <c r="DQ27" t="str">
        <f>""</f>
        <v/>
      </c>
      <c r="DR27" t="str">
        <f>""</f>
        <v/>
      </c>
      <c r="DS27" t="str">
        <f>""</f>
        <v/>
      </c>
      <c r="DT27" t="str">
        <f>""</f>
        <v/>
      </c>
      <c r="DU27" t="str">
        <f>""</f>
        <v/>
      </c>
    </row>
    <row r="28" spans="1:125">
      <c r="A28" t="str">
        <f>"    Brandywine Realty Trust"</f>
        <v xml:space="preserve">    Brandywine Realty Trust</v>
      </c>
      <c r="B28" t="str">
        <f>"BDN US Equity"</f>
        <v>BDN US Equity</v>
      </c>
      <c r="C28" t="str">
        <f t="shared" si="6"/>
        <v>IM281</v>
      </c>
      <c r="D28" t="str">
        <f t="shared" si="7"/>
        <v>IS_NON_REAL_ESTATE_INCOME</v>
      </c>
      <c r="E28" t="str">
        <f t="shared" si="8"/>
        <v>动态</v>
      </c>
      <c r="F28" t="str">
        <f ca="1">IF(AND(ISNUMBER($F$347),$B$294=1),$F$347,HLOOKUP(INDIRECT(ADDRESS(2,COLUMN())),OFFSET($BN$2,0,0,ROW()-1,60),ROW()-1,FALSE))</f>
        <v/>
      </c>
      <c r="G28">
        <f ca="1">IF(AND(ISNUMBER($G$347),$B$294=1),$G$347,HLOOKUP(INDIRECT(ADDRESS(2,COLUMN())),OFFSET($BN$2,0,0,ROW()-1,60),ROW()-1,FALSE))</f>
        <v>1.43</v>
      </c>
      <c r="H28">
        <f ca="1">IF(AND(ISNUMBER($H$347),$B$294=1),$H$347,HLOOKUP(INDIRECT(ADDRESS(2,COLUMN())),OFFSET($BN$2,0,0,ROW()-1,60),ROW()-1,FALSE))</f>
        <v>1.524</v>
      </c>
      <c r="I28">
        <f ca="1">IF(AND(ISNUMBER($I$347),$B$294=1),$I$347,HLOOKUP(INDIRECT(ADDRESS(2,COLUMN())),OFFSET($BN$2,0,0,ROW()-1,60),ROW()-1,FALSE))</f>
        <v>0.97599999999999998</v>
      </c>
      <c r="J28">
        <f ca="1">IF(AND(ISNUMBER($J$347),$B$294=1),$J$347,HLOOKUP(INDIRECT(ADDRESS(2,COLUMN())),OFFSET($BN$2,0,0,ROW()-1,60),ROW()-1,FALSE))</f>
        <v>0.89500000000000002</v>
      </c>
      <c r="K28">
        <f ca="1">IF(AND(ISNUMBER($K$347),$B$294=1),$K$347,HLOOKUP(INDIRECT(ADDRESS(2,COLUMN())),OFFSET($BN$2,0,0,ROW()-1,60),ROW()-1,FALSE))</f>
        <v>1.728</v>
      </c>
      <c r="L28">
        <f ca="1">IF(AND(ISNUMBER($L$347),$B$294=1),$L$347,HLOOKUP(INDIRECT(ADDRESS(2,COLUMN())),OFFSET($BN$2,0,0,ROW()-1,60),ROW()-1,FALSE))</f>
        <v>0.97399999999999998</v>
      </c>
      <c r="M28">
        <f ca="1">IF(AND(ISNUMBER($M$347),$B$294=1),$M$347,HLOOKUP(INDIRECT(ADDRESS(2,COLUMN())),OFFSET($BN$2,0,0,ROW()-1,60),ROW()-1,FALSE))</f>
        <v>0.85799999999999998</v>
      </c>
      <c r="N28">
        <f ca="1">IF(AND(ISNUMBER($N$347),$B$294=1),$N$347,HLOOKUP(INDIRECT(ADDRESS(2,COLUMN())),OFFSET($BN$2,0,0,ROW()-1,60),ROW()-1,FALSE))</f>
        <v>0.75600000000000001</v>
      </c>
      <c r="O28">
        <f ca="1">IF(AND(ISNUMBER($O$347),$B$294=1),$O$347,HLOOKUP(INDIRECT(ADDRESS(2,COLUMN())),OFFSET($BN$2,0,0,ROW()-1,60),ROW()-1,FALSE))</f>
        <v>1.1499999999999999</v>
      </c>
      <c r="P28">
        <f ca="1">IF(AND(ISNUMBER($P$347),$B$294=1),$P$347,HLOOKUP(INDIRECT(ADDRESS(2,COLUMN())),OFFSET($BN$2,0,0,ROW()-1,60),ROW()-1,FALSE))</f>
        <v>1.3979999999999999</v>
      </c>
      <c r="Q28">
        <f ca="1">IF(AND(ISNUMBER($Q$347),$B$294=1),$Q$347,HLOOKUP(INDIRECT(ADDRESS(2,COLUMN())),OFFSET($BN$2,0,0,ROW()-1,60),ROW()-1,FALSE))</f>
        <v>1.2350000000000001</v>
      </c>
      <c r="R28">
        <f ca="1">IF(AND(ISNUMBER($R$347),$B$294=1),$R$347,HLOOKUP(INDIRECT(ADDRESS(2,COLUMN())),OFFSET($BN$2,0,0,ROW()-1,60),ROW()-1,FALSE))</f>
        <v>2.8340000000000001</v>
      </c>
      <c r="S28">
        <f ca="1">IF(AND(ISNUMBER($S$347),$B$294=1),$S$347,HLOOKUP(INDIRECT(ADDRESS(2,COLUMN())),OFFSET($BN$2,0,0,ROW()-1,60),ROW()-1,FALSE))</f>
        <v>0.92600000000000005</v>
      </c>
      <c r="T28">
        <f ca="1">IF(AND(ISNUMBER($T$347),$B$294=1),$T$347,HLOOKUP(INDIRECT(ADDRESS(2,COLUMN())),OFFSET($BN$2,0,0,ROW()-1,60),ROW()-1,FALSE))</f>
        <v>0.82499999999999996</v>
      </c>
      <c r="U28">
        <f ca="1">IF(AND(ISNUMBER($U$347),$B$294=1),$U$347,HLOOKUP(INDIRECT(ADDRESS(2,COLUMN())),OFFSET($BN$2,0,0,ROW()-1,60),ROW()-1,FALSE))</f>
        <v>0.84</v>
      </c>
      <c r="V28">
        <f ca="1">IF(AND(ISNUMBER($V$347),$B$294=1),$V$347,HLOOKUP(INDIRECT(ADDRESS(2,COLUMN())),OFFSET($BN$2,0,0,ROW()-1,60),ROW()-1,FALSE))</f>
        <v>0.63</v>
      </c>
      <c r="W28">
        <f ca="1">IF(AND(ISNUMBER($W$347),$B$294=1),$W$347,HLOOKUP(INDIRECT(ADDRESS(2,COLUMN())),OFFSET($BN$2,0,0,ROW()-1,60),ROW()-1,FALSE))</f>
        <v>0.88100000000000001</v>
      </c>
      <c r="X28">
        <f ca="1">IF(AND(ISNUMBER($X$347),$B$294=1),$X$347,HLOOKUP(INDIRECT(ADDRESS(2,COLUMN())),OFFSET($BN$2,0,0,ROW()-1,60),ROW()-1,FALSE))</f>
        <v>0.97499999999999998</v>
      </c>
      <c r="Y28">
        <f ca="1">IF(AND(ISNUMBER($Y$347),$B$294=1),$Y$347,HLOOKUP(INDIRECT(ADDRESS(2,COLUMN())),OFFSET($BN$2,0,0,ROW()-1,60),ROW()-1,FALSE))</f>
        <v>1.4570000000000001</v>
      </c>
      <c r="Z28">
        <f ca="1">IF(AND(ISNUMBER($Z$347),$B$294=1),$Z$347,HLOOKUP(INDIRECT(ADDRESS(2,COLUMN())),OFFSET($BN$2,0,0,ROW()-1,60),ROW()-1,FALSE))</f>
        <v>0.873</v>
      </c>
      <c r="AA28">
        <f ca="1">IF(AND(ISNUMBER($AA$347),$B$294=1),$AA$347,HLOOKUP(INDIRECT(ADDRESS(2,COLUMN())),OFFSET($BN$2,0,0,ROW()-1,60),ROW()-1,FALSE))</f>
        <v>1.681</v>
      </c>
      <c r="AB28">
        <f ca="1">IF(AND(ISNUMBER($AB$347),$B$294=1),$AB$347,HLOOKUP(INDIRECT(ADDRESS(2,COLUMN())),OFFSET($BN$2,0,0,ROW()-1,60),ROW()-1,FALSE))</f>
        <v>1.63</v>
      </c>
      <c r="AC28">
        <f ca="1">IF(AND(ISNUMBER($AC$347),$B$294=1),$AC$347,HLOOKUP(INDIRECT(ADDRESS(2,COLUMN())),OFFSET($BN$2,0,0,ROW()-1,60),ROW()-1,FALSE))</f>
        <v>0.88800000000000001</v>
      </c>
      <c r="AD28">
        <f ca="1">IF(AND(ISNUMBER($AD$347),$B$294=1),$AD$347,HLOOKUP(INDIRECT(ADDRESS(2,COLUMN())),OFFSET($BN$2,0,0,ROW()-1,60),ROW()-1,FALSE))</f>
        <v>1.512</v>
      </c>
      <c r="AE28">
        <f ca="1">IF(AND(ISNUMBER($AE$347),$B$294=1),$AE$347,HLOOKUP(INDIRECT(ADDRESS(2,COLUMN())),OFFSET($BN$2,0,0,ROW()-1,60),ROW()-1,FALSE))</f>
        <v>2.073</v>
      </c>
      <c r="AF28">
        <f ca="1">IF(AND(ISNUMBER($AF$347),$B$294=1),$AF$347,HLOOKUP(INDIRECT(ADDRESS(2,COLUMN())),OFFSET($BN$2,0,0,ROW()-1,60),ROW()-1,FALSE))</f>
        <v>0.95499999999999996</v>
      </c>
      <c r="AG28">
        <f ca="1">IF(AND(ISNUMBER($AG$347),$B$294=1),$AG$347,HLOOKUP(INDIRECT(ADDRESS(2,COLUMN())),OFFSET($BN$2,0,0,ROW()-1,60),ROW()-1,FALSE))</f>
        <v>1.3360000000000001</v>
      </c>
      <c r="AH28">
        <f ca="1">IF(AND(ISNUMBER($AH$347),$B$294=1),$AH$347,HLOOKUP(INDIRECT(ADDRESS(2,COLUMN())),OFFSET($BN$2,0,0,ROW()-1,60),ROW()-1,FALSE))</f>
        <v>1.083</v>
      </c>
      <c r="AI28">
        <f ca="1">IF(AND(ISNUMBER($AI$347),$B$294=1),$AI$347,HLOOKUP(INDIRECT(ADDRESS(2,COLUMN())),OFFSET($BN$2,0,0,ROW()-1,60),ROW()-1,FALSE))</f>
        <v>1.1559999999999999</v>
      </c>
      <c r="AJ28">
        <f ca="1">IF(AND(ISNUMBER($AJ$347),$B$294=1),$AJ$347,HLOOKUP(INDIRECT(ADDRESS(2,COLUMN())),OFFSET($BN$2,0,0,ROW()-1,60),ROW()-1,FALSE))</f>
        <v>1.2270000000000001</v>
      </c>
      <c r="AK28">
        <f ca="1">IF(AND(ISNUMBER($AK$347),$B$294=1),$AK$347,HLOOKUP(INDIRECT(ADDRESS(2,COLUMN())),OFFSET($BN$2,0,0,ROW()-1,60),ROW()-1,FALSE))</f>
        <v>1.022</v>
      </c>
      <c r="AL28">
        <f ca="1">IF(AND(ISNUMBER($AL$347),$B$294=1),$AL$347,HLOOKUP(INDIRECT(ADDRESS(2,COLUMN())),OFFSET($BN$2,0,0,ROW()-1,60),ROW()-1,FALSE))</f>
        <v>0.92100000000000004</v>
      </c>
      <c r="AM28">
        <f ca="1">IF(AND(ISNUMBER($AM$347),$B$294=1),$AM$347,HLOOKUP(INDIRECT(ADDRESS(2,COLUMN())),OFFSET($BN$2,0,0,ROW()-1,60),ROW()-1,FALSE))</f>
        <v>1.1200000000000001</v>
      </c>
      <c r="AN28">
        <f ca="1">IF(AND(ISNUMBER($AN$347),$B$294=1),$AN$347,HLOOKUP(INDIRECT(ADDRESS(2,COLUMN())),OFFSET($BN$2,0,0,ROW()-1,60),ROW()-1,FALSE))</f>
        <v>0.871</v>
      </c>
      <c r="AO28">
        <f ca="1">IF(AND(ISNUMBER($AO$347),$B$294=1),$AO$347,HLOOKUP(INDIRECT(ADDRESS(2,COLUMN())),OFFSET($BN$2,0,0,ROW()-1,60),ROW()-1,FALSE))</f>
        <v>0.56999999999999995</v>
      </c>
      <c r="AP28">
        <f ca="1">IF(AND(ISNUMBER($AP$347),$B$294=1),$AP$347,HLOOKUP(INDIRECT(ADDRESS(2,COLUMN())),OFFSET($BN$2,0,0,ROW()-1,60),ROW()-1,FALSE))</f>
        <v>0.88100000000000001</v>
      </c>
      <c r="AQ28" t="str">
        <f ca="1">IF(AND(ISNUMBER($AQ$347),$B$294=1),$AQ$347,HLOOKUP(INDIRECT(ADDRESS(2,COLUMN())),OFFSET($BN$2,0,0,ROW()-1,60),ROW()-1,FALSE))</f>
        <v/>
      </c>
      <c r="AR28" t="str">
        <f ca="1">IF(AND(ISNUMBER($AR$347),$B$294=1),$AR$347,HLOOKUP(INDIRECT(ADDRESS(2,COLUMN())),OFFSET($BN$2,0,0,ROW()-1,60),ROW()-1,FALSE))</f>
        <v/>
      </c>
      <c r="AS28" t="str">
        <f ca="1">IF(AND(ISNUMBER($AS$347),$B$294=1),$AS$347,HLOOKUP(INDIRECT(ADDRESS(2,COLUMN())),OFFSET($BN$2,0,0,ROW()-1,60),ROW()-1,FALSE))</f>
        <v/>
      </c>
      <c r="AT28" t="str">
        <f ca="1">IF(AND(ISNUMBER($AT$347),$B$294=1),$AT$347,HLOOKUP(INDIRECT(ADDRESS(2,COLUMN())),OFFSET($BN$2,0,0,ROW()-1,60),ROW()-1,FALSE))</f>
        <v/>
      </c>
      <c r="AU28" t="str">
        <f ca="1">IF(AND(ISNUMBER($AU$347),$B$294=1),$AU$347,HLOOKUP(INDIRECT(ADDRESS(2,COLUMN())),OFFSET($BN$2,0,0,ROW()-1,60),ROW()-1,FALSE))</f>
        <v/>
      </c>
      <c r="AV28" t="str">
        <f ca="1">IF(AND(ISNUMBER($AV$347),$B$294=1),$AV$347,HLOOKUP(INDIRECT(ADDRESS(2,COLUMN())),OFFSET($BN$2,0,0,ROW()-1,60),ROW()-1,FALSE))</f>
        <v/>
      </c>
      <c r="AW28" t="str">
        <f ca="1">IF(AND(ISNUMBER($AW$347),$B$294=1),$AW$347,HLOOKUP(INDIRECT(ADDRESS(2,COLUMN())),OFFSET($BN$2,0,0,ROW()-1,60),ROW()-1,FALSE))</f>
        <v/>
      </c>
      <c r="AX28" t="str">
        <f ca="1">IF(AND(ISNUMBER($AX$347),$B$294=1),$AX$347,HLOOKUP(INDIRECT(ADDRESS(2,COLUMN())),OFFSET($BN$2,0,0,ROW()-1,60),ROW()-1,FALSE))</f>
        <v/>
      </c>
      <c r="AY28" t="str">
        <f ca="1">IF(AND(ISNUMBER($AY$347),$B$294=1),$AY$347,HLOOKUP(INDIRECT(ADDRESS(2,COLUMN())),OFFSET($BN$2,0,0,ROW()-1,60),ROW()-1,FALSE))</f>
        <v/>
      </c>
      <c r="AZ28" t="str">
        <f ca="1">IF(AND(ISNUMBER($AZ$347),$B$294=1),$AZ$347,HLOOKUP(INDIRECT(ADDRESS(2,COLUMN())),OFFSET($BN$2,0,0,ROW()-1,60),ROW()-1,FALSE))</f>
        <v/>
      </c>
      <c r="BA28" t="str">
        <f ca="1">IF(AND(ISNUMBER($BA$347),$B$294=1),$BA$347,HLOOKUP(INDIRECT(ADDRESS(2,COLUMN())),OFFSET($BN$2,0,0,ROW()-1,60),ROW()-1,FALSE))</f>
        <v/>
      </c>
      <c r="BB28" t="str">
        <f ca="1">IF(AND(ISNUMBER($BB$347),$B$294=1),$BB$347,HLOOKUP(INDIRECT(ADDRESS(2,COLUMN())),OFFSET($BN$2,0,0,ROW()-1,60),ROW()-1,FALSE))</f>
        <v/>
      </c>
      <c r="BC28" t="str">
        <f ca="1">IF(AND(ISNUMBER($BC$347),$B$294=1),$BC$347,HLOOKUP(INDIRECT(ADDRESS(2,COLUMN())),OFFSET($BN$2,0,0,ROW()-1,60),ROW()-1,FALSE))</f>
        <v/>
      </c>
      <c r="BD28" t="str">
        <f ca="1">IF(AND(ISNUMBER($BD$347),$B$294=1),$BD$347,HLOOKUP(INDIRECT(ADDRESS(2,COLUMN())),OFFSET($BN$2,0,0,ROW()-1,60),ROW()-1,FALSE))</f>
        <v/>
      </c>
      <c r="BE28" t="str">
        <f ca="1">IF(AND(ISNUMBER($BE$347),$B$294=1),$BE$347,HLOOKUP(INDIRECT(ADDRESS(2,COLUMN())),OFFSET($BN$2,0,0,ROW()-1,60),ROW()-1,FALSE))</f>
        <v/>
      </c>
      <c r="BF28" t="str">
        <f ca="1">IF(AND(ISNUMBER($BF$347),$B$294=1),$BF$347,HLOOKUP(INDIRECT(ADDRESS(2,COLUMN())),OFFSET($BN$2,0,0,ROW()-1,60),ROW()-1,FALSE))</f>
        <v/>
      </c>
      <c r="BG28" t="str">
        <f ca="1">IF(AND(ISNUMBER($BG$347),$B$294=1),$BG$347,HLOOKUP(INDIRECT(ADDRESS(2,COLUMN())),OFFSET($BN$2,0,0,ROW()-1,60),ROW()-1,FALSE))</f>
        <v/>
      </c>
      <c r="BH28" t="str">
        <f ca="1">IF(AND(ISNUMBER($BH$347),$B$294=1),$BH$347,HLOOKUP(INDIRECT(ADDRESS(2,COLUMN())),OFFSET($BN$2,0,0,ROW()-1,60),ROW()-1,FALSE))</f>
        <v/>
      </c>
      <c r="BI28" t="str">
        <f ca="1">IF(AND(ISNUMBER($BI$347),$B$294=1),$BI$347,HLOOKUP(INDIRECT(ADDRESS(2,COLUMN())),OFFSET($BN$2,0,0,ROW()-1,60),ROW()-1,FALSE))</f>
        <v/>
      </c>
      <c r="BJ28" t="str">
        <f ca="1">IF(AND(ISNUMBER($BJ$347),$B$294=1),$BJ$347,HLOOKUP(INDIRECT(ADDRESS(2,COLUMN())),OFFSET($BN$2,0,0,ROW()-1,60),ROW()-1,FALSE))</f>
        <v/>
      </c>
      <c r="BK28" t="str">
        <f ca="1">IF(AND(ISNUMBER($BK$347),$B$294=1),$BK$347,HLOOKUP(INDIRECT(ADDRESS(2,COLUMN())),OFFSET($BN$2,0,0,ROW()-1,60),ROW()-1,FALSE))</f>
        <v/>
      </c>
      <c r="BL28" t="str">
        <f ca="1">IF(AND(ISNUMBER($BL$347),$B$294=1),$BL$347,HLOOKUP(INDIRECT(ADDRESS(2,COLUMN())),OFFSET($BN$2,0,0,ROW()-1,60),ROW()-1,FALSE))</f>
        <v/>
      </c>
      <c r="BM28" t="str">
        <f ca="1">IF(AND(ISNUMBER($BM$347),$B$294=1),$BM$347,HLOOKUP(INDIRECT(ADDRESS(2,COLUMN())),OFFSET($BN$2,0,0,ROW()-1,60),ROW()-1,FALSE))</f>
        <v/>
      </c>
      <c r="BN28" t="str">
        <f>""</f>
        <v/>
      </c>
      <c r="BO28">
        <f>1.43</f>
        <v>1.43</v>
      </c>
      <c r="BP28">
        <f>1.524</f>
        <v>1.524</v>
      </c>
      <c r="BQ28">
        <f>0.976</f>
        <v>0.97599999999999998</v>
      </c>
      <c r="BR28">
        <f>0.895</f>
        <v>0.89500000000000002</v>
      </c>
      <c r="BS28">
        <f>1.728</f>
        <v>1.728</v>
      </c>
      <c r="BT28">
        <f>0.974</f>
        <v>0.97399999999999998</v>
      </c>
      <c r="BU28">
        <f>0.858</f>
        <v>0.85799999999999998</v>
      </c>
      <c r="BV28">
        <f>0.756</f>
        <v>0.75600000000000001</v>
      </c>
      <c r="BW28">
        <f>1.15</f>
        <v>1.1499999999999999</v>
      </c>
      <c r="BX28">
        <f>1.398</f>
        <v>1.3979999999999999</v>
      </c>
      <c r="BY28">
        <f>1.235</f>
        <v>1.2350000000000001</v>
      </c>
      <c r="BZ28">
        <f>2.834</f>
        <v>2.8340000000000001</v>
      </c>
      <c r="CA28">
        <f>0.926</f>
        <v>0.92600000000000005</v>
      </c>
      <c r="CB28">
        <f>0.825</f>
        <v>0.82499999999999996</v>
      </c>
      <c r="CC28">
        <f>0.84</f>
        <v>0.84</v>
      </c>
      <c r="CD28">
        <f>0.63</f>
        <v>0.63</v>
      </c>
      <c r="CE28">
        <f>0.881</f>
        <v>0.88100000000000001</v>
      </c>
      <c r="CF28">
        <f>0.975</f>
        <v>0.97499999999999998</v>
      </c>
      <c r="CG28">
        <f>1.457</f>
        <v>1.4570000000000001</v>
      </c>
      <c r="CH28">
        <f>0.873</f>
        <v>0.873</v>
      </c>
      <c r="CI28">
        <f>1.681</f>
        <v>1.681</v>
      </c>
      <c r="CJ28">
        <f>1.63</f>
        <v>1.63</v>
      </c>
      <c r="CK28">
        <f>0.888</f>
        <v>0.88800000000000001</v>
      </c>
      <c r="CL28">
        <f>1.512</f>
        <v>1.512</v>
      </c>
      <c r="CM28">
        <f>2.073</f>
        <v>2.073</v>
      </c>
      <c r="CN28">
        <f>0.955</f>
        <v>0.95499999999999996</v>
      </c>
      <c r="CO28">
        <f>1.336</f>
        <v>1.3360000000000001</v>
      </c>
      <c r="CP28">
        <f>1.083</f>
        <v>1.083</v>
      </c>
      <c r="CQ28">
        <f>1.156</f>
        <v>1.1559999999999999</v>
      </c>
      <c r="CR28">
        <f>1.227</f>
        <v>1.2270000000000001</v>
      </c>
      <c r="CS28">
        <f>1.022</f>
        <v>1.022</v>
      </c>
      <c r="CT28">
        <f>0.921</f>
        <v>0.92100000000000004</v>
      </c>
      <c r="CU28">
        <f>1.12</f>
        <v>1.1200000000000001</v>
      </c>
      <c r="CV28">
        <f>0.871</f>
        <v>0.871</v>
      </c>
      <c r="CW28">
        <f>0.57</f>
        <v>0.56999999999999995</v>
      </c>
      <c r="CX28">
        <f>0.881</f>
        <v>0.88100000000000001</v>
      </c>
      <c r="CY28" t="str">
        <f>""</f>
        <v/>
      </c>
      <c r="CZ28" t="str">
        <f>""</f>
        <v/>
      </c>
      <c r="DA28" t="str">
        <f>""</f>
        <v/>
      </c>
      <c r="DB28" t="str">
        <f>""</f>
        <v/>
      </c>
      <c r="DC28" t="str">
        <f>""</f>
        <v/>
      </c>
      <c r="DD28" t="str">
        <f>""</f>
        <v/>
      </c>
      <c r="DE28" t="str">
        <f>""</f>
        <v/>
      </c>
      <c r="DF28" t="str">
        <f>""</f>
        <v/>
      </c>
      <c r="DG28" t="str">
        <f>""</f>
        <v/>
      </c>
      <c r="DH28" t="str">
        <f>""</f>
        <v/>
      </c>
      <c r="DI28" t="str">
        <f>""</f>
        <v/>
      </c>
      <c r="DJ28" t="str">
        <f>""</f>
        <v/>
      </c>
      <c r="DK28" t="str">
        <f>""</f>
        <v/>
      </c>
      <c r="DL28" t="str">
        <f>""</f>
        <v/>
      </c>
      <c r="DM28" t="str">
        <f>""</f>
        <v/>
      </c>
      <c r="DN28" t="str">
        <f>""</f>
        <v/>
      </c>
      <c r="DO28" t="str">
        <f>""</f>
        <v/>
      </c>
      <c r="DP28" t="str">
        <f>""</f>
        <v/>
      </c>
      <c r="DQ28" t="str">
        <f>""</f>
        <v/>
      </c>
      <c r="DR28" t="str">
        <f>""</f>
        <v/>
      </c>
      <c r="DS28" t="str">
        <f>""</f>
        <v/>
      </c>
      <c r="DT28" t="str">
        <f>""</f>
        <v/>
      </c>
      <c r="DU28" t="str">
        <f>""</f>
        <v/>
      </c>
    </row>
    <row r="29" spans="1:125">
      <c r="A29" t="str">
        <f>"    Columbia Property Trust Inc"</f>
        <v xml:space="preserve">    Columbia Property Trust Inc</v>
      </c>
      <c r="B29" t="str">
        <f>"CXP US Equity"</f>
        <v>CXP US Equity</v>
      </c>
      <c r="C29" t="str">
        <f t="shared" si="6"/>
        <v>IM281</v>
      </c>
      <c r="D29" t="str">
        <f t="shared" si="7"/>
        <v>IS_NON_REAL_ESTATE_INCOME</v>
      </c>
      <c r="E29" t="str">
        <f t="shared" si="8"/>
        <v>动态</v>
      </c>
      <c r="F29" t="str">
        <f ca="1">IF(AND(ISNUMBER($F$348),$B$294=1),$F$348,HLOOKUP(INDIRECT(ADDRESS(2,COLUMN())),OFFSET($BN$2,0,0,ROW()-1,60),ROW()-1,FALSE))</f>
        <v/>
      </c>
      <c r="G29">
        <f ca="1">IF(AND(ISNUMBER($G$348),$B$294=1),$G$348,HLOOKUP(INDIRECT(ADDRESS(2,COLUMN())),OFFSET($BN$2,0,0,ROW()-1,60),ROW()-1,FALSE))</f>
        <v>1.6559999999999999</v>
      </c>
      <c r="H29">
        <f ca="1">IF(AND(ISNUMBER($H$348),$B$294=1),$H$348,HLOOKUP(INDIRECT(ADDRESS(2,COLUMN())),OFFSET($BN$2,0,0,ROW()-1,60),ROW()-1,FALSE))</f>
        <v>0</v>
      </c>
      <c r="I29">
        <f ca="1">IF(AND(ISNUMBER($I$348),$B$294=1),$I$348,HLOOKUP(INDIRECT(ADDRESS(2,COLUMN())),OFFSET($BN$2,0,0,ROW()-1,60),ROW()-1,FALSE))</f>
        <v>0</v>
      </c>
      <c r="J29">
        <f ca="1">IF(AND(ISNUMBER($J$348),$B$294=1),$J$348,HLOOKUP(INDIRECT(ADDRESS(2,COLUMN())),OFFSET($BN$2,0,0,ROW()-1,60),ROW()-1,FALSE))</f>
        <v>1.339</v>
      </c>
      <c r="K29">
        <f ca="1">IF(AND(ISNUMBER($K$348),$B$294=1),$K$348,HLOOKUP(INDIRECT(ADDRESS(2,COLUMN())),OFFSET($BN$2,0,0,ROW()-1,60),ROW()-1,FALSE))</f>
        <v>5.1769999999999996</v>
      </c>
      <c r="L29">
        <f ca="1">IF(AND(ISNUMBER($L$348),$B$294=1),$L$348,HLOOKUP(INDIRECT(ADDRESS(2,COLUMN())),OFFSET($BN$2,0,0,ROW()-1,60),ROW()-1,FALSE))</f>
        <v>6.27</v>
      </c>
      <c r="M29">
        <f ca="1">IF(AND(ISNUMBER($M$348),$B$294=1),$M$348,HLOOKUP(INDIRECT(ADDRESS(2,COLUMN())),OFFSET($BN$2,0,0,ROW()-1,60),ROW()-1,FALSE))</f>
        <v>6.5510000000000002</v>
      </c>
      <c r="N29">
        <f ca="1">IF(AND(ISNUMBER($N$348),$B$294=1),$N$348,HLOOKUP(INDIRECT(ADDRESS(2,COLUMN())),OFFSET($BN$2,0,0,ROW()-1,60),ROW()-1,FALSE))</f>
        <v>4.6630000000000003</v>
      </c>
      <c r="O29">
        <f ca="1">IF(AND(ISNUMBER($O$348),$B$294=1),$O$348,HLOOKUP(INDIRECT(ADDRESS(2,COLUMN())),OFFSET($BN$2,0,0,ROW()-1,60),ROW()-1,FALSE))</f>
        <v>5.4109999999999996</v>
      </c>
      <c r="P29">
        <f ca="1">IF(AND(ISNUMBER($P$348),$B$294=1),$P$348,HLOOKUP(INDIRECT(ADDRESS(2,COLUMN())),OFFSET($BN$2,0,0,ROW()-1,60),ROW()-1,FALSE))</f>
        <v>6.9409999999999998</v>
      </c>
      <c r="Q29">
        <f ca="1">IF(AND(ISNUMBER($Q$348),$B$294=1),$Q$348,HLOOKUP(INDIRECT(ADDRESS(2,COLUMN())),OFFSET($BN$2,0,0,ROW()-1,60),ROW()-1,FALSE))</f>
        <v>6.9640000000000004</v>
      </c>
      <c r="R29">
        <f ca="1">IF(AND(ISNUMBER($R$348),$B$294=1),$R$348,HLOOKUP(INDIRECT(ADDRESS(2,COLUMN())),OFFSET($BN$2,0,0,ROW()-1,60),ROW()-1,FALSE))</f>
        <v>4.9930000000000003</v>
      </c>
      <c r="S29">
        <f ca="1">IF(AND(ISNUMBER($S$348),$B$294=1),$S$348,HLOOKUP(INDIRECT(ADDRESS(2,COLUMN())),OFFSET($BN$2,0,0,ROW()-1,60),ROW()-1,FALSE))</f>
        <v>5.5869999999999997</v>
      </c>
      <c r="T29">
        <f ca="1">IF(AND(ISNUMBER($T$348),$B$294=1),$T$348,HLOOKUP(INDIRECT(ADDRESS(2,COLUMN())),OFFSET($BN$2,0,0,ROW()-1,60),ROW()-1,FALSE))</f>
        <v>6.7320000000000002</v>
      </c>
      <c r="U29">
        <f ca="1">IF(AND(ISNUMBER($U$348),$B$294=1),$U$348,HLOOKUP(INDIRECT(ADDRESS(2,COLUMN())),OFFSET($BN$2,0,0,ROW()-1,60),ROW()-1,FALSE))</f>
        <v>6.5049999999999999</v>
      </c>
      <c r="V29">
        <f ca="1">IF(AND(ISNUMBER($V$348),$B$294=1),$V$348,HLOOKUP(INDIRECT(ADDRESS(2,COLUMN())),OFFSET($BN$2,0,0,ROW()-1,60),ROW()-1,FALSE))</f>
        <v>4.0609999999999999</v>
      </c>
      <c r="W29">
        <f ca="1">IF(AND(ISNUMBER($W$348),$B$294=1),$W$348,HLOOKUP(INDIRECT(ADDRESS(2,COLUMN())),OFFSET($BN$2,0,0,ROW()-1,60),ROW()-1,FALSE))</f>
        <v>5.452</v>
      </c>
      <c r="X29">
        <f ca="1">IF(AND(ISNUMBER($X$348),$B$294=1),$X$348,HLOOKUP(INDIRECT(ADDRESS(2,COLUMN())),OFFSET($BN$2,0,0,ROW()-1,60),ROW()-1,FALSE))</f>
        <v>6.7880000000000003</v>
      </c>
      <c r="Y29">
        <f ca="1">IF(AND(ISNUMBER($Y$348),$B$294=1),$Y$348,HLOOKUP(INDIRECT(ADDRESS(2,COLUMN())),OFFSET($BN$2,0,0,ROW()-1,60),ROW()-1,FALSE))</f>
        <v>6.5620000000000003</v>
      </c>
      <c r="Z29">
        <f ca="1">IF(AND(ISNUMBER($Z$348),$B$294=1),$Z$348,HLOOKUP(INDIRECT(ADDRESS(2,COLUMN())),OFFSET($BN$2,0,0,ROW()-1,60),ROW()-1,FALSE))</f>
        <v>4.9539999999999997</v>
      </c>
      <c r="AA29">
        <f ca="1">IF(AND(ISNUMBER($AA$348),$B$294=1),$AA$348,HLOOKUP(INDIRECT(ADDRESS(2,COLUMN())),OFFSET($BN$2,0,0,ROW()-1,60),ROW()-1,FALSE))</f>
        <v>5.5220000000000002</v>
      </c>
      <c r="AB29">
        <f ca="1">IF(AND(ISNUMBER($AB$348),$B$294=1),$AB$348,HLOOKUP(INDIRECT(ADDRESS(2,COLUMN())),OFFSET($BN$2,0,0,ROW()-1,60),ROW()-1,FALSE))</f>
        <v>6.6890000000000001</v>
      </c>
      <c r="AC29">
        <f ca="1">IF(AND(ISNUMBER($AC$348),$B$294=1),$AC$348,HLOOKUP(INDIRECT(ADDRESS(2,COLUMN())),OFFSET($BN$2,0,0,ROW()-1,60),ROW()-1,FALSE))</f>
        <v>6.4630000000000001</v>
      </c>
      <c r="AD29">
        <f ca="1">IF(AND(ISNUMBER($AD$348),$B$294=1),$AD$348,HLOOKUP(INDIRECT(ADDRESS(2,COLUMN())),OFFSET($BN$2,0,0,ROW()-1,60),ROW()-1,FALSE))</f>
        <v>4.375</v>
      </c>
      <c r="AE29">
        <f ca="1">IF(AND(ISNUMBER($AE$348),$B$294=1),$AE$348,HLOOKUP(INDIRECT(ADDRESS(2,COLUMN())),OFFSET($BN$2,0,0,ROW()-1,60),ROW()-1,FALSE))</f>
        <v>4.9619999999999997</v>
      </c>
      <c r="AF29">
        <f ca="1">IF(AND(ISNUMBER($AF$348),$B$294=1),$AF$348,HLOOKUP(INDIRECT(ADDRESS(2,COLUMN())),OFFSET($BN$2,0,0,ROW()-1,60),ROW()-1,FALSE))</f>
        <v>6.2720000000000002</v>
      </c>
      <c r="AG29">
        <f ca="1">IF(AND(ISNUMBER($AG$348),$B$294=1),$AG$348,HLOOKUP(INDIRECT(ADDRESS(2,COLUMN())),OFFSET($BN$2,0,0,ROW()-1,60),ROW()-1,FALSE))</f>
        <v>5.2160000000000002</v>
      </c>
      <c r="AH29">
        <f ca="1">IF(AND(ISNUMBER($AH$348),$B$294=1),$AH$348,HLOOKUP(INDIRECT(ADDRESS(2,COLUMN())),OFFSET($BN$2,0,0,ROW()-1,60),ROW()-1,FALSE))</f>
        <v>4.1500000000000004</v>
      </c>
      <c r="AI29">
        <f ca="1">IF(AND(ISNUMBER($AI$348),$B$294=1),$AI$348,HLOOKUP(INDIRECT(ADDRESS(2,COLUMN())),OFFSET($BN$2,0,0,ROW()-1,60),ROW()-1,FALSE))</f>
        <v>4.9189999999999996</v>
      </c>
      <c r="AJ29">
        <f ca="1">IF(AND(ISNUMBER($AJ$348),$B$294=1),$AJ$348,HLOOKUP(INDIRECT(ADDRESS(2,COLUMN())),OFFSET($BN$2,0,0,ROW()-1,60),ROW()-1,FALSE))</f>
        <v>5.5010000000000003</v>
      </c>
      <c r="AK29">
        <f ca="1">IF(AND(ISNUMBER($AK$348),$B$294=1),$AK$348,HLOOKUP(INDIRECT(ADDRESS(2,COLUMN())),OFFSET($BN$2,0,0,ROW()-1,60),ROW()-1,FALSE))</f>
        <v>5.3570000000000002</v>
      </c>
      <c r="AL29">
        <f ca="1">IF(AND(ISNUMBER($AL$348),$B$294=1),$AL$348,HLOOKUP(INDIRECT(ADDRESS(2,COLUMN())),OFFSET($BN$2,0,0,ROW()-1,60),ROW()-1,FALSE))</f>
        <v>4.0419999999999998</v>
      </c>
      <c r="AM29">
        <f ca="1">IF(AND(ISNUMBER($AM$348),$B$294=1),$AM$348,HLOOKUP(INDIRECT(ADDRESS(2,COLUMN())),OFFSET($BN$2,0,0,ROW()-1,60),ROW()-1,FALSE))</f>
        <v>4.6840000000000002</v>
      </c>
      <c r="AN29">
        <f ca="1">IF(AND(ISNUMBER($AN$348),$B$294=1),$AN$348,HLOOKUP(INDIRECT(ADDRESS(2,COLUMN())),OFFSET($BN$2,0,0,ROW()-1,60),ROW()-1,FALSE))</f>
        <v>5.5179999999999998</v>
      </c>
      <c r="AO29">
        <f ca="1">IF(AND(ISNUMBER($AO$348),$B$294=1),$AO$348,HLOOKUP(INDIRECT(ADDRESS(2,COLUMN())),OFFSET($BN$2,0,0,ROW()-1,60),ROW()-1,FALSE))</f>
        <v>5.6210000000000004</v>
      </c>
      <c r="AP29">
        <f ca="1">IF(AND(ISNUMBER($AP$348),$B$294=1),$AP$348,HLOOKUP(INDIRECT(ADDRESS(2,COLUMN())),OFFSET($BN$2,0,0,ROW()-1,60),ROW()-1,FALSE))</f>
        <v>4.3559999999999999</v>
      </c>
      <c r="AQ29" t="str">
        <f ca="1">IF(AND(ISNUMBER($AQ$348),$B$294=1),$AQ$348,HLOOKUP(INDIRECT(ADDRESS(2,COLUMN())),OFFSET($BN$2,0,0,ROW()-1,60),ROW()-1,FALSE))</f>
        <v/>
      </c>
      <c r="AR29" t="str">
        <f ca="1">IF(AND(ISNUMBER($AR$348),$B$294=1),$AR$348,HLOOKUP(INDIRECT(ADDRESS(2,COLUMN())),OFFSET($BN$2,0,0,ROW()-1,60),ROW()-1,FALSE))</f>
        <v/>
      </c>
      <c r="AS29" t="str">
        <f ca="1">IF(AND(ISNUMBER($AS$348),$B$294=1),$AS$348,HLOOKUP(INDIRECT(ADDRESS(2,COLUMN())),OFFSET($BN$2,0,0,ROW()-1,60),ROW()-1,FALSE))</f>
        <v/>
      </c>
      <c r="AT29" t="str">
        <f ca="1">IF(AND(ISNUMBER($AT$348),$B$294=1),$AT$348,HLOOKUP(INDIRECT(ADDRESS(2,COLUMN())),OFFSET($BN$2,0,0,ROW()-1,60),ROW()-1,FALSE))</f>
        <v/>
      </c>
      <c r="AU29" t="str">
        <f ca="1">IF(AND(ISNUMBER($AU$348),$B$294=1),$AU$348,HLOOKUP(INDIRECT(ADDRESS(2,COLUMN())),OFFSET($BN$2,0,0,ROW()-1,60),ROW()-1,FALSE))</f>
        <v/>
      </c>
      <c r="AV29" t="str">
        <f ca="1">IF(AND(ISNUMBER($AV$348),$B$294=1),$AV$348,HLOOKUP(INDIRECT(ADDRESS(2,COLUMN())),OFFSET($BN$2,0,0,ROW()-1,60),ROW()-1,FALSE))</f>
        <v/>
      </c>
      <c r="AW29" t="str">
        <f ca="1">IF(AND(ISNUMBER($AW$348),$B$294=1),$AW$348,HLOOKUP(INDIRECT(ADDRESS(2,COLUMN())),OFFSET($BN$2,0,0,ROW()-1,60),ROW()-1,FALSE))</f>
        <v/>
      </c>
      <c r="AX29" t="str">
        <f ca="1">IF(AND(ISNUMBER($AX$348),$B$294=1),$AX$348,HLOOKUP(INDIRECT(ADDRESS(2,COLUMN())),OFFSET($BN$2,0,0,ROW()-1,60),ROW()-1,FALSE))</f>
        <v/>
      </c>
      <c r="AY29" t="str">
        <f ca="1">IF(AND(ISNUMBER($AY$348),$B$294=1),$AY$348,HLOOKUP(INDIRECT(ADDRESS(2,COLUMN())),OFFSET($BN$2,0,0,ROW()-1,60),ROW()-1,FALSE))</f>
        <v/>
      </c>
      <c r="AZ29" t="str">
        <f ca="1">IF(AND(ISNUMBER($AZ$348),$B$294=1),$AZ$348,HLOOKUP(INDIRECT(ADDRESS(2,COLUMN())),OFFSET($BN$2,0,0,ROW()-1,60),ROW()-1,FALSE))</f>
        <v/>
      </c>
      <c r="BA29" t="str">
        <f ca="1">IF(AND(ISNUMBER($BA$348),$B$294=1),$BA$348,HLOOKUP(INDIRECT(ADDRESS(2,COLUMN())),OFFSET($BN$2,0,0,ROW()-1,60),ROW()-1,FALSE))</f>
        <v/>
      </c>
      <c r="BB29" t="str">
        <f ca="1">IF(AND(ISNUMBER($BB$348),$B$294=1),$BB$348,HLOOKUP(INDIRECT(ADDRESS(2,COLUMN())),OFFSET($BN$2,0,0,ROW()-1,60),ROW()-1,FALSE))</f>
        <v/>
      </c>
      <c r="BC29" t="str">
        <f ca="1">IF(AND(ISNUMBER($BC$348),$B$294=1),$BC$348,HLOOKUP(INDIRECT(ADDRESS(2,COLUMN())),OFFSET($BN$2,0,0,ROW()-1,60),ROW()-1,FALSE))</f>
        <v/>
      </c>
      <c r="BD29" t="str">
        <f ca="1">IF(AND(ISNUMBER($BD$348),$B$294=1),$BD$348,HLOOKUP(INDIRECT(ADDRESS(2,COLUMN())),OFFSET($BN$2,0,0,ROW()-1,60),ROW()-1,FALSE))</f>
        <v/>
      </c>
      <c r="BE29" t="str">
        <f ca="1">IF(AND(ISNUMBER($BE$348),$B$294=1),$BE$348,HLOOKUP(INDIRECT(ADDRESS(2,COLUMN())),OFFSET($BN$2,0,0,ROW()-1,60),ROW()-1,FALSE))</f>
        <v/>
      </c>
      <c r="BF29" t="str">
        <f ca="1">IF(AND(ISNUMBER($BF$348),$B$294=1),$BF$348,HLOOKUP(INDIRECT(ADDRESS(2,COLUMN())),OFFSET($BN$2,0,0,ROW()-1,60),ROW()-1,FALSE))</f>
        <v/>
      </c>
      <c r="BG29" t="str">
        <f ca="1">IF(AND(ISNUMBER($BG$348),$B$294=1),$BG$348,HLOOKUP(INDIRECT(ADDRESS(2,COLUMN())),OFFSET($BN$2,0,0,ROW()-1,60),ROW()-1,FALSE))</f>
        <v/>
      </c>
      <c r="BH29" t="str">
        <f ca="1">IF(AND(ISNUMBER($BH$348),$B$294=1),$BH$348,HLOOKUP(INDIRECT(ADDRESS(2,COLUMN())),OFFSET($BN$2,0,0,ROW()-1,60),ROW()-1,FALSE))</f>
        <v/>
      </c>
      <c r="BI29" t="str">
        <f ca="1">IF(AND(ISNUMBER($BI$348),$B$294=1),$BI$348,HLOOKUP(INDIRECT(ADDRESS(2,COLUMN())),OFFSET($BN$2,0,0,ROW()-1,60),ROW()-1,FALSE))</f>
        <v/>
      </c>
      <c r="BJ29" t="str">
        <f ca="1">IF(AND(ISNUMBER($BJ$348),$B$294=1),$BJ$348,HLOOKUP(INDIRECT(ADDRESS(2,COLUMN())),OFFSET($BN$2,0,0,ROW()-1,60),ROW()-1,FALSE))</f>
        <v/>
      </c>
      <c r="BK29" t="str">
        <f ca="1">IF(AND(ISNUMBER($BK$348),$B$294=1),$BK$348,HLOOKUP(INDIRECT(ADDRESS(2,COLUMN())),OFFSET($BN$2,0,0,ROW()-1,60),ROW()-1,FALSE))</f>
        <v/>
      </c>
      <c r="BL29" t="str">
        <f ca="1">IF(AND(ISNUMBER($BL$348),$B$294=1),$BL$348,HLOOKUP(INDIRECT(ADDRESS(2,COLUMN())),OFFSET($BN$2,0,0,ROW()-1,60),ROW()-1,FALSE))</f>
        <v/>
      </c>
      <c r="BM29" t="str">
        <f ca="1">IF(AND(ISNUMBER($BM$348),$B$294=1),$BM$348,HLOOKUP(INDIRECT(ADDRESS(2,COLUMN())),OFFSET($BN$2,0,0,ROW()-1,60),ROW()-1,FALSE))</f>
        <v/>
      </c>
      <c r="BN29" t="str">
        <f>""</f>
        <v/>
      </c>
      <c r="BO29">
        <f>1.656</f>
        <v>1.6559999999999999</v>
      </c>
      <c r="BP29">
        <f>0</f>
        <v>0</v>
      </c>
      <c r="BQ29">
        <f>0</f>
        <v>0</v>
      </c>
      <c r="BR29">
        <f>1.339</f>
        <v>1.339</v>
      </c>
      <c r="BS29">
        <f>5.177</f>
        <v>5.1769999999999996</v>
      </c>
      <c r="BT29">
        <f>6.27</f>
        <v>6.27</v>
      </c>
      <c r="BU29">
        <f>6.551</f>
        <v>6.5510000000000002</v>
      </c>
      <c r="BV29">
        <f>4.663</f>
        <v>4.6630000000000003</v>
      </c>
      <c r="BW29">
        <f>5.411</f>
        <v>5.4109999999999996</v>
      </c>
      <c r="BX29">
        <f>6.941</f>
        <v>6.9409999999999998</v>
      </c>
      <c r="BY29">
        <f>6.964</f>
        <v>6.9640000000000004</v>
      </c>
      <c r="BZ29">
        <f>4.993</f>
        <v>4.9930000000000003</v>
      </c>
      <c r="CA29">
        <f>5.587</f>
        <v>5.5869999999999997</v>
      </c>
      <c r="CB29">
        <f>6.732</f>
        <v>6.7320000000000002</v>
      </c>
      <c r="CC29">
        <f>6.505</f>
        <v>6.5049999999999999</v>
      </c>
      <c r="CD29">
        <f>4.061</f>
        <v>4.0609999999999999</v>
      </c>
      <c r="CE29">
        <f>5.452</f>
        <v>5.452</v>
      </c>
      <c r="CF29">
        <f>6.788</f>
        <v>6.7880000000000003</v>
      </c>
      <c r="CG29">
        <f>6.562</f>
        <v>6.5620000000000003</v>
      </c>
      <c r="CH29">
        <f>4.954</f>
        <v>4.9539999999999997</v>
      </c>
      <c r="CI29">
        <f>5.522</f>
        <v>5.5220000000000002</v>
      </c>
      <c r="CJ29">
        <f>6.689</f>
        <v>6.6890000000000001</v>
      </c>
      <c r="CK29">
        <f>6.463</f>
        <v>6.4630000000000001</v>
      </c>
      <c r="CL29">
        <f>4.375</f>
        <v>4.375</v>
      </c>
      <c r="CM29">
        <f>4.962</f>
        <v>4.9619999999999997</v>
      </c>
      <c r="CN29">
        <f>6.272</f>
        <v>6.2720000000000002</v>
      </c>
      <c r="CO29">
        <f>5.216</f>
        <v>5.2160000000000002</v>
      </c>
      <c r="CP29">
        <f>4.15</f>
        <v>4.1500000000000004</v>
      </c>
      <c r="CQ29">
        <f>4.919</f>
        <v>4.9189999999999996</v>
      </c>
      <c r="CR29">
        <f>5.501</f>
        <v>5.5010000000000003</v>
      </c>
      <c r="CS29">
        <f>5.357</f>
        <v>5.3570000000000002</v>
      </c>
      <c r="CT29">
        <f>4.042</f>
        <v>4.0419999999999998</v>
      </c>
      <c r="CU29">
        <f>4.684</f>
        <v>4.6840000000000002</v>
      </c>
      <c r="CV29">
        <f>5.518</f>
        <v>5.5179999999999998</v>
      </c>
      <c r="CW29">
        <f>5.621</f>
        <v>5.6210000000000004</v>
      </c>
      <c r="CX29">
        <f>4.356</f>
        <v>4.3559999999999999</v>
      </c>
      <c r="CY29" t="str">
        <f>""</f>
        <v/>
      </c>
      <c r="CZ29" t="str">
        <f>""</f>
        <v/>
      </c>
      <c r="DA29" t="str">
        <f>""</f>
        <v/>
      </c>
      <c r="DB29" t="str">
        <f>""</f>
        <v/>
      </c>
      <c r="DC29" t="str">
        <f>""</f>
        <v/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 t="str">
        <f>""</f>
        <v/>
      </c>
      <c r="DQ29" t="str">
        <f>""</f>
        <v/>
      </c>
      <c r="DR29" t="str">
        <f>""</f>
        <v/>
      </c>
      <c r="DS29" t="str">
        <f>""</f>
        <v/>
      </c>
      <c r="DT29" t="str">
        <f>""</f>
        <v/>
      </c>
      <c r="DU29" t="str">
        <f>""</f>
        <v/>
      </c>
    </row>
    <row r="30" spans="1:125">
      <c r="A30" t="str">
        <f>"    Corporate Office Properties Tr"</f>
        <v xml:space="preserve">    Corporate Office Properties Tr</v>
      </c>
      <c r="B30" t="str">
        <f>"OFC US Equity"</f>
        <v>OFC US Equity</v>
      </c>
      <c r="C30" t="str">
        <f t="shared" si="6"/>
        <v>IM281</v>
      </c>
      <c r="D30" t="str">
        <f t="shared" si="7"/>
        <v>IS_NON_REAL_ESTATE_INCOME</v>
      </c>
      <c r="E30" t="str">
        <f t="shared" si="8"/>
        <v>动态</v>
      </c>
      <c r="F30" t="str">
        <f ca="1">IF(AND(ISNUMBER($F$349),$B$294=1),$F$349,HLOOKUP(INDIRECT(ADDRESS(2,COLUMN())),OFFSET($BN$2,0,0,ROW()-1,60),ROW()-1,FALSE))</f>
        <v/>
      </c>
      <c r="G30">
        <f ca="1">IF(AND(ISNUMBER($G$349),$B$294=1),$G$349,HLOOKUP(INDIRECT(ADDRESS(2,COLUMN())),OFFSET($BN$2,0,0,ROW()-1,60),ROW()-1,FALSE))</f>
        <v>36.881999999999998</v>
      </c>
      <c r="H30">
        <f ca="1">IF(AND(ISNUMBER($H$349),$B$294=1),$H$349,HLOOKUP(INDIRECT(ADDRESS(2,COLUMN())),OFFSET($BN$2,0,0,ROW()-1,60),ROW()-1,FALSE))</f>
        <v>29.786000000000001</v>
      </c>
      <c r="I30">
        <f ca="1">IF(AND(ISNUMBER($I$349),$B$294=1),$I$349,HLOOKUP(INDIRECT(ADDRESS(2,COLUMN())),OFFSET($BN$2,0,0,ROW()-1,60),ROW()-1,FALSE))</f>
        <v>23.138000000000002</v>
      </c>
      <c r="J30">
        <f ca="1">IF(AND(ISNUMBER($J$349),$B$294=1),$J$349,HLOOKUP(INDIRECT(ADDRESS(2,COLUMN())),OFFSET($BN$2,0,0,ROW()-1,60),ROW()-1,FALSE))</f>
        <v>13.034000000000001</v>
      </c>
      <c r="K30">
        <f ca="1">IF(AND(ISNUMBER($K$349),$B$294=1),$K$349,HLOOKUP(INDIRECT(ADDRESS(2,COLUMN())),OFFSET($BN$2,0,0,ROW()-1,60),ROW()-1,FALSE))</f>
        <v>13.992000000000001</v>
      </c>
      <c r="L30">
        <f ca="1">IF(AND(ISNUMBER($L$349),$B$294=1),$L$349,HLOOKUP(INDIRECT(ADDRESS(2,COLUMN())),OFFSET($BN$2,0,0,ROW()-1,60),ROW()-1,FALSE))</f>
        <v>11.148999999999999</v>
      </c>
      <c r="M30">
        <f ca="1">IF(AND(ISNUMBER($M$349),$B$294=1),$M$349,HLOOKUP(INDIRECT(ADDRESS(2,COLUMN())),OFFSET($BN$2,0,0,ROW()-1,60),ROW()-1,FALSE))</f>
        <v>12.003</v>
      </c>
      <c r="N30">
        <f ca="1">IF(AND(ISNUMBER($N$349),$B$294=1),$N$349,HLOOKUP(INDIRECT(ADDRESS(2,COLUMN())),OFFSET($BN$2,0,0,ROW()-1,60),ROW()-1,FALSE))</f>
        <v>11.22</v>
      </c>
      <c r="O30">
        <f ca="1">IF(AND(ISNUMBER($O$349),$B$294=1),$O$349,HLOOKUP(INDIRECT(ADDRESS(2,COLUMN())),OFFSET($BN$2,0,0,ROW()-1,60),ROW()-1,FALSE))</f>
        <v>8.8480000000000008</v>
      </c>
      <c r="P30">
        <f ca="1">IF(AND(ISNUMBER($P$349),$B$294=1),$P$349,HLOOKUP(INDIRECT(ADDRESS(2,COLUMN())),OFFSET($BN$2,0,0,ROW()-1,60),ROW()-1,FALSE))</f>
        <v>17.058</v>
      </c>
      <c r="Q30">
        <f ca="1">IF(AND(ISNUMBER($Q$349),$B$294=1),$Q$349,HLOOKUP(INDIRECT(ADDRESS(2,COLUMN())),OFFSET($BN$2,0,0,ROW()-1,60),ROW()-1,FALSE))</f>
        <v>42.171999999999997</v>
      </c>
      <c r="R30">
        <f ca="1">IF(AND(ISNUMBER($R$349),$B$294=1),$R$349,HLOOKUP(INDIRECT(ADDRESS(2,COLUMN())),OFFSET($BN$2,0,0,ROW()-1,60),ROW()-1,FALSE))</f>
        <v>38.323999999999998</v>
      </c>
      <c r="S30">
        <f ca="1">IF(AND(ISNUMBER($S$349),$B$294=1),$S$349,HLOOKUP(INDIRECT(ADDRESS(2,COLUMN())),OFFSET($BN$2,0,0,ROW()-1,60),ROW()-1,FALSE))</f>
        <v>26.358000000000001</v>
      </c>
      <c r="T30">
        <f ca="1">IF(AND(ISNUMBER($T$349),$B$294=1),$T$349,HLOOKUP(INDIRECT(ADDRESS(2,COLUMN())),OFFSET($BN$2,0,0,ROW()-1,60),ROW()-1,FALSE))</f>
        <v>34.738999999999997</v>
      </c>
      <c r="U30">
        <f ca="1">IF(AND(ISNUMBER($U$349),$B$294=1),$U$349,HLOOKUP(INDIRECT(ADDRESS(2,COLUMN())),OFFSET($BN$2,0,0,ROW()-1,60),ROW()-1,FALSE))</f>
        <v>23.861000000000001</v>
      </c>
      <c r="V30">
        <f ca="1">IF(AND(ISNUMBER($V$349),$B$294=1),$V$349,HLOOKUP(INDIRECT(ADDRESS(2,COLUMN())),OFFSET($BN$2,0,0,ROW()-1,60),ROW()-1,FALSE))</f>
        <v>21.79</v>
      </c>
      <c r="W30">
        <f ca="1">IF(AND(ISNUMBER($W$349),$B$294=1),$W$349,HLOOKUP(INDIRECT(ADDRESS(2,COLUMN())),OFFSET($BN$2,0,0,ROW()-1,60),ROW()-1,FALSE))</f>
        <v>10.315</v>
      </c>
      <c r="X30">
        <f ca="1">IF(AND(ISNUMBER($X$349),$B$294=1),$X$349,HLOOKUP(INDIRECT(ADDRESS(2,COLUMN())),OFFSET($BN$2,0,0,ROW()-1,60),ROW()-1,FALSE))</f>
        <v>16.991</v>
      </c>
      <c r="Y30">
        <f ca="1">IF(AND(ISNUMBER($Y$349),$B$294=1),$Y$349,HLOOKUP(INDIRECT(ADDRESS(2,COLUMN())),OFFSET($BN$2,0,0,ROW()-1,60),ROW()-1,FALSE))</f>
        <v>20.795000000000002</v>
      </c>
      <c r="Z30">
        <f ca="1">IF(AND(ISNUMBER($Z$349),$B$294=1),$Z$349,HLOOKUP(INDIRECT(ADDRESS(2,COLUMN())),OFFSET($BN$2,0,0,ROW()-1,60),ROW()-1,FALSE))</f>
        <v>14.262</v>
      </c>
      <c r="AA30">
        <f ca="1">IF(AND(ISNUMBER($AA$349),$B$294=1),$AA$349,HLOOKUP(INDIRECT(ADDRESS(2,COLUMN())),OFFSET($BN$2,0,0,ROW()-1,60),ROW()-1,FALSE))</f>
        <v>20.024000000000001</v>
      </c>
      <c r="AB30">
        <f ca="1">IF(AND(ISNUMBER($AB$349),$B$294=1),$AB$349,HLOOKUP(INDIRECT(ADDRESS(2,COLUMN())),OFFSET($BN$2,0,0,ROW()-1,60),ROW()-1,FALSE))</f>
        <v>15.282999999999999</v>
      </c>
      <c r="AC30">
        <f ca="1">IF(AND(ISNUMBER($AC$349),$B$294=1),$AC$349,HLOOKUP(INDIRECT(ADDRESS(2,COLUMN())),OFFSET($BN$2,0,0,ROW()-1,60),ROW()-1,FALSE))</f>
        <v>16.995000000000001</v>
      </c>
      <c r="AD30">
        <f ca="1">IF(AND(ISNUMBER($AD$349),$B$294=1),$AD$349,HLOOKUP(INDIRECT(ADDRESS(2,COLUMN())),OFFSET($BN$2,0,0,ROW()-1,60),ROW()-1,FALSE))</f>
        <v>21.533999999999999</v>
      </c>
      <c r="AE30">
        <f ca="1">IF(AND(ISNUMBER($AE$349),$B$294=1),$AE$349,HLOOKUP(INDIRECT(ADDRESS(2,COLUMN())),OFFSET($BN$2,0,0,ROW()-1,60),ROW()-1,FALSE))</f>
        <v>16.491</v>
      </c>
      <c r="AF30">
        <f ca="1">IF(AND(ISNUMBER($AF$349),$B$294=1),$AF$349,HLOOKUP(INDIRECT(ADDRESS(2,COLUMN())),OFFSET($BN$2,0,0,ROW()-1,60),ROW()-1,FALSE))</f>
        <v>18.728999999999999</v>
      </c>
      <c r="AG30">
        <f ca="1">IF(AND(ISNUMBER($AG$349),$B$294=1),$AG$349,HLOOKUP(INDIRECT(ADDRESS(2,COLUMN())),OFFSET($BN$2,0,0,ROW()-1,60),ROW()-1,FALSE))</f>
        <v>28.097000000000001</v>
      </c>
      <c r="AH30">
        <f ca="1">IF(AND(ISNUMBER($AH$349),$B$294=1),$AH$349,HLOOKUP(INDIRECT(ADDRESS(2,COLUMN())),OFFSET($BN$2,0,0,ROW()-1,60),ROW()-1,FALSE))</f>
        <v>21.027999999999999</v>
      </c>
      <c r="AI30">
        <f ca="1">IF(AND(ISNUMBER($AI$349),$B$294=1),$AI$349,HLOOKUP(INDIRECT(ADDRESS(2,COLUMN())),OFFSET($BN$2,0,0,ROW()-1,60),ROW()-1,FALSE))</f>
        <v>27.637</v>
      </c>
      <c r="AJ30">
        <f ca="1">IF(AND(ISNUMBER($AJ$349),$B$294=1),$AJ$349,HLOOKUP(INDIRECT(ADDRESS(2,COLUMN())),OFFSET($BN$2,0,0,ROW()-1,60),ROW()-1,FALSE))</f>
        <v>13.608000000000001</v>
      </c>
      <c r="AK30">
        <f ca="1">IF(AND(ISNUMBER($AK$349),$B$294=1),$AK$349,HLOOKUP(INDIRECT(ADDRESS(2,COLUMN())),OFFSET($BN$2,0,0,ROW()-1,60),ROW()-1,FALSE))</f>
        <v>26.065000000000001</v>
      </c>
      <c r="AL30">
        <f ca="1">IF(AND(ISNUMBER($AL$349),$B$294=1),$AL$349,HLOOKUP(INDIRECT(ADDRESS(2,COLUMN())),OFFSET($BN$2,0,0,ROW()-1,60),ROW()-1,FALSE))</f>
        <v>37.365000000000002</v>
      </c>
      <c r="AM30">
        <f ca="1">IF(AND(ISNUMBER($AM$349),$B$294=1),$AM$349,HLOOKUP(INDIRECT(ADDRESS(2,COLUMN())),OFFSET($BN$2,0,0,ROW()-1,60),ROW()-1,FALSE))</f>
        <v>69.552999999999997</v>
      </c>
      <c r="AN30">
        <f ca="1">IF(AND(ISNUMBER($AN$349),$B$294=1),$AN$349,HLOOKUP(INDIRECT(ADDRESS(2,COLUMN())),OFFSET($BN$2,0,0,ROW()-1,60),ROW()-1,FALSE))</f>
        <v>95.320999999999998</v>
      </c>
      <c r="AO30">
        <f ca="1">IF(AND(ISNUMBER($AO$349),$B$294=1),$AO$349,HLOOKUP(INDIRECT(ADDRESS(2,COLUMN())),OFFSET($BN$2,0,0,ROW()-1,60),ROW()-1,FALSE))</f>
        <v>103.324</v>
      </c>
      <c r="AP30">
        <f ca="1">IF(AND(ISNUMBER($AP$349),$B$294=1),$AP$349,HLOOKUP(INDIRECT(ADDRESS(2,COLUMN())),OFFSET($BN$2,0,0,ROW()-1,60),ROW()-1,FALSE))</f>
        <v>74.888999999999996</v>
      </c>
      <c r="AQ30" t="str">
        <f ca="1">IF(AND(ISNUMBER($AQ$349),$B$294=1),$AQ$349,HLOOKUP(INDIRECT(ADDRESS(2,COLUMN())),OFFSET($BN$2,0,0,ROW()-1,60),ROW()-1,FALSE))</f>
        <v/>
      </c>
      <c r="AR30" t="str">
        <f ca="1">IF(AND(ISNUMBER($AR$349),$B$294=1),$AR$349,HLOOKUP(INDIRECT(ADDRESS(2,COLUMN())),OFFSET($BN$2,0,0,ROW()-1,60),ROW()-1,FALSE))</f>
        <v/>
      </c>
      <c r="AS30" t="str">
        <f ca="1">IF(AND(ISNUMBER($AS$349),$B$294=1),$AS$349,HLOOKUP(INDIRECT(ADDRESS(2,COLUMN())),OFFSET($BN$2,0,0,ROW()-1,60),ROW()-1,FALSE))</f>
        <v/>
      </c>
      <c r="AT30" t="str">
        <f ca="1">IF(AND(ISNUMBER($AT$349),$B$294=1),$AT$349,HLOOKUP(INDIRECT(ADDRESS(2,COLUMN())),OFFSET($BN$2,0,0,ROW()-1,60),ROW()-1,FALSE))</f>
        <v/>
      </c>
      <c r="AU30" t="str">
        <f ca="1">IF(AND(ISNUMBER($AU$349),$B$294=1),$AU$349,HLOOKUP(INDIRECT(ADDRESS(2,COLUMN())),OFFSET($BN$2,0,0,ROW()-1,60),ROW()-1,FALSE))</f>
        <v/>
      </c>
      <c r="AV30" t="str">
        <f ca="1">IF(AND(ISNUMBER($AV$349),$B$294=1),$AV$349,HLOOKUP(INDIRECT(ADDRESS(2,COLUMN())),OFFSET($BN$2,0,0,ROW()-1,60),ROW()-1,FALSE))</f>
        <v/>
      </c>
      <c r="AW30" t="str">
        <f ca="1">IF(AND(ISNUMBER($AW$349),$B$294=1),$AW$349,HLOOKUP(INDIRECT(ADDRESS(2,COLUMN())),OFFSET($BN$2,0,0,ROW()-1,60),ROW()-1,FALSE))</f>
        <v/>
      </c>
      <c r="AX30" t="str">
        <f ca="1">IF(AND(ISNUMBER($AX$349),$B$294=1),$AX$349,HLOOKUP(INDIRECT(ADDRESS(2,COLUMN())),OFFSET($BN$2,0,0,ROW()-1,60),ROW()-1,FALSE))</f>
        <v/>
      </c>
      <c r="AY30" t="str">
        <f ca="1">IF(AND(ISNUMBER($AY$349),$B$294=1),$AY$349,HLOOKUP(INDIRECT(ADDRESS(2,COLUMN())),OFFSET($BN$2,0,0,ROW()-1,60),ROW()-1,FALSE))</f>
        <v/>
      </c>
      <c r="AZ30" t="str">
        <f ca="1">IF(AND(ISNUMBER($AZ$349),$B$294=1),$AZ$349,HLOOKUP(INDIRECT(ADDRESS(2,COLUMN())),OFFSET($BN$2,0,0,ROW()-1,60),ROW()-1,FALSE))</f>
        <v/>
      </c>
      <c r="BA30" t="str">
        <f ca="1">IF(AND(ISNUMBER($BA$349),$B$294=1),$BA$349,HLOOKUP(INDIRECT(ADDRESS(2,COLUMN())),OFFSET($BN$2,0,0,ROW()-1,60),ROW()-1,FALSE))</f>
        <v/>
      </c>
      <c r="BB30" t="str">
        <f ca="1">IF(AND(ISNUMBER($BB$349),$B$294=1),$BB$349,HLOOKUP(INDIRECT(ADDRESS(2,COLUMN())),OFFSET($BN$2,0,0,ROW()-1,60),ROW()-1,FALSE))</f>
        <v/>
      </c>
      <c r="BC30" t="str">
        <f ca="1">IF(AND(ISNUMBER($BC$349),$B$294=1),$BC$349,HLOOKUP(INDIRECT(ADDRESS(2,COLUMN())),OFFSET($BN$2,0,0,ROW()-1,60),ROW()-1,FALSE))</f>
        <v/>
      </c>
      <c r="BD30" t="str">
        <f ca="1">IF(AND(ISNUMBER($BD$349),$B$294=1),$BD$349,HLOOKUP(INDIRECT(ADDRESS(2,COLUMN())),OFFSET($BN$2,0,0,ROW()-1,60),ROW()-1,FALSE))</f>
        <v/>
      </c>
      <c r="BE30" t="str">
        <f ca="1">IF(AND(ISNUMBER($BE$349),$B$294=1),$BE$349,HLOOKUP(INDIRECT(ADDRESS(2,COLUMN())),OFFSET($BN$2,0,0,ROW()-1,60),ROW()-1,FALSE))</f>
        <v/>
      </c>
      <c r="BF30" t="str">
        <f ca="1">IF(AND(ISNUMBER($BF$349),$B$294=1),$BF$349,HLOOKUP(INDIRECT(ADDRESS(2,COLUMN())),OFFSET($BN$2,0,0,ROW()-1,60),ROW()-1,FALSE))</f>
        <v/>
      </c>
      <c r="BG30" t="str">
        <f ca="1">IF(AND(ISNUMBER($BG$349),$B$294=1),$BG$349,HLOOKUP(INDIRECT(ADDRESS(2,COLUMN())),OFFSET($BN$2,0,0,ROW()-1,60),ROW()-1,FALSE))</f>
        <v/>
      </c>
      <c r="BH30" t="str">
        <f ca="1">IF(AND(ISNUMBER($BH$349),$B$294=1),$BH$349,HLOOKUP(INDIRECT(ADDRESS(2,COLUMN())),OFFSET($BN$2,0,0,ROW()-1,60),ROW()-1,FALSE))</f>
        <v/>
      </c>
      <c r="BI30" t="str">
        <f ca="1">IF(AND(ISNUMBER($BI$349),$B$294=1),$BI$349,HLOOKUP(INDIRECT(ADDRESS(2,COLUMN())),OFFSET($BN$2,0,0,ROW()-1,60),ROW()-1,FALSE))</f>
        <v/>
      </c>
      <c r="BJ30" t="str">
        <f ca="1">IF(AND(ISNUMBER($BJ$349),$B$294=1),$BJ$349,HLOOKUP(INDIRECT(ADDRESS(2,COLUMN())),OFFSET($BN$2,0,0,ROW()-1,60),ROW()-1,FALSE))</f>
        <v/>
      </c>
      <c r="BK30" t="str">
        <f ca="1">IF(AND(ISNUMBER($BK$349),$B$294=1),$BK$349,HLOOKUP(INDIRECT(ADDRESS(2,COLUMN())),OFFSET($BN$2,0,0,ROW()-1,60),ROW()-1,FALSE))</f>
        <v/>
      </c>
      <c r="BL30" t="str">
        <f ca="1">IF(AND(ISNUMBER($BL$349),$B$294=1),$BL$349,HLOOKUP(INDIRECT(ADDRESS(2,COLUMN())),OFFSET($BN$2,0,0,ROW()-1,60),ROW()-1,FALSE))</f>
        <v/>
      </c>
      <c r="BM30" t="str">
        <f ca="1">IF(AND(ISNUMBER($BM$349),$B$294=1),$BM$349,HLOOKUP(INDIRECT(ADDRESS(2,COLUMN())),OFFSET($BN$2,0,0,ROW()-1,60),ROW()-1,FALSE))</f>
        <v/>
      </c>
      <c r="BN30" t="str">
        <f>""</f>
        <v/>
      </c>
      <c r="BO30">
        <f>36.882</f>
        <v>36.881999999999998</v>
      </c>
      <c r="BP30">
        <f>29.786</f>
        <v>29.786000000000001</v>
      </c>
      <c r="BQ30">
        <f>23.138</f>
        <v>23.138000000000002</v>
      </c>
      <c r="BR30">
        <f>13.034</f>
        <v>13.034000000000001</v>
      </c>
      <c r="BS30">
        <f>13.992</f>
        <v>13.992000000000001</v>
      </c>
      <c r="BT30">
        <f>11.149</f>
        <v>11.148999999999999</v>
      </c>
      <c r="BU30">
        <f>12.003</f>
        <v>12.003</v>
      </c>
      <c r="BV30">
        <f>11.22</f>
        <v>11.22</v>
      </c>
      <c r="BW30">
        <f>8.848</f>
        <v>8.8480000000000008</v>
      </c>
      <c r="BX30">
        <f>17.058</f>
        <v>17.058</v>
      </c>
      <c r="BY30">
        <f>42.172</f>
        <v>42.171999999999997</v>
      </c>
      <c r="BZ30">
        <f>38.324</f>
        <v>38.323999999999998</v>
      </c>
      <c r="CA30">
        <f>26.358</f>
        <v>26.358000000000001</v>
      </c>
      <c r="CB30">
        <f>34.739</f>
        <v>34.738999999999997</v>
      </c>
      <c r="CC30">
        <f>23.861</f>
        <v>23.861000000000001</v>
      </c>
      <c r="CD30">
        <f>21.79</f>
        <v>21.79</v>
      </c>
      <c r="CE30">
        <f>10.315</f>
        <v>10.315</v>
      </c>
      <c r="CF30">
        <f>16.991</f>
        <v>16.991</v>
      </c>
      <c r="CG30">
        <f>20.795</f>
        <v>20.795000000000002</v>
      </c>
      <c r="CH30">
        <f>14.262</f>
        <v>14.262</v>
      </c>
      <c r="CI30">
        <f>20.024</f>
        <v>20.024000000000001</v>
      </c>
      <c r="CJ30">
        <f>15.283</f>
        <v>15.282999999999999</v>
      </c>
      <c r="CK30">
        <f>16.995</f>
        <v>16.995000000000001</v>
      </c>
      <c r="CL30">
        <f>21.534</f>
        <v>21.533999999999999</v>
      </c>
      <c r="CM30">
        <f>16.491</f>
        <v>16.491</v>
      </c>
      <c r="CN30">
        <f>18.729</f>
        <v>18.728999999999999</v>
      </c>
      <c r="CO30">
        <f>28.097</f>
        <v>28.097000000000001</v>
      </c>
      <c r="CP30">
        <f>21.028</f>
        <v>21.027999999999999</v>
      </c>
      <c r="CQ30">
        <f>27.637</f>
        <v>27.637</v>
      </c>
      <c r="CR30">
        <f>13.608</f>
        <v>13.608000000000001</v>
      </c>
      <c r="CS30">
        <f>26.065</f>
        <v>26.065000000000001</v>
      </c>
      <c r="CT30">
        <f>37.365</f>
        <v>37.365000000000002</v>
      </c>
      <c r="CU30">
        <f>69.553</f>
        <v>69.552999999999997</v>
      </c>
      <c r="CV30">
        <f>95.321</f>
        <v>95.320999999999998</v>
      </c>
      <c r="CW30">
        <f>103.324</f>
        <v>103.324</v>
      </c>
      <c r="CX30">
        <f>74.889</f>
        <v>74.888999999999996</v>
      </c>
      <c r="CY30" t="str">
        <f>""</f>
        <v/>
      </c>
      <c r="CZ30" t="str">
        <f>""</f>
        <v/>
      </c>
      <c r="DA30" t="str">
        <f>""</f>
        <v/>
      </c>
      <c r="DB30" t="str">
        <f>""</f>
        <v/>
      </c>
      <c r="DC30" t="str">
        <f>""</f>
        <v/>
      </c>
      <c r="DD30" t="str">
        <f>""</f>
        <v/>
      </c>
      <c r="DE30" t="str">
        <f>""</f>
        <v/>
      </c>
      <c r="DF30" t="str">
        <f>""</f>
        <v/>
      </c>
      <c r="DG30" t="str">
        <f>""</f>
        <v/>
      </c>
      <c r="DH30" t="str">
        <f>""</f>
        <v/>
      </c>
      <c r="DI30" t="str">
        <f>""</f>
        <v/>
      </c>
      <c r="DJ30" t="str">
        <f>""</f>
        <v/>
      </c>
      <c r="DK30" t="str">
        <f>""</f>
        <v/>
      </c>
      <c r="DL30" t="str">
        <f>""</f>
        <v/>
      </c>
      <c r="DM30" t="str">
        <f>""</f>
        <v/>
      </c>
      <c r="DN30" t="str">
        <f>""</f>
        <v/>
      </c>
      <c r="DO30" t="str">
        <f>""</f>
        <v/>
      </c>
      <c r="DP30" t="str">
        <f>""</f>
        <v/>
      </c>
      <c r="DQ30" t="str">
        <f>""</f>
        <v/>
      </c>
      <c r="DR30" t="str">
        <f>""</f>
        <v/>
      </c>
      <c r="DS30" t="str">
        <f>""</f>
        <v/>
      </c>
      <c r="DT30" t="str">
        <f>""</f>
        <v/>
      </c>
      <c r="DU30" t="str">
        <f>""</f>
        <v/>
      </c>
    </row>
    <row r="31" spans="1:125">
      <c r="A31" t="str">
        <f>"    Highwoods Properties Inc"</f>
        <v xml:space="preserve">    Highwoods Properties Inc</v>
      </c>
      <c r="B31" t="str">
        <f>"HIW US Equity"</f>
        <v>HIW US Equity</v>
      </c>
      <c r="C31" t="str">
        <f t="shared" si="6"/>
        <v>IM281</v>
      </c>
      <c r="D31" t="str">
        <f t="shared" si="7"/>
        <v>IS_NON_REAL_ESTATE_INCOME</v>
      </c>
      <c r="E31" t="str">
        <f t="shared" si="8"/>
        <v>动态</v>
      </c>
      <c r="F31" t="str">
        <f ca="1">IF(AND(ISNUMBER($F$350),$B$294=1),$F$350,HLOOKUP(INDIRECT(ADDRESS(2,COLUMN())),OFFSET($BN$2,0,0,ROW()-1,60),ROW()-1,FALSE))</f>
        <v/>
      </c>
      <c r="G31">
        <f ca="1">IF(AND(ISNUMBER($G$350),$B$294=1),$G$350,HLOOKUP(INDIRECT(ADDRESS(2,COLUMN())),OFFSET($BN$2,0,0,ROW()-1,60),ROW()-1,FALSE))</f>
        <v>0</v>
      </c>
      <c r="H31">
        <f ca="1">IF(AND(ISNUMBER($H$350),$B$294=1),$H$350,HLOOKUP(INDIRECT(ADDRESS(2,COLUMN())),OFFSET($BN$2,0,0,ROW()-1,60),ROW()-1,FALSE))</f>
        <v>0</v>
      </c>
      <c r="I31">
        <f ca="1">IF(AND(ISNUMBER($I$350),$B$294=1),$I$350,HLOOKUP(INDIRECT(ADDRESS(2,COLUMN())),OFFSET($BN$2,0,0,ROW()-1,60),ROW()-1,FALSE))</f>
        <v>0</v>
      </c>
      <c r="J31">
        <f ca="1">IF(AND(ISNUMBER($J$350),$B$294=1),$J$350,HLOOKUP(INDIRECT(ADDRESS(2,COLUMN())),OFFSET($BN$2,0,0,ROW()-1,60),ROW()-1,FALSE))</f>
        <v>0</v>
      </c>
      <c r="K31">
        <f ca="1">IF(AND(ISNUMBER($K$350),$B$294=1),$K$350,HLOOKUP(INDIRECT(ADDRESS(2,COLUMN())),OFFSET($BN$2,0,0,ROW()-1,60),ROW()-1,FALSE))</f>
        <v>0</v>
      </c>
      <c r="L31">
        <f ca="1">IF(AND(ISNUMBER($L$350),$B$294=1),$L$350,HLOOKUP(INDIRECT(ADDRESS(2,COLUMN())),OFFSET($BN$2,0,0,ROW()-1,60),ROW()-1,FALSE))</f>
        <v>0</v>
      </c>
      <c r="M31">
        <f ca="1">IF(AND(ISNUMBER($M$350),$B$294=1),$M$350,HLOOKUP(INDIRECT(ADDRESS(2,COLUMN())),OFFSET($BN$2,0,0,ROW()-1,60),ROW()-1,FALSE))</f>
        <v>0</v>
      </c>
      <c r="N31">
        <f ca="1">IF(AND(ISNUMBER($N$350),$B$294=1),$N$350,HLOOKUP(INDIRECT(ADDRESS(2,COLUMN())),OFFSET($BN$2,0,0,ROW()-1,60),ROW()-1,FALSE))</f>
        <v>0</v>
      </c>
      <c r="O31">
        <f ca="1">IF(AND(ISNUMBER($O$350),$B$294=1),$O$350,HLOOKUP(INDIRECT(ADDRESS(2,COLUMN())),OFFSET($BN$2,0,0,ROW()-1,60),ROW()-1,FALSE))</f>
        <v>0</v>
      </c>
      <c r="P31">
        <f ca="1">IF(AND(ISNUMBER($P$350),$B$294=1),$P$350,HLOOKUP(INDIRECT(ADDRESS(2,COLUMN())),OFFSET($BN$2,0,0,ROW()-1,60),ROW()-1,FALSE))</f>
        <v>0</v>
      </c>
      <c r="Q31">
        <f ca="1">IF(AND(ISNUMBER($Q$350),$B$294=1),$Q$350,HLOOKUP(INDIRECT(ADDRESS(2,COLUMN())),OFFSET($BN$2,0,0,ROW()-1,60),ROW()-1,FALSE))</f>
        <v>0</v>
      </c>
      <c r="R31">
        <f ca="1">IF(AND(ISNUMBER($R$350),$B$294=1),$R$350,HLOOKUP(INDIRECT(ADDRESS(2,COLUMN())),OFFSET($BN$2,0,0,ROW()-1,60),ROW()-1,FALSE))</f>
        <v>0</v>
      </c>
      <c r="S31">
        <f ca="1">IF(AND(ISNUMBER($S$350),$B$294=1),$S$350,HLOOKUP(INDIRECT(ADDRESS(2,COLUMN())),OFFSET($BN$2,0,0,ROW()-1,60),ROW()-1,FALSE))</f>
        <v>0</v>
      </c>
      <c r="T31">
        <f ca="1">IF(AND(ISNUMBER($T$350),$B$294=1),$T$350,HLOOKUP(INDIRECT(ADDRESS(2,COLUMN())),OFFSET($BN$2,0,0,ROW()-1,60),ROW()-1,FALSE))</f>
        <v>0</v>
      </c>
      <c r="U31">
        <f ca="1">IF(AND(ISNUMBER($U$350),$B$294=1),$U$350,HLOOKUP(INDIRECT(ADDRESS(2,COLUMN())),OFFSET($BN$2,0,0,ROW()-1,60),ROW()-1,FALSE))</f>
        <v>0</v>
      </c>
      <c r="V31">
        <f ca="1">IF(AND(ISNUMBER($V$350),$B$294=1),$V$350,HLOOKUP(INDIRECT(ADDRESS(2,COLUMN())),OFFSET($BN$2,0,0,ROW()-1,60),ROW()-1,FALSE))</f>
        <v>0</v>
      </c>
      <c r="W31">
        <f ca="1">IF(AND(ISNUMBER($W$350),$B$294=1),$W$350,HLOOKUP(INDIRECT(ADDRESS(2,COLUMN())),OFFSET($BN$2,0,0,ROW()-1,60),ROW()-1,FALSE))</f>
        <v>0</v>
      </c>
      <c r="X31">
        <f ca="1">IF(AND(ISNUMBER($X$350),$B$294=1),$X$350,HLOOKUP(INDIRECT(ADDRESS(2,COLUMN())),OFFSET($BN$2,0,0,ROW()-1,60),ROW()-1,FALSE))</f>
        <v>0</v>
      </c>
      <c r="Y31">
        <f ca="1">IF(AND(ISNUMBER($Y$350),$B$294=1),$Y$350,HLOOKUP(INDIRECT(ADDRESS(2,COLUMN())),OFFSET($BN$2,0,0,ROW()-1,60),ROW()-1,FALSE))</f>
        <v>0</v>
      </c>
      <c r="Z31">
        <f ca="1">IF(AND(ISNUMBER($Z$350),$B$294=1),$Z$350,HLOOKUP(INDIRECT(ADDRESS(2,COLUMN())),OFFSET($BN$2,0,0,ROW()-1,60),ROW()-1,FALSE))</f>
        <v>0</v>
      </c>
      <c r="AA31">
        <f ca="1">IF(AND(ISNUMBER($AA$350),$B$294=1),$AA$350,HLOOKUP(INDIRECT(ADDRESS(2,COLUMN())),OFFSET($BN$2,0,0,ROW()-1,60),ROW()-1,FALSE))</f>
        <v>0</v>
      </c>
      <c r="AB31">
        <f ca="1">IF(AND(ISNUMBER($AB$350),$B$294=1),$AB$350,HLOOKUP(INDIRECT(ADDRESS(2,COLUMN())),OFFSET($BN$2,0,0,ROW()-1,60),ROW()-1,FALSE))</f>
        <v>0</v>
      </c>
      <c r="AC31">
        <f ca="1">IF(AND(ISNUMBER($AC$350),$B$294=1),$AC$350,HLOOKUP(INDIRECT(ADDRESS(2,COLUMN())),OFFSET($BN$2,0,0,ROW()-1,60),ROW()-1,FALSE))</f>
        <v>0</v>
      </c>
      <c r="AD31">
        <f ca="1">IF(AND(ISNUMBER($AD$350),$B$294=1),$AD$350,HLOOKUP(INDIRECT(ADDRESS(2,COLUMN())),OFFSET($BN$2,0,0,ROW()-1,60),ROW()-1,FALSE))</f>
        <v>0</v>
      </c>
      <c r="AE31">
        <f ca="1">IF(AND(ISNUMBER($AE$350),$B$294=1),$AE$350,HLOOKUP(INDIRECT(ADDRESS(2,COLUMN())),OFFSET($BN$2,0,0,ROW()-1,60),ROW()-1,FALSE))</f>
        <v>0</v>
      </c>
      <c r="AF31">
        <f ca="1">IF(AND(ISNUMBER($AF$350),$B$294=1),$AF$350,HLOOKUP(INDIRECT(ADDRESS(2,COLUMN())),OFFSET($BN$2,0,0,ROW()-1,60),ROW()-1,FALSE))</f>
        <v>0</v>
      </c>
      <c r="AG31">
        <f ca="1">IF(AND(ISNUMBER($AG$350),$B$294=1),$AG$350,HLOOKUP(INDIRECT(ADDRESS(2,COLUMN())),OFFSET($BN$2,0,0,ROW()-1,60),ROW()-1,FALSE))</f>
        <v>0</v>
      </c>
      <c r="AH31">
        <f ca="1">IF(AND(ISNUMBER($AH$350),$B$294=1),$AH$350,HLOOKUP(INDIRECT(ADDRESS(2,COLUMN())),OFFSET($BN$2,0,0,ROW()-1,60),ROW()-1,FALSE))</f>
        <v>0</v>
      </c>
      <c r="AI31">
        <f ca="1">IF(AND(ISNUMBER($AI$350),$B$294=1),$AI$350,HLOOKUP(INDIRECT(ADDRESS(2,COLUMN())),OFFSET($BN$2,0,0,ROW()-1,60),ROW()-1,FALSE))</f>
        <v>0</v>
      </c>
      <c r="AJ31">
        <f ca="1">IF(AND(ISNUMBER($AJ$350),$B$294=1),$AJ$350,HLOOKUP(INDIRECT(ADDRESS(2,COLUMN())),OFFSET($BN$2,0,0,ROW()-1,60),ROW()-1,FALSE))</f>
        <v>0</v>
      </c>
      <c r="AK31">
        <f ca="1">IF(AND(ISNUMBER($AK$350),$B$294=1),$AK$350,HLOOKUP(INDIRECT(ADDRESS(2,COLUMN())),OFFSET($BN$2,0,0,ROW()-1,60),ROW()-1,FALSE))</f>
        <v>0</v>
      </c>
      <c r="AL31">
        <f ca="1">IF(AND(ISNUMBER($AL$350),$B$294=1),$AL$350,HLOOKUP(INDIRECT(ADDRESS(2,COLUMN())),OFFSET($BN$2,0,0,ROW()-1,60),ROW()-1,FALSE))</f>
        <v>0</v>
      </c>
      <c r="AM31">
        <f ca="1">IF(AND(ISNUMBER($AM$350),$B$294=1),$AM$350,HLOOKUP(INDIRECT(ADDRESS(2,COLUMN())),OFFSET($BN$2,0,0,ROW()-1,60),ROW()-1,FALSE))</f>
        <v>0</v>
      </c>
      <c r="AN31">
        <f ca="1">IF(AND(ISNUMBER($AN$350),$B$294=1),$AN$350,HLOOKUP(INDIRECT(ADDRESS(2,COLUMN())),OFFSET($BN$2,0,0,ROW()-1,60),ROW()-1,FALSE))</f>
        <v>0</v>
      </c>
      <c r="AO31">
        <f ca="1">IF(AND(ISNUMBER($AO$350),$B$294=1),$AO$350,HLOOKUP(INDIRECT(ADDRESS(2,COLUMN())),OFFSET($BN$2,0,0,ROW()-1,60),ROW()-1,FALSE))</f>
        <v>0</v>
      </c>
      <c r="AP31">
        <f ca="1">IF(AND(ISNUMBER($AP$350),$B$294=1),$AP$350,HLOOKUP(INDIRECT(ADDRESS(2,COLUMN())),OFFSET($BN$2,0,0,ROW()-1,60),ROW()-1,FALSE))</f>
        <v>0</v>
      </c>
      <c r="AQ31" t="str">
        <f ca="1">IF(AND(ISNUMBER($AQ$350),$B$294=1),$AQ$350,HLOOKUP(INDIRECT(ADDRESS(2,COLUMN())),OFFSET($BN$2,0,0,ROW()-1,60),ROW()-1,FALSE))</f>
        <v/>
      </c>
      <c r="AR31" t="str">
        <f ca="1">IF(AND(ISNUMBER($AR$350),$B$294=1),$AR$350,HLOOKUP(INDIRECT(ADDRESS(2,COLUMN())),OFFSET($BN$2,0,0,ROW()-1,60),ROW()-1,FALSE))</f>
        <v/>
      </c>
      <c r="AS31" t="str">
        <f ca="1">IF(AND(ISNUMBER($AS$350),$B$294=1),$AS$350,HLOOKUP(INDIRECT(ADDRESS(2,COLUMN())),OFFSET($BN$2,0,0,ROW()-1,60),ROW()-1,FALSE))</f>
        <v/>
      </c>
      <c r="AT31" t="str">
        <f ca="1">IF(AND(ISNUMBER($AT$350),$B$294=1),$AT$350,HLOOKUP(INDIRECT(ADDRESS(2,COLUMN())),OFFSET($BN$2,0,0,ROW()-1,60),ROW()-1,FALSE))</f>
        <v/>
      </c>
      <c r="AU31" t="str">
        <f ca="1">IF(AND(ISNUMBER($AU$350),$B$294=1),$AU$350,HLOOKUP(INDIRECT(ADDRESS(2,COLUMN())),OFFSET($BN$2,0,0,ROW()-1,60),ROW()-1,FALSE))</f>
        <v/>
      </c>
      <c r="AV31" t="str">
        <f ca="1">IF(AND(ISNUMBER($AV$350),$B$294=1),$AV$350,HLOOKUP(INDIRECT(ADDRESS(2,COLUMN())),OFFSET($BN$2,0,0,ROW()-1,60),ROW()-1,FALSE))</f>
        <v/>
      </c>
      <c r="AW31" t="str">
        <f ca="1">IF(AND(ISNUMBER($AW$350),$B$294=1),$AW$350,HLOOKUP(INDIRECT(ADDRESS(2,COLUMN())),OFFSET($BN$2,0,0,ROW()-1,60),ROW()-1,FALSE))</f>
        <v/>
      </c>
      <c r="AX31" t="str">
        <f ca="1">IF(AND(ISNUMBER($AX$350),$B$294=1),$AX$350,HLOOKUP(INDIRECT(ADDRESS(2,COLUMN())),OFFSET($BN$2,0,0,ROW()-1,60),ROW()-1,FALSE))</f>
        <v/>
      </c>
      <c r="AY31" t="str">
        <f ca="1">IF(AND(ISNUMBER($AY$350),$B$294=1),$AY$350,HLOOKUP(INDIRECT(ADDRESS(2,COLUMN())),OFFSET($BN$2,0,0,ROW()-1,60),ROW()-1,FALSE))</f>
        <v/>
      </c>
      <c r="AZ31" t="str">
        <f ca="1">IF(AND(ISNUMBER($AZ$350),$B$294=1),$AZ$350,HLOOKUP(INDIRECT(ADDRESS(2,COLUMN())),OFFSET($BN$2,0,0,ROW()-1,60),ROW()-1,FALSE))</f>
        <v/>
      </c>
      <c r="BA31" t="str">
        <f ca="1">IF(AND(ISNUMBER($BA$350),$B$294=1),$BA$350,HLOOKUP(INDIRECT(ADDRESS(2,COLUMN())),OFFSET($BN$2,0,0,ROW()-1,60),ROW()-1,FALSE))</f>
        <v/>
      </c>
      <c r="BB31" t="str">
        <f ca="1">IF(AND(ISNUMBER($BB$350),$B$294=1),$BB$350,HLOOKUP(INDIRECT(ADDRESS(2,COLUMN())),OFFSET($BN$2,0,0,ROW()-1,60),ROW()-1,FALSE))</f>
        <v/>
      </c>
      <c r="BC31" t="str">
        <f ca="1">IF(AND(ISNUMBER($BC$350),$B$294=1),$BC$350,HLOOKUP(INDIRECT(ADDRESS(2,COLUMN())),OFFSET($BN$2,0,0,ROW()-1,60),ROW()-1,FALSE))</f>
        <v/>
      </c>
      <c r="BD31" t="str">
        <f ca="1">IF(AND(ISNUMBER($BD$350),$B$294=1),$BD$350,HLOOKUP(INDIRECT(ADDRESS(2,COLUMN())),OFFSET($BN$2,0,0,ROW()-1,60),ROW()-1,FALSE))</f>
        <v/>
      </c>
      <c r="BE31" t="str">
        <f ca="1">IF(AND(ISNUMBER($BE$350),$B$294=1),$BE$350,HLOOKUP(INDIRECT(ADDRESS(2,COLUMN())),OFFSET($BN$2,0,0,ROW()-1,60),ROW()-1,FALSE))</f>
        <v/>
      </c>
      <c r="BF31" t="str">
        <f ca="1">IF(AND(ISNUMBER($BF$350),$B$294=1),$BF$350,HLOOKUP(INDIRECT(ADDRESS(2,COLUMN())),OFFSET($BN$2,0,0,ROW()-1,60),ROW()-1,FALSE))</f>
        <v/>
      </c>
      <c r="BG31" t="str">
        <f ca="1">IF(AND(ISNUMBER($BG$350),$B$294=1),$BG$350,HLOOKUP(INDIRECT(ADDRESS(2,COLUMN())),OFFSET($BN$2,0,0,ROW()-1,60),ROW()-1,FALSE))</f>
        <v/>
      </c>
      <c r="BH31" t="str">
        <f ca="1">IF(AND(ISNUMBER($BH$350),$B$294=1),$BH$350,HLOOKUP(INDIRECT(ADDRESS(2,COLUMN())),OFFSET($BN$2,0,0,ROW()-1,60),ROW()-1,FALSE))</f>
        <v/>
      </c>
      <c r="BI31" t="str">
        <f ca="1">IF(AND(ISNUMBER($BI$350),$B$294=1),$BI$350,HLOOKUP(INDIRECT(ADDRESS(2,COLUMN())),OFFSET($BN$2,0,0,ROW()-1,60),ROW()-1,FALSE))</f>
        <v/>
      </c>
      <c r="BJ31" t="str">
        <f ca="1">IF(AND(ISNUMBER($BJ$350),$B$294=1),$BJ$350,HLOOKUP(INDIRECT(ADDRESS(2,COLUMN())),OFFSET($BN$2,0,0,ROW()-1,60),ROW()-1,FALSE))</f>
        <v/>
      </c>
      <c r="BK31" t="str">
        <f ca="1">IF(AND(ISNUMBER($BK$350),$B$294=1),$BK$350,HLOOKUP(INDIRECT(ADDRESS(2,COLUMN())),OFFSET($BN$2,0,0,ROW()-1,60),ROW()-1,FALSE))</f>
        <v/>
      </c>
      <c r="BL31" t="str">
        <f ca="1">IF(AND(ISNUMBER($BL$350),$B$294=1),$BL$350,HLOOKUP(INDIRECT(ADDRESS(2,COLUMN())),OFFSET($BN$2,0,0,ROW()-1,60),ROW()-1,FALSE))</f>
        <v/>
      </c>
      <c r="BM31" t="str">
        <f ca="1">IF(AND(ISNUMBER($BM$350),$B$294=1),$BM$350,HLOOKUP(INDIRECT(ADDRESS(2,COLUMN())),OFFSET($BN$2,0,0,ROW()-1,60),ROW()-1,FALSE))</f>
        <v/>
      </c>
      <c r="BN31" t="str">
        <f>""</f>
        <v/>
      </c>
      <c r="BO31">
        <f>0</f>
        <v>0</v>
      </c>
      <c r="BP31">
        <f>0</f>
        <v>0</v>
      </c>
      <c r="BQ31">
        <f>0</f>
        <v>0</v>
      </c>
      <c r="BR31">
        <f>0</f>
        <v>0</v>
      </c>
      <c r="BS31">
        <f>0</f>
        <v>0</v>
      </c>
      <c r="BT31">
        <f>0</f>
        <v>0</v>
      </c>
      <c r="BU31">
        <f>0</f>
        <v>0</v>
      </c>
      <c r="BV31">
        <f>0</f>
        <v>0</v>
      </c>
      <c r="BW31">
        <f>0</f>
        <v>0</v>
      </c>
      <c r="BX31">
        <f>0</f>
        <v>0</v>
      </c>
      <c r="BY31">
        <f>0</f>
        <v>0</v>
      </c>
      <c r="BZ31">
        <f>0</f>
        <v>0</v>
      </c>
      <c r="CA31">
        <f>0</f>
        <v>0</v>
      </c>
      <c r="CB31">
        <f>0</f>
        <v>0</v>
      </c>
      <c r="CC31">
        <f>0</f>
        <v>0</v>
      </c>
      <c r="CD31">
        <f>0</f>
        <v>0</v>
      </c>
      <c r="CE31">
        <f>0</f>
        <v>0</v>
      </c>
      <c r="CF31">
        <f>0</f>
        <v>0</v>
      </c>
      <c r="CG31">
        <f>0</f>
        <v>0</v>
      </c>
      <c r="CH31">
        <f>0</f>
        <v>0</v>
      </c>
      <c r="CI31">
        <f>0</f>
        <v>0</v>
      </c>
      <c r="CJ31">
        <f>0</f>
        <v>0</v>
      </c>
      <c r="CK31">
        <f>0</f>
        <v>0</v>
      </c>
      <c r="CL31">
        <f>0</f>
        <v>0</v>
      </c>
      <c r="CM31">
        <f>0</f>
        <v>0</v>
      </c>
      <c r="CN31">
        <f>0</f>
        <v>0</v>
      </c>
      <c r="CO31">
        <f>0</f>
        <v>0</v>
      </c>
      <c r="CP31">
        <f>0</f>
        <v>0</v>
      </c>
      <c r="CQ31">
        <f>0</f>
        <v>0</v>
      </c>
      <c r="CR31">
        <f>0</f>
        <v>0</v>
      </c>
      <c r="CS31">
        <f>0</f>
        <v>0</v>
      </c>
      <c r="CT31">
        <f>0</f>
        <v>0</v>
      </c>
      <c r="CU31">
        <f>0</f>
        <v>0</v>
      </c>
      <c r="CV31">
        <f>0</f>
        <v>0</v>
      </c>
      <c r="CW31">
        <f>0</f>
        <v>0</v>
      </c>
      <c r="CX31">
        <f>0</f>
        <v>0</v>
      </c>
      <c r="CY31" t="str">
        <f>""</f>
        <v/>
      </c>
      <c r="CZ31" t="str">
        <f>""</f>
        <v/>
      </c>
      <c r="DA31" t="str">
        <f>""</f>
        <v/>
      </c>
      <c r="DB31" t="str">
        <f>""</f>
        <v/>
      </c>
      <c r="DC31" t="str">
        <f>""</f>
        <v/>
      </c>
      <c r="DD31" t="str">
        <f>""</f>
        <v/>
      </c>
      <c r="DE31" t="str">
        <f>""</f>
        <v/>
      </c>
      <c r="DF31" t="str">
        <f>""</f>
        <v/>
      </c>
      <c r="DG31" t="str">
        <f>""</f>
        <v/>
      </c>
      <c r="DH31" t="str">
        <f>""</f>
        <v/>
      </c>
      <c r="DI31" t="str">
        <f>""</f>
        <v/>
      </c>
      <c r="DJ31" t="str">
        <f>""</f>
        <v/>
      </c>
      <c r="DK31" t="str">
        <f>""</f>
        <v/>
      </c>
      <c r="DL31" t="str">
        <f>""</f>
        <v/>
      </c>
      <c r="DM31" t="str">
        <f>""</f>
        <v/>
      </c>
      <c r="DN31" t="str">
        <f>""</f>
        <v/>
      </c>
      <c r="DO31" t="str">
        <f>""</f>
        <v/>
      </c>
      <c r="DP31" t="str">
        <f>""</f>
        <v/>
      </c>
      <c r="DQ31" t="str">
        <f>""</f>
        <v/>
      </c>
      <c r="DR31" t="str">
        <f>""</f>
        <v/>
      </c>
      <c r="DS31" t="str">
        <f>""</f>
        <v/>
      </c>
      <c r="DT31" t="str">
        <f>""</f>
        <v/>
      </c>
      <c r="DU31" t="str">
        <f>""</f>
        <v/>
      </c>
    </row>
    <row r="32" spans="1:125">
      <c r="A32" t="str">
        <f>"    Kilroy Realty Corp"</f>
        <v xml:space="preserve">    Kilroy Realty Corp</v>
      </c>
      <c r="B32" t="str">
        <f>"KRC US Equity"</f>
        <v>KRC US Equity</v>
      </c>
      <c r="C32" t="str">
        <f t="shared" si="6"/>
        <v>IM281</v>
      </c>
      <c r="D32" t="str">
        <f t="shared" si="7"/>
        <v>IS_NON_REAL_ESTATE_INCOME</v>
      </c>
      <c r="E32" t="str">
        <f t="shared" si="8"/>
        <v>动态</v>
      </c>
      <c r="F32" t="str">
        <f ca="1">IF(AND(ISNUMBER($F$351),$B$294=1),$F$351,HLOOKUP(INDIRECT(ADDRESS(2,COLUMN())),OFFSET($BN$2,0,0,ROW()-1,60),ROW()-1,FALSE))</f>
        <v/>
      </c>
      <c r="G32">
        <f ca="1">IF(AND(ISNUMBER($G$351),$B$294=1),$G$351,HLOOKUP(INDIRECT(ADDRESS(2,COLUMN())),OFFSET($BN$2,0,0,ROW()-1,60),ROW()-1,FALSE))</f>
        <v>0.86099999999999999</v>
      </c>
      <c r="H32">
        <f ca="1">IF(AND(ISNUMBER($H$351),$B$294=1),$H$351,HLOOKUP(INDIRECT(ADDRESS(2,COLUMN())),OFFSET($BN$2,0,0,ROW()-1,60),ROW()-1,FALSE))</f>
        <v>1.915</v>
      </c>
      <c r="I32">
        <f ca="1">IF(AND(ISNUMBER($I$351),$B$294=1),$I$351,HLOOKUP(INDIRECT(ADDRESS(2,COLUMN())),OFFSET($BN$2,0,0,ROW()-1,60),ROW()-1,FALSE))</f>
        <v>2.4060000000000001</v>
      </c>
      <c r="J32">
        <f ca="1">IF(AND(ISNUMBER($J$351),$B$294=1),$J$351,HLOOKUP(INDIRECT(ADDRESS(2,COLUMN())),OFFSET($BN$2,0,0,ROW()-1,60),ROW()-1,FALSE))</f>
        <v>3.3639999999999999</v>
      </c>
      <c r="K32">
        <f ca="1">IF(AND(ISNUMBER($K$351),$B$294=1),$K$351,HLOOKUP(INDIRECT(ADDRESS(2,COLUMN())),OFFSET($BN$2,0,0,ROW()-1,60),ROW()-1,FALSE))</f>
        <v>1.048</v>
      </c>
      <c r="L32">
        <f ca="1">IF(AND(ISNUMBER($L$351),$B$294=1),$L$351,HLOOKUP(INDIRECT(ADDRESS(2,COLUMN())),OFFSET($BN$2,0,0,ROW()-1,60),ROW()-1,FALSE))</f>
        <v>5.4029999999999996</v>
      </c>
      <c r="M32">
        <f ca="1">IF(AND(ISNUMBER($M$351),$B$294=1),$M$351,HLOOKUP(INDIRECT(ADDRESS(2,COLUMN())),OFFSET($BN$2,0,0,ROW()-1,60),ROW()-1,FALSE))</f>
        <v>0.34200000000000003</v>
      </c>
      <c r="N32">
        <f ca="1">IF(AND(ISNUMBER($N$351),$B$294=1),$N$351,HLOOKUP(INDIRECT(ADDRESS(2,COLUMN())),OFFSET($BN$2,0,0,ROW()-1,60),ROW()-1,FALSE))</f>
        <v>0.28699999999999998</v>
      </c>
      <c r="O32">
        <f ca="1">IF(AND(ISNUMBER($O$351),$B$294=1),$O$351,HLOOKUP(INDIRECT(ADDRESS(2,COLUMN())),OFFSET($BN$2,0,0,ROW()-1,60),ROW()-1,FALSE))</f>
        <v>0.45600000000000002</v>
      </c>
      <c r="P32">
        <f ca="1">IF(AND(ISNUMBER($P$351),$B$294=1),$P$351,HLOOKUP(INDIRECT(ADDRESS(2,COLUMN())),OFFSET($BN$2,0,0,ROW()-1,60),ROW()-1,FALSE))</f>
        <v>0.36199999999999999</v>
      </c>
      <c r="Q32">
        <f ca="1">IF(AND(ISNUMBER($Q$351),$B$294=1),$Q$351,HLOOKUP(INDIRECT(ADDRESS(2,COLUMN())),OFFSET($BN$2,0,0,ROW()-1,60),ROW()-1,FALSE))</f>
        <v>0.60299999999999998</v>
      </c>
      <c r="R32">
        <f ca="1">IF(AND(ISNUMBER($R$351),$B$294=1),$R$351,HLOOKUP(INDIRECT(ADDRESS(2,COLUMN())),OFFSET($BN$2,0,0,ROW()-1,60),ROW()-1,FALSE))</f>
        <v>0.72499999999999998</v>
      </c>
      <c r="S32">
        <f ca="1">IF(AND(ISNUMBER($S$351),$B$294=1),$S$351,HLOOKUP(INDIRECT(ADDRESS(2,COLUMN())),OFFSET($BN$2,0,0,ROW()-1,60),ROW()-1,FALSE))</f>
        <v>1.03</v>
      </c>
      <c r="T32">
        <f ca="1">IF(AND(ISNUMBER($T$351),$B$294=1),$T$351,HLOOKUP(INDIRECT(ADDRESS(2,COLUMN())),OFFSET($BN$2,0,0,ROW()-1,60),ROW()-1,FALSE))</f>
        <v>2.4569999999999999</v>
      </c>
      <c r="U32">
        <f ca="1">IF(AND(ISNUMBER($U$351),$B$294=1),$U$351,HLOOKUP(INDIRECT(ADDRESS(2,COLUMN())),OFFSET($BN$2,0,0,ROW()-1,60),ROW()-1,FALSE))</f>
        <v>3.052</v>
      </c>
      <c r="V32">
        <f ca="1">IF(AND(ISNUMBER($V$351),$B$294=1),$V$351,HLOOKUP(INDIRECT(ADDRESS(2,COLUMN())),OFFSET($BN$2,0,0,ROW()-1,60),ROW()-1,FALSE))</f>
        <v>2.141</v>
      </c>
      <c r="W32">
        <f ca="1">IF(AND(ISNUMBER($W$351),$B$294=1),$W$351,HLOOKUP(INDIRECT(ADDRESS(2,COLUMN())),OFFSET($BN$2,0,0,ROW()-1,60),ROW()-1,FALSE))</f>
        <v>0.58099999999999996</v>
      </c>
      <c r="X32">
        <f ca="1">IF(AND(ISNUMBER($X$351),$B$294=1),$X$351,HLOOKUP(INDIRECT(ADDRESS(2,COLUMN())),OFFSET($BN$2,0,0,ROW()-1,60),ROW()-1,FALSE))</f>
        <v>0.60799999999999998</v>
      </c>
      <c r="Y32">
        <f ca="1">IF(AND(ISNUMBER($Y$351),$B$294=1),$Y$351,HLOOKUP(INDIRECT(ADDRESS(2,COLUMN())),OFFSET($BN$2,0,0,ROW()-1,60),ROW()-1,FALSE))</f>
        <v>5.7329999999999997</v>
      </c>
      <c r="Z32">
        <f ca="1">IF(AND(ISNUMBER($Z$351),$B$294=1),$Z$351,HLOOKUP(INDIRECT(ADDRESS(2,COLUMN())),OFFSET($BN$2,0,0,ROW()-1,60),ROW()-1,FALSE))</f>
        <v>0.22700000000000001</v>
      </c>
      <c r="AA32">
        <f ca="1">IF(AND(ISNUMBER($AA$351),$B$294=1),$AA$351,HLOOKUP(INDIRECT(ADDRESS(2,COLUMN())),OFFSET($BN$2,0,0,ROW()-1,60),ROW()-1,FALSE))</f>
        <v>1.4610000000000001</v>
      </c>
      <c r="AB32">
        <f ca="1">IF(AND(ISNUMBER($AB$351),$B$294=1),$AB$351,HLOOKUP(INDIRECT(ADDRESS(2,COLUMN())),OFFSET($BN$2,0,0,ROW()-1,60),ROW()-1,FALSE))</f>
        <v>0.13500000000000001</v>
      </c>
      <c r="AC32">
        <f ca="1">IF(AND(ISNUMBER($AC$351),$B$294=1),$AC$351,HLOOKUP(INDIRECT(ADDRESS(2,COLUMN())),OFFSET($BN$2,0,0,ROW()-1,60),ROW()-1,FALSE))</f>
        <v>0.53500000000000003</v>
      </c>
      <c r="AD32">
        <f ca="1">IF(AND(ISNUMBER($AD$351),$B$294=1),$AD$351,HLOOKUP(INDIRECT(ADDRESS(2,COLUMN())),OFFSET($BN$2,0,0,ROW()-1,60),ROW()-1,FALSE))</f>
        <v>0.86799999999999999</v>
      </c>
      <c r="AE32">
        <f ca="1">IF(AND(ISNUMBER($AE$351),$B$294=1),$AE$351,HLOOKUP(INDIRECT(ADDRESS(2,COLUMN())),OFFSET($BN$2,0,0,ROW()-1,60),ROW()-1,FALSE))</f>
        <v>4.3979999999999997</v>
      </c>
      <c r="AF32">
        <f ca="1">IF(AND(ISNUMBER($AF$351),$B$294=1),$AF$351,HLOOKUP(INDIRECT(ADDRESS(2,COLUMN())),OFFSET($BN$2,0,0,ROW()-1,60),ROW()-1,FALSE))</f>
        <v>0.33900000000000002</v>
      </c>
      <c r="AG32">
        <f ca="1">IF(AND(ISNUMBER($AG$351),$B$294=1),$AG$351,HLOOKUP(INDIRECT(ADDRESS(2,COLUMN())),OFFSET($BN$2,0,0,ROW()-1,60),ROW()-1,FALSE))</f>
        <v>1.1020000000000001</v>
      </c>
      <c r="AH32">
        <f ca="1">IF(AND(ISNUMBER($AH$351),$B$294=1),$AH$351,HLOOKUP(INDIRECT(ADDRESS(2,COLUMN())),OFFSET($BN$2,0,0,ROW()-1,60),ROW()-1,FALSE))</f>
        <v>0.754</v>
      </c>
      <c r="AI32">
        <f ca="1">IF(AND(ISNUMBER($AI$351),$B$294=1),$AI$351,HLOOKUP(INDIRECT(ADDRESS(2,COLUMN())),OFFSET($BN$2,0,0,ROW()-1,60),ROW()-1,FALSE))</f>
        <v>0.621</v>
      </c>
      <c r="AJ32">
        <f ca="1">IF(AND(ISNUMBER($AJ$351),$B$294=1),$AJ$351,HLOOKUP(INDIRECT(ADDRESS(2,COLUMN())),OFFSET($BN$2,0,0,ROW()-1,60),ROW()-1,FALSE))</f>
        <v>0.98499999999999999</v>
      </c>
      <c r="AK32">
        <f ca="1">IF(AND(ISNUMBER($AK$351),$B$294=1),$AK$351,HLOOKUP(INDIRECT(ADDRESS(2,COLUMN())),OFFSET($BN$2,0,0,ROW()-1,60),ROW()-1,FALSE))</f>
        <v>0.89500000000000002</v>
      </c>
      <c r="AL32">
        <f ca="1">IF(AND(ISNUMBER($AL$351),$B$294=1),$AL$351,HLOOKUP(INDIRECT(ADDRESS(2,COLUMN())),OFFSET($BN$2,0,0,ROW()-1,60),ROW()-1,FALSE))</f>
        <v>0.44500000000000001</v>
      </c>
      <c r="AM32">
        <f ca="1">IF(AND(ISNUMBER($AM$351),$B$294=1),$AM$351,HLOOKUP(INDIRECT(ADDRESS(2,COLUMN())),OFFSET($BN$2,0,0,ROW()-1,60),ROW()-1,FALSE))</f>
        <v>0.51200000000000001</v>
      </c>
      <c r="AN32">
        <f ca="1">IF(AND(ISNUMBER($AN$351),$B$294=1),$AN$351,HLOOKUP(INDIRECT(ADDRESS(2,COLUMN())),OFFSET($BN$2,0,0,ROW()-1,60),ROW()-1,FALSE))</f>
        <v>0.35399999999999998</v>
      </c>
      <c r="AO32">
        <f ca="1">IF(AND(ISNUMBER($AO$351),$B$294=1),$AO$351,HLOOKUP(INDIRECT(ADDRESS(2,COLUMN())),OFFSET($BN$2,0,0,ROW()-1,60),ROW()-1,FALSE))</f>
        <v>1.0489999999999999</v>
      </c>
      <c r="AP32">
        <f ca="1">IF(AND(ISNUMBER($AP$351),$B$294=1),$AP$351,HLOOKUP(INDIRECT(ADDRESS(2,COLUMN())),OFFSET($BN$2,0,0,ROW()-1,60),ROW()-1,FALSE))</f>
        <v>1.7949999999999999</v>
      </c>
      <c r="AQ32" t="str">
        <f ca="1">IF(AND(ISNUMBER($AQ$351),$B$294=1),$AQ$351,HLOOKUP(INDIRECT(ADDRESS(2,COLUMN())),OFFSET($BN$2,0,0,ROW()-1,60),ROW()-1,FALSE))</f>
        <v/>
      </c>
      <c r="AR32" t="str">
        <f ca="1">IF(AND(ISNUMBER($AR$351),$B$294=1),$AR$351,HLOOKUP(INDIRECT(ADDRESS(2,COLUMN())),OFFSET($BN$2,0,0,ROW()-1,60),ROW()-1,FALSE))</f>
        <v/>
      </c>
      <c r="AS32" t="str">
        <f ca="1">IF(AND(ISNUMBER($AS$351),$B$294=1),$AS$351,HLOOKUP(INDIRECT(ADDRESS(2,COLUMN())),OFFSET($BN$2,0,0,ROW()-1,60),ROW()-1,FALSE))</f>
        <v/>
      </c>
      <c r="AT32" t="str">
        <f ca="1">IF(AND(ISNUMBER($AT$351),$B$294=1),$AT$351,HLOOKUP(INDIRECT(ADDRESS(2,COLUMN())),OFFSET($BN$2,0,0,ROW()-1,60),ROW()-1,FALSE))</f>
        <v/>
      </c>
      <c r="AU32" t="str">
        <f ca="1">IF(AND(ISNUMBER($AU$351),$B$294=1),$AU$351,HLOOKUP(INDIRECT(ADDRESS(2,COLUMN())),OFFSET($BN$2,0,0,ROW()-1,60),ROW()-1,FALSE))</f>
        <v/>
      </c>
      <c r="AV32" t="str">
        <f ca="1">IF(AND(ISNUMBER($AV$351),$B$294=1),$AV$351,HLOOKUP(INDIRECT(ADDRESS(2,COLUMN())),OFFSET($BN$2,0,0,ROW()-1,60),ROW()-1,FALSE))</f>
        <v/>
      </c>
      <c r="AW32" t="str">
        <f ca="1">IF(AND(ISNUMBER($AW$351),$B$294=1),$AW$351,HLOOKUP(INDIRECT(ADDRESS(2,COLUMN())),OFFSET($BN$2,0,0,ROW()-1,60),ROW()-1,FALSE))</f>
        <v/>
      </c>
      <c r="AX32" t="str">
        <f ca="1">IF(AND(ISNUMBER($AX$351),$B$294=1),$AX$351,HLOOKUP(INDIRECT(ADDRESS(2,COLUMN())),OFFSET($BN$2,0,0,ROW()-1,60),ROW()-1,FALSE))</f>
        <v/>
      </c>
      <c r="AY32" t="str">
        <f ca="1">IF(AND(ISNUMBER($AY$351),$B$294=1),$AY$351,HLOOKUP(INDIRECT(ADDRESS(2,COLUMN())),OFFSET($BN$2,0,0,ROW()-1,60),ROW()-1,FALSE))</f>
        <v/>
      </c>
      <c r="AZ32" t="str">
        <f ca="1">IF(AND(ISNUMBER($AZ$351),$B$294=1),$AZ$351,HLOOKUP(INDIRECT(ADDRESS(2,COLUMN())),OFFSET($BN$2,0,0,ROW()-1,60),ROW()-1,FALSE))</f>
        <v/>
      </c>
      <c r="BA32" t="str">
        <f ca="1">IF(AND(ISNUMBER($BA$351),$B$294=1),$BA$351,HLOOKUP(INDIRECT(ADDRESS(2,COLUMN())),OFFSET($BN$2,0,0,ROW()-1,60),ROW()-1,FALSE))</f>
        <v/>
      </c>
      <c r="BB32" t="str">
        <f ca="1">IF(AND(ISNUMBER($BB$351),$B$294=1),$BB$351,HLOOKUP(INDIRECT(ADDRESS(2,COLUMN())),OFFSET($BN$2,0,0,ROW()-1,60),ROW()-1,FALSE))</f>
        <v/>
      </c>
      <c r="BC32" t="str">
        <f ca="1">IF(AND(ISNUMBER($BC$351),$B$294=1),$BC$351,HLOOKUP(INDIRECT(ADDRESS(2,COLUMN())),OFFSET($BN$2,0,0,ROW()-1,60),ROW()-1,FALSE))</f>
        <v/>
      </c>
      <c r="BD32" t="str">
        <f ca="1">IF(AND(ISNUMBER($BD$351),$B$294=1),$BD$351,HLOOKUP(INDIRECT(ADDRESS(2,COLUMN())),OFFSET($BN$2,0,0,ROW()-1,60),ROW()-1,FALSE))</f>
        <v/>
      </c>
      <c r="BE32" t="str">
        <f ca="1">IF(AND(ISNUMBER($BE$351),$B$294=1),$BE$351,HLOOKUP(INDIRECT(ADDRESS(2,COLUMN())),OFFSET($BN$2,0,0,ROW()-1,60),ROW()-1,FALSE))</f>
        <v/>
      </c>
      <c r="BF32" t="str">
        <f ca="1">IF(AND(ISNUMBER($BF$351),$B$294=1),$BF$351,HLOOKUP(INDIRECT(ADDRESS(2,COLUMN())),OFFSET($BN$2,0,0,ROW()-1,60),ROW()-1,FALSE))</f>
        <v/>
      </c>
      <c r="BG32" t="str">
        <f ca="1">IF(AND(ISNUMBER($BG$351),$B$294=1),$BG$351,HLOOKUP(INDIRECT(ADDRESS(2,COLUMN())),OFFSET($BN$2,0,0,ROW()-1,60),ROW()-1,FALSE))</f>
        <v/>
      </c>
      <c r="BH32" t="str">
        <f ca="1">IF(AND(ISNUMBER($BH$351),$B$294=1),$BH$351,HLOOKUP(INDIRECT(ADDRESS(2,COLUMN())),OFFSET($BN$2,0,0,ROW()-1,60),ROW()-1,FALSE))</f>
        <v/>
      </c>
      <c r="BI32" t="str">
        <f ca="1">IF(AND(ISNUMBER($BI$351),$B$294=1),$BI$351,HLOOKUP(INDIRECT(ADDRESS(2,COLUMN())),OFFSET($BN$2,0,0,ROW()-1,60),ROW()-1,FALSE))</f>
        <v/>
      </c>
      <c r="BJ32" t="str">
        <f ca="1">IF(AND(ISNUMBER($BJ$351),$B$294=1),$BJ$351,HLOOKUP(INDIRECT(ADDRESS(2,COLUMN())),OFFSET($BN$2,0,0,ROW()-1,60),ROW()-1,FALSE))</f>
        <v/>
      </c>
      <c r="BK32" t="str">
        <f ca="1">IF(AND(ISNUMBER($BK$351),$B$294=1),$BK$351,HLOOKUP(INDIRECT(ADDRESS(2,COLUMN())),OFFSET($BN$2,0,0,ROW()-1,60),ROW()-1,FALSE))</f>
        <v/>
      </c>
      <c r="BL32" t="str">
        <f ca="1">IF(AND(ISNUMBER($BL$351),$B$294=1),$BL$351,HLOOKUP(INDIRECT(ADDRESS(2,COLUMN())),OFFSET($BN$2,0,0,ROW()-1,60),ROW()-1,FALSE))</f>
        <v/>
      </c>
      <c r="BM32" t="str">
        <f ca="1">IF(AND(ISNUMBER($BM$351),$B$294=1),$BM$351,HLOOKUP(INDIRECT(ADDRESS(2,COLUMN())),OFFSET($BN$2,0,0,ROW()-1,60),ROW()-1,FALSE))</f>
        <v/>
      </c>
      <c r="BN32" t="str">
        <f>""</f>
        <v/>
      </c>
      <c r="BO32">
        <f>0.861</f>
        <v>0.86099999999999999</v>
      </c>
      <c r="BP32">
        <f>1.915</f>
        <v>1.915</v>
      </c>
      <c r="BQ32">
        <f>2.406</f>
        <v>2.4060000000000001</v>
      </c>
      <c r="BR32">
        <f>3.364</f>
        <v>3.3639999999999999</v>
      </c>
      <c r="BS32">
        <f>1.048</f>
        <v>1.048</v>
      </c>
      <c r="BT32">
        <f>5.403</f>
        <v>5.4029999999999996</v>
      </c>
      <c r="BU32">
        <f>0.342</f>
        <v>0.34200000000000003</v>
      </c>
      <c r="BV32">
        <f>0.287</f>
        <v>0.28699999999999998</v>
      </c>
      <c r="BW32">
        <f>0.456</f>
        <v>0.45600000000000002</v>
      </c>
      <c r="BX32">
        <f>0.362</f>
        <v>0.36199999999999999</v>
      </c>
      <c r="BY32">
        <f>0.603</f>
        <v>0.60299999999999998</v>
      </c>
      <c r="BZ32">
        <f>0.725</f>
        <v>0.72499999999999998</v>
      </c>
      <c r="CA32">
        <f>1.03</f>
        <v>1.03</v>
      </c>
      <c r="CB32">
        <f>2.457</f>
        <v>2.4569999999999999</v>
      </c>
      <c r="CC32">
        <f>3.052</f>
        <v>3.052</v>
      </c>
      <c r="CD32">
        <f>2.141</f>
        <v>2.141</v>
      </c>
      <c r="CE32">
        <f>0.581</f>
        <v>0.58099999999999996</v>
      </c>
      <c r="CF32">
        <f>0.608</f>
        <v>0.60799999999999998</v>
      </c>
      <c r="CG32">
        <f>5.733</f>
        <v>5.7329999999999997</v>
      </c>
      <c r="CH32">
        <f>0.227</f>
        <v>0.22700000000000001</v>
      </c>
      <c r="CI32">
        <f>1.461</f>
        <v>1.4610000000000001</v>
      </c>
      <c r="CJ32">
        <f>0.135</f>
        <v>0.13500000000000001</v>
      </c>
      <c r="CK32">
        <f>0.535</f>
        <v>0.53500000000000003</v>
      </c>
      <c r="CL32">
        <f>0.868</f>
        <v>0.86799999999999999</v>
      </c>
      <c r="CM32">
        <f>4.398</f>
        <v>4.3979999999999997</v>
      </c>
      <c r="CN32">
        <f>0.339</f>
        <v>0.33900000000000002</v>
      </c>
      <c r="CO32">
        <f>1.102</f>
        <v>1.1020000000000001</v>
      </c>
      <c r="CP32">
        <f>0.754</f>
        <v>0.754</v>
      </c>
      <c r="CQ32">
        <f>0.621</f>
        <v>0.621</v>
      </c>
      <c r="CR32">
        <f>0.985</f>
        <v>0.98499999999999999</v>
      </c>
      <c r="CS32">
        <f>0.895</f>
        <v>0.89500000000000002</v>
      </c>
      <c r="CT32">
        <f>0.445</f>
        <v>0.44500000000000001</v>
      </c>
      <c r="CU32">
        <f>0.512</f>
        <v>0.51200000000000001</v>
      </c>
      <c r="CV32">
        <f>0.354</f>
        <v>0.35399999999999998</v>
      </c>
      <c r="CW32">
        <f>1.049</f>
        <v>1.0489999999999999</v>
      </c>
      <c r="CX32">
        <f>1.795</f>
        <v>1.7949999999999999</v>
      </c>
      <c r="CY32" t="str">
        <f>""</f>
        <v/>
      </c>
      <c r="CZ32" t="str">
        <f>""</f>
        <v/>
      </c>
      <c r="DA32" t="str">
        <f>""</f>
        <v/>
      </c>
      <c r="DB32" t="str">
        <f>""</f>
        <v/>
      </c>
      <c r="DC32" t="str">
        <f>""</f>
        <v/>
      </c>
      <c r="DD32" t="str">
        <f>""</f>
        <v/>
      </c>
      <c r="DE32" t="str">
        <f>""</f>
        <v/>
      </c>
      <c r="DF32" t="str">
        <f>""</f>
        <v/>
      </c>
      <c r="DG32" t="str">
        <f>""</f>
        <v/>
      </c>
      <c r="DH32" t="str">
        <f>""</f>
        <v/>
      </c>
      <c r="DI32" t="str">
        <f>""</f>
        <v/>
      </c>
      <c r="DJ32" t="str">
        <f>""</f>
        <v/>
      </c>
      <c r="DK32" t="str">
        <f>""</f>
        <v/>
      </c>
      <c r="DL32" t="str">
        <f>""</f>
        <v/>
      </c>
      <c r="DM32" t="str">
        <f>""</f>
        <v/>
      </c>
      <c r="DN32" t="str">
        <f>""</f>
        <v/>
      </c>
      <c r="DO32" t="str">
        <f>""</f>
        <v/>
      </c>
      <c r="DP32" t="str">
        <f>""</f>
        <v/>
      </c>
      <c r="DQ32" t="str">
        <f>""</f>
        <v/>
      </c>
      <c r="DR32" t="str">
        <f>""</f>
        <v/>
      </c>
      <c r="DS32" t="str">
        <f>""</f>
        <v/>
      </c>
      <c r="DT32" t="str">
        <f>""</f>
        <v/>
      </c>
      <c r="DU32" t="str">
        <f>""</f>
        <v/>
      </c>
    </row>
    <row r="33" spans="1:125">
      <c r="A33" t="str">
        <f>"    Mack-Cali Realty Corp"</f>
        <v xml:space="preserve">    Mack-Cali Realty Corp</v>
      </c>
      <c r="B33" t="str">
        <f>"CLI US Equity"</f>
        <v>CLI US Equity</v>
      </c>
      <c r="C33" t="str">
        <f t="shared" si="6"/>
        <v>IM281</v>
      </c>
      <c r="D33" t="str">
        <f t="shared" si="7"/>
        <v>IS_NON_REAL_ESTATE_INCOME</v>
      </c>
      <c r="E33" t="str">
        <f t="shared" si="8"/>
        <v>动态</v>
      </c>
      <c r="F33" t="str">
        <f ca="1">IF(AND(ISNUMBER($F$352),$B$294=1),$F$352,HLOOKUP(INDIRECT(ADDRESS(2,COLUMN())),OFFSET($BN$2,0,0,ROW()-1,60),ROW()-1,FALSE))</f>
        <v/>
      </c>
      <c r="G33">
        <f ca="1">IF(AND(ISNUMBER($G$352),$B$294=1),$G$352,HLOOKUP(INDIRECT(ADDRESS(2,COLUMN())),OFFSET($BN$2,0,0,ROW()-1,60),ROW()-1,FALSE))</f>
        <v>8.5749999999999993</v>
      </c>
      <c r="H33">
        <f ca="1">IF(AND(ISNUMBER($H$352),$B$294=1),$H$352,HLOOKUP(INDIRECT(ADDRESS(2,COLUMN())),OFFSET($BN$2,0,0,ROW()-1,60),ROW()-1,FALSE))</f>
        <v>9.2240000000000002</v>
      </c>
      <c r="I33">
        <f ca="1">IF(AND(ISNUMBER($I$352),$B$294=1),$I$352,HLOOKUP(INDIRECT(ADDRESS(2,COLUMN())),OFFSET($BN$2,0,0,ROW()-1,60),ROW()-1,FALSE))</f>
        <v>8.7460000000000004</v>
      </c>
      <c r="J33">
        <f ca="1">IF(AND(ISNUMBER($J$352),$B$294=1),$J$352,HLOOKUP(INDIRECT(ADDRESS(2,COLUMN())),OFFSET($BN$2,0,0,ROW()-1,60),ROW()-1,FALSE))</f>
        <v>9.2840000000000007</v>
      </c>
      <c r="K33">
        <f ca="1">IF(AND(ISNUMBER($K$352),$B$294=1),$K$352,HLOOKUP(INDIRECT(ADDRESS(2,COLUMN())),OFFSET($BN$2,0,0,ROW()-1,60),ROW()-1,FALSE))</f>
        <v>8.2309999999999999</v>
      </c>
      <c r="L33">
        <f ca="1">IF(AND(ISNUMBER($L$352),$B$294=1),$L$352,HLOOKUP(INDIRECT(ADDRESS(2,COLUMN())),OFFSET($BN$2,0,0,ROW()-1,60),ROW()-1,FALSE))</f>
        <v>8.3740000000000006</v>
      </c>
      <c r="M33">
        <f ca="1">IF(AND(ISNUMBER($M$352),$B$294=1),$M$352,HLOOKUP(INDIRECT(ADDRESS(2,COLUMN())),OFFSET($BN$2,0,0,ROW()-1,60),ROW()-1,FALSE))</f>
        <v>7.3620000000000001</v>
      </c>
      <c r="N33">
        <f ca="1">IF(AND(ISNUMBER($N$352),$B$294=1),$N$352,HLOOKUP(INDIRECT(ADDRESS(2,COLUMN())),OFFSET($BN$2,0,0,ROW()-1,60),ROW()-1,FALSE))</f>
        <v>8.4190000000000005</v>
      </c>
      <c r="O33">
        <f ca="1">IF(AND(ISNUMBER($O$352),$B$294=1),$O$352,HLOOKUP(INDIRECT(ADDRESS(2,COLUMN())),OFFSET($BN$2,0,0,ROW()-1,60),ROW()-1,FALSE))</f>
        <v>7.9749999999999996</v>
      </c>
      <c r="P33">
        <f ca="1">IF(AND(ISNUMBER($P$352),$B$294=1),$P$352,HLOOKUP(INDIRECT(ADDRESS(2,COLUMN())),OFFSET($BN$2,0,0,ROW()-1,60),ROW()-1,FALSE))</f>
        <v>8.6519999999999992</v>
      </c>
      <c r="Q33">
        <f ca="1">IF(AND(ISNUMBER($Q$352),$B$294=1),$Q$352,HLOOKUP(INDIRECT(ADDRESS(2,COLUMN())),OFFSET($BN$2,0,0,ROW()-1,60),ROW()-1,FALSE))</f>
        <v>8.6289999999999996</v>
      </c>
      <c r="R33">
        <f ca="1">IF(AND(ISNUMBER($R$352),$B$294=1),$R$352,HLOOKUP(INDIRECT(ADDRESS(2,COLUMN())),OFFSET($BN$2,0,0,ROW()-1,60),ROW()-1,FALSE))</f>
        <v>8.9809999999999999</v>
      </c>
      <c r="S33">
        <f ca="1">IF(AND(ISNUMBER($S$352),$B$294=1),$S$352,HLOOKUP(INDIRECT(ADDRESS(2,COLUMN())),OFFSET($BN$2,0,0,ROW()-1,60),ROW()-1,FALSE))</f>
        <v>8.4209999999999994</v>
      </c>
      <c r="T33">
        <f ca="1">IF(AND(ISNUMBER($T$352),$B$294=1),$T$352,HLOOKUP(INDIRECT(ADDRESS(2,COLUMN())),OFFSET($BN$2,0,0,ROW()-1,60),ROW()-1,FALSE))</f>
        <v>8.2690000000000001</v>
      </c>
      <c r="U33">
        <f ca="1">IF(AND(ISNUMBER($U$352),$B$294=1),$U$352,HLOOKUP(INDIRECT(ADDRESS(2,COLUMN())),OFFSET($BN$2,0,0,ROW()-1,60),ROW()-1,FALSE))</f>
        <v>7.8579999999999997</v>
      </c>
      <c r="V33">
        <f ca="1">IF(AND(ISNUMBER($V$352),$B$294=1),$V$352,HLOOKUP(INDIRECT(ADDRESS(2,COLUMN())),OFFSET($BN$2,0,0,ROW()-1,60),ROW()-1,FALSE))</f>
        <v>7.8630000000000004</v>
      </c>
      <c r="W33">
        <f ca="1">IF(AND(ISNUMBER($W$352),$B$294=1),$W$352,HLOOKUP(INDIRECT(ADDRESS(2,COLUMN())),OFFSET($BN$2,0,0,ROW()-1,60),ROW()-1,FALSE))</f>
        <v>8.1950000000000003</v>
      </c>
      <c r="X33">
        <f ca="1">IF(AND(ISNUMBER($X$352),$B$294=1),$X$352,HLOOKUP(INDIRECT(ADDRESS(2,COLUMN())),OFFSET($BN$2,0,0,ROW()-1,60),ROW()-1,FALSE))</f>
        <v>8.8079999999999998</v>
      </c>
      <c r="Y33">
        <f ca="1">IF(AND(ISNUMBER($Y$352),$B$294=1),$Y$352,HLOOKUP(INDIRECT(ADDRESS(2,COLUMN())),OFFSET($BN$2,0,0,ROW()-1,60),ROW()-1,FALSE))</f>
        <v>13.855</v>
      </c>
      <c r="Z33">
        <f ca="1">IF(AND(ISNUMBER($Z$352),$B$294=1),$Z$352,HLOOKUP(INDIRECT(ADDRESS(2,COLUMN())),OFFSET($BN$2,0,0,ROW()-1,60),ROW()-1,FALSE))</f>
        <v>16.41</v>
      </c>
      <c r="AA33">
        <f ca="1">IF(AND(ISNUMBER($AA$352),$B$294=1),$AA$352,HLOOKUP(INDIRECT(ADDRESS(2,COLUMN())),OFFSET($BN$2,0,0,ROW()-1,60),ROW()-1,FALSE))</f>
        <v>12.539</v>
      </c>
      <c r="AB33">
        <f ca="1">IF(AND(ISNUMBER($AB$352),$B$294=1),$AB$352,HLOOKUP(INDIRECT(ADDRESS(2,COLUMN())),OFFSET($BN$2,0,0,ROW()-1,60),ROW()-1,FALSE))</f>
        <v>3.2650000000000001</v>
      </c>
      <c r="AC33">
        <f ca="1">IF(AND(ISNUMBER($AC$352),$B$294=1),$AC$352,HLOOKUP(INDIRECT(ADDRESS(2,COLUMN())),OFFSET($BN$2,0,0,ROW()-1,60),ROW()-1,FALSE))</f>
        <v>7.5140000000000002</v>
      </c>
      <c r="AD33">
        <f ca="1">IF(AND(ISNUMBER($AD$352),$B$294=1),$AD$352,HLOOKUP(INDIRECT(ADDRESS(2,COLUMN())),OFFSET($BN$2,0,0,ROW()-1,60),ROW()-1,FALSE))</f>
        <v>12.515000000000001</v>
      </c>
      <c r="AE33">
        <f ca="1">IF(AND(ISNUMBER($AE$352),$B$294=1),$AE$352,HLOOKUP(INDIRECT(ADDRESS(2,COLUMN())),OFFSET($BN$2,0,0,ROW()-1,60),ROW()-1,FALSE))</f>
        <v>7.4630000000000001</v>
      </c>
      <c r="AF33">
        <f ca="1">IF(AND(ISNUMBER($AF$352),$B$294=1),$AF$352,HLOOKUP(INDIRECT(ADDRESS(2,COLUMN())),OFFSET($BN$2,0,0,ROW()-1,60),ROW()-1,FALSE))</f>
        <v>5.8460000000000001</v>
      </c>
      <c r="AG33">
        <f ca="1">IF(AND(ISNUMBER($AG$352),$B$294=1),$AG$352,HLOOKUP(INDIRECT(ADDRESS(2,COLUMN())),OFFSET($BN$2,0,0,ROW()-1,60),ROW()-1,FALSE))</f>
        <v>7.4279999999999999</v>
      </c>
      <c r="AH33">
        <f ca="1">IF(AND(ISNUMBER($AH$352),$B$294=1),$AH$352,HLOOKUP(INDIRECT(ADDRESS(2,COLUMN())),OFFSET($BN$2,0,0,ROW()-1,60),ROW()-1,FALSE))</f>
        <v>9.3219999999999992</v>
      </c>
      <c r="AI33">
        <f ca="1">IF(AND(ISNUMBER($AI$352),$B$294=1),$AI$352,HLOOKUP(INDIRECT(ADDRESS(2,COLUMN())),OFFSET($BN$2,0,0,ROW()-1,60),ROW()-1,FALSE))</f>
        <v>18.925000000000001</v>
      </c>
      <c r="AJ33">
        <f ca="1">IF(AND(ISNUMBER($AJ$352),$B$294=1),$AJ$352,HLOOKUP(INDIRECT(ADDRESS(2,COLUMN())),OFFSET($BN$2,0,0,ROW()-1,60),ROW()-1,FALSE))</f>
        <v>21.472000000000001</v>
      </c>
      <c r="AK33">
        <f ca="1">IF(AND(ISNUMBER($AK$352),$B$294=1),$AK$352,HLOOKUP(INDIRECT(ADDRESS(2,COLUMN())),OFFSET($BN$2,0,0,ROW()-1,60),ROW()-1,FALSE))</f>
        <v>27.256</v>
      </c>
      <c r="AL33">
        <f ca="1">IF(AND(ISNUMBER($AL$352),$B$294=1),$AL$352,HLOOKUP(INDIRECT(ADDRESS(2,COLUMN())),OFFSET($BN$2,0,0,ROW()-1,60),ROW()-1,FALSE))</f>
        <v>15.771000000000001</v>
      </c>
      <c r="AM33">
        <f ca="1">IF(AND(ISNUMBER($AM$352),$B$294=1),$AM$352,HLOOKUP(INDIRECT(ADDRESS(2,COLUMN())),OFFSET($BN$2,0,0,ROW()-1,60),ROW()-1,FALSE))</f>
        <v>12.013999999999999</v>
      </c>
      <c r="AN33">
        <f ca="1">IF(AND(ISNUMBER($AN$352),$B$294=1),$AN$352,HLOOKUP(INDIRECT(ADDRESS(2,COLUMN())),OFFSET($BN$2,0,0,ROW()-1,60),ROW()-1,FALSE))</f>
        <v>13.093</v>
      </c>
      <c r="AO33">
        <f ca="1">IF(AND(ISNUMBER($AO$352),$B$294=1),$AO$352,HLOOKUP(INDIRECT(ADDRESS(2,COLUMN())),OFFSET($BN$2,0,0,ROW()-1,60),ROW()-1,FALSE))</f>
        <v>10.308999999999999</v>
      </c>
      <c r="AP33">
        <f ca="1">IF(AND(ISNUMBER($AP$352),$B$294=1),$AP$352,HLOOKUP(INDIRECT(ADDRESS(2,COLUMN())),OFFSET($BN$2,0,0,ROW()-1,60),ROW()-1,FALSE))</f>
        <v>9.391</v>
      </c>
      <c r="AQ33" t="str">
        <f ca="1">IF(AND(ISNUMBER($AQ$352),$B$294=1),$AQ$352,HLOOKUP(INDIRECT(ADDRESS(2,COLUMN())),OFFSET($BN$2,0,0,ROW()-1,60),ROW()-1,FALSE))</f>
        <v/>
      </c>
      <c r="AR33" t="str">
        <f ca="1">IF(AND(ISNUMBER($AR$352),$B$294=1),$AR$352,HLOOKUP(INDIRECT(ADDRESS(2,COLUMN())),OFFSET($BN$2,0,0,ROW()-1,60),ROW()-1,FALSE))</f>
        <v/>
      </c>
      <c r="AS33" t="str">
        <f ca="1">IF(AND(ISNUMBER($AS$352),$B$294=1),$AS$352,HLOOKUP(INDIRECT(ADDRESS(2,COLUMN())),OFFSET($BN$2,0,0,ROW()-1,60),ROW()-1,FALSE))</f>
        <v/>
      </c>
      <c r="AT33" t="str">
        <f ca="1">IF(AND(ISNUMBER($AT$352),$B$294=1),$AT$352,HLOOKUP(INDIRECT(ADDRESS(2,COLUMN())),OFFSET($BN$2,0,0,ROW()-1,60),ROW()-1,FALSE))</f>
        <v/>
      </c>
      <c r="AU33" t="str">
        <f ca="1">IF(AND(ISNUMBER($AU$352),$B$294=1),$AU$352,HLOOKUP(INDIRECT(ADDRESS(2,COLUMN())),OFFSET($BN$2,0,0,ROW()-1,60),ROW()-1,FALSE))</f>
        <v/>
      </c>
      <c r="AV33" t="str">
        <f ca="1">IF(AND(ISNUMBER($AV$352),$B$294=1),$AV$352,HLOOKUP(INDIRECT(ADDRESS(2,COLUMN())),OFFSET($BN$2,0,0,ROW()-1,60),ROW()-1,FALSE))</f>
        <v/>
      </c>
      <c r="AW33" t="str">
        <f ca="1">IF(AND(ISNUMBER($AW$352),$B$294=1),$AW$352,HLOOKUP(INDIRECT(ADDRESS(2,COLUMN())),OFFSET($BN$2,0,0,ROW()-1,60),ROW()-1,FALSE))</f>
        <v/>
      </c>
      <c r="AX33" t="str">
        <f ca="1">IF(AND(ISNUMBER($AX$352),$B$294=1),$AX$352,HLOOKUP(INDIRECT(ADDRESS(2,COLUMN())),OFFSET($BN$2,0,0,ROW()-1,60),ROW()-1,FALSE))</f>
        <v/>
      </c>
      <c r="AY33" t="str">
        <f ca="1">IF(AND(ISNUMBER($AY$352),$B$294=1),$AY$352,HLOOKUP(INDIRECT(ADDRESS(2,COLUMN())),OFFSET($BN$2,0,0,ROW()-1,60),ROW()-1,FALSE))</f>
        <v/>
      </c>
      <c r="AZ33" t="str">
        <f ca="1">IF(AND(ISNUMBER($AZ$352),$B$294=1),$AZ$352,HLOOKUP(INDIRECT(ADDRESS(2,COLUMN())),OFFSET($BN$2,0,0,ROW()-1,60),ROW()-1,FALSE))</f>
        <v/>
      </c>
      <c r="BA33" t="str">
        <f ca="1">IF(AND(ISNUMBER($BA$352),$B$294=1),$BA$352,HLOOKUP(INDIRECT(ADDRESS(2,COLUMN())),OFFSET($BN$2,0,0,ROW()-1,60),ROW()-1,FALSE))</f>
        <v/>
      </c>
      <c r="BB33" t="str">
        <f ca="1">IF(AND(ISNUMBER($BB$352),$B$294=1),$BB$352,HLOOKUP(INDIRECT(ADDRESS(2,COLUMN())),OFFSET($BN$2,0,0,ROW()-1,60),ROW()-1,FALSE))</f>
        <v/>
      </c>
      <c r="BC33" t="str">
        <f ca="1">IF(AND(ISNUMBER($BC$352),$B$294=1),$BC$352,HLOOKUP(INDIRECT(ADDRESS(2,COLUMN())),OFFSET($BN$2,0,0,ROW()-1,60),ROW()-1,FALSE))</f>
        <v/>
      </c>
      <c r="BD33" t="str">
        <f ca="1">IF(AND(ISNUMBER($BD$352),$B$294=1),$BD$352,HLOOKUP(INDIRECT(ADDRESS(2,COLUMN())),OFFSET($BN$2,0,0,ROW()-1,60),ROW()-1,FALSE))</f>
        <v/>
      </c>
      <c r="BE33" t="str">
        <f ca="1">IF(AND(ISNUMBER($BE$352),$B$294=1),$BE$352,HLOOKUP(INDIRECT(ADDRESS(2,COLUMN())),OFFSET($BN$2,0,0,ROW()-1,60),ROW()-1,FALSE))</f>
        <v/>
      </c>
      <c r="BF33" t="str">
        <f ca="1">IF(AND(ISNUMBER($BF$352),$B$294=1),$BF$352,HLOOKUP(INDIRECT(ADDRESS(2,COLUMN())),OFFSET($BN$2,0,0,ROW()-1,60),ROW()-1,FALSE))</f>
        <v/>
      </c>
      <c r="BG33" t="str">
        <f ca="1">IF(AND(ISNUMBER($BG$352),$B$294=1),$BG$352,HLOOKUP(INDIRECT(ADDRESS(2,COLUMN())),OFFSET($BN$2,0,0,ROW()-1,60),ROW()-1,FALSE))</f>
        <v/>
      </c>
      <c r="BH33" t="str">
        <f ca="1">IF(AND(ISNUMBER($BH$352),$B$294=1),$BH$352,HLOOKUP(INDIRECT(ADDRESS(2,COLUMN())),OFFSET($BN$2,0,0,ROW()-1,60),ROW()-1,FALSE))</f>
        <v/>
      </c>
      <c r="BI33" t="str">
        <f ca="1">IF(AND(ISNUMBER($BI$352),$B$294=1),$BI$352,HLOOKUP(INDIRECT(ADDRESS(2,COLUMN())),OFFSET($BN$2,0,0,ROW()-1,60),ROW()-1,FALSE))</f>
        <v/>
      </c>
      <c r="BJ33" t="str">
        <f ca="1">IF(AND(ISNUMBER($BJ$352),$B$294=1),$BJ$352,HLOOKUP(INDIRECT(ADDRESS(2,COLUMN())),OFFSET($BN$2,0,0,ROW()-1,60),ROW()-1,FALSE))</f>
        <v/>
      </c>
      <c r="BK33" t="str">
        <f ca="1">IF(AND(ISNUMBER($BK$352),$B$294=1),$BK$352,HLOOKUP(INDIRECT(ADDRESS(2,COLUMN())),OFFSET($BN$2,0,0,ROW()-1,60),ROW()-1,FALSE))</f>
        <v/>
      </c>
      <c r="BL33" t="str">
        <f ca="1">IF(AND(ISNUMBER($BL$352),$B$294=1),$BL$352,HLOOKUP(INDIRECT(ADDRESS(2,COLUMN())),OFFSET($BN$2,0,0,ROW()-1,60),ROW()-1,FALSE))</f>
        <v/>
      </c>
      <c r="BM33" t="str">
        <f ca="1">IF(AND(ISNUMBER($BM$352),$B$294=1),$BM$352,HLOOKUP(INDIRECT(ADDRESS(2,COLUMN())),OFFSET($BN$2,0,0,ROW()-1,60),ROW()-1,FALSE))</f>
        <v/>
      </c>
      <c r="BN33" t="str">
        <f>""</f>
        <v/>
      </c>
      <c r="BO33">
        <f>8.575</f>
        <v>8.5749999999999993</v>
      </c>
      <c r="BP33">
        <f>9.224</f>
        <v>9.2240000000000002</v>
      </c>
      <c r="BQ33">
        <f>8.746</f>
        <v>8.7460000000000004</v>
      </c>
      <c r="BR33">
        <f>9.284</f>
        <v>9.2840000000000007</v>
      </c>
      <c r="BS33">
        <f>8.231</f>
        <v>8.2309999999999999</v>
      </c>
      <c r="BT33">
        <f>8.374</f>
        <v>8.3740000000000006</v>
      </c>
      <c r="BU33">
        <f>7.362</f>
        <v>7.3620000000000001</v>
      </c>
      <c r="BV33">
        <f>8.419</f>
        <v>8.4190000000000005</v>
      </c>
      <c r="BW33">
        <f>7.975</f>
        <v>7.9749999999999996</v>
      </c>
      <c r="BX33">
        <f>8.652</f>
        <v>8.6519999999999992</v>
      </c>
      <c r="BY33">
        <f>8.629</f>
        <v>8.6289999999999996</v>
      </c>
      <c r="BZ33">
        <f>8.981</f>
        <v>8.9809999999999999</v>
      </c>
      <c r="CA33">
        <f>8.421</f>
        <v>8.4209999999999994</v>
      </c>
      <c r="CB33">
        <f>8.269</f>
        <v>8.2690000000000001</v>
      </c>
      <c r="CC33">
        <f>7.858</f>
        <v>7.8579999999999997</v>
      </c>
      <c r="CD33">
        <f>7.863</f>
        <v>7.8630000000000004</v>
      </c>
      <c r="CE33">
        <f>8.195</f>
        <v>8.1950000000000003</v>
      </c>
      <c r="CF33">
        <f>8.808</f>
        <v>8.8079999999999998</v>
      </c>
      <c r="CG33">
        <f>13.855</f>
        <v>13.855</v>
      </c>
      <c r="CH33">
        <f>16.41</f>
        <v>16.41</v>
      </c>
      <c r="CI33">
        <f>12.539</f>
        <v>12.539</v>
      </c>
      <c r="CJ33">
        <f>3.265</f>
        <v>3.2650000000000001</v>
      </c>
      <c r="CK33">
        <f>7.514</f>
        <v>7.5140000000000002</v>
      </c>
      <c r="CL33">
        <f>12.515</f>
        <v>12.515000000000001</v>
      </c>
      <c r="CM33">
        <f>7.463</f>
        <v>7.4630000000000001</v>
      </c>
      <c r="CN33">
        <f>5.846</f>
        <v>5.8460000000000001</v>
      </c>
      <c r="CO33">
        <f>7.428</f>
        <v>7.4279999999999999</v>
      </c>
      <c r="CP33">
        <f>9.322</f>
        <v>9.3219999999999992</v>
      </c>
      <c r="CQ33">
        <f>18.925</f>
        <v>18.925000000000001</v>
      </c>
      <c r="CR33">
        <f>21.472</f>
        <v>21.472000000000001</v>
      </c>
      <c r="CS33">
        <f>27.256</f>
        <v>27.256</v>
      </c>
      <c r="CT33">
        <f>15.771</f>
        <v>15.771000000000001</v>
      </c>
      <c r="CU33">
        <f>12.014</f>
        <v>12.013999999999999</v>
      </c>
      <c r="CV33">
        <f>13.093</f>
        <v>13.093</v>
      </c>
      <c r="CW33">
        <f>10.309</f>
        <v>10.308999999999999</v>
      </c>
      <c r="CX33">
        <f>9.391</f>
        <v>9.391</v>
      </c>
      <c r="CY33" t="str">
        <f>""</f>
        <v/>
      </c>
      <c r="CZ33" t="str">
        <f>""</f>
        <v/>
      </c>
      <c r="DA33" t="str">
        <f>""</f>
        <v/>
      </c>
      <c r="DB33" t="str">
        <f>""</f>
        <v/>
      </c>
      <c r="DC33" t="str">
        <f>""</f>
        <v/>
      </c>
      <c r="DD33" t="str">
        <f>""</f>
        <v/>
      </c>
      <c r="DE33" t="str">
        <f>""</f>
        <v/>
      </c>
      <c r="DF33" t="str">
        <f>""</f>
        <v/>
      </c>
      <c r="DG33" t="str">
        <f>""</f>
        <v/>
      </c>
      <c r="DH33" t="str">
        <f>""</f>
        <v/>
      </c>
      <c r="DI33" t="str">
        <f>""</f>
        <v/>
      </c>
      <c r="DJ33" t="str">
        <f>""</f>
        <v/>
      </c>
      <c r="DK33" t="str">
        <f>""</f>
        <v/>
      </c>
      <c r="DL33" t="str">
        <f>""</f>
        <v/>
      </c>
      <c r="DM33" t="str">
        <f>""</f>
        <v/>
      </c>
      <c r="DN33" t="str">
        <f>""</f>
        <v/>
      </c>
      <c r="DO33" t="str">
        <f>""</f>
        <v/>
      </c>
      <c r="DP33" t="str">
        <f>""</f>
        <v/>
      </c>
      <c r="DQ33" t="str">
        <f>""</f>
        <v/>
      </c>
      <c r="DR33" t="str">
        <f>""</f>
        <v/>
      </c>
      <c r="DS33" t="str">
        <f>""</f>
        <v/>
      </c>
      <c r="DT33" t="str">
        <f>""</f>
        <v/>
      </c>
      <c r="DU33" t="str">
        <f>""</f>
        <v/>
      </c>
    </row>
    <row r="34" spans="1:125">
      <c r="A34" t="str">
        <f>"    Piedmont Office Realty Trust I"</f>
        <v xml:space="preserve">    Piedmont Office Realty Trust I</v>
      </c>
      <c r="B34" t="str">
        <f>"PDM US Equity"</f>
        <v>PDM US Equity</v>
      </c>
      <c r="C34" t="str">
        <f t="shared" si="6"/>
        <v>IM281</v>
      </c>
      <c r="D34" t="str">
        <f t="shared" si="7"/>
        <v>IS_NON_REAL_ESTATE_INCOME</v>
      </c>
      <c r="E34" t="str">
        <f t="shared" si="8"/>
        <v>动态</v>
      </c>
      <c r="F34" t="str">
        <f ca="1">IF(AND(ISNUMBER($F$353),$B$294=1),$F$353,HLOOKUP(INDIRECT(ADDRESS(2,COLUMN())),OFFSET($BN$2,0,0,ROW()-1,60),ROW()-1,FALSE))</f>
        <v/>
      </c>
      <c r="G34">
        <f ca="1">IF(AND(ISNUMBER($G$353),$B$294=1),$G$353,HLOOKUP(INDIRECT(ADDRESS(2,COLUMN())),OFFSET($BN$2,0,0,ROW()-1,60),ROW()-1,FALSE))</f>
        <v>0</v>
      </c>
      <c r="H34">
        <f ca="1">IF(AND(ISNUMBER($H$353),$B$294=1),$H$353,HLOOKUP(INDIRECT(ADDRESS(2,COLUMN())),OFFSET($BN$2,0,0,ROW()-1,60),ROW()-1,FALSE))</f>
        <v>0</v>
      </c>
      <c r="I34">
        <f ca="1">IF(AND(ISNUMBER($I$353),$B$294=1),$I$353,HLOOKUP(INDIRECT(ADDRESS(2,COLUMN())),OFFSET($BN$2,0,0,ROW()-1,60),ROW()-1,FALSE))</f>
        <v>0</v>
      </c>
      <c r="J34">
        <f ca="1">IF(AND(ISNUMBER($J$353),$B$294=1),$J$353,HLOOKUP(INDIRECT(ADDRESS(2,COLUMN())),OFFSET($BN$2,0,0,ROW()-1,60),ROW()-1,FALSE))</f>
        <v>0</v>
      </c>
      <c r="K34">
        <f ca="1">IF(AND(ISNUMBER($K$353),$B$294=1),$K$353,HLOOKUP(INDIRECT(ADDRESS(2,COLUMN())),OFFSET($BN$2,0,0,ROW()-1,60),ROW()-1,FALSE))</f>
        <v>0</v>
      </c>
      <c r="L34">
        <f ca="1">IF(AND(ISNUMBER($L$353),$B$294=1),$L$353,HLOOKUP(INDIRECT(ADDRESS(2,COLUMN())),OFFSET($BN$2,0,0,ROW()-1,60),ROW()-1,FALSE))</f>
        <v>0</v>
      </c>
      <c r="M34">
        <f ca="1">IF(AND(ISNUMBER($M$353),$B$294=1),$M$353,HLOOKUP(INDIRECT(ADDRESS(2,COLUMN())),OFFSET($BN$2,0,0,ROW()-1,60),ROW()-1,FALSE))</f>
        <v>0</v>
      </c>
      <c r="N34">
        <f ca="1">IF(AND(ISNUMBER($N$353),$B$294=1),$N$353,HLOOKUP(INDIRECT(ADDRESS(2,COLUMN())),OFFSET($BN$2,0,0,ROW()-1,60),ROW()-1,FALSE))</f>
        <v>0</v>
      </c>
      <c r="O34">
        <f ca="1">IF(AND(ISNUMBER($O$353),$B$294=1),$O$353,HLOOKUP(INDIRECT(ADDRESS(2,COLUMN())),OFFSET($BN$2,0,0,ROW()-1,60),ROW()-1,FALSE))</f>
        <v>0</v>
      </c>
      <c r="P34">
        <f ca="1">IF(AND(ISNUMBER($P$353),$B$294=1),$P$353,HLOOKUP(INDIRECT(ADDRESS(2,COLUMN())),OFFSET($BN$2,0,0,ROW()-1,60),ROW()-1,FALSE))</f>
        <v>0</v>
      </c>
      <c r="Q34">
        <f ca="1">IF(AND(ISNUMBER($Q$353),$B$294=1),$Q$353,HLOOKUP(INDIRECT(ADDRESS(2,COLUMN())),OFFSET($BN$2,0,0,ROW()-1,60),ROW()-1,FALSE))</f>
        <v>0</v>
      </c>
      <c r="R34">
        <f ca="1">IF(AND(ISNUMBER($R$353),$B$294=1),$R$353,HLOOKUP(INDIRECT(ADDRESS(2,COLUMN())),OFFSET($BN$2,0,0,ROW()-1,60),ROW()-1,FALSE))</f>
        <v>0</v>
      </c>
      <c r="S34">
        <f ca="1">IF(AND(ISNUMBER($S$353),$B$294=1),$S$353,HLOOKUP(INDIRECT(ADDRESS(2,COLUMN())),OFFSET($BN$2,0,0,ROW()-1,60),ROW()-1,FALSE))</f>
        <v>0</v>
      </c>
      <c r="T34">
        <f ca="1">IF(AND(ISNUMBER($T$353),$B$294=1),$T$353,HLOOKUP(INDIRECT(ADDRESS(2,COLUMN())),OFFSET($BN$2,0,0,ROW()-1,60),ROW()-1,FALSE))</f>
        <v>0</v>
      </c>
      <c r="U34">
        <f ca="1">IF(AND(ISNUMBER($U$353),$B$294=1),$U$353,HLOOKUP(INDIRECT(ADDRESS(2,COLUMN())),OFFSET($BN$2,0,0,ROW()-1,60),ROW()-1,FALSE))</f>
        <v>0</v>
      </c>
      <c r="V34">
        <f ca="1">IF(AND(ISNUMBER($V$353),$B$294=1),$V$353,HLOOKUP(INDIRECT(ADDRESS(2,COLUMN())),OFFSET($BN$2,0,0,ROW()-1,60),ROW()-1,FALSE))</f>
        <v>0</v>
      </c>
      <c r="W34">
        <f ca="1">IF(AND(ISNUMBER($W$353),$B$294=1),$W$353,HLOOKUP(INDIRECT(ADDRESS(2,COLUMN())),OFFSET($BN$2,0,0,ROW()-1,60),ROW()-1,FALSE))</f>
        <v>0</v>
      </c>
      <c r="X34">
        <f ca="1">IF(AND(ISNUMBER($X$353),$B$294=1),$X$353,HLOOKUP(INDIRECT(ADDRESS(2,COLUMN())),OFFSET($BN$2,0,0,ROW()-1,60),ROW()-1,FALSE))</f>
        <v>0</v>
      </c>
      <c r="Y34">
        <f ca="1">IF(AND(ISNUMBER($Y$353),$B$294=1),$Y$353,HLOOKUP(INDIRECT(ADDRESS(2,COLUMN())),OFFSET($BN$2,0,0,ROW()-1,60),ROW()-1,FALSE))</f>
        <v>0</v>
      </c>
      <c r="Z34">
        <f ca="1">IF(AND(ISNUMBER($Z$353),$B$294=1),$Z$353,HLOOKUP(INDIRECT(ADDRESS(2,COLUMN())),OFFSET($BN$2,0,0,ROW()-1,60),ROW()-1,FALSE))</f>
        <v>0</v>
      </c>
      <c r="AA34">
        <f ca="1">IF(AND(ISNUMBER($AA$353),$B$294=1),$AA$353,HLOOKUP(INDIRECT(ADDRESS(2,COLUMN())),OFFSET($BN$2,0,0,ROW()-1,60),ROW()-1,FALSE))</f>
        <v>0</v>
      </c>
      <c r="AB34">
        <f ca="1">IF(AND(ISNUMBER($AB$353),$B$294=1),$AB$353,HLOOKUP(INDIRECT(ADDRESS(2,COLUMN())),OFFSET($BN$2,0,0,ROW()-1,60),ROW()-1,FALSE))</f>
        <v>0</v>
      </c>
      <c r="AC34">
        <f ca="1">IF(AND(ISNUMBER($AC$353),$B$294=1),$AC$353,HLOOKUP(INDIRECT(ADDRESS(2,COLUMN())),OFFSET($BN$2,0,0,ROW()-1,60),ROW()-1,FALSE))</f>
        <v>0</v>
      </c>
      <c r="AD34">
        <f ca="1">IF(AND(ISNUMBER($AD$353),$B$294=1),$AD$353,HLOOKUP(INDIRECT(ADDRESS(2,COLUMN())),OFFSET($BN$2,0,0,ROW()-1,60),ROW()-1,FALSE))</f>
        <v>0</v>
      </c>
      <c r="AE34">
        <f ca="1">IF(AND(ISNUMBER($AE$353),$B$294=1),$AE$353,HLOOKUP(INDIRECT(ADDRESS(2,COLUMN())),OFFSET($BN$2,0,0,ROW()-1,60),ROW()-1,FALSE))</f>
        <v>0</v>
      </c>
      <c r="AF34">
        <f ca="1">IF(AND(ISNUMBER($AF$353),$B$294=1),$AF$353,HLOOKUP(INDIRECT(ADDRESS(2,COLUMN())),OFFSET($BN$2,0,0,ROW()-1,60),ROW()-1,FALSE))</f>
        <v>0</v>
      </c>
      <c r="AG34">
        <f ca="1">IF(AND(ISNUMBER($AG$353),$B$294=1),$AG$353,HLOOKUP(INDIRECT(ADDRESS(2,COLUMN())),OFFSET($BN$2,0,0,ROW()-1,60),ROW()-1,FALSE))</f>
        <v>0</v>
      </c>
      <c r="AH34">
        <f ca="1">IF(AND(ISNUMBER($AH$353),$B$294=1),$AH$353,HLOOKUP(INDIRECT(ADDRESS(2,COLUMN())),OFFSET($BN$2,0,0,ROW()-1,60),ROW()-1,FALSE))</f>
        <v>0</v>
      </c>
      <c r="AI34">
        <f ca="1">IF(AND(ISNUMBER($AI$353),$B$294=1),$AI$353,HLOOKUP(INDIRECT(ADDRESS(2,COLUMN())),OFFSET($BN$2,0,0,ROW()-1,60),ROW()-1,FALSE))</f>
        <v>0</v>
      </c>
      <c r="AJ34">
        <f ca="1">IF(AND(ISNUMBER($AJ$353),$B$294=1),$AJ$353,HLOOKUP(INDIRECT(ADDRESS(2,COLUMN())),OFFSET($BN$2,0,0,ROW()-1,60),ROW()-1,FALSE))</f>
        <v>0</v>
      </c>
      <c r="AK34">
        <f ca="1">IF(AND(ISNUMBER($AK$353),$B$294=1),$AK$353,HLOOKUP(INDIRECT(ADDRESS(2,COLUMN())),OFFSET($BN$2,0,0,ROW()-1,60),ROW()-1,FALSE))</f>
        <v>0</v>
      </c>
      <c r="AL34">
        <f ca="1">IF(AND(ISNUMBER($AL$353),$B$294=1),$AL$353,HLOOKUP(INDIRECT(ADDRESS(2,COLUMN())),OFFSET($BN$2,0,0,ROW()-1,60),ROW()-1,FALSE))</f>
        <v>0</v>
      </c>
      <c r="AM34">
        <f ca="1">IF(AND(ISNUMBER($AM$353),$B$294=1),$AM$353,HLOOKUP(INDIRECT(ADDRESS(2,COLUMN())),OFFSET($BN$2,0,0,ROW()-1,60),ROW()-1,FALSE))</f>
        <v>0</v>
      </c>
      <c r="AN34">
        <f ca="1">IF(AND(ISNUMBER($AN$353),$B$294=1),$AN$353,HLOOKUP(INDIRECT(ADDRESS(2,COLUMN())),OFFSET($BN$2,0,0,ROW()-1,60),ROW()-1,FALSE))</f>
        <v>0</v>
      </c>
      <c r="AO34">
        <f ca="1">IF(AND(ISNUMBER($AO$353),$B$294=1),$AO$353,HLOOKUP(INDIRECT(ADDRESS(2,COLUMN())),OFFSET($BN$2,0,0,ROW()-1,60),ROW()-1,FALSE))</f>
        <v>0</v>
      </c>
      <c r="AP34">
        <f ca="1">IF(AND(ISNUMBER($AP$353),$B$294=1),$AP$353,HLOOKUP(INDIRECT(ADDRESS(2,COLUMN())),OFFSET($BN$2,0,0,ROW()-1,60),ROW()-1,FALSE))</f>
        <v>0</v>
      </c>
      <c r="AQ34" t="str">
        <f ca="1">IF(AND(ISNUMBER($AQ$353),$B$294=1),$AQ$353,HLOOKUP(INDIRECT(ADDRESS(2,COLUMN())),OFFSET($BN$2,0,0,ROW()-1,60),ROW()-1,FALSE))</f>
        <v/>
      </c>
      <c r="AR34" t="str">
        <f ca="1">IF(AND(ISNUMBER($AR$353),$B$294=1),$AR$353,HLOOKUP(INDIRECT(ADDRESS(2,COLUMN())),OFFSET($BN$2,0,0,ROW()-1,60),ROW()-1,FALSE))</f>
        <v/>
      </c>
      <c r="AS34" t="str">
        <f ca="1">IF(AND(ISNUMBER($AS$353),$B$294=1),$AS$353,HLOOKUP(INDIRECT(ADDRESS(2,COLUMN())),OFFSET($BN$2,0,0,ROW()-1,60),ROW()-1,FALSE))</f>
        <v/>
      </c>
      <c r="AT34" t="str">
        <f ca="1">IF(AND(ISNUMBER($AT$353),$B$294=1),$AT$353,HLOOKUP(INDIRECT(ADDRESS(2,COLUMN())),OFFSET($BN$2,0,0,ROW()-1,60),ROW()-1,FALSE))</f>
        <v/>
      </c>
      <c r="AU34" t="str">
        <f ca="1">IF(AND(ISNUMBER($AU$353),$B$294=1),$AU$353,HLOOKUP(INDIRECT(ADDRESS(2,COLUMN())),OFFSET($BN$2,0,0,ROW()-1,60),ROW()-1,FALSE))</f>
        <v/>
      </c>
      <c r="AV34" t="str">
        <f ca="1">IF(AND(ISNUMBER($AV$353),$B$294=1),$AV$353,HLOOKUP(INDIRECT(ADDRESS(2,COLUMN())),OFFSET($BN$2,0,0,ROW()-1,60),ROW()-1,FALSE))</f>
        <v/>
      </c>
      <c r="AW34" t="str">
        <f ca="1">IF(AND(ISNUMBER($AW$353),$B$294=1),$AW$353,HLOOKUP(INDIRECT(ADDRESS(2,COLUMN())),OFFSET($BN$2,0,0,ROW()-1,60),ROW()-1,FALSE))</f>
        <v/>
      </c>
      <c r="AX34" t="str">
        <f ca="1">IF(AND(ISNUMBER($AX$353),$B$294=1),$AX$353,HLOOKUP(INDIRECT(ADDRESS(2,COLUMN())),OFFSET($BN$2,0,0,ROW()-1,60),ROW()-1,FALSE))</f>
        <v/>
      </c>
      <c r="AY34" t="str">
        <f ca="1">IF(AND(ISNUMBER($AY$353),$B$294=1),$AY$353,HLOOKUP(INDIRECT(ADDRESS(2,COLUMN())),OFFSET($BN$2,0,0,ROW()-1,60),ROW()-1,FALSE))</f>
        <v/>
      </c>
      <c r="AZ34" t="str">
        <f ca="1">IF(AND(ISNUMBER($AZ$353),$B$294=1),$AZ$353,HLOOKUP(INDIRECT(ADDRESS(2,COLUMN())),OFFSET($BN$2,0,0,ROW()-1,60),ROW()-1,FALSE))</f>
        <v/>
      </c>
      <c r="BA34" t="str">
        <f ca="1">IF(AND(ISNUMBER($BA$353),$B$294=1),$BA$353,HLOOKUP(INDIRECT(ADDRESS(2,COLUMN())),OFFSET($BN$2,0,0,ROW()-1,60),ROW()-1,FALSE))</f>
        <v/>
      </c>
      <c r="BB34" t="str">
        <f ca="1">IF(AND(ISNUMBER($BB$353),$B$294=1),$BB$353,HLOOKUP(INDIRECT(ADDRESS(2,COLUMN())),OFFSET($BN$2,0,0,ROW()-1,60),ROW()-1,FALSE))</f>
        <v/>
      </c>
      <c r="BC34" t="str">
        <f ca="1">IF(AND(ISNUMBER($BC$353),$B$294=1),$BC$353,HLOOKUP(INDIRECT(ADDRESS(2,COLUMN())),OFFSET($BN$2,0,0,ROW()-1,60),ROW()-1,FALSE))</f>
        <v/>
      </c>
      <c r="BD34" t="str">
        <f ca="1">IF(AND(ISNUMBER($BD$353),$B$294=1),$BD$353,HLOOKUP(INDIRECT(ADDRESS(2,COLUMN())),OFFSET($BN$2,0,0,ROW()-1,60),ROW()-1,FALSE))</f>
        <v/>
      </c>
      <c r="BE34" t="str">
        <f ca="1">IF(AND(ISNUMBER($BE$353),$B$294=1),$BE$353,HLOOKUP(INDIRECT(ADDRESS(2,COLUMN())),OFFSET($BN$2,0,0,ROW()-1,60),ROW()-1,FALSE))</f>
        <v/>
      </c>
      <c r="BF34" t="str">
        <f ca="1">IF(AND(ISNUMBER($BF$353),$B$294=1),$BF$353,HLOOKUP(INDIRECT(ADDRESS(2,COLUMN())),OFFSET($BN$2,0,0,ROW()-1,60),ROW()-1,FALSE))</f>
        <v/>
      </c>
      <c r="BG34" t="str">
        <f ca="1">IF(AND(ISNUMBER($BG$353),$B$294=1),$BG$353,HLOOKUP(INDIRECT(ADDRESS(2,COLUMN())),OFFSET($BN$2,0,0,ROW()-1,60),ROW()-1,FALSE))</f>
        <v/>
      </c>
      <c r="BH34" t="str">
        <f ca="1">IF(AND(ISNUMBER($BH$353),$B$294=1),$BH$353,HLOOKUP(INDIRECT(ADDRESS(2,COLUMN())),OFFSET($BN$2,0,0,ROW()-1,60),ROW()-1,FALSE))</f>
        <v/>
      </c>
      <c r="BI34" t="str">
        <f ca="1">IF(AND(ISNUMBER($BI$353),$B$294=1),$BI$353,HLOOKUP(INDIRECT(ADDRESS(2,COLUMN())),OFFSET($BN$2,0,0,ROW()-1,60),ROW()-1,FALSE))</f>
        <v/>
      </c>
      <c r="BJ34" t="str">
        <f ca="1">IF(AND(ISNUMBER($BJ$353),$B$294=1),$BJ$353,HLOOKUP(INDIRECT(ADDRESS(2,COLUMN())),OFFSET($BN$2,0,0,ROW()-1,60),ROW()-1,FALSE))</f>
        <v/>
      </c>
      <c r="BK34" t="str">
        <f ca="1">IF(AND(ISNUMBER($BK$353),$B$294=1),$BK$353,HLOOKUP(INDIRECT(ADDRESS(2,COLUMN())),OFFSET($BN$2,0,0,ROW()-1,60),ROW()-1,FALSE))</f>
        <v/>
      </c>
      <c r="BL34" t="str">
        <f ca="1">IF(AND(ISNUMBER($BL$353),$B$294=1),$BL$353,HLOOKUP(INDIRECT(ADDRESS(2,COLUMN())),OFFSET($BN$2,0,0,ROW()-1,60),ROW()-1,FALSE))</f>
        <v/>
      </c>
      <c r="BM34" t="str">
        <f ca="1">IF(AND(ISNUMBER($BM$353),$B$294=1),$BM$353,HLOOKUP(INDIRECT(ADDRESS(2,COLUMN())),OFFSET($BN$2,0,0,ROW()-1,60),ROW()-1,FALSE))</f>
        <v/>
      </c>
      <c r="BN34" t="str">
        <f>""</f>
        <v/>
      </c>
      <c r="BO34">
        <f>0</f>
        <v>0</v>
      </c>
      <c r="BP34">
        <f>0</f>
        <v>0</v>
      </c>
      <c r="BQ34">
        <f>0</f>
        <v>0</v>
      </c>
      <c r="BR34">
        <f>0</f>
        <v>0</v>
      </c>
      <c r="BS34">
        <f>0</f>
        <v>0</v>
      </c>
      <c r="BT34">
        <f>0</f>
        <v>0</v>
      </c>
      <c r="BU34">
        <f>0</f>
        <v>0</v>
      </c>
      <c r="BV34">
        <f>0</f>
        <v>0</v>
      </c>
      <c r="BW34">
        <f>0</f>
        <v>0</v>
      </c>
      <c r="BX34">
        <f>0</f>
        <v>0</v>
      </c>
      <c r="BY34">
        <f>0</f>
        <v>0</v>
      </c>
      <c r="BZ34">
        <f>0</f>
        <v>0</v>
      </c>
      <c r="CA34">
        <f>0</f>
        <v>0</v>
      </c>
      <c r="CB34">
        <f>0</f>
        <v>0</v>
      </c>
      <c r="CC34">
        <f>0</f>
        <v>0</v>
      </c>
      <c r="CD34">
        <f>0</f>
        <v>0</v>
      </c>
      <c r="CE34">
        <f>0</f>
        <v>0</v>
      </c>
      <c r="CF34">
        <f>0</f>
        <v>0</v>
      </c>
      <c r="CG34">
        <f>0</f>
        <v>0</v>
      </c>
      <c r="CH34">
        <f>0</f>
        <v>0</v>
      </c>
      <c r="CI34">
        <f>0</f>
        <v>0</v>
      </c>
      <c r="CJ34">
        <f>0</f>
        <v>0</v>
      </c>
      <c r="CK34">
        <f>0</f>
        <v>0</v>
      </c>
      <c r="CL34">
        <f>0</f>
        <v>0</v>
      </c>
      <c r="CM34">
        <f>0</f>
        <v>0</v>
      </c>
      <c r="CN34">
        <f>0</f>
        <v>0</v>
      </c>
      <c r="CO34">
        <f>0</f>
        <v>0</v>
      </c>
      <c r="CP34">
        <f>0</f>
        <v>0</v>
      </c>
      <c r="CQ34">
        <f>0</f>
        <v>0</v>
      </c>
      <c r="CR34">
        <f>0</f>
        <v>0</v>
      </c>
      <c r="CS34">
        <f>0</f>
        <v>0</v>
      </c>
      <c r="CT34">
        <f>0</f>
        <v>0</v>
      </c>
      <c r="CU34">
        <f>0</f>
        <v>0</v>
      </c>
      <c r="CV34">
        <f>0</f>
        <v>0</v>
      </c>
      <c r="CW34">
        <f>0</f>
        <v>0</v>
      </c>
      <c r="CX34">
        <f>0</f>
        <v>0</v>
      </c>
      <c r="CY34" t="str">
        <f>""</f>
        <v/>
      </c>
      <c r="CZ34" t="str">
        <f>""</f>
        <v/>
      </c>
      <c r="DA34" t="str">
        <f>""</f>
        <v/>
      </c>
      <c r="DB34" t="str">
        <f>""</f>
        <v/>
      </c>
      <c r="DC34" t="str">
        <f>""</f>
        <v/>
      </c>
      <c r="DD34" t="str">
        <f>""</f>
        <v/>
      </c>
      <c r="DE34" t="str">
        <f>""</f>
        <v/>
      </c>
      <c r="DF34" t="str">
        <f>""</f>
        <v/>
      </c>
      <c r="DG34" t="str">
        <f>""</f>
        <v/>
      </c>
      <c r="DH34" t="str">
        <f>""</f>
        <v/>
      </c>
      <c r="DI34" t="str">
        <f>""</f>
        <v/>
      </c>
      <c r="DJ34" t="str">
        <f>""</f>
        <v/>
      </c>
      <c r="DK34" t="str">
        <f>""</f>
        <v/>
      </c>
      <c r="DL34" t="str">
        <f>""</f>
        <v/>
      </c>
      <c r="DM34" t="str">
        <f>""</f>
        <v/>
      </c>
      <c r="DN34" t="str">
        <f>""</f>
        <v/>
      </c>
      <c r="DO34" t="str">
        <f>""</f>
        <v/>
      </c>
      <c r="DP34" t="str">
        <f>""</f>
        <v/>
      </c>
      <c r="DQ34" t="str">
        <f>""</f>
        <v/>
      </c>
      <c r="DR34" t="str">
        <f>""</f>
        <v/>
      </c>
      <c r="DS34" t="str">
        <f>""</f>
        <v/>
      </c>
      <c r="DT34" t="str">
        <f>""</f>
        <v/>
      </c>
      <c r="DU34" t="str">
        <f>""</f>
        <v/>
      </c>
    </row>
    <row r="35" spans="1:125">
      <c r="A35" t="str">
        <f>"    SL Green Realty Corp"</f>
        <v xml:space="preserve">    SL Green Realty Corp</v>
      </c>
      <c r="B35" t="str">
        <f>"SLG US Equity"</f>
        <v>SLG US Equity</v>
      </c>
      <c r="C35" t="str">
        <f t="shared" si="6"/>
        <v>IM281</v>
      </c>
      <c r="D35" t="str">
        <f t="shared" si="7"/>
        <v>IS_NON_REAL_ESTATE_INCOME</v>
      </c>
      <c r="E35" t="str">
        <f t="shared" si="8"/>
        <v>动态</v>
      </c>
      <c r="F35" t="str">
        <f ca="1">IF(AND(ISNUMBER($F$354),$B$294=1),$F$354,HLOOKUP(INDIRECT(ADDRESS(2,COLUMN())),OFFSET($BN$2,0,0,ROW()-1,60),ROW()-1,FALSE))</f>
        <v/>
      </c>
      <c r="G35">
        <f ca="1">IF(AND(ISNUMBER($G$354),$B$294=1),$G$354,HLOOKUP(INDIRECT(ADDRESS(2,COLUMN())),OFFSET($BN$2,0,0,ROW()-1,60),ROW()-1,FALSE))</f>
        <v>54.472000000000001</v>
      </c>
      <c r="H35">
        <f ca="1">IF(AND(ISNUMBER($H$354),$B$294=1),$H$354,HLOOKUP(INDIRECT(ADDRESS(2,COLUMN())),OFFSET($BN$2,0,0,ROW()-1,60),ROW()-1,FALSE))</f>
        <v>55.085999999999999</v>
      </c>
      <c r="I35">
        <f ca="1">IF(AND(ISNUMBER($I$354),$B$294=1),$I$354,HLOOKUP(INDIRECT(ADDRESS(2,COLUMN())),OFFSET($BN$2,0,0,ROW()-1,60),ROW()-1,FALSE))</f>
        <v>76.123000000000005</v>
      </c>
      <c r="J35">
        <f ca="1">IF(AND(ISNUMBER($J$354),$B$294=1),$J$354,HLOOKUP(INDIRECT(ADDRESS(2,COLUMN())),OFFSET($BN$2,0,0,ROW()-1,60),ROW()-1,FALSE))</f>
        <v>51.86</v>
      </c>
      <c r="K35">
        <f ca="1">IF(AND(ISNUMBER($K$354),$B$294=1),$K$354,HLOOKUP(INDIRECT(ADDRESS(2,COLUMN())),OFFSET($BN$2,0,0,ROW()-1,60),ROW()-1,FALSE))</f>
        <v>44.872</v>
      </c>
      <c r="L35">
        <f ca="1">IF(AND(ISNUMBER($L$354),$B$294=1),$L$354,HLOOKUP(INDIRECT(ADDRESS(2,COLUMN())),OFFSET($BN$2,0,0,ROW()-1,60),ROW()-1,FALSE))</f>
        <v>82.069000000000003</v>
      </c>
      <c r="M35">
        <f ca="1">IF(AND(ISNUMBER($M$354),$B$294=1),$M$354,HLOOKUP(INDIRECT(ADDRESS(2,COLUMN())),OFFSET($BN$2,0,0,ROW()-1,60),ROW()-1,FALSE))</f>
        <v>152.18899999999999</v>
      </c>
      <c r="N35">
        <f ca="1">IF(AND(ISNUMBER($N$354),$B$294=1),$N$354,HLOOKUP(INDIRECT(ADDRESS(2,COLUMN())),OFFSET($BN$2,0,0,ROW()-1,60),ROW()-1,FALSE))</f>
        <v>64.225999999999999</v>
      </c>
      <c r="O35">
        <f ca="1">IF(AND(ISNUMBER($O$354),$B$294=1),$O$354,HLOOKUP(INDIRECT(ADDRESS(2,COLUMN())),OFFSET($BN$2,0,0,ROW()-1,60),ROW()-1,FALSE))</f>
        <v>57.546999999999997</v>
      </c>
      <c r="P35">
        <f ca="1">IF(AND(ISNUMBER($P$354),$B$294=1),$P$354,HLOOKUP(INDIRECT(ADDRESS(2,COLUMN())),OFFSET($BN$2,0,0,ROW()-1,60),ROW()-1,FALSE))</f>
        <v>65.346999999999994</v>
      </c>
      <c r="Q35">
        <f ca="1">IF(AND(ISNUMBER($Q$354),$B$294=1),$Q$354,HLOOKUP(INDIRECT(ADDRESS(2,COLUMN())),OFFSET($BN$2,0,0,ROW()-1,60),ROW()-1,FALSE))</f>
        <v>63.441000000000003</v>
      </c>
      <c r="R35">
        <f ca="1">IF(AND(ISNUMBER($R$354),$B$294=1),$R$354,HLOOKUP(INDIRECT(ADDRESS(2,COLUMN())),OFFSET($BN$2,0,0,ROW()-1,60),ROW()-1,FALSE))</f>
        <v>52.000999999999998</v>
      </c>
      <c r="S35">
        <f ca="1">IF(AND(ISNUMBER($S$354),$B$294=1),$S$354,HLOOKUP(INDIRECT(ADDRESS(2,COLUMN())),OFFSET($BN$2,0,0,ROW()-1,60),ROW()-1,FALSE))</f>
        <v>48.271000000000001</v>
      </c>
      <c r="T35">
        <f ca="1">IF(AND(ISNUMBER($T$354),$B$294=1),$T$354,HLOOKUP(INDIRECT(ADDRESS(2,COLUMN())),OFFSET($BN$2,0,0,ROW()-1,60),ROW()-1,FALSE))</f>
        <v>55.155000000000001</v>
      </c>
      <c r="U35">
        <f ca="1">IF(AND(ISNUMBER($U$354),$B$294=1),$U$354,HLOOKUP(INDIRECT(ADDRESS(2,COLUMN())),OFFSET($BN$2,0,0,ROW()-1,60),ROW()-1,FALSE))</f>
        <v>62.448</v>
      </c>
      <c r="V35">
        <f ca="1">IF(AND(ISNUMBER($V$354),$B$294=1),$V$354,HLOOKUP(INDIRECT(ADDRESS(2,COLUMN())),OFFSET($BN$2,0,0,ROW()-1,60),ROW()-1,FALSE))</f>
        <v>68.662000000000006</v>
      </c>
      <c r="W35">
        <f ca="1">IF(AND(ISNUMBER($W$354),$B$294=1),$W$354,HLOOKUP(INDIRECT(ADDRESS(2,COLUMN())),OFFSET($BN$2,0,0,ROW()-1,60),ROW()-1,FALSE))</f>
        <v>53.576000000000001</v>
      </c>
      <c r="X35">
        <f ca="1">IF(AND(ISNUMBER($X$354),$B$294=1),$X$354,HLOOKUP(INDIRECT(ADDRESS(2,COLUMN())),OFFSET($BN$2,0,0,ROW()-1,60),ROW()-1,FALSE))</f>
        <v>54.317</v>
      </c>
      <c r="Y35">
        <f ca="1">IF(AND(ISNUMBER($Y$354),$B$294=1),$Y$354,HLOOKUP(INDIRECT(ADDRESS(2,COLUMN())),OFFSET($BN$2,0,0,ROW()-1,60),ROW()-1,FALSE))</f>
        <v>52.454000000000001</v>
      </c>
      <c r="Z35">
        <f ca="1">IF(AND(ISNUMBER($Z$354),$B$294=1),$Z$354,HLOOKUP(INDIRECT(ADDRESS(2,COLUMN())),OFFSET($BN$2,0,0,ROW()-1,60),ROW()-1,FALSE))</f>
        <v>58.473999999999997</v>
      </c>
      <c r="AA35">
        <f ca="1">IF(AND(ISNUMBER($AA$354),$B$294=1),$AA$354,HLOOKUP(INDIRECT(ADDRESS(2,COLUMN())),OFFSET($BN$2,0,0,ROW()-1,60),ROW()-1,FALSE))</f>
        <v>41.305</v>
      </c>
      <c r="AB35">
        <f ca="1">IF(AND(ISNUMBER($AB$354),$B$294=1),$AB$354,HLOOKUP(INDIRECT(ADDRESS(2,COLUMN())),OFFSET($BN$2,0,0,ROW()-1,60),ROW()-1,FALSE))</f>
        <v>37.140999999999998</v>
      </c>
      <c r="AC35">
        <f ca="1">IF(AND(ISNUMBER($AC$354),$B$294=1),$AC$354,HLOOKUP(INDIRECT(ADDRESS(2,COLUMN())),OFFSET($BN$2,0,0,ROW()-1,60),ROW()-1,FALSE))</f>
        <v>39.729999999999997</v>
      </c>
      <c r="AD35">
        <f ca="1">IF(AND(ISNUMBER($AD$354),$B$294=1),$AD$354,HLOOKUP(INDIRECT(ADDRESS(2,COLUMN())),OFFSET($BN$2,0,0,ROW()-1,60),ROW()-1,FALSE))</f>
        <v>36.715000000000003</v>
      </c>
      <c r="AE35">
        <f ca="1">IF(AND(ISNUMBER($AE$354),$B$294=1),$AE$354,HLOOKUP(INDIRECT(ADDRESS(2,COLUMN())),OFFSET($BN$2,0,0,ROW()-1,60),ROW()-1,FALSE))</f>
        <v>34.384</v>
      </c>
      <c r="AF35">
        <f ca="1">IF(AND(ISNUMBER($AF$354),$B$294=1),$AF$354,HLOOKUP(INDIRECT(ADDRESS(2,COLUMN())),OFFSET($BN$2,0,0,ROW()-1,60),ROW()-1,FALSE))</f>
        <v>24.509</v>
      </c>
      <c r="AG35">
        <f ca="1">IF(AND(ISNUMBER($AG$354),$B$294=1),$AG$354,HLOOKUP(INDIRECT(ADDRESS(2,COLUMN())),OFFSET($BN$2,0,0,ROW()-1,60),ROW()-1,FALSE))</f>
        <v>25.076000000000001</v>
      </c>
      <c r="AH35">
        <f ca="1">IF(AND(ISNUMBER($AH$354),$B$294=1),$AH$354,HLOOKUP(INDIRECT(ADDRESS(2,COLUMN())),OFFSET($BN$2,0,0,ROW()-1,60),ROW()-1,FALSE))</f>
        <v>71.926000000000002</v>
      </c>
      <c r="AI35">
        <f ca="1">IF(AND(ISNUMBER($AI$354),$B$294=1),$AI$354,HLOOKUP(INDIRECT(ADDRESS(2,COLUMN())),OFFSET($BN$2,0,0,ROW()-1,60),ROW()-1,FALSE))</f>
        <v>32.960999999999999</v>
      </c>
      <c r="AJ35">
        <f ca="1">IF(AND(ISNUMBER($AJ$354),$B$294=1),$AJ$354,HLOOKUP(INDIRECT(ADDRESS(2,COLUMN())),OFFSET($BN$2,0,0,ROW()-1,60),ROW()-1,FALSE))</f>
        <v>92.441999999999993</v>
      </c>
      <c r="AK35">
        <f ca="1">IF(AND(ISNUMBER($AK$354),$B$294=1),$AK$354,HLOOKUP(INDIRECT(ADDRESS(2,COLUMN())),OFFSET($BN$2,0,0,ROW()-1,60),ROW()-1,FALSE))</f>
        <v>29.664999999999999</v>
      </c>
      <c r="AL35">
        <f ca="1">IF(AND(ISNUMBER($AL$354),$B$294=1),$AL$354,HLOOKUP(INDIRECT(ADDRESS(2,COLUMN())),OFFSET($BN$2,0,0,ROW()-1,60),ROW()-1,FALSE))</f>
        <v>28.577999999999999</v>
      </c>
      <c r="AM35">
        <f ca="1">IF(AND(ISNUMBER($AM$354),$B$294=1),$AM$354,HLOOKUP(INDIRECT(ADDRESS(2,COLUMN())),OFFSET($BN$2,0,0,ROW()-1,60),ROW()-1,FALSE))</f>
        <v>23.856000000000002</v>
      </c>
      <c r="AN35">
        <f ca="1">IF(AND(ISNUMBER($AN$354),$B$294=1),$AN$354,HLOOKUP(INDIRECT(ADDRESS(2,COLUMN())),OFFSET($BN$2,0,0,ROW()-1,60),ROW()-1,FALSE))</f>
        <v>27.254000000000001</v>
      </c>
      <c r="AO35">
        <f ca="1">IF(AND(ISNUMBER($AO$354),$B$294=1),$AO$354,HLOOKUP(INDIRECT(ADDRESS(2,COLUMN())),OFFSET($BN$2,0,0,ROW()-1,60),ROW()-1,FALSE))</f>
        <v>28.698</v>
      </c>
      <c r="AP35">
        <f ca="1">IF(AND(ISNUMBER($AP$354),$B$294=1),$AP$354,HLOOKUP(INDIRECT(ADDRESS(2,COLUMN())),OFFSET($BN$2,0,0,ROW()-1,60),ROW()-1,FALSE))</f>
        <v>33.179000000000002</v>
      </c>
      <c r="AQ35" t="str">
        <f ca="1">IF(AND(ISNUMBER($AQ$354),$B$294=1),$AQ$354,HLOOKUP(INDIRECT(ADDRESS(2,COLUMN())),OFFSET($BN$2,0,0,ROW()-1,60),ROW()-1,FALSE))</f>
        <v/>
      </c>
      <c r="AR35" t="str">
        <f ca="1">IF(AND(ISNUMBER($AR$354),$B$294=1),$AR$354,HLOOKUP(INDIRECT(ADDRESS(2,COLUMN())),OFFSET($BN$2,0,0,ROW()-1,60),ROW()-1,FALSE))</f>
        <v/>
      </c>
      <c r="AS35" t="str">
        <f ca="1">IF(AND(ISNUMBER($AS$354),$B$294=1),$AS$354,HLOOKUP(INDIRECT(ADDRESS(2,COLUMN())),OFFSET($BN$2,0,0,ROW()-1,60),ROW()-1,FALSE))</f>
        <v/>
      </c>
      <c r="AT35" t="str">
        <f ca="1">IF(AND(ISNUMBER($AT$354),$B$294=1),$AT$354,HLOOKUP(INDIRECT(ADDRESS(2,COLUMN())),OFFSET($BN$2,0,0,ROW()-1,60),ROW()-1,FALSE))</f>
        <v/>
      </c>
      <c r="AU35" t="str">
        <f ca="1">IF(AND(ISNUMBER($AU$354),$B$294=1),$AU$354,HLOOKUP(INDIRECT(ADDRESS(2,COLUMN())),OFFSET($BN$2,0,0,ROW()-1,60),ROW()-1,FALSE))</f>
        <v/>
      </c>
      <c r="AV35" t="str">
        <f ca="1">IF(AND(ISNUMBER($AV$354),$B$294=1),$AV$354,HLOOKUP(INDIRECT(ADDRESS(2,COLUMN())),OFFSET($BN$2,0,0,ROW()-1,60),ROW()-1,FALSE))</f>
        <v/>
      </c>
      <c r="AW35" t="str">
        <f ca="1">IF(AND(ISNUMBER($AW$354),$B$294=1),$AW$354,HLOOKUP(INDIRECT(ADDRESS(2,COLUMN())),OFFSET($BN$2,0,0,ROW()-1,60),ROW()-1,FALSE))</f>
        <v/>
      </c>
      <c r="AX35" t="str">
        <f ca="1">IF(AND(ISNUMBER($AX$354),$B$294=1),$AX$354,HLOOKUP(INDIRECT(ADDRESS(2,COLUMN())),OFFSET($BN$2,0,0,ROW()-1,60),ROW()-1,FALSE))</f>
        <v/>
      </c>
      <c r="AY35" t="str">
        <f ca="1">IF(AND(ISNUMBER($AY$354),$B$294=1),$AY$354,HLOOKUP(INDIRECT(ADDRESS(2,COLUMN())),OFFSET($BN$2,0,0,ROW()-1,60),ROW()-1,FALSE))</f>
        <v/>
      </c>
      <c r="AZ35" t="str">
        <f ca="1">IF(AND(ISNUMBER($AZ$354),$B$294=1),$AZ$354,HLOOKUP(INDIRECT(ADDRESS(2,COLUMN())),OFFSET($BN$2,0,0,ROW()-1,60),ROW()-1,FALSE))</f>
        <v/>
      </c>
      <c r="BA35" t="str">
        <f ca="1">IF(AND(ISNUMBER($BA$354),$B$294=1),$BA$354,HLOOKUP(INDIRECT(ADDRESS(2,COLUMN())),OFFSET($BN$2,0,0,ROW()-1,60),ROW()-1,FALSE))</f>
        <v/>
      </c>
      <c r="BB35" t="str">
        <f ca="1">IF(AND(ISNUMBER($BB$354),$B$294=1),$BB$354,HLOOKUP(INDIRECT(ADDRESS(2,COLUMN())),OFFSET($BN$2,0,0,ROW()-1,60),ROW()-1,FALSE))</f>
        <v/>
      </c>
      <c r="BC35" t="str">
        <f ca="1">IF(AND(ISNUMBER($BC$354),$B$294=1),$BC$354,HLOOKUP(INDIRECT(ADDRESS(2,COLUMN())),OFFSET($BN$2,0,0,ROW()-1,60),ROW()-1,FALSE))</f>
        <v/>
      </c>
      <c r="BD35" t="str">
        <f ca="1">IF(AND(ISNUMBER($BD$354),$B$294=1),$BD$354,HLOOKUP(INDIRECT(ADDRESS(2,COLUMN())),OFFSET($BN$2,0,0,ROW()-1,60),ROW()-1,FALSE))</f>
        <v/>
      </c>
      <c r="BE35" t="str">
        <f ca="1">IF(AND(ISNUMBER($BE$354),$B$294=1),$BE$354,HLOOKUP(INDIRECT(ADDRESS(2,COLUMN())),OFFSET($BN$2,0,0,ROW()-1,60),ROW()-1,FALSE))</f>
        <v/>
      </c>
      <c r="BF35" t="str">
        <f ca="1">IF(AND(ISNUMBER($BF$354),$B$294=1),$BF$354,HLOOKUP(INDIRECT(ADDRESS(2,COLUMN())),OFFSET($BN$2,0,0,ROW()-1,60),ROW()-1,FALSE))</f>
        <v/>
      </c>
      <c r="BG35" t="str">
        <f ca="1">IF(AND(ISNUMBER($BG$354),$B$294=1),$BG$354,HLOOKUP(INDIRECT(ADDRESS(2,COLUMN())),OFFSET($BN$2,0,0,ROW()-1,60),ROW()-1,FALSE))</f>
        <v/>
      </c>
      <c r="BH35" t="str">
        <f ca="1">IF(AND(ISNUMBER($BH$354),$B$294=1),$BH$354,HLOOKUP(INDIRECT(ADDRESS(2,COLUMN())),OFFSET($BN$2,0,0,ROW()-1,60),ROW()-1,FALSE))</f>
        <v/>
      </c>
      <c r="BI35" t="str">
        <f ca="1">IF(AND(ISNUMBER($BI$354),$B$294=1),$BI$354,HLOOKUP(INDIRECT(ADDRESS(2,COLUMN())),OFFSET($BN$2,0,0,ROW()-1,60),ROW()-1,FALSE))</f>
        <v/>
      </c>
      <c r="BJ35" t="str">
        <f ca="1">IF(AND(ISNUMBER($BJ$354),$B$294=1),$BJ$354,HLOOKUP(INDIRECT(ADDRESS(2,COLUMN())),OFFSET($BN$2,0,0,ROW()-1,60),ROW()-1,FALSE))</f>
        <v/>
      </c>
      <c r="BK35" t="str">
        <f ca="1">IF(AND(ISNUMBER($BK$354),$B$294=1),$BK$354,HLOOKUP(INDIRECT(ADDRESS(2,COLUMN())),OFFSET($BN$2,0,0,ROW()-1,60),ROW()-1,FALSE))</f>
        <v/>
      </c>
      <c r="BL35" t="str">
        <f ca="1">IF(AND(ISNUMBER($BL$354),$B$294=1),$BL$354,HLOOKUP(INDIRECT(ADDRESS(2,COLUMN())),OFFSET($BN$2,0,0,ROW()-1,60),ROW()-1,FALSE))</f>
        <v/>
      </c>
      <c r="BM35" t="str">
        <f ca="1">IF(AND(ISNUMBER($BM$354),$B$294=1),$BM$354,HLOOKUP(INDIRECT(ADDRESS(2,COLUMN())),OFFSET($BN$2,0,0,ROW()-1,60),ROW()-1,FALSE))</f>
        <v/>
      </c>
      <c r="BN35" t="str">
        <f>""</f>
        <v/>
      </c>
      <c r="BO35">
        <f>54.472</f>
        <v>54.472000000000001</v>
      </c>
      <c r="BP35">
        <f>55.086</f>
        <v>55.085999999999999</v>
      </c>
      <c r="BQ35">
        <f>76.123</f>
        <v>76.123000000000005</v>
      </c>
      <c r="BR35">
        <f>51.86</f>
        <v>51.86</v>
      </c>
      <c r="BS35">
        <f>44.872</f>
        <v>44.872</v>
      </c>
      <c r="BT35">
        <f>82.069</f>
        <v>82.069000000000003</v>
      </c>
      <c r="BU35">
        <f>152.189</f>
        <v>152.18899999999999</v>
      </c>
      <c r="BV35">
        <f>64.226</f>
        <v>64.225999999999999</v>
      </c>
      <c r="BW35">
        <f>57.547</f>
        <v>57.546999999999997</v>
      </c>
      <c r="BX35">
        <f>65.347</f>
        <v>65.346999999999994</v>
      </c>
      <c r="BY35">
        <f>63.441</f>
        <v>63.441000000000003</v>
      </c>
      <c r="BZ35">
        <f>52.001</f>
        <v>52.000999999999998</v>
      </c>
      <c r="CA35">
        <f>48.271</f>
        <v>48.271000000000001</v>
      </c>
      <c r="CB35">
        <f>55.155</f>
        <v>55.155000000000001</v>
      </c>
      <c r="CC35">
        <f>62.448</f>
        <v>62.448</v>
      </c>
      <c r="CD35">
        <f>68.662</f>
        <v>68.662000000000006</v>
      </c>
      <c r="CE35">
        <f>53.576</f>
        <v>53.576000000000001</v>
      </c>
      <c r="CF35">
        <f>54.317</f>
        <v>54.317</v>
      </c>
      <c r="CG35">
        <f>52.454</f>
        <v>52.454000000000001</v>
      </c>
      <c r="CH35">
        <f>58.474</f>
        <v>58.473999999999997</v>
      </c>
      <c r="CI35">
        <f>41.305</f>
        <v>41.305</v>
      </c>
      <c r="CJ35">
        <f>37.141</f>
        <v>37.140999999999998</v>
      </c>
      <c r="CK35">
        <f>39.73</f>
        <v>39.729999999999997</v>
      </c>
      <c r="CL35">
        <f>36.715</f>
        <v>36.715000000000003</v>
      </c>
      <c r="CM35">
        <f>34.384</f>
        <v>34.384</v>
      </c>
      <c r="CN35">
        <f>24.509</f>
        <v>24.509</v>
      </c>
      <c r="CO35">
        <f>25.076</f>
        <v>25.076000000000001</v>
      </c>
      <c r="CP35">
        <f>71.926</f>
        <v>71.926000000000002</v>
      </c>
      <c r="CQ35">
        <f>32.961</f>
        <v>32.960999999999999</v>
      </c>
      <c r="CR35">
        <f>92.442</f>
        <v>92.441999999999993</v>
      </c>
      <c r="CS35">
        <f>29.665</f>
        <v>29.664999999999999</v>
      </c>
      <c r="CT35">
        <f>28.578</f>
        <v>28.577999999999999</v>
      </c>
      <c r="CU35">
        <f>23.856</f>
        <v>23.856000000000002</v>
      </c>
      <c r="CV35">
        <f>27.254</f>
        <v>27.254000000000001</v>
      </c>
      <c r="CW35">
        <f>28.698</f>
        <v>28.698</v>
      </c>
      <c r="CX35">
        <f>33.179</f>
        <v>33.179000000000002</v>
      </c>
      <c r="CY35" t="str">
        <f>""</f>
        <v/>
      </c>
      <c r="CZ35" t="str">
        <f>""</f>
        <v/>
      </c>
      <c r="DA35" t="str">
        <f>""</f>
        <v/>
      </c>
      <c r="DB35" t="str">
        <f>""</f>
        <v/>
      </c>
      <c r="DC35" t="str">
        <f>""</f>
        <v/>
      </c>
      <c r="DD35" t="str">
        <f>""</f>
        <v/>
      </c>
      <c r="DE35" t="str">
        <f>""</f>
        <v/>
      </c>
      <c r="DF35" t="str">
        <f>""</f>
        <v/>
      </c>
      <c r="DG35" t="str">
        <f>""</f>
        <v/>
      </c>
      <c r="DH35" t="str">
        <f>""</f>
        <v/>
      </c>
      <c r="DI35" t="str">
        <f>""</f>
        <v/>
      </c>
      <c r="DJ35" t="str">
        <f>""</f>
        <v/>
      </c>
      <c r="DK35" t="str">
        <f>""</f>
        <v/>
      </c>
      <c r="DL35" t="str">
        <f>""</f>
        <v/>
      </c>
      <c r="DM35" t="str">
        <f>""</f>
        <v/>
      </c>
      <c r="DN35" t="str">
        <f>""</f>
        <v/>
      </c>
      <c r="DO35" t="str">
        <f>""</f>
        <v/>
      </c>
      <c r="DP35" t="str">
        <f>""</f>
        <v/>
      </c>
      <c r="DQ35" t="str">
        <f>""</f>
        <v/>
      </c>
      <c r="DR35" t="str">
        <f>""</f>
        <v/>
      </c>
      <c r="DS35" t="str">
        <f>""</f>
        <v/>
      </c>
      <c r="DT35" t="str">
        <f>""</f>
        <v/>
      </c>
      <c r="DU35" t="str">
        <f>""</f>
        <v/>
      </c>
    </row>
    <row r="36" spans="1:125">
      <c r="A36" t="str">
        <f>"    Vornado Realty Trust"</f>
        <v xml:space="preserve">    Vornado Realty Trust</v>
      </c>
      <c r="B36" t="str">
        <f>"VNO US Equity"</f>
        <v>VNO US Equity</v>
      </c>
      <c r="C36" t="str">
        <f t="shared" si="6"/>
        <v>IM281</v>
      </c>
      <c r="D36" t="str">
        <f t="shared" si="7"/>
        <v>IS_NON_REAL_ESTATE_INCOME</v>
      </c>
      <c r="E36" t="str">
        <f t="shared" si="8"/>
        <v>动态</v>
      </c>
      <c r="F36" t="str">
        <f ca="1">IF(AND(ISNUMBER($F$355),$B$294=1),$F$355,HLOOKUP(INDIRECT(ADDRESS(2,COLUMN())),OFFSET($BN$2,0,0,ROW()-1,60),ROW()-1,FALSE))</f>
        <v/>
      </c>
      <c r="G36">
        <f ca="1">IF(AND(ISNUMBER($G$355),$B$294=1),$G$355,HLOOKUP(INDIRECT(ADDRESS(2,COLUMN())),OFFSET($BN$2,0,0,ROW()-1,60),ROW()-1,FALSE))</f>
        <v>0</v>
      </c>
      <c r="H36">
        <f ca="1">IF(AND(ISNUMBER($H$355),$B$294=1),$H$355,HLOOKUP(INDIRECT(ADDRESS(2,COLUMN())),OFFSET($BN$2,0,0,ROW()-1,60),ROW()-1,FALSE))</f>
        <v>0</v>
      </c>
      <c r="I36">
        <f ca="1">IF(AND(ISNUMBER($I$355),$B$294=1),$I$355,HLOOKUP(INDIRECT(ADDRESS(2,COLUMN())),OFFSET($BN$2,0,0,ROW()-1,60),ROW()-1,FALSE))</f>
        <v>0</v>
      </c>
      <c r="J36">
        <f ca="1">IF(AND(ISNUMBER($J$355),$B$294=1),$J$355,HLOOKUP(INDIRECT(ADDRESS(2,COLUMN())),OFFSET($BN$2,0,0,ROW()-1,60),ROW()-1,FALSE))</f>
        <v>0</v>
      </c>
      <c r="K36">
        <f ca="1">IF(AND(ISNUMBER($K$355),$B$294=1),$K$355,HLOOKUP(INDIRECT(ADDRESS(2,COLUMN())),OFFSET($BN$2,0,0,ROW()-1,60),ROW()-1,FALSE))</f>
        <v>0</v>
      </c>
      <c r="L36">
        <f ca="1">IF(AND(ISNUMBER($L$355),$B$294=1),$L$355,HLOOKUP(INDIRECT(ADDRESS(2,COLUMN())),OFFSET($BN$2,0,0,ROW()-1,60),ROW()-1,FALSE))</f>
        <v>0</v>
      </c>
      <c r="M36">
        <f ca="1">IF(AND(ISNUMBER($M$355),$B$294=1),$M$355,HLOOKUP(INDIRECT(ADDRESS(2,COLUMN())),OFFSET($BN$2,0,0,ROW()-1,60),ROW()-1,FALSE))</f>
        <v>0</v>
      </c>
      <c r="N36">
        <f ca="1">IF(AND(ISNUMBER($N$355),$B$294=1),$N$355,HLOOKUP(INDIRECT(ADDRESS(2,COLUMN())),OFFSET($BN$2,0,0,ROW()-1,60),ROW()-1,FALSE))</f>
        <v>0</v>
      </c>
      <c r="O36">
        <f ca="1">IF(AND(ISNUMBER($O$355),$B$294=1),$O$355,HLOOKUP(INDIRECT(ADDRESS(2,COLUMN())),OFFSET($BN$2,0,0,ROW()-1,60),ROW()-1,FALSE))</f>
        <v>0</v>
      </c>
      <c r="P36">
        <f ca="1">IF(AND(ISNUMBER($P$355),$B$294=1),$P$355,HLOOKUP(INDIRECT(ADDRESS(2,COLUMN())),OFFSET($BN$2,0,0,ROW()-1,60),ROW()-1,FALSE))</f>
        <v>0</v>
      </c>
      <c r="Q36">
        <f ca="1">IF(AND(ISNUMBER($Q$355),$B$294=1),$Q$355,HLOOKUP(INDIRECT(ADDRESS(2,COLUMN())),OFFSET($BN$2,0,0,ROW()-1,60),ROW()-1,FALSE))</f>
        <v>0</v>
      </c>
      <c r="R36">
        <f ca="1">IF(AND(ISNUMBER($R$355),$B$294=1),$R$355,HLOOKUP(INDIRECT(ADDRESS(2,COLUMN())),OFFSET($BN$2,0,0,ROW()-1,60),ROW()-1,FALSE))</f>
        <v>0</v>
      </c>
      <c r="S36">
        <f ca="1">IF(AND(ISNUMBER($S$355),$B$294=1),$S$355,HLOOKUP(INDIRECT(ADDRESS(2,COLUMN())),OFFSET($BN$2,0,0,ROW()-1,60),ROW()-1,FALSE))</f>
        <v>0</v>
      </c>
      <c r="T36">
        <f ca="1">IF(AND(ISNUMBER($T$355),$B$294=1),$T$355,HLOOKUP(INDIRECT(ADDRESS(2,COLUMN())),OFFSET($BN$2,0,0,ROW()-1,60),ROW()-1,FALSE))</f>
        <v>0</v>
      </c>
      <c r="U36">
        <f ca="1">IF(AND(ISNUMBER($U$355),$B$294=1),$U$355,HLOOKUP(INDIRECT(ADDRESS(2,COLUMN())),OFFSET($BN$2,0,0,ROW()-1,60),ROW()-1,FALSE))</f>
        <v>0</v>
      </c>
      <c r="V36">
        <f ca="1">IF(AND(ISNUMBER($V$355),$B$294=1),$V$355,HLOOKUP(INDIRECT(ADDRESS(2,COLUMN())),OFFSET($BN$2,0,0,ROW()-1,60),ROW()-1,FALSE))</f>
        <v>0</v>
      </c>
      <c r="W36">
        <f ca="1">IF(AND(ISNUMBER($W$355),$B$294=1),$W$355,HLOOKUP(INDIRECT(ADDRESS(2,COLUMN())),OFFSET($BN$2,0,0,ROW()-1,60),ROW()-1,FALSE))</f>
        <v>0</v>
      </c>
      <c r="X36">
        <f ca="1">IF(AND(ISNUMBER($X$355),$B$294=1),$X$355,HLOOKUP(INDIRECT(ADDRESS(2,COLUMN())),OFFSET($BN$2,0,0,ROW()-1,60),ROW()-1,FALSE))</f>
        <v>0</v>
      </c>
      <c r="Y36">
        <f ca="1">IF(AND(ISNUMBER($Y$355),$B$294=1),$Y$355,HLOOKUP(INDIRECT(ADDRESS(2,COLUMN())),OFFSET($BN$2,0,0,ROW()-1,60),ROW()-1,FALSE))</f>
        <v>0</v>
      </c>
      <c r="Z36">
        <f ca="1">IF(AND(ISNUMBER($Z$355),$B$294=1),$Z$355,HLOOKUP(INDIRECT(ADDRESS(2,COLUMN())),OFFSET($BN$2,0,0,ROW()-1,60),ROW()-1,FALSE))</f>
        <v>0</v>
      </c>
      <c r="AA36">
        <f ca="1">IF(AND(ISNUMBER($AA$355),$B$294=1),$AA$355,HLOOKUP(INDIRECT(ADDRESS(2,COLUMN())),OFFSET($BN$2,0,0,ROW()-1,60),ROW()-1,FALSE))</f>
        <v>0</v>
      </c>
      <c r="AB36">
        <f ca="1">IF(AND(ISNUMBER($AB$355),$B$294=1),$AB$355,HLOOKUP(INDIRECT(ADDRESS(2,COLUMN())),OFFSET($BN$2,0,0,ROW()-1,60),ROW()-1,FALSE))</f>
        <v>0</v>
      </c>
      <c r="AC36">
        <f ca="1">IF(AND(ISNUMBER($AC$355),$B$294=1),$AC$355,HLOOKUP(INDIRECT(ADDRESS(2,COLUMN())),OFFSET($BN$2,0,0,ROW()-1,60),ROW()-1,FALSE))</f>
        <v>0</v>
      </c>
      <c r="AD36">
        <f ca="1">IF(AND(ISNUMBER($AD$355),$B$294=1),$AD$355,HLOOKUP(INDIRECT(ADDRESS(2,COLUMN())),OFFSET($BN$2,0,0,ROW()-1,60),ROW()-1,FALSE))</f>
        <v>0</v>
      </c>
      <c r="AE36">
        <f ca="1">IF(AND(ISNUMBER($AE$355),$B$294=1),$AE$355,HLOOKUP(INDIRECT(ADDRESS(2,COLUMN())),OFFSET($BN$2,0,0,ROW()-1,60),ROW()-1,FALSE))</f>
        <v>0</v>
      </c>
      <c r="AF36">
        <f ca="1">IF(AND(ISNUMBER($AF$355),$B$294=1),$AF$355,HLOOKUP(INDIRECT(ADDRESS(2,COLUMN())),OFFSET($BN$2,0,0,ROW()-1,60),ROW()-1,FALSE))</f>
        <v>0</v>
      </c>
      <c r="AG36">
        <f ca="1">IF(AND(ISNUMBER($AG$355),$B$294=1),$AG$355,HLOOKUP(INDIRECT(ADDRESS(2,COLUMN())),OFFSET($BN$2,0,0,ROW()-1,60),ROW()-1,FALSE))</f>
        <v>0</v>
      </c>
      <c r="AH36">
        <f ca="1">IF(AND(ISNUMBER($AH$355),$B$294=1),$AH$355,HLOOKUP(INDIRECT(ADDRESS(2,COLUMN())),OFFSET($BN$2,0,0,ROW()-1,60),ROW()-1,FALSE))</f>
        <v>0</v>
      </c>
      <c r="AI36">
        <f ca="1">IF(AND(ISNUMBER($AI$355),$B$294=1),$AI$355,HLOOKUP(INDIRECT(ADDRESS(2,COLUMN())),OFFSET($BN$2,0,0,ROW()-1,60),ROW()-1,FALSE))</f>
        <v>0</v>
      </c>
      <c r="AJ36">
        <f ca="1">IF(AND(ISNUMBER($AJ$355),$B$294=1),$AJ$355,HLOOKUP(INDIRECT(ADDRESS(2,COLUMN())),OFFSET($BN$2,0,0,ROW()-1,60),ROW()-1,FALSE))</f>
        <v>0</v>
      </c>
      <c r="AK36">
        <f ca="1">IF(AND(ISNUMBER($AK$355),$B$294=1),$AK$355,HLOOKUP(INDIRECT(ADDRESS(2,COLUMN())),OFFSET($BN$2,0,0,ROW()-1,60),ROW()-1,FALSE))</f>
        <v>0</v>
      </c>
      <c r="AL36">
        <f ca="1">IF(AND(ISNUMBER($AL$355),$B$294=1),$AL$355,HLOOKUP(INDIRECT(ADDRESS(2,COLUMN())),OFFSET($BN$2,0,0,ROW()-1,60),ROW()-1,FALSE))</f>
        <v>0</v>
      </c>
      <c r="AM36">
        <f ca="1">IF(AND(ISNUMBER($AM$355),$B$294=1),$AM$355,HLOOKUP(INDIRECT(ADDRESS(2,COLUMN())),OFFSET($BN$2,0,0,ROW()-1,60),ROW()-1,FALSE))</f>
        <v>0</v>
      </c>
      <c r="AN36">
        <f ca="1">IF(AND(ISNUMBER($AN$355),$B$294=1),$AN$355,HLOOKUP(INDIRECT(ADDRESS(2,COLUMN())),OFFSET($BN$2,0,0,ROW()-1,60),ROW()-1,FALSE))</f>
        <v>0</v>
      </c>
      <c r="AO36">
        <f ca="1">IF(AND(ISNUMBER($AO$355),$B$294=1),$AO$355,HLOOKUP(INDIRECT(ADDRESS(2,COLUMN())),OFFSET($BN$2,0,0,ROW()-1,60),ROW()-1,FALSE))</f>
        <v>0</v>
      </c>
      <c r="AP36">
        <f ca="1">IF(AND(ISNUMBER($AP$355),$B$294=1),$AP$355,HLOOKUP(INDIRECT(ADDRESS(2,COLUMN())),OFFSET($BN$2,0,0,ROW()-1,60),ROW()-1,FALSE))</f>
        <v>0</v>
      </c>
      <c r="AQ36" t="str">
        <f ca="1">IF(AND(ISNUMBER($AQ$355),$B$294=1),$AQ$355,HLOOKUP(INDIRECT(ADDRESS(2,COLUMN())),OFFSET($BN$2,0,0,ROW()-1,60),ROW()-1,FALSE))</f>
        <v/>
      </c>
      <c r="AR36" t="str">
        <f ca="1">IF(AND(ISNUMBER($AR$355),$B$294=1),$AR$355,HLOOKUP(INDIRECT(ADDRESS(2,COLUMN())),OFFSET($BN$2,0,0,ROW()-1,60),ROW()-1,FALSE))</f>
        <v/>
      </c>
      <c r="AS36" t="str">
        <f ca="1">IF(AND(ISNUMBER($AS$355),$B$294=1),$AS$355,HLOOKUP(INDIRECT(ADDRESS(2,COLUMN())),OFFSET($BN$2,0,0,ROW()-1,60),ROW()-1,FALSE))</f>
        <v/>
      </c>
      <c r="AT36" t="str">
        <f ca="1">IF(AND(ISNUMBER($AT$355),$B$294=1),$AT$355,HLOOKUP(INDIRECT(ADDRESS(2,COLUMN())),OFFSET($BN$2,0,0,ROW()-1,60),ROW()-1,FALSE))</f>
        <v/>
      </c>
      <c r="AU36" t="str">
        <f ca="1">IF(AND(ISNUMBER($AU$355),$B$294=1),$AU$355,HLOOKUP(INDIRECT(ADDRESS(2,COLUMN())),OFFSET($BN$2,0,0,ROW()-1,60),ROW()-1,FALSE))</f>
        <v/>
      </c>
      <c r="AV36" t="str">
        <f ca="1">IF(AND(ISNUMBER($AV$355),$B$294=1),$AV$355,HLOOKUP(INDIRECT(ADDRESS(2,COLUMN())),OFFSET($BN$2,0,0,ROW()-1,60),ROW()-1,FALSE))</f>
        <v/>
      </c>
      <c r="AW36" t="str">
        <f ca="1">IF(AND(ISNUMBER($AW$355),$B$294=1),$AW$355,HLOOKUP(INDIRECT(ADDRESS(2,COLUMN())),OFFSET($BN$2,0,0,ROW()-1,60),ROW()-1,FALSE))</f>
        <v/>
      </c>
      <c r="AX36" t="str">
        <f ca="1">IF(AND(ISNUMBER($AX$355),$B$294=1),$AX$355,HLOOKUP(INDIRECT(ADDRESS(2,COLUMN())),OFFSET($BN$2,0,0,ROW()-1,60),ROW()-1,FALSE))</f>
        <v/>
      </c>
      <c r="AY36" t="str">
        <f ca="1">IF(AND(ISNUMBER($AY$355),$B$294=1),$AY$355,HLOOKUP(INDIRECT(ADDRESS(2,COLUMN())),OFFSET($BN$2,0,0,ROW()-1,60),ROW()-1,FALSE))</f>
        <v/>
      </c>
      <c r="AZ36" t="str">
        <f ca="1">IF(AND(ISNUMBER($AZ$355),$B$294=1),$AZ$355,HLOOKUP(INDIRECT(ADDRESS(2,COLUMN())),OFFSET($BN$2,0,0,ROW()-1,60),ROW()-1,FALSE))</f>
        <v/>
      </c>
      <c r="BA36" t="str">
        <f ca="1">IF(AND(ISNUMBER($BA$355),$B$294=1),$BA$355,HLOOKUP(INDIRECT(ADDRESS(2,COLUMN())),OFFSET($BN$2,0,0,ROW()-1,60),ROW()-1,FALSE))</f>
        <v/>
      </c>
      <c r="BB36" t="str">
        <f ca="1">IF(AND(ISNUMBER($BB$355),$B$294=1),$BB$355,HLOOKUP(INDIRECT(ADDRESS(2,COLUMN())),OFFSET($BN$2,0,0,ROW()-1,60),ROW()-1,FALSE))</f>
        <v/>
      </c>
      <c r="BC36" t="str">
        <f ca="1">IF(AND(ISNUMBER($BC$355),$B$294=1),$BC$355,HLOOKUP(INDIRECT(ADDRESS(2,COLUMN())),OFFSET($BN$2,0,0,ROW()-1,60),ROW()-1,FALSE))</f>
        <v/>
      </c>
      <c r="BD36" t="str">
        <f ca="1">IF(AND(ISNUMBER($BD$355),$B$294=1),$BD$355,HLOOKUP(INDIRECT(ADDRESS(2,COLUMN())),OFFSET($BN$2,0,0,ROW()-1,60),ROW()-1,FALSE))</f>
        <v/>
      </c>
      <c r="BE36" t="str">
        <f ca="1">IF(AND(ISNUMBER($BE$355),$B$294=1),$BE$355,HLOOKUP(INDIRECT(ADDRESS(2,COLUMN())),OFFSET($BN$2,0,0,ROW()-1,60),ROW()-1,FALSE))</f>
        <v/>
      </c>
      <c r="BF36" t="str">
        <f ca="1">IF(AND(ISNUMBER($BF$355),$B$294=1),$BF$355,HLOOKUP(INDIRECT(ADDRESS(2,COLUMN())),OFFSET($BN$2,0,0,ROW()-1,60),ROW()-1,FALSE))</f>
        <v/>
      </c>
      <c r="BG36" t="str">
        <f ca="1">IF(AND(ISNUMBER($BG$355),$B$294=1),$BG$355,HLOOKUP(INDIRECT(ADDRESS(2,COLUMN())),OFFSET($BN$2,0,0,ROW()-1,60),ROW()-1,FALSE))</f>
        <v/>
      </c>
      <c r="BH36" t="str">
        <f ca="1">IF(AND(ISNUMBER($BH$355),$B$294=1),$BH$355,HLOOKUP(INDIRECT(ADDRESS(2,COLUMN())),OFFSET($BN$2,0,0,ROW()-1,60),ROW()-1,FALSE))</f>
        <v/>
      </c>
      <c r="BI36" t="str">
        <f ca="1">IF(AND(ISNUMBER($BI$355),$B$294=1),$BI$355,HLOOKUP(INDIRECT(ADDRESS(2,COLUMN())),OFFSET($BN$2,0,0,ROW()-1,60),ROW()-1,FALSE))</f>
        <v/>
      </c>
      <c r="BJ36" t="str">
        <f ca="1">IF(AND(ISNUMBER($BJ$355),$B$294=1),$BJ$355,HLOOKUP(INDIRECT(ADDRESS(2,COLUMN())),OFFSET($BN$2,0,0,ROW()-1,60),ROW()-1,FALSE))</f>
        <v/>
      </c>
      <c r="BK36" t="str">
        <f ca="1">IF(AND(ISNUMBER($BK$355),$B$294=1),$BK$355,HLOOKUP(INDIRECT(ADDRESS(2,COLUMN())),OFFSET($BN$2,0,0,ROW()-1,60),ROW()-1,FALSE))</f>
        <v/>
      </c>
      <c r="BL36" t="str">
        <f ca="1">IF(AND(ISNUMBER($BL$355),$B$294=1),$BL$355,HLOOKUP(INDIRECT(ADDRESS(2,COLUMN())),OFFSET($BN$2,0,0,ROW()-1,60),ROW()-1,FALSE))</f>
        <v/>
      </c>
      <c r="BM36" t="str">
        <f ca="1">IF(AND(ISNUMBER($BM$355),$B$294=1),$BM$355,HLOOKUP(INDIRECT(ADDRESS(2,COLUMN())),OFFSET($BN$2,0,0,ROW()-1,60),ROW()-1,FALSE))</f>
        <v/>
      </c>
      <c r="BN36" t="str">
        <f>""</f>
        <v/>
      </c>
      <c r="BO36">
        <f>0</f>
        <v>0</v>
      </c>
      <c r="BP36">
        <f>0</f>
        <v>0</v>
      </c>
      <c r="BQ36">
        <f>0</f>
        <v>0</v>
      </c>
      <c r="BR36">
        <f>0</f>
        <v>0</v>
      </c>
      <c r="BS36">
        <f>0</f>
        <v>0</v>
      </c>
      <c r="BT36">
        <f>0</f>
        <v>0</v>
      </c>
      <c r="BU36">
        <f>0</f>
        <v>0</v>
      </c>
      <c r="BV36">
        <f>0</f>
        <v>0</v>
      </c>
      <c r="BW36">
        <f>0</f>
        <v>0</v>
      </c>
      <c r="BX36">
        <f>0</f>
        <v>0</v>
      </c>
      <c r="BY36">
        <f>0</f>
        <v>0</v>
      </c>
      <c r="BZ36">
        <f>0</f>
        <v>0</v>
      </c>
      <c r="CA36">
        <f>0</f>
        <v>0</v>
      </c>
      <c r="CB36">
        <f>0</f>
        <v>0</v>
      </c>
      <c r="CC36">
        <f>0</f>
        <v>0</v>
      </c>
      <c r="CD36">
        <f>0</f>
        <v>0</v>
      </c>
      <c r="CE36">
        <f>0</f>
        <v>0</v>
      </c>
      <c r="CF36">
        <f>0</f>
        <v>0</v>
      </c>
      <c r="CG36">
        <f>0</f>
        <v>0</v>
      </c>
      <c r="CH36">
        <f>0</f>
        <v>0</v>
      </c>
      <c r="CI36">
        <f>0</f>
        <v>0</v>
      </c>
      <c r="CJ36">
        <f>0</f>
        <v>0</v>
      </c>
      <c r="CK36">
        <f>0</f>
        <v>0</v>
      </c>
      <c r="CL36">
        <f>0</f>
        <v>0</v>
      </c>
      <c r="CM36">
        <f>0</f>
        <v>0</v>
      </c>
      <c r="CN36">
        <f>0</f>
        <v>0</v>
      </c>
      <c r="CO36">
        <f>0</f>
        <v>0</v>
      </c>
      <c r="CP36">
        <f>0</f>
        <v>0</v>
      </c>
      <c r="CQ36">
        <f>0</f>
        <v>0</v>
      </c>
      <c r="CR36">
        <f>0</f>
        <v>0</v>
      </c>
      <c r="CS36">
        <f>0</f>
        <v>0</v>
      </c>
      <c r="CT36">
        <f>0</f>
        <v>0</v>
      </c>
      <c r="CU36">
        <f>0</f>
        <v>0</v>
      </c>
      <c r="CV36">
        <f>0</f>
        <v>0</v>
      </c>
      <c r="CW36">
        <f>0</f>
        <v>0</v>
      </c>
      <c r="CX36">
        <f>0</f>
        <v>0</v>
      </c>
      <c r="CY36" t="str">
        <f>""</f>
        <v/>
      </c>
      <c r="CZ36" t="str">
        <f>""</f>
        <v/>
      </c>
      <c r="DA36" t="str">
        <f>""</f>
        <v/>
      </c>
      <c r="DB36" t="str">
        <f>""</f>
        <v/>
      </c>
      <c r="DC36" t="str">
        <f>""</f>
        <v/>
      </c>
      <c r="DD36" t="str">
        <f>""</f>
        <v/>
      </c>
      <c r="DE36" t="str">
        <f>""</f>
        <v/>
      </c>
      <c r="DF36" t="str">
        <f>""</f>
        <v/>
      </c>
      <c r="DG36" t="str">
        <f>""</f>
        <v/>
      </c>
      <c r="DH36" t="str">
        <f>""</f>
        <v/>
      </c>
      <c r="DI36" t="str">
        <f>""</f>
        <v/>
      </c>
      <c r="DJ36" t="str">
        <f>""</f>
        <v/>
      </c>
      <c r="DK36" t="str">
        <f>""</f>
        <v/>
      </c>
      <c r="DL36" t="str">
        <f>""</f>
        <v/>
      </c>
      <c r="DM36" t="str">
        <f>""</f>
        <v/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  <c r="DT36" t="str">
        <f>""</f>
        <v/>
      </c>
      <c r="DU36" t="str">
        <f>""</f>
        <v/>
      </c>
    </row>
    <row r="37" spans="1:125">
      <c r="A37" t="str">
        <f>"总收入"</f>
        <v>总收入</v>
      </c>
      <c r="B37" t="str">
        <f>""</f>
        <v/>
      </c>
      <c r="E37" t="str">
        <f>"Median"</f>
        <v>Median</v>
      </c>
      <c r="F37" t="str">
        <f ca="1">IF(ISERROR(IF(MEDIAN($F$38:$F$47) = 0, "", MEDIAN($F$38:$F$47))), "", (IF(MEDIAN($F$38:$F$47) = 0, "", MEDIAN($F$38:$F$47))))</f>
        <v/>
      </c>
      <c r="G37">
        <f ca="1">IF(ISERROR(IF(MEDIAN($G$38:$G$47) = 0, "", MEDIAN($G$38:$G$47))), "", (IF(MEDIAN($G$38:$G$47) = 0, "", MEDIAN($G$38:$G$47))))</f>
        <v>170.214</v>
      </c>
      <c r="H37">
        <f ca="1">IF(ISERROR(IF(MEDIAN($H$38:$H$47) = 0, "", MEDIAN($H$38:$H$47))), "", (IF(MEDIAN($H$38:$H$47) = 0, "", MEDIAN($H$38:$H$47))))</f>
        <v>170.10149999999999</v>
      </c>
      <c r="I37">
        <f ca="1">IF(ISERROR(IF(MEDIAN($I$38:$I$47) = 0, "", MEDIAN($I$38:$I$47))), "", (IF(MEDIAN($I$38:$I$47) = 0, "", MEDIAN($I$38:$I$47))))</f>
        <v>170.02449999999999</v>
      </c>
      <c r="J37">
        <f ca="1">IF(ISERROR(IF(MEDIAN($J$38:$J$47) = 0, "", MEDIAN($J$38:$J$47))), "", (IF(MEDIAN($J$38:$J$47) = 0, "", MEDIAN($J$38:$J$47))))</f>
        <v>159.64749999999998</v>
      </c>
      <c r="K37">
        <f ca="1">IF(ISERROR(IF(MEDIAN($K$38:$K$47) = 0, "", MEDIAN($K$38:$K$47))), "", (IF(MEDIAN($K$38:$K$47) = 0, "", MEDIAN($K$38:$K$47))))</f>
        <v>160.68849999999998</v>
      </c>
      <c r="L37">
        <f ca="1">IF(ISERROR(IF(MEDIAN($L$38:$L$47) = 0, "", MEDIAN($L$38:$L$47))), "", (IF(MEDIAN($L$38:$L$47) = 0, "", MEDIAN($L$38:$L$47))))</f>
        <v>161.893</v>
      </c>
      <c r="M37">
        <f ca="1">IF(ISERROR(IF(MEDIAN($M$38:$M$47) = 0, "", MEDIAN($M$38:$M$47))), "", (IF(MEDIAN($M$38:$M$47) = 0, "", MEDIAN($M$38:$M$47))))</f>
        <v>154.68</v>
      </c>
      <c r="N37">
        <f ca="1">IF(ISERROR(IF(MEDIAN($N$38:$N$47) = 0, "", MEDIAN($N$38:$N$47))), "", (IF(MEDIAN($N$38:$N$47) = 0, "", MEDIAN($N$38:$N$47))))</f>
        <v>149.18450000000001</v>
      </c>
      <c r="O37">
        <f ca="1">IF(ISERROR(IF(MEDIAN($O$38:$O$47) = 0, "", MEDIAN($O$38:$O$47))), "", (IF(MEDIAN($O$38:$O$47) = 0, "", MEDIAN($O$38:$O$47))))</f>
        <v>150.70249999999999</v>
      </c>
      <c r="P37">
        <f ca="1">IF(ISERROR(IF(MEDIAN($P$38:$P$47) = 0, "", MEDIAN($P$38:$P$47))), "", (IF(MEDIAN($P$38:$P$47) = 0, "", MEDIAN($P$38:$P$47))))</f>
        <v>151.6645</v>
      </c>
      <c r="Q37">
        <f ca="1">IF(ISERROR(IF(MEDIAN($Q$38:$Q$47) = 0, "", MEDIAN($Q$38:$Q$47))), "", (IF(MEDIAN($Q$38:$Q$47) = 0, "", MEDIAN($Q$38:$Q$47))))</f>
        <v>148.55500000000001</v>
      </c>
      <c r="R37">
        <f ca="1">IF(ISERROR(IF(MEDIAN($R$38:$R$47) = 0, "", MEDIAN($R$38:$R$47))), "", (IF(MEDIAN($R$38:$R$47) = 0, "", MEDIAN($R$38:$R$47))))</f>
        <v>155.51249999999999</v>
      </c>
      <c r="S37">
        <f ca="1">IF(ISERROR(IF(MEDIAN($S$38:$S$47) = 0, "", MEDIAN($S$38:$S$47))), "", (IF(MEDIAN($S$38:$S$47) = 0, "", MEDIAN($S$38:$S$47))))</f>
        <v>147.3905</v>
      </c>
      <c r="T37">
        <f ca="1">IF(ISERROR(IF(MEDIAN($T$38:$T$47) = 0, "", MEDIAN($T$38:$T$47))), "", (IF(MEDIAN($T$38:$T$47) = 0, "", MEDIAN($T$38:$T$47))))</f>
        <v>152.822</v>
      </c>
      <c r="U37">
        <f ca="1">IF(ISERROR(IF(MEDIAN($U$38:$U$47) = 0, "", MEDIAN($U$38:$U$47))), "", (IF(MEDIAN($U$38:$U$47) = 0, "", MEDIAN($U$38:$U$47))))</f>
        <v>151.61099999999999</v>
      </c>
      <c r="V37">
        <f ca="1">IF(ISERROR(IF(MEDIAN($V$38:$V$47) = 0, "", MEDIAN($V$38:$V$47))), "", (IF(MEDIAN($V$38:$V$47) = 0, "", MEDIAN($V$38:$V$47))))</f>
        <v>150.2835</v>
      </c>
      <c r="W37">
        <f ca="1">IF(ISERROR(IF(MEDIAN($W$38:$W$47) = 0, "", MEDIAN($W$38:$W$47))), "", (IF(MEDIAN($W$38:$W$47) = 0, "", MEDIAN($W$38:$W$47))))</f>
        <v>145.24599999999998</v>
      </c>
      <c r="X37">
        <f ca="1">IF(ISERROR(IF(MEDIAN($X$38:$X$47) = 0, "", MEDIAN($X$38:$X$47))), "", (IF(MEDIAN($X$38:$X$47) = 0, "", MEDIAN($X$38:$X$47))))</f>
        <v>144.108</v>
      </c>
      <c r="Y37">
        <f ca="1">IF(ISERROR(IF(MEDIAN($Y$38:$Y$47) = 0, "", MEDIAN($Y$38:$Y$47))), "", (IF(MEDIAN($Y$38:$Y$47) = 0, "", MEDIAN($Y$38:$Y$47))))</f>
        <v>138.5855</v>
      </c>
      <c r="Z37">
        <f ca="1">IF(ISERROR(IF(MEDIAN($Z$38:$Z$47) = 0, "", MEDIAN($Z$38:$Z$47))), "", (IF(MEDIAN($Z$38:$Z$47) = 0, "", MEDIAN($Z$38:$Z$47))))</f>
        <v>135.85250000000002</v>
      </c>
      <c r="AA37">
        <f ca="1">IF(ISERROR(IF(MEDIAN($AA$38:$AA$47) = 0, "", MEDIAN($AA$38:$AA$47))), "", (IF(MEDIAN($AA$38:$AA$47) = 0, "", MEDIAN($AA$38:$AA$47))))</f>
        <v>134.51499999999999</v>
      </c>
      <c r="AB37">
        <f ca="1">IF(ISERROR(IF(MEDIAN($AB$38:$AB$47) = 0, "", MEDIAN($AB$38:$AB$47))), "", (IF(MEDIAN($AB$38:$AB$47) = 0, "", MEDIAN($AB$38:$AB$47))))</f>
        <v>139.614</v>
      </c>
      <c r="AC37">
        <f ca="1">IF(ISERROR(IF(MEDIAN($AC$38:$AC$47) = 0, "", MEDIAN($AC$38:$AC$47))), "", (IF(MEDIAN($AC$38:$AC$47) = 0, "", MEDIAN($AC$38:$AC$47))))</f>
        <v>136.387</v>
      </c>
      <c r="AD37">
        <f ca="1">IF(ISERROR(IF(MEDIAN($AD$38:$AD$47) = 0, "", MEDIAN($AD$38:$AD$47))), "", (IF(MEDIAN($AD$38:$AD$47) = 0, "", MEDIAN($AD$38:$AD$47))))</f>
        <v>137.93950000000001</v>
      </c>
      <c r="AE37">
        <f ca="1">IF(ISERROR(IF(MEDIAN($AE$38:$AE$47) = 0, "", MEDIAN($AE$38:$AE$47))), "", (IF(MEDIAN($AE$38:$AE$47) = 0, "", MEDIAN($AE$38:$AE$47))))</f>
        <v>138.55449999999999</v>
      </c>
      <c r="AF37">
        <f ca="1">IF(ISERROR(IF(MEDIAN($AF$38:$AF$47) = 0, "", MEDIAN($AF$38:$AF$47))), "", (IF(MEDIAN($AF$38:$AF$47) = 0, "", MEDIAN($AF$38:$AF$47))))</f>
        <v>148.27250000000001</v>
      </c>
      <c r="AG37">
        <f ca="1">IF(ISERROR(IF(MEDIAN($AG$38:$AG$47) = 0, "", MEDIAN($AG$38:$AG$47))), "", (IF(MEDIAN($AG$38:$AG$47) = 0, "", MEDIAN($AG$38:$AG$47))))</f>
        <v>146.07150000000001</v>
      </c>
      <c r="AH37">
        <f ca="1">IF(ISERROR(IF(MEDIAN($AH$38:$AH$47) = 0, "", MEDIAN($AH$38:$AH$47))), "", (IF(MEDIAN($AH$38:$AH$47) = 0, "", MEDIAN($AH$38:$AH$47))))</f>
        <v>144.1285</v>
      </c>
      <c r="AI37">
        <f ca="1">IF(ISERROR(IF(MEDIAN($AI$38:$AI$47) = 0, "", MEDIAN($AI$38:$AI$47))), "", (IF(MEDIAN($AI$38:$AI$47) = 0, "", MEDIAN($AI$38:$AI$47))))</f>
        <v>145.1395</v>
      </c>
      <c r="AJ37">
        <f ca="1">IF(ISERROR(IF(MEDIAN($AJ$38:$AJ$47) = 0, "", MEDIAN($AJ$38:$AJ$47))), "", (IF(MEDIAN($AJ$38:$AJ$47) = 0, "", MEDIAN($AJ$38:$AJ$47))))</f>
        <v>143.036</v>
      </c>
      <c r="AK37">
        <f ca="1">IF(ISERROR(IF(MEDIAN($AK$38:$AK$47) = 0, "", MEDIAN($AK$38:$AK$47))), "", (IF(MEDIAN($AK$38:$AK$47) = 0, "", MEDIAN($AK$38:$AK$47))))</f>
        <v>142.178</v>
      </c>
      <c r="AL37">
        <f ca="1">IF(ISERROR(IF(MEDIAN($AL$38:$AL$47) = 0, "", MEDIAN($AL$38:$AL$47))), "", (IF(MEDIAN($AL$38:$AL$47) = 0, "", MEDIAN($AL$38:$AL$47))))</f>
        <v>148.21850000000001</v>
      </c>
      <c r="AM37">
        <f ca="1">IF(ISERROR(IF(MEDIAN($AM$38:$AM$47) = 0, "", MEDIAN($AM$38:$AM$47))), "", (IF(MEDIAN($AM$38:$AM$47) = 0, "", MEDIAN($AM$38:$AM$47))))</f>
        <v>165.459</v>
      </c>
      <c r="AN37">
        <f ca="1">IF(ISERROR(IF(MEDIAN($AN$38:$AN$47) = 0, "", MEDIAN($AN$38:$AN$47))), "", (IF(MEDIAN($AN$38:$AN$47) = 0, "", MEDIAN($AN$38:$AN$47))))</f>
        <v>170.5455</v>
      </c>
      <c r="AO37">
        <f ca="1">IF(ISERROR(IF(MEDIAN($AO$38:$AO$47) = 0, "", MEDIAN($AO$38:$AO$47))), "", (IF(MEDIAN($AO$38:$AO$47) = 0, "", MEDIAN($AO$38:$AO$47))))</f>
        <v>167.904</v>
      </c>
      <c r="AP37">
        <f ca="1">IF(ISERROR(IF(MEDIAN($AP$38:$AP$47) = 0, "", MEDIAN($AP$38:$AP$47))), "", (IF(MEDIAN($AP$38:$AP$47) = 0, "", MEDIAN($AP$38:$AP$47))))</f>
        <v>167.3725</v>
      </c>
      <c r="AQ37">
        <f ca="1">IF(ISERROR(IF(MEDIAN($AQ$38:$AQ$47) = 0, "", MEDIAN($AQ$38:$AQ$47))), "", (IF(MEDIAN($AQ$38:$AQ$47) = 0, "", MEDIAN($AQ$38:$AQ$47))))</f>
        <v>168.30600000000001</v>
      </c>
      <c r="AR37">
        <f ca="1">IF(ISERROR(IF(MEDIAN($AR$38:$AR$47) = 0, "", MEDIAN($AR$38:$AR$47))), "", (IF(MEDIAN($AR$38:$AR$47) = 0, "", MEDIAN($AR$38:$AR$47))))</f>
        <v>191.08799999999999</v>
      </c>
      <c r="AS37">
        <f ca="1">IF(ISERROR(IF(MEDIAN($AS$38:$AS$47) = 0, "", MEDIAN($AS$38:$AS$47))), "", (IF(MEDIAN($AS$38:$AS$47) = 0, "", MEDIAN($AS$38:$AS$47))))</f>
        <v>152.161</v>
      </c>
      <c r="AT37">
        <f ca="1">IF(ISERROR(IF(MEDIAN($AT$38:$AT$47) = 0, "", MEDIAN($AT$38:$AT$47))), "", (IF(MEDIAN($AT$38:$AT$47) = 0, "", MEDIAN($AT$38:$AT$47))))</f>
        <v>159.09299999999999</v>
      </c>
      <c r="AU37">
        <f ca="1">IF(ISERROR(IF(MEDIAN($AU$38:$AU$47) = 0, "", MEDIAN($AU$38:$AU$47))), "", (IF(MEDIAN($AU$38:$AU$47) = 0, "", MEDIAN($AU$38:$AU$47))))</f>
        <v>159.46100000000001</v>
      </c>
      <c r="AV37">
        <f ca="1">IF(ISERROR(IF(MEDIAN($AV$38:$AV$47) = 0, "", MEDIAN($AV$38:$AV$47))), "", (IF(MEDIAN($AV$38:$AV$47) = 0, "", MEDIAN($AV$38:$AV$47))))</f>
        <v>163.13999999999999</v>
      </c>
      <c r="AW37">
        <f ca="1">IF(ISERROR(IF(MEDIAN($AW$38:$AW$47) = 0, "", MEDIAN($AW$38:$AW$47))), "", (IF(MEDIAN($AW$38:$AW$47) = 0, "", MEDIAN($AW$38:$AW$47))))</f>
        <v>152.22</v>
      </c>
      <c r="AX37">
        <f ca="1">IF(ISERROR(IF(MEDIAN($AX$38:$AX$47) = 0, "", MEDIAN($AX$38:$AX$47))), "", (IF(MEDIAN($AX$38:$AX$47) = 0, "", MEDIAN($AX$38:$AX$47))))</f>
        <v>165.584</v>
      </c>
      <c r="AY37">
        <f ca="1">IF(ISERROR(IF(MEDIAN($AY$38:$AY$47) = 0, "", MEDIAN($AY$38:$AY$47))), "", (IF(MEDIAN($AY$38:$AY$47) = 0, "", MEDIAN($AY$38:$AY$47))))</f>
        <v>145.30500000000001</v>
      </c>
      <c r="AZ37">
        <f ca="1">IF(ISERROR(IF(MEDIAN($AZ$38:$AZ$47) = 0, "", MEDIAN($AZ$38:$AZ$47))), "", (IF(MEDIAN($AZ$38:$AZ$47) = 0, "", MEDIAN($AZ$38:$AZ$47))))</f>
        <v>151.64699999999999</v>
      </c>
      <c r="BA37">
        <f ca="1">IF(ISERROR(IF(MEDIAN($BA$38:$BA$47) = 0, "", MEDIAN($BA$38:$BA$47))), "", (IF(MEDIAN($BA$38:$BA$47) = 0, "", MEDIAN($BA$38:$BA$47))))</f>
        <v>141.577</v>
      </c>
      <c r="BB37">
        <f ca="1">IF(ISERROR(IF(MEDIAN($BB$38:$BB$47) = 0, "", MEDIAN($BB$38:$BB$47))), "", (IF(MEDIAN($BB$38:$BB$47) = 0, "", MEDIAN($BB$38:$BB$47))))</f>
        <v>139.56</v>
      </c>
      <c r="BC37">
        <f ca="1">IF(ISERROR(IF(MEDIAN($BC$38:$BC$47) = 0, "", MEDIAN($BC$38:$BC$47))), "", (IF(MEDIAN($BC$38:$BC$47) = 0, "", MEDIAN($BC$38:$BC$47))))</f>
        <v>106.423</v>
      </c>
      <c r="BD37">
        <f ca="1">IF(ISERROR(IF(MEDIAN($BD$38:$BD$47) = 0, "", MEDIAN($BD$38:$BD$47))), "", (IF(MEDIAN($BD$38:$BD$47) = 0, "", MEDIAN($BD$38:$BD$47))))</f>
        <v>115.598</v>
      </c>
      <c r="BE37">
        <f ca="1">IF(ISERROR(IF(MEDIAN($BE$38:$BE$47) = 0, "", MEDIAN($BE$38:$BE$47))), "", (IF(MEDIAN($BE$38:$BE$47) = 0, "", MEDIAN($BE$38:$BE$47))))</f>
        <v>102.64</v>
      </c>
      <c r="BF37">
        <f ca="1">IF(ISERROR(IF(MEDIAN($BF$38:$BF$47) = 0, "", MEDIAN($BF$38:$BF$47))), "", (IF(MEDIAN($BF$38:$BF$47) = 0, "", MEDIAN($BF$38:$BF$47))))</f>
        <v>104.10299999999999</v>
      </c>
      <c r="BG37">
        <f ca="1">IF(ISERROR(IF(MEDIAN($BG$38:$BG$47) = 0, "", MEDIAN($BG$38:$BG$47))), "", (IF(MEDIAN($BG$38:$BG$47) = 0, "", MEDIAN($BG$38:$BG$47))))</f>
        <v>96.138000000000005</v>
      </c>
      <c r="BH37">
        <f ca="1">IF(ISERROR(IF(MEDIAN($BH$38:$BH$47) = 0, "", MEDIAN($BH$38:$BH$47))), "", (IF(MEDIAN($BH$38:$BH$47) = 0, "", MEDIAN($BH$38:$BH$47))))</f>
        <v>103.504</v>
      </c>
      <c r="BI37">
        <f ca="1">IF(ISERROR(IF(MEDIAN($BI$38:$BI$47) = 0, "", MEDIAN($BI$38:$BI$47))), "", (IF(MEDIAN($BI$38:$BI$47) = 0, "", MEDIAN($BI$38:$BI$47))))</f>
        <v>108.36</v>
      </c>
      <c r="BJ37">
        <f ca="1">IF(ISERROR(IF(MEDIAN($BJ$38:$BJ$47) = 0, "", MEDIAN($BJ$38:$BJ$47))), "", (IF(MEDIAN($BJ$38:$BJ$47) = 0, "", MEDIAN($BJ$38:$BJ$47))))</f>
        <v>119.706</v>
      </c>
      <c r="BK37">
        <f ca="1">IF(ISERROR(IF(MEDIAN($BK$38:$BK$47) = 0, "", MEDIAN($BK$38:$BK$47))), "", (IF(MEDIAN($BK$38:$BK$47) = 0, "", MEDIAN($BK$38:$BK$47))))</f>
        <v>125.4110031</v>
      </c>
      <c r="BL37">
        <f ca="1">IF(ISERROR(IF(MEDIAN($BL$38:$BL$47) = 0, "", MEDIAN($BL$38:$BL$47))), "", (IF(MEDIAN($BL$38:$BL$47) = 0, "", MEDIAN($BL$38:$BL$47))))</f>
        <v>107.20500180000001</v>
      </c>
      <c r="BM37">
        <f ca="1">IF(ISERROR(IF(MEDIAN($BM$38:$BM$47) = 0, "", MEDIAN($BM$38:$BM$47))), "", (IF(MEDIAN($BM$38:$BM$47) = 0, "", MEDIAN($BM$38:$BM$47))))</f>
        <v>85.842002870000002</v>
      </c>
      <c r="BN37" t="str">
        <f>""</f>
        <v/>
      </c>
      <c r="BO37">
        <f>170.214</f>
        <v>170.214</v>
      </c>
      <c r="BP37">
        <f>170.1015</f>
        <v>170.10149999999999</v>
      </c>
      <c r="BQ37">
        <f>170.0245</f>
        <v>170.02449999999999</v>
      </c>
      <c r="BR37">
        <f>159.6475</f>
        <v>159.64750000000001</v>
      </c>
      <c r="BS37">
        <f>160.6885</f>
        <v>160.6885</v>
      </c>
      <c r="BT37">
        <f>161.893</f>
        <v>161.893</v>
      </c>
      <c r="BU37">
        <f>154.68</f>
        <v>154.68</v>
      </c>
      <c r="BV37">
        <f>149.1845</f>
        <v>149.18450000000001</v>
      </c>
      <c r="BW37">
        <f>150.7025</f>
        <v>150.70249999999999</v>
      </c>
      <c r="BX37">
        <f>151.6645</f>
        <v>151.6645</v>
      </c>
      <c r="BY37">
        <f>148.555</f>
        <v>148.55500000000001</v>
      </c>
      <c r="BZ37">
        <f>155.5125</f>
        <v>155.51249999999999</v>
      </c>
      <c r="CA37">
        <f>147.3905</f>
        <v>147.3905</v>
      </c>
      <c r="CB37">
        <f>152.822</f>
        <v>152.822</v>
      </c>
      <c r="CC37">
        <f>151.611</f>
        <v>151.61099999999999</v>
      </c>
      <c r="CD37">
        <f>150.2835</f>
        <v>150.2835</v>
      </c>
      <c r="CE37">
        <f>145.246</f>
        <v>145.24600000000001</v>
      </c>
      <c r="CF37">
        <f>144.108</f>
        <v>144.108</v>
      </c>
      <c r="CG37">
        <f>138.5855</f>
        <v>138.5855</v>
      </c>
      <c r="CH37">
        <f>135.8525</f>
        <v>135.85249999999999</v>
      </c>
      <c r="CI37">
        <f>134.515</f>
        <v>134.51499999999999</v>
      </c>
      <c r="CJ37">
        <f>139.614</f>
        <v>139.614</v>
      </c>
      <c r="CK37">
        <f>136.387</f>
        <v>136.387</v>
      </c>
      <c r="CL37">
        <f>137.9395</f>
        <v>137.93950000000001</v>
      </c>
      <c r="CM37">
        <f>138.5545</f>
        <v>138.55449999999999</v>
      </c>
      <c r="CN37">
        <f>148.2725</f>
        <v>148.27250000000001</v>
      </c>
      <c r="CO37">
        <f>146.0715</f>
        <v>146.07149999999999</v>
      </c>
      <c r="CP37">
        <f>144.1285</f>
        <v>144.1285</v>
      </c>
      <c r="CQ37">
        <f>145.1395</f>
        <v>145.1395</v>
      </c>
      <c r="CR37">
        <f>143.036</f>
        <v>143.036</v>
      </c>
      <c r="CS37">
        <f>142.178</f>
        <v>142.178</v>
      </c>
      <c r="CT37">
        <f>148.2185</f>
        <v>148.21850000000001</v>
      </c>
      <c r="CU37">
        <f>165.459</f>
        <v>165.459</v>
      </c>
      <c r="CV37">
        <f>170.5455</f>
        <v>170.5455</v>
      </c>
      <c r="CW37">
        <f>167.904</f>
        <v>167.904</v>
      </c>
      <c r="CX37">
        <f>167.3725</f>
        <v>167.3725</v>
      </c>
      <c r="CY37">
        <f>168.306</f>
        <v>168.30600000000001</v>
      </c>
      <c r="CZ37">
        <f>191.088</f>
        <v>191.08799999999999</v>
      </c>
      <c r="DA37">
        <f>152.161</f>
        <v>152.161</v>
      </c>
      <c r="DB37">
        <f>159.093</f>
        <v>159.09299999999999</v>
      </c>
      <c r="DC37">
        <f>159.461</f>
        <v>159.46100000000001</v>
      </c>
      <c r="DD37">
        <f>163.14</f>
        <v>163.13999999999999</v>
      </c>
      <c r="DE37">
        <f>152.22</f>
        <v>152.22</v>
      </c>
      <c r="DF37">
        <f>165.584</f>
        <v>165.584</v>
      </c>
      <c r="DG37">
        <f>145.305</f>
        <v>145.30500000000001</v>
      </c>
      <c r="DH37">
        <f>151.647</f>
        <v>151.64699999999999</v>
      </c>
      <c r="DI37">
        <f>141.577</f>
        <v>141.577</v>
      </c>
      <c r="DJ37">
        <f>139.56</f>
        <v>139.56</v>
      </c>
      <c r="DK37">
        <f>106.423</f>
        <v>106.423</v>
      </c>
      <c r="DL37">
        <f>115.598</f>
        <v>115.598</v>
      </c>
      <c r="DM37">
        <f>102.64</f>
        <v>102.64</v>
      </c>
      <c r="DN37">
        <f>104.103</f>
        <v>104.10299999999999</v>
      </c>
      <c r="DO37">
        <f>96.138</f>
        <v>96.138000000000005</v>
      </c>
      <c r="DP37">
        <f>103.504</f>
        <v>103.504</v>
      </c>
      <c r="DQ37">
        <f>108.36</f>
        <v>108.36</v>
      </c>
      <c r="DR37">
        <f>119.706</f>
        <v>119.706</v>
      </c>
      <c r="DS37">
        <f>125.4110031</f>
        <v>125.4110031</v>
      </c>
      <c r="DT37">
        <f>107.2050018</f>
        <v>107.20500180000001</v>
      </c>
      <c r="DU37">
        <f>85.84200287</f>
        <v>85.842002870000002</v>
      </c>
    </row>
    <row r="38" spans="1:125">
      <c r="A38" t="str">
        <f>"    Boston Properties Inc"</f>
        <v xml:space="preserve">    Boston Properties Inc</v>
      </c>
      <c r="B38" t="str">
        <f>"BXP US Equity"</f>
        <v>BXP US Equity</v>
      </c>
      <c r="C38" t="str">
        <f t="shared" ref="C38:C47" si="9">"IS010"</f>
        <v>IS010</v>
      </c>
      <c r="D38" t="str">
        <f t="shared" ref="D38:D47" si="10">"SALES_REV_TURN"</f>
        <v>SALES_REV_TURN</v>
      </c>
      <c r="E38" t="str">
        <f t="shared" ref="E38:E47" si="11">"动态"</f>
        <v>动态</v>
      </c>
      <c r="F38" t="str">
        <f ca="1">IF(AND(ISNUMBER($F$356),$B$294=1),$F$356,HLOOKUP(INDIRECT(ADDRESS(2,COLUMN())),OFFSET($BN$2,0,0,ROW()-1,60),ROW()-1,FALSE))</f>
        <v/>
      </c>
      <c r="G38">
        <f ca="1">IF(AND(ISNUMBER($G$356),$B$294=1),$G$356,HLOOKUP(INDIRECT(ADDRESS(2,COLUMN())),OFFSET($BN$2,0,0,ROW()-1,60),ROW()-1,FALSE))</f>
        <v>655.22900000000004</v>
      </c>
      <c r="H38">
        <f ca="1">IF(AND(ISNUMBER($H$356),$B$294=1),$H$356,HLOOKUP(INDIRECT(ADDRESS(2,COLUMN())),OFFSET($BN$2,0,0,ROW()-1,60),ROW()-1,FALSE))</f>
        <v>657.71199999999999</v>
      </c>
      <c r="I38">
        <f ca="1">IF(AND(ISNUMBER($I$356),$B$294=1),$I$356,HLOOKUP(INDIRECT(ADDRESS(2,COLUMN())),OFFSET($BN$2,0,0,ROW()-1,60),ROW()-1,FALSE))</f>
        <v>656.90700000000004</v>
      </c>
      <c r="J38">
        <f ca="1">IF(AND(ISNUMBER($J$356),$B$294=1),$J$356,HLOOKUP(INDIRECT(ADDRESS(2,COLUMN())),OFFSET($BN$2,0,0,ROW()-1,60),ROW()-1,FALSE))</f>
        <v>632.22799999999995</v>
      </c>
      <c r="K38">
        <f ca="1">IF(AND(ISNUMBER($K$356),$B$294=1),$K$356,HLOOKUP(INDIRECT(ADDRESS(2,COLUMN())),OFFSET($BN$2,0,0,ROW()-1,60),ROW()-1,FALSE))</f>
        <v>636.06100000000004</v>
      </c>
      <c r="L38">
        <f ca="1">IF(AND(ISNUMBER($L$356),$B$294=1),$L$356,HLOOKUP(INDIRECT(ADDRESS(2,COLUMN())),OFFSET($BN$2,0,0,ROW()-1,60),ROW()-1,FALSE))</f>
        <v>625.22799999999995</v>
      </c>
      <c r="M38">
        <f ca="1">IF(AND(ISNUMBER($M$356),$B$294=1),$M$356,HLOOKUP(INDIRECT(ADDRESS(2,COLUMN())),OFFSET($BN$2,0,0,ROW()-1,60),ROW()-1,FALSE))</f>
        <v>623.54600000000005</v>
      </c>
      <c r="N38">
        <f ca="1">IF(AND(ISNUMBER($N$356),$B$294=1),$N$356,HLOOKUP(INDIRECT(ADDRESS(2,COLUMN())),OFFSET($BN$2,0,0,ROW()-1,60),ROW()-1,FALSE))</f>
        <v>665.98500000000001</v>
      </c>
      <c r="O38">
        <f ca="1">IF(AND(ISNUMBER($O$356),$B$294=1),$O$356,HLOOKUP(INDIRECT(ADDRESS(2,COLUMN())),OFFSET($BN$2,0,0,ROW()-1,60),ROW()-1,FALSE))</f>
        <v>624.24</v>
      </c>
      <c r="P38">
        <f ca="1">IF(AND(ISNUMBER($P$356),$B$294=1),$P$356,HLOOKUP(INDIRECT(ADDRESS(2,COLUMN())),OFFSET($BN$2,0,0,ROW()-1,60),ROW()-1,FALSE))</f>
        <v>629.88400000000001</v>
      </c>
      <c r="Q38">
        <f ca="1">IF(AND(ISNUMBER($Q$356),$B$294=1),$Q$356,HLOOKUP(INDIRECT(ADDRESS(2,COLUMN())),OFFSET($BN$2,0,0,ROW()-1,60),ROW()-1,FALSE))</f>
        <v>618.221</v>
      </c>
      <c r="R38">
        <f ca="1">IF(AND(ISNUMBER($R$356),$B$294=1),$R$356,HLOOKUP(INDIRECT(ADDRESS(2,COLUMN())),OFFSET($BN$2,0,0,ROW()-1,60),ROW()-1,FALSE))</f>
        <v>618.476</v>
      </c>
      <c r="S38">
        <f ca="1">IF(AND(ISNUMBER($S$356),$B$294=1),$S$356,HLOOKUP(INDIRECT(ADDRESS(2,COLUMN())),OFFSET($BN$2,0,0,ROW()-1,60),ROW()-1,FALSE))</f>
        <v>613.70699999999999</v>
      </c>
      <c r="T38">
        <f ca="1">IF(AND(ISNUMBER($T$356),$B$294=1),$T$356,HLOOKUP(INDIRECT(ADDRESS(2,COLUMN())),OFFSET($BN$2,0,0,ROW()-1,60),ROW()-1,FALSE))</f>
        <v>618.803</v>
      </c>
      <c r="U38">
        <f ca="1">IF(AND(ISNUMBER($U$356),$B$294=1),$U$356,HLOOKUP(INDIRECT(ADDRESS(2,COLUMN())),OFFSET($BN$2,0,0,ROW()-1,60),ROW()-1,FALSE))</f>
        <v>589.79399999999998</v>
      </c>
      <c r="V38">
        <f ca="1">IF(AND(ISNUMBER($V$356),$B$294=1),$V$356,HLOOKUP(INDIRECT(ADDRESS(2,COLUMN())),OFFSET($BN$2,0,0,ROW()-1,60),ROW()-1,FALSE))</f>
        <v>574.69399999999996</v>
      </c>
      <c r="W38">
        <f ca="1">IF(AND(ISNUMBER($W$356),$B$294=1),$W$356,HLOOKUP(INDIRECT(ADDRESS(2,COLUMN())),OFFSET($BN$2,0,0,ROW()-1,60),ROW()-1,FALSE))</f>
        <v>576.19899999999996</v>
      </c>
      <c r="X38">
        <f ca="1">IF(AND(ISNUMBER($X$356),$B$294=1),$X$356,HLOOKUP(INDIRECT(ADDRESS(2,COLUMN())),OFFSET($BN$2,0,0,ROW()-1,60),ROW()-1,FALSE))</f>
        <v>571.48099999999999</v>
      </c>
      <c r="Y38">
        <f ca="1">IF(AND(ISNUMBER($Y$356),$B$294=1),$Y$356,HLOOKUP(INDIRECT(ADDRESS(2,COLUMN())),OFFSET($BN$2,0,0,ROW()-1,60),ROW()-1,FALSE))</f>
        <v>510.03300000000002</v>
      </c>
      <c r="Z38">
        <f ca="1">IF(AND(ISNUMBER($Z$356),$B$294=1),$Z$356,HLOOKUP(INDIRECT(ADDRESS(2,COLUMN())),OFFSET($BN$2,0,0,ROW()-1,60),ROW()-1,FALSE))</f>
        <v>477.82600000000002</v>
      </c>
      <c r="AA38">
        <f ca="1">IF(AND(ISNUMBER($AA$356),$B$294=1),$AA$356,HLOOKUP(INDIRECT(ADDRESS(2,COLUMN())),OFFSET($BN$2,0,0,ROW()-1,60),ROW()-1,FALSE))</f>
        <v>478.04700000000003</v>
      </c>
      <c r="AB38">
        <f ca="1">IF(AND(ISNUMBER($AB$356),$B$294=1),$AB$356,HLOOKUP(INDIRECT(ADDRESS(2,COLUMN())),OFFSET($BN$2,0,0,ROW()-1,60),ROW()-1,FALSE))</f>
        <v>470.904</v>
      </c>
      <c r="AC38">
        <f ca="1">IF(AND(ISNUMBER($AC$356),$B$294=1),$AC$356,HLOOKUP(INDIRECT(ADDRESS(2,COLUMN())),OFFSET($BN$2,0,0,ROW()-1,60),ROW()-1,FALSE))</f>
        <v>471.34899999999999</v>
      </c>
      <c r="AD38">
        <f ca="1">IF(AND(ISNUMBER($AD$356),$B$294=1),$AD$356,HLOOKUP(INDIRECT(ADDRESS(2,COLUMN())),OFFSET($BN$2,0,0,ROW()-1,60),ROW()-1,FALSE))</f>
        <v>443.69299999999998</v>
      </c>
      <c r="AE38">
        <f ca="1">IF(AND(ISNUMBER($AE$356),$B$294=1),$AE$356,HLOOKUP(INDIRECT(ADDRESS(2,COLUMN())),OFFSET($BN$2,0,0,ROW()-1,60),ROW()-1,FALSE))</f>
        <v>450.52800000000002</v>
      </c>
      <c r="AF38">
        <f ca="1">IF(AND(ISNUMBER($AF$356),$B$294=1),$AF$356,HLOOKUP(INDIRECT(ADDRESS(2,COLUMN())),OFFSET($BN$2,0,0,ROW()-1,60),ROW()-1,FALSE))</f>
        <v>449.70299999999997</v>
      </c>
      <c r="AG38">
        <f ca="1">IF(AND(ISNUMBER($AG$356),$B$294=1),$AG$356,HLOOKUP(INDIRECT(ADDRESS(2,COLUMN())),OFFSET($BN$2,0,0,ROW()-1,60),ROW()-1,FALSE))</f>
        <v>433.86700000000002</v>
      </c>
      <c r="AH38">
        <f ca="1">IF(AND(ISNUMBER($AH$356),$B$294=1),$AH$356,HLOOKUP(INDIRECT(ADDRESS(2,COLUMN())),OFFSET($BN$2,0,0,ROW()-1,60),ROW()-1,FALSE))</f>
        <v>417.214</v>
      </c>
      <c r="AI38">
        <f ca="1">IF(AND(ISNUMBER($AI$356),$B$294=1),$AI$356,HLOOKUP(INDIRECT(ADDRESS(2,COLUMN())),OFFSET($BN$2,0,0,ROW()-1,60),ROW()-1,FALSE))</f>
        <v>392.48200000000003</v>
      </c>
      <c r="AJ38">
        <f ca="1">IF(AND(ISNUMBER($AJ$356),$B$294=1),$AJ$356,HLOOKUP(INDIRECT(ADDRESS(2,COLUMN())),OFFSET($BN$2,0,0,ROW()-1,60),ROW()-1,FALSE))</f>
        <v>386.41</v>
      </c>
      <c r="AK38">
        <f ca="1">IF(AND(ISNUMBER($AK$356),$B$294=1),$AK$356,HLOOKUP(INDIRECT(ADDRESS(2,COLUMN())),OFFSET($BN$2,0,0,ROW()-1,60),ROW()-1,FALSE))</f>
        <v>395.95800000000003</v>
      </c>
      <c r="AL38">
        <f ca="1">IF(AND(ISNUMBER($AL$356),$B$294=1),$AL$356,HLOOKUP(INDIRECT(ADDRESS(2,COLUMN())),OFFSET($BN$2,0,0,ROW()-1,60),ROW()-1,FALSE))</f>
        <v>378.07100000000003</v>
      </c>
      <c r="AM38">
        <f ca="1">IF(AND(ISNUMBER($AM$356),$B$294=1),$AM$356,HLOOKUP(INDIRECT(ADDRESS(2,COLUMN())),OFFSET($BN$2,0,0,ROW()-1,60),ROW()-1,FALSE))</f>
        <v>376.12799999999999</v>
      </c>
      <c r="AN38">
        <f ca="1">IF(AND(ISNUMBER($AN$356),$B$294=1),$AN$356,HLOOKUP(INDIRECT(ADDRESS(2,COLUMN())),OFFSET($BN$2,0,0,ROW()-1,60),ROW()-1,FALSE))</f>
        <v>377.303</v>
      </c>
      <c r="AO38">
        <f ca="1">IF(AND(ISNUMBER($AO$356),$B$294=1),$AO$356,HLOOKUP(INDIRECT(ADDRESS(2,COLUMN())),OFFSET($BN$2,0,0,ROW()-1,60),ROW()-1,FALSE))</f>
        <v>389.49</v>
      </c>
      <c r="AP38">
        <f ca="1">IF(AND(ISNUMBER($AP$356),$B$294=1),$AP$356,HLOOKUP(INDIRECT(ADDRESS(2,COLUMN())),OFFSET($BN$2,0,0,ROW()-1,60),ROW()-1,FALSE))</f>
        <v>377.54399999999998</v>
      </c>
      <c r="AQ38">
        <f ca="1">IF(AND(ISNUMBER($AQ$356),$B$294=1),$AQ$356,HLOOKUP(INDIRECT(ADDRESS(2,COLUMN())),OFFSET($BN$2,0,0,ROW()-1,60),ROW()-1,FALSE))</f>
        <v>390.3</v>
      </c>
      <c r="AR38">
        <f ca="1">IF(AND(ISNUMBER($AR$356),$B$294=1),$AR$356,HLOOKUP(INDIRECT(ADDRESS(2,COLUMN())),OFFSET($BN$2,0,0,ROW()-1,60),ROW()-1,FALSE))</f>
        <v>357.988</v>
      </c>
      <c r="AS38">
        <f ca="1">IF(AND(ISNUMBER($AS$356),$B$294=1),$AS$356,HLOOKUP(INDIRECT(ADDRESS(2,COLUMN())),OFFSET($BN$2,0,0,ROW()-1,60),ROW()-1,FALSE))</f>
        <v>368.68</v>
      </c>
      <c r="AT38">
        <f ca="1">IF(AND(ISNUMBER($AT$356),$B$294=1),$AT$356,HLOOKUP(INDIRECT(ADDRESS(2,COLUMN())),OFFSET($BN$2,0,0,ROW()-1,60),ROW()-1,FALSE))</f>
        <v>371.43200000000002</v>
      </c>
      <c r="AU38">
        <f ca="1">IF(AND(ISNUMBER($AU$356),$B$294=1),$AU$356,HLOOKUP(INDIRECT(ADDRESS(2,COLUMN())),OFFSET($BN$2,0,0,ROW()-1,60),ROW()-1,FALSE))</f>
        <v>380.79</v>
      </c>
      <c r="AV38">
        <f ca="1">IF(AND(ISNUMBER($AV$356),$B$294=1),$AV$356,HLOOKUP(INDIRECT(ADDRESS(2,COLUMN())),OFFSET($BN$2,0,0,ROW()-1,60),ROW()-1,FALSE))</f>
        <v>368.584</v>
      </c>
      <c r="AW38">
        <f ca="1">IF(AND(ISNUMBER($AW$356),$B$294=1),$AW$356,HLOOKUP(INDIRECT(ADDRESS(2,COLUMN())),OFFSET($BN$2,0,0,ROW()-1,60),ROW()-1,FALSE))</f>
        <v>372.21300000000002</v>
      </c>
      <c r="AX38">
        <f ca="1">IF(AND(ISNUMBER($AX$356),$B$294=1),$AX$356,HLOOKUP(INDIRECT(ADDRESS(2,COLUMN())),OFFSET($BN$2,0,0,ROW()-1,60),ROW()-1,FALSE))</f>
        <v>360.70299999999997</v>
      </c>
      <c r="AY38">
        <f ca="1">IF(AND(ISNUMBER($AY$356),$B$294=1),$AY$356,HLOOKUP(INDIRECT(ADDRESS(2,COLUMN())),OFFSET($BN$2,0,0,ROW()-1,60),ROW()-1,FALSE))</f>
        <v>352.66899999999998</v>
      </c>
      <c r="AZ38">
        <f ca="1">IF(AND(ISNUMBER($AZ$356),$B$294=1),$AZ$356,HLOOKUP(INDIRECT(ADDRESS(2,COLUMN())),OFFSET($BN$2,0,0,ROW()-1,60),ROW()-1,FALSE))</f>
        <v>359.49700000000001</v>
      </c>
      <c r="BA38">
        <f ca="1">IF(AND(ISNUMBER($BA$356),$B$294=1),$BA$356,HLOOKUP(INDIRECT(ADDRESS(2,COLUMN())),OFFSET($BN$2,0,0,ROW()-1,60),ROW()-1,FALSE))</f>
        <v>357.911</v>
      </c>
      <c r="BB38">
        <f ca="1">IF(AND(ISNUMBER($BB$356),$B$294=1),$BB$356,HLOOKUP(INDIRECT(ADDRESS(2,COLUMN())),OFFSET($BN$2,0,0,ROW()-1,60),ROW()-1,FALSE))</f>
        <v>347.55</v>
      </c>
      <c r="BC38">
        <f ca="1">IF(AND(ISNUMBER($BC$356),$B$294=1),$BC$356,HLOOKUP(INDIRECT(ADDRESS(2,COLUMN())),OFFSET($BN$2,0,0,ROW()-1,60),ROW()-1,FALSE))</f>
        <v>366.33300000000003</v>
      </c>
      <c r="BD38">
        <f ca="1">IF(AND(ISNUMBER($BD$356),$B$294=1),$BD$356,HLOOKUP(INDIRECT(ADDRESS(2,COLUMN())),OFFSET($BN$2,0,0,ROW()-1,60),ROW()-1,FALSE))</f>
        <v>359.09399999999999</v>
      </c>
      <c r="BE38">
        <f ca="1">IF(AND(ISNUMBER($BE$356),$B$294=1),$BE$356,HLOOKUP(INDIRECT(ADDRESS(2,COLUMN())),OFFSET($BN$2,0,0,ROW()-1,60),ROW()-1,FALSE))</f>
        <v>357.935</v>
      </c>
      <c r="BF38">
        <f ca="1">IF(AND(ISNUMBER($BF$356),$B$294=1),$BF$356,HLOOKUP(INDIRECT(ADDRESS(2,COLUMN())),OFFSET($BN$2,0,0,ROW()-1,60),ROW()-1,FALSE))</f>
        <v>354.27300000000002</v>
      </c>
      <c r="BG38">
        <f ca="1">IF(AND(ISNUMBER($BG$356),$B$294=1),$BG$356,HLOOKUP(INDIRECT(ADDRESS(2,COLUMN())),OFFSET($BN$2,0,0,ROW()-1,60),ROW()-1,FALSE))</f>
        <v>359.31599999999997</v>
      </c>
      <c r="BH38">
        <f ca="1">IF(AND(ISNUMBER($BH$356),$B$294=1),$BH$356,HLOOKUP(INDIRECT(ADDRESS(2,COLUMN())),OFFSET($BN$2,0,0,ROW()-1,60),ROW()-1,FALSE))</f>
        <v>359.137</v>
      </c>
      <c r="BI38">
        <f ca="1">IF(AND(ISNUMBER($BI$356),$B$294=1),$BI$356,HLOOKUP(INDIRECT(ADDRESS(2,COLUMN())),OFFSET($BN$2,0,0,ROW()-1,60),ROW()-1,FALSE))</f>
        <v>345.13299999999998</v>
      </c>
      <c r="BJ38">
        <f ca="1">IF(AND(ISNUMBER($BJ$356),$B$294=1),$BJ$356,HLOOKUP(INDIRECT(ADDRESS(2,COLUMN())),OFFSET($BN$2,0,0,ROW()-1,60),ROW()-1,FALSE))</f>
        <v>333.654</v>
      </c>
      <c r="BK38">
        <f ca="1">IF(AND(ISNUMBER($BK$356),$B$294=1),$BK$356,HLOOKUP(INDIRECT(ADDRESS(2,COLUMN())),OFFSET($BN$2,0,0,ROW()-1,60),ROW()-1,FALSE))</f>
        <v>333.90499899999998</v>
      </c>
      <c r="BL38">
        <f ca="1">IF(AND(ISNUMBER($BL$356),$B$294=1),$BL$356,HLOOKUP(INDIRECT(ADDRESS(2,COLUMN())),OFFSET($BN$2,0,0,ROW()-1,60),ROW()-1,FALSE))</f>
        <v>328.08999599999999</v>
      </c>
      <c r="BM38">
        <f ca="1">IF(AND(ISNUMBER($BM$356),$B$294=1),$BM$356,HLOOKUP(INDIRECT(ADDRESS(2,COLUMN())),OFFSET($BN$2,0,0,ROW()-1,60),ROW()-1,FALSE))</f>
        <v>321.09500000000003</v>
      </c>
      <c r="BN38" t="str">
        <f>""</f>
        <v/>
      </c>
      <c r="BO38">
        <f>655.229</f>
        <v>655.22900000000004</v>
      </c>
      <c r="BP38">
        <f>657.712</f>
        <v>657.71199999999999</v>
      </c>
      <c r="BQ38">
        <f>656.907</f>
        <v>656.90700000000004</v>
      </c>
      <c r="BR38">
        <f>632.228</f>
        <v>632.22799999999995</v>
      </c>
      <c r="BS38">
        <f>636.061</f>
        <v>636.06100000000004</v>
      </c>
      <c r="BT38">
        <f>625.228</f>
        <v>625.22799999999995</v>
      </c>
      <c r="BU38">
        <f>623.546</f>
        <v>623.54600000000005</v>
      </c>
      <c r="BV38">
        <f>665.985</f>
        <v>665.98500000000001</v>
      </c>
      <c r="BW38">
        <f>624.24</f>
        <v>624.24</v>
      </c>
      <c r="BX38">
        <f>629.884</f>
        <v>629.88400000000001</v>
      </c>
      <c r="BY38">
        <f>618.221</f>
        <v>618.221</v>
      </c>
      <c r="BZ38">
        <f>618.476</f>
        <v>618.476</v>
      </c>
      <c r="CA38">
        <f>613.707</f>
        <v>613.70699999999999</v>
      </c>
      <c r="CB38">
        <f>618.803</f>
        <v>618.803</v>
      </c>
      <c r="CC38">
        <f>589.794</f>
        <v>589.79399999999998</v>
      </c>
      <c r="CD38">
        <f>574.694</f>
        <v>574.69399999999996</v>
      </c>
      <c r="CE38">
        <f>576.199</f>
        <v>576.19899999999996</v>
      </c>
      <c r="CF38">
        <f>571.481</f>
        <v>571.48099999999999</v>
      </c>
      <c r="CG38">
        <f>510.033</f>
        <v>510.03300000000002</v>
      </c>
      <c r="CH38">
        <f>477.826</f>
        <v>477.82600000000002</v>
      </c>
      <c r="CI38">
        <f>478.047</f>
        <v>478.04700000000003</v>
      </c>
      <c r="CJ38">
        <f>470.904</f>
        <v>470.904</v>
      </c>
      <c r="CK38">
        <f>471.349</f>
        <v>471.34899999999999</v>
      </c>
      <c r="CL38">
        <f>443.693</f>
        <v>443.69299999999998</v>
      </c>
      <c r="CM38">
        <f>450.528</f>
        <v>450.52800000000002</v>
      </c>
      <c r="CN38">
        <f>449.703</f>
        <v>449.70299999999997</v>
      </c>
      <c r="CO38">
        <f>433.867</f>
        <v>433.86700000000002</v>
      </c>
      <c r="CP38">
        <f>417.214</f>
        <v>417.214</v>
      </c>
      <c r="CQ38">
        <f>392.482</f>
        <v>392.48200000000003</v>
      </c>
      <c r="CR38">
        <f>386.41</f>
        <v>386.41</v>
      </c>
      <c r="CS38">
        <f>395.958</f>
        <v>395.95800000000003</v>
      </c>
      <c r="CT38">
        <f>378.071</f>
        <v>378.07100000000003</v>
      </c>
      <c r="CU38">
        <f>376.128</f>
        <v>376.12799999999999</v>
      </c>
      <c r="CV38">
        <f>377.303</f>
        <v>377.303</v>
      </c>
      <c r="CW38">
        <f>389.49</f>
        <v>389.49</v>
      </c>
      <c r="CX38">
        <f>377.544</f>
        <v>377.54399999999998</v>
      </c>
      <c r="CY38">
        <f>390.3</f>
        <v>390.3</v>
      </c>
      <c r="CZ38">
        <f>357.988</f>
        <v>357.988</v>
      </c>
      <c r="DA38">
        <f>368.68</f>
        <v>368.68</v>
      </c>
      <c r="DB38">
        <f>371.432</f>
        <v>371.43200000000002</v>
      </c>
      <c r="DC38">
        <f>380.79</f>
        <v>380.79</v>
      </c>
      <c r="DD38">
        <f>368.584</f>
        <v>368.584</v>
      </c>
      <c r="DE38">
        <f>372.213</f>
        <v>372.21300000000002</v>
      </c>
      <c r="DF38">
        <f>360.703</f>
        <v>360.70299999999997</v>
      </c>
      <c r="DG38">
        <f>352.669</f>
        <v>352.66899999999998</v>
      </c>
      <c r="DH38">
        <f>359.497</f>
        <v>359.49700000000001</v>
      </c>
      <c r="DI38">
        <f>357.911</f>
        <v>357.911</v>
      </c>
      <c r="DJ38">
        <f>347.55</f>
        <v>347.55</v>
      </c>
      <c r="DK38">
        <f>366.333</f>
        <v>366.33300000000003</v>
      </c>
      <c r="DL38">
        <f>359.094</f>
        <v>359.09399999999999</v>
      </c>
      <c r="DM38">
        <f>357.935</f>
        <v>357.935</v>
      </c>
      <c r="DN38">
        <f>354.273</f>
        <v>354.27300000000002</v>
      </c>
      <c r="DO38">
        <f>359.316</f>
        <v>359.31599999999997</v>
      </c>
      <c r="DP38">
        <f>359.137</f>
        <v>359.137</v>
      </c>
      <c r="DQ38">
        <f>345.133</f>
        <v>345.13299999999998</v>
      </c>
      <c r="DR38">
        <f>333.654</f>
        <v>333.654</v>
      </c>
      <c r="DS38">
        <f>333.904999</f>
        <v>333.90499899999998</v>
      </c>
      <c r="DT38">
        <f>328.089996</f>
        <v>328.08999599999999</v>
      </c>
      <c r="DU38">
        <f>321.095</f>
        <v>321.09500000000003</v>
      </c>
    </row>
    <row r="39" spans="1:125">
      <c r="A39" t="str">
        <f>"    Brandywine Realty Trust"</f>
        <v xml:space="preserve">    Brandywine Realty Trust</v>
      </c>
      <c r="B39" t="str">
        <f>"BDN US Equity"</f>
        <v>BDN US Equity</v>
      </c>
      <c r="C39" t="str">
        <f t="shared" si="9"/>
        <v>IS010</v>
      </c>
      <c r="D39" t="str">
        <f t="shared" si="10"/>
        <v>SALES_REV_TURN</v>
      </c>
      <c r="E39" t="str">
        <f t="shared" si="11"/>
        <v>动态</v>
      </c>
      <c r="F39" t="str">
        <f ca="1">IF(AND(ISNUMBER($F$357),$B$294=1),$F$357,HLOOKUP(INDIRECT(ADDRESS(2,COLUMN())),OFFSET($BN$2,0,0,ROW()-1,60),ROW()-1,FALSE))</f>
        <v/>
      </c>
      <c r="G39">
        <f ca="1">IF(AND(ISNUMBER($G$357),$B$294=1),$G$357,HLOOKUP(INDIRECT(ADDRESS(2,COLUMN())),OFFSET($BN$2,0,0,ROW()-1,60),ROW()-1,FALSE))</f>
        <v>133.34399999999999</v>
      </c>
      <c r="H39">
        <f ca="1">IF(AND(ISNUMBER($H$357),$B$294=1),$H$357,HLOOKUP(INDIRECT(ADDRESS(2,COLUMN())),OFFSET($BN$2,0,0,ROW()-1,60),ROW()-1,FALSE))</f>
        <v>128.43799999999999</v>
      </c>
      <c r="I39">
        <f ca="1">IF(AND(ISNUMBER($I$357),$B$294=1),$I$357,HLOOKUP(INDIRECT(ADDRESS(2,COLUMN())),OFFSET($BN$2,0,0,ROW()-1,60),ROW()-1,FALSE))</f>
        <v>127.791</v>
      </c>
      <c r="J39">
        <f ca="1">IF(AND(ISNUMBER($J$357),$B$294=1),$J$357,HLOOKUP(INDIRECT(ADDRESS(2,COLUMN())),OFFSET($BN$2,0,0,ROW()-1,60),ROW()-1,FALSE))</f>
        <v>130.91999999999999</v>
      </c>
      <c r="K39">
        <f ca="1">IF(AND(ISNUMBER($K$357),$B$294=1),$K$357,HLOOKUP(INDIRECT(ADDRESS(2,COLUMN())),OFFSET($BN$2,0,0,ROW()-1,60),ROW()-1,FALSE))</f>
        <v>132.08600000000001</v>
      </c>
      <c r="L39">
        <f ca="1">IF(AND(ISNUMBER($L$357),$B$294=1),$L$357,HLOOKUP(INDIRECT(ADDRESS(2,COLUMN())),OFFSET($BN$2,0,0,ROW()-1,60),ROW()-1,FALSE))</f>
        <v>129.69399999999999</v>
      </c>
      <c r="M39">
        <f ca="1">IF(AND(ISNUMBER($M$357),$B$294=1),$M$357,HLOOKUP(INDIRECT(ADDRESS(2,COLUMN())),OFFSET($BN$2,0,0,ROW()-1,60),ROW()-1,FALSE))</f>
        <v>127.181</v>
      </c>
      <c r="N39">
        <f ca="1">IF(AND(ISNUMBER($N$357),$B$294=1),$N$357,HLOOKUP(INDIRECT(ADDRESS(2,COLUMN())),OFFSET($BN$2,0,0,ROW()-1,60),ROW()-1,FALSE))</f>
        <v>136.50200000000001</v>
      </c>
      <c r="O39">
        <f ca="1">IF(AND(ISNUMBER($O$357),$B$294=1),$O$357,HLOOKUP(INDIRECT(ADDRESS(2,COLUMN())),OFFSET($BN$2,0,0,ROW()-1,60),ROW()-1,FALSE))</f>
        <v>153.99199999999999</v>
      </c>
      <c r="P39">
        <f ca="1">IF(AND(ISNUMBER($P$357),$B$294=1),$P$357,HLOOKUP(INDIRECT(ADDRESS(2,COLUMN())),OFFSET($BN$2,0,0,ROW()-1,60),ROW()-1,FALSE))</f>
        <v>152.58500000000001</v>
      </c>
      <c r="Q39">
        <f ca="1">IF(AND(ISNUMBER($Q$357),$B$294=1),$Q$357,HLOOKUP(INDIRECT(ADDRESS(2,COLUMN())),OFFSET($BN$2,0,0,ROW()-1,60),ROW()-1,FALSE))</f>
        <v>145.648</v>
      </c>
      <c r="R39">
        <f ca="1">IF(AND(ISNUMBER($R$357),$B$294=1),$R$357,HLOOKUP(INDIRECT(ADDRESS(2,COLUMN())),OFFSET($BN$2,0,0,ROW()-1,60),ROW()-1,FALSE))</f>
        <v>150.40600000000001</v>
      </c>
      <c r="S39">
        <f ca="1">IF(AND(ISNUMBER($S$357),$B$294=1),$S$357,HLOOKUP(INDIRECT(ADDRESS(2,COLUMN())),OFFSET($BN$2,0,0,ROW()-1,60),ROW()-1,FALSE))</f>
        <v>147.81</v>
      </c>
      <c r="T39">
        <f ca="1">IF(AND(ISNUMBER($T$357),$B$294=1),$T$357,HLOOKUP(INDIRECT(ADDRESS(2,COLUMN())),OFFSET($BN$2,0,0,ROW()-1,60),ROW()-1,FALSE))</f>
        <v>146.55799999999999</v>
      </c>
      <c r="U39">
        <f ca="1">IF(AND(ISNUMBER($U$357),$B$294=1),$U$357,HLOOKUP(INDIRECT(ADDRESS(2,COLUMN())),OFFSET($BN$2,0,0,ROW()-1,60),ROW()-1,FALSE))</f>
        <v>150.5</v>
      </c>
      <c r="V39">
        <f ca="1">IF(AND(ISNUMBER($V$357),$B$294=1),$V$357,HLOOKUP(INDIRECT(ADDRESS(2,COLUMN())),OFFSET($BN$2,0,0,ROW()-1,60),ROW()-1,FALSE))</f>
        <v>152.114</v>
      </c>
      <c r="W39">
        <f ca="1">IF(AND(ISNUMBER($W$357),$B$294=1),$W$357,HLOOKUP(INDIRECT(ADDRESS(2,COLUMN())),OFFSET($BN$2,0,0,ROW()-1,60),ROW()-1,FALSE))</f>
        <v>138.65799999999999</v>
      </c>
      <c r="X39">
        <f ca="1">IF(AND(ISNUMBER($X$357),$B$294=1),$X$357,HLOOKUP(INDIRECT(ADDRESS(2,COLUMN())),OFFSET($BN$2,0,0,ROW()-1,60),ROW()-1,FALSE))</f>
        <v>143.35400000000001</v>
      </c>
      <c r="Y39">
        <f ca="1">IF(AND(ISNUMBER($Y$357),$B$294=1),$Y$357,HLOOKUP(INDIRECT(ADDRESS(2,COLUMN())),OFFSET($BN$2,0,0,ROW()-1,60),ROW()-1,FALSE))</f>
        <v>140.64400000000001</v>
      </c>
      <c r="Z39">
        <f ca="1">IF(AND(ISNUMBER($Z$357),$B$294=1),$Z$357,HLOOKUP(INDIRECT(ADDRESS(2,COLUMN())),OFFSET($BN$2,0,0,ROW()-1,60),ROW()-1,FALSE))</f>
        <v>139.554</v>
      </c>
      <c r="AA39">
        <f ca="1">IF(AND(ISNUMBER($AA$357),$B$294=1),$AA$357,HLOOKUP(INDIRECT(ADDRESS(2,COLUMN())),OFFSET($BN$2,0,0,ROW()-1,60),ROW()-1,FALSE))</f>
        <v>136.39500000000001</v>
      </c>
      <c r="AB39">
        <f ca="1">IF(AND(ISNUMBER($AB$357),$B$294=1),$AB$357,HLOOKUP(INDIRECT(ADDRESS(2,COLUMN())),OFFSET($BN$2,0,0,ROW()-1,60),ROW()-1,FALSE))</f>
        <v>134.52000000000001</v>
      </c>
      <c r="AC39">
        <f ca="1">IF(AND(ISNUMBER($AC$357),$B$294=1),$AC$357,HLOOKUP(INDIRECT(ADDRESS(2,COLUMN())),OFFSET($BN$2,0,0,ROW()-1,60),ROW()-1,FALSE))</f>
        <v>131.803</v>
      </c>
      <c r="AD39">
        <f ca="1">IF(AND(ISNUMBER($AD$357),$B$294=1),$AD$357,HLOOKUP(INDIRECT(ADDRESS(2,COLUMN())),OFFSET($BN$2,0,0,ROW()-1,60),ROW()-1,FALSE))</f>
        <v>134.53899999999999</v>
      </c>
      <c r="AE39">
        <f ca="1">IF(AND(ISNUMBER($AE$357),$B$294=1),$AE$357,HLOOKUP(INDIRECT(ADDRESS(2,COLUMN())),OFFSET($BN$2,0,0,ROW()-1,60),ROW()-1,FALSE))</f>
        <v>141.48599999999999</v>
      </c>
      <c r="AF39">
        <f ca="1">IF(AND(ISNUMBER($AF$357),$B$294=1),$AF$357,HLOOKUP(INDIRECT(ADDRESS(2,COLUMN())),OFFSET($BN$2,0,0,ROW()-1,60),ROW()-1,FALSE))</f>
        <v>139.40100000000001</v>
      </c>
      <c r="AG39">
        <f ca="1">IF(AND(ISNUMBER($AG$357),$B$294=1),$AG$357,HLOOKUP(INDIRECT(ADDRESS(2,COLUMN())),OFFSET($BN$2,0,0,ROW()-1,60),ROW()-1,FALSE))</f>
        <v>139.249</v>
      </c>
      <c r="AH39">
        <f ca="1">IF(AND(ISNUMBER($AH$357),$B$294=1),$AH$357,HLOOKUP(INDIRECT(ADDRESS(2,COLUMN())),OFFSET($BN$2,0,0,ROW()-1,60),ROW()-1,FALSE))</f>
        <v>144.298</v>
      </c>
      <c r="AI39">
        <f ca="1">IF(AND(ISNUMBER($AI$357),$B$294=1),$AI$357,HLOOKUP(INDIRECT(ADDRESS(2,COLUMN())),OFFSET($BN$2,0,0,ROW()-1,60),ROW()-1,FALSE))</f>
        <v>146.084</v>
      </c>
      <c r="AJ39">
        <f ca="1">IF(AND(ISNUMBER($AJ$357),$B$294=1),$AJ$357,HLOOKUP(INDIRECT(ADDRESS(2,COLUMN())),OFFSET($BN$2,0,0,ROW()-1,60),ROW()-1,FALSE))</f>
        <v>141.49199999999999</v>
      </c>
      <c r="AK39">
        <f ca="1">IF(AND(ISNUMBER($AK$357),$B$294=1),$AK$357,HLOOKUP(INDIRECT(ADDRESS(2,COLUMN())),OFFSET($BN$2,0,0,ROW()-1,60),ROW()-1,FALSE))</f>
        <v>135.49700000000001</v>
      </c>
      <c r="AL39">
        <f ca="1">IF(AND(ISNUMBER($AL$357),$B$294=1),$AL$357,HLOOKUP(INDIRECT(ADDRESS(2,COLUMN())),OFFSET($BN$2,0,0,ROW()-1,60),ROW()-1,FALSE))</f>
        <v>141.434</v>
      </c>
      <c r="AM39">
        <f ca="1">IF(AND(ISNUMBER($AM$357),$B$294=1),$AM$357,HLOOKUP(INDIRECT(ADDRESS(2,COLUMN())),OFFSET($BN$2,0,0,ROW()-1,60),ROW()-1,FALSE))</f>
        <v>146.63499999999999</v>
      </c>
      <c r="AN39">
        <f ca="1">IF(AND(ISNUMBER($AN$357),$B$294=1),$AN$357,HLOOKUP(INDIRECT(ADDRESS(2,COLUMN())),OFFSET($BN$2,0,0,ROW()-1,60),ROW()-1,FALSE))</f>
        <v>145.934</v>
      </c>
      <c r="AO39">
        <f ca="1">IF(AND(ISNUMBER($AO$357),$B$294=1),$AO$357,HLOOKUP(INDIRECT(ADDRESS(2,COLUMN())),OFFSET($BN$2,0,0,ROW()-1,60),ROW()-1,FALSE))</f>
        <v>142.07400000000001</v>
      </c>
      <c r="AP39">
        <f ca="1">IF(AND(ISNUMBER($AP$357),$B$294=1),$AP$357,HLOOKUP(INDIRECT(ADDRESS(2,COLUMN())),OFFSET($BN$2,0,0,ROW()-1,60),ROW()-1,FALSE))</f>
        <v>146.73099999999999</v>
      </c>
      <c r="AQ39">
        <f ca="1">IF(AND(ISNUMBER($AQ$357),$B$294=1),$AQ$357,HLOOKUP(INDIRECT(ADDRESS(2,COLUMN())),OFFSET($BN$2,0,0,ROW()-1,60),ROW()-1,FALSE))</f>
        <v>149.11000000000001</v>
      </c>
      <c r="AR39">
        <f ca="1">IF(AND(ISNUMBER($AR$357),$B$294=1),$AR$357,HLOOKUP(INDIRECT(ADDRESS(2,COLUMN())),OFFSET($BN$2,0,0,ROW()-1,60),ROW()-1,FALSE))</f>
        <v>144.33799999999999</v>
      </c>
      <c r="AS39">
        <f ca="1">IF(AND(ISNUMBER($AS$357),$B$294=1),$AS$357,HLOOKUP(INDIRECT(ADDRESS(2,COLUMN())),OFFSET($BN$2,0,0,ROW()-1,60),ROW()-1,FALSE))</f>
        <v>150.76599999999999</v>
      </c>
      <c r="AT39">
        <f ca="1">IF(AND(ISNUMBER($AT$357),$B$294=1),$AT$357,HLOOKUP(INDIRECT(ADDRESS(2,COLUMN())),OFFSET($BN$2,0,0,ROW()-1,60),ROW()-1,FALSE))</f>
        <v>152.244</v>
      </c>
      <c r="AU39">
        <f ca="1">IF(AND(ISNUMBER($AU$357),$B$294=1),$AU$357,HLOOKUP(INDIRECT(ADDRESS(2,COLUMN())),OFFSET($BN$2,0,0,ROW()-1,60),ROW()-1,FALSE))</f>
        <v>159.46100000000001</v>
      </c>
      <c r="AV39">
        <f ca="1">IF(AND(ISNUMBER($AV$357),$B$294=1),$AV$357,HLOOKUP(INDIRECT(ADDRESS(2,COLUMN())),OFFSET($BN$2,0,0,ROW()-1,60),ROW()-1,FALSE))</f>
        <v>163.13999999999999</v>
      </c>
      <c r="AW39">
        <f ca="1">IF(AND(ISNUMBER($AW$357),$B$294=1),$AW$357,HLOOKUP(INDIRECT(ADDRESS(2,COLUMN())),OFFSET($BN$2,0,0,ROW()-1,60),ROW()-1,FALSE))</f>
        <v>152.22</v>
      </c>
      <c r="AX39">
        <f ca="1">IF(AND(ISNUMBER($AX$357),$B$294=1),$AX$357,HLOOKUP(INDIRECT(ADDRESS(2,COLUMN())),OFFSET($BN$2,0,0,ROW()-1,60),ROW()-1,FALSE))</f>
        <v>165.584</v>
      </c>
      <c r="AY39">
        <f ca="1">IF(AND(ISNUMBER($AY$357),$B$294=1),$AY$357,HLOOKUP(INDIRECT(ADDRESS(2,COLUMN())),OFFSET($BN$2,0,0,ROW()-1,60),ROW()-1,FALSE))</f>
        <v>176.54499999999999</v>
      </c>
      <c r="AZ39">
        <f ca="1">IF(AND(ISNUMBER($AZ$357),$B$294=1),$AZ$357,HLOOKUP(INDIRECT(ADDRESS(2,COLUMN())),OFFSET($BN$2,0,0,ROW()-1,60),ROW()-1,FALSE))</f>
        <v>164.92099999999999</v>
      </c>
      <c r="BA39">
        <f ca="1">IF(AND(ISNUMBER($BA$357),$B$294=1),$BA$357,HLOOKUP(INDIRECT(ADDRESS(2,COLUMN())),OFFSET($BN$2,0,0,ROW()-1,60),ROW()-1,FALSE))</f>
        <v>153.00200000000001</v>
      </c>
      <c r="BB39">
        <f ca="1">IF(AND(ISNUMBER($BB$357),$B$294=1),$BB$357,HLOOKUP(INDIRECT(ADDRESS(2,COLUMN())),OFFSET($BN$2,0,0,ROW()-1,60),ROW()-1,FALSE))</f>
        <v>146.56800000000001</v>
      </c>
      <c r="BC39">
        <f ca="1">IF(AND(ISNUMBER($BC$357),$B$294=1),$BC$357,HLOOKUP(INDIRECT(ADDRESS(2,COLUMN())),OFFSET($BN$2,0,0,ROW()-1,60),ROW()-1,FALSE))</f>
        <v>97.66</v>
      </c>
      <c r="BD39">
        <f ca="1">IF(AND(ISNUMBER($BD$357),$B$294=1),$BD$357,HLOOKUP(INDIRECT(ADDRESS(2,COLUMN())),OFFSET($BN$2,0,0,ROW()-1,60),ROW()-1,FALSE))</f>
        <v>95.331000000000003</v>
      </c>
      <c r="BE39">
        <f ca="1">IF(AND(ISNUMBER($BE$357),$B$294=1),$BE$357,HLOOKUP(INDIRECT(ADDRESS(2,COLUMN())),OFFSET($BN$2,0,0,ROW()-1,60),ROW()-1,FALSE))</f>
        <v>95.751000000000005</v>
      </c>
      <c r="BF39">
        <f ca="1">IF(AND(ISNUMBER($BF$357),$B$294=1),$BF$357,HLOOKUP(INDIRECT(ADDRESS(2,COLUMN())),OFFSET($BN$2,0,0,ROW()-1,60),ROW()-1,FALSE))</f>
        <v>99.703999999999994</v>
      </c>
      <c r="BG39">
        <f ca="1">IF(AND(ISNUMBER($BG$357),$B$294=1),$BG$357,HLOOKUP(INDIRECT(ADDRESS(2,COLUMN())),OFFSET($BN$2,0,0,ROW()-1,60),ROW()-1,FALSE))</f>
        <v>96.138000000000005</v>
      </c>
      <c r="BH39">
        <f ca="1">IF(AND(ISNUMBER($BH$357),$B$294=1),$BH$357,HLOOKUP(INDIRECT(ADDRESS(2,COLUMN())),OFFSET($BN$2,0,0,ROW()-1,60),ROW()-1,FALSE))</f>
        <v>79.457999999999998</v>
      </c>
      <c r="BI39">
        <f ca="1">IF(AND(ISNUMBER($BI$357),$B$294=1),$BI$357,HLOOKUP(INDIRECT(ADDRESS(2,COLUMN())),OFFSET($BN$2,0,0,ROW()-1,60),ROW()-1,FALSE))</f>
        <v>76.754999999999995</v>
      </c>
      <c r="BJ39">
        <f ca="1">IF(AND(ISNUMBER($BJ$357),$B$294=1),$BJ$357,HLOOKUP(INDIRECT(ADDRESS(2,COLUMN())),OFFSET($BN$2,0,0,ROW()-1,60),ROW()-1,FALSE))</f>
        <v>73.86</v>
      </c>
      <c r="BK39" t="str">
        <f ca="1">IF(AND(ISNUMBER($BK$357),$B$294=1),$BK$357,HLOOKUP(INDIRECT(ADDRESS(2,COLUMN())),OFFSET($BN$2,0,0,ROW()-1,60),ROW()-1,FALSE))</f>
        <v/>
      </c>
      <c r="BL39">
        <f ca="1">IF(AND(ISNUMBER($BL$357),$B$294=1),$BL$357,HLOOKUP(INDIRECT(ADDRESS(2,COLUMN())),OFFSET($BN$2,0,0,ROW()-1,60),ROW()-1,FALSE))</f>
        <v>77.003</v>
      </c>
      <c r="BM39">
        <f ca="1">IF(AND(ISNUMBER($BM$357),$B$294=1),$BM$357,HLOOKUP(INDIRECT(ADDRESS(2,COLUMN())),OFFSET($BN$2,0,0,ROW()-1,60),ROW()-1,FALSE))</f>
        <v>74.463999999999999</v>
      </c>
      <c r="BN39" t="str">
        <f>""</f>
        <v/>
      </c>
      <c r="BO39">
        <f>133.344</f>
        <v>133.34399999999999</v>
      </c>
      <c r="BP39">
        <f>128.438</f>
        <v>128.43799999999999</v>
      </c>
      <c r="BQ39">
        <f>127.791</f>
        <v>127.791</v>
      </c>
      <c r="BR39">
        <f>130.92</f>
        <v>130.91999999999999</v>
      </c>
      <c r="BS39">
        <f>132.086</f>
        <v>132.08600000000001</v>
      </c>
      <c r="BT39">
        <f>129.694</f>
        <v>129.69399999999999</v>
      </c>
      <c r="BU39">
        <f>127.181</f>
        <v>127.181</v>
      </c>
      <c r="BV39">
        <f>136.502</f>
        <v>136.50200000000001</v>
      </c>
      <c r="BW39">
        <f>153.992</f>
        <v>153.99199999999999</v>
      </c>
      <c r="BX39">
        <f>152.585</f>
        <v>152.58500000000001</v>
      </c>
      <c r="BY39">
        <f>145.648</f>
        <v>145.648</v>
      </c>
      <c r="BZ39">
        <f>150.406</f>
        <v>150.40600000000001</v>
      </c>
      <c r="CA39">
        <f>147.81</f>
        <v>147.81</v>
      </c>
      <c r="CB39">
        <f>146.558</f>
        <v>146.55799999999999</v>
      </c>
      <c r="CC39">
        <f>150.5</f>
        <v>150.5</v>
      </c>
      <c r="CD39">
        <f>152.114</f>
        <v>152.114</v>
      </c>
      <c r="CE39">
        <f>138.658</f>
        <v>138.65799999999999</v>
      </c>
      <c r="CF39">
        <f>143.354</f>
        <v>143.35400000000001</v>
      </c>
      <c r="CG39">
        <f>140.644</f>
        <v>140.64400000000001</v>
      </c>
      <c r="CH39">
        <f>139.554</f>
        <v>139.554</v>
      </c>
      <c r="CI39">
        <f>136.395</f>
        <v>136.39500000000001</v>
      </c>
      <c r="CJ39">
        <f>134.52</f>
        <v>134.52000000000001</v>
      </c>
      <c r="CK39">
        <f>131.803</f>
        <v>131.803</v>
      </c>
      <c r="CL39">
        <f>134.539</f>
        <v>134.53899999999999</v>
      </c>
      <c r="CM39">
        <f>141.486</f>
        <v>141.48599999999999</v>
      </c>
      <c r="CN39">
        <f>139.401</f>
        <v>139.40100000000001</v>
      </c>
      <c r="CO39">
        <f>139.249</f>
        <v>139.249</v>
      </c>
      <c r="CP39">
        <f>144.298</f>
        <v>144.298</v>
      </c>
      <c r="CQ39">
        <f>146.084</f>
        <v>146.084</v>
      </c>
      <c r="CR39">
        <f>141.492</f>
        <v>141.49199999999999</v>
      </c>
      <c r="CS39">
        <f>135.497</f>
        <v>135.49700000000001</v>
      </c>
      <c r="CT39">
        <f>141.434</f>
        <v>141.434</v>
      </c>
      <c r="CU39">
        <f>146.635</f>
        <v>146.63499999999999</v>
      </c>
      <c r="CV39">
        <f>145.934</f>
        <v>145.934</v>
      </c>
      <c r="CW39">
        <f>142.074</f>
        <v>142.07400000000001</v>
      </c>
      <c r="CX39">
        <f>146.731</f>
        <v>146.73099999999999</v>
      </c>
      <c r="CY39">
        <f>149.11</f>
        <v>149.11000000000001</v>
      </c>
      <c r="CZ39">
        <f>144.338</f>
        <v>144.33799999999999</v>
      </c>
      <c r="DA39">
        <f>150.766</f>
        <v>150.76599999999999</v>
      </c>
      <c r="DB39">
        <f>152.244</f>
        <v>152.244</v>
      </c>
      <c r="DC39">
        <f>159.461</f>
        <v>159.46100000000001</v>
      </c>
      <c r="DD39">
        <f>163.14</f>
        <v>163.13999999999999</v>
      </c>
      <c r="DE39">
        <f>152.22</f>
        <v>152.22</v>
      </c>
      <c r="DF39">
        <f>165.584</f>
        <v>165.584</v>
      </c>
      <c r="DG39">
        <f>176.545</f>
        <v>176.54499999999999</v>
      </c>
      <c r="DH39">
        <f>164.921</f>
        <v>164.92099999999999</v>
      </c>
      <c r="DI39">
        <f>153.002</f>
        <v>153.00200000000001</v>
      </c>
      <c r="DJ39">
        <f>146.568</f>
        <v>146.56800000000001</v>
      </c>
      <c r="DK39">
        <f>97.66</f>
        <v>97.66</v>
      </c>
      <c r="DL39">
        <f>95.331</f>
        <v>95.331000000000003</v>
      </c>
      <c r="DM39">
        <f>95.751</f>
        <v>95.751000000000005</v>
      </c>
      <c r="DN39">
        <f>99.704</f>
        <v>99.703999999999994</v>
      </c>
      <c r="DO39">
        <f>96.138</f>
        <v>96.138000000000005</v>
      </c>
      <c r="DP39">
        <f>79.458</f>
        <v>79.457999999999998</v>
      </c>
      <c r="DQ39">
        <f>76.755</f>
        <v>76.754999999999995</v>
      </c>
      <c r="DR39">
        <f>73.86</f>
        <v>73.86</v>
      </c>
      <c r="DS39" t="str">
        <f>""</f>
        <v/>
      </c>
      <c r="DT39">
        <f>77.003</f>
        <v>77.003</v>
      </c>
      <c r="DU39">
        <f>74.464</f>
        <v>74.463999999999999</v>
      </c>
    </row>
    <row r="40" spans="1:125">
      <c r="A40" t="str">
        <f>"    Columbia Property Trust Inc"</f>
        <v xml:space="preserve">    Columbia Property Trust Inc</v>
      </c>
      <c r="B40" t="str">
        <f>"CXP US Equity"</f>
        <v>CXP US Equity</v>
      </c>
      <c r="C40" t="str">
        <f t="shared" si="9"/>
        <v>IS010</v>
      </c>
      <c r="D40" t="str">
        <f t="shared" si="10"/>
        <v>SALES_REV_TURN</v>
      </c>
      <c r="E40" t="str">
        <f t="shared" si="11"/>
        <v>动态</v>
      </c>
      <c r="F40" t="str">
        <f ca="1">IF(AND(ISNUMBER($F$358),$B$294=1),$F$358,HLOOKUP(INDIRECT(ADDRESS(2,COLUMN())),OFFSET($BN$2,0,0,ROW()-1,60),ROW()-1,FALSE))</f>
        <v/>
      </c>
      <c r="G40">
        <f ca="1">IF(AND(ISNUMBER($G$358),$B$294=1),$G$358,HLOOKUP(INDIRECT(ADDRESS(2,COLUMN())),OFFSET($BN$2,0,0,ROW()-1,60),ROW()-1,FALSE))</f>
        <v>71.625</v>
      </c>
      <c r="H40">
        <f ca="1">IF(AND(ISNUMBER($H$358),$B$294=1),$H$358,HLOOKUP(INDIRECT(ADDRESS(2,COLUMN())),OFFSET($BN$2,0,0,ROW()-1,60),ROW()-1,FALSE))</f>
        <v>60.362000000000002</v>
      </c>
      <c r="I40">
        <f ca="1">IF(AND(ISNUMBER($I$358),$B$294=1),$I$358,HLOOKUP(INDIRECT(ADDRESS(2,COLUMN())),OFFSET($BN$2,0,0,ROW()-1,60),ROW()-1,FALSE))</f>
        <v>74.856999999999999</v>
      </c>
      <c r="J40">
        <f ca="1">IF(AND(ISNUMBER($J$358),$B$294=1),$J$358,HLOOKUP(INDIRECT(ADDRESS(2,COLUMN())),OFFSET($BN$2,0,0,ROW()-1,60),ROW()-1,FALSE))</f>
        <v>82.156000000000006</v>
      </c>
      <c r="K40">
        <f ca="1">IF(AND(ISNUMBER($K$358),$B$294=1),$K$358,HLOOKUP(INDIRECT(ADDRESS(2,COLUMN())),OFFSET($BN$2,0,0,ROW()-1,60),ROW()-1,FALSE))</f>
        <v>105.768</v>
      </c>
      <c r="L40">
        <f ca="1">IF(AND(ISNUMBER($L$358),$B$294=1),$L$358,HLOOKUP(INDIRECT(ADDRESS(2,COLUMN())),OFFSET($BN$2,0,0,ROW()-1,60),ROW()-1,FALSE))</f>
        <v>113.26600000000001</v>
      </c>
      <c r="M40">
        <f ca="1">IF(AND(ISNUMBER($M$358),$B$294=1),$M$358,HLOOKUP(INDIRECT(ADDRESS(2,COLUMN())),OFFSET($BN$2,0,0,ROW()-1,60),ROW()-1,FALSE))</f>
        <v>127.93</v>
      </c>
      <c r="N40">
        <f ca="1">IF(AND(ISNUMBER($N$358),$B$294=1),$N$358,HLOOKUP(INDIRECT(ADDRESS(2,COLUMN())),OFFSET($BN$2,0,0,ROW()-1,60),ROW()-1,FALSE))</f>
        <v>126.57899999999999</v>
      </c>
      <c r="O40">
        <f ca="1">IF(AND(ISNUMBER($O$358),$B$294=1),$O$358,HLOOKUP(INDIRECT(ADDRESS(2,COLUMN())),OFFSET($BN$2,0,0,ROW()-1,60),ROW()-1,FALSE))</f>
        <v>132.679</v>
      </c>
      <c r="P40">
        <f ca="1">IF(AND(ISNUMBER($P$358),$B$294=1),$P$358,HLOOKUP(INDIRECT(ADDRESS(2,COLUMN())),OFFSET($BN$2,0,0,ROW()-1,60),ROW()-1,FALSE))</f>
        <v>137.71899999999999</v>
      </c>
      <c r="Q40">
        <f ca="1">IF(AND(ISNUMBER($Q$358),$B$294=1),$Q$358,HLOOKUP(INDIRECT(ADDRESS(2,COLUMN())),OFFSET($BN$2,0,0,ROW()-1,60),ROW()-1,FALSE))</f>
        <v>148.124</v>
      </c>
      <c r="R40">
        <f ca="1">IF(AND(ISNUMBER($R$358),$B$294=1),$R$358,HLOOKUP(INDIRECT(ADDRESS(2,COLUMN())),OFFSET($BN$2,0,0,ROW()-1,60),ROW()-1,FALSE))</f>
        <v>147.54300000000001</v>
      </c>
      <c r="S40">
        <f ca="1">IF(AND(ISNUMBER($S$358),$B$294=1),$S$358,HLOOKUP(INDIRECT(ADDRESS(2,COLUMN())),OFFSET($BN$2,0,0,ROW()-1,60),ROW()-1,FALSE))</f>
        <v>137.89099999999999</v>
      </c>
      <c r="T40">
        <f ca="1">IF(AND(ISNUMBER($T$358),$B$294=1),$T$358,HLOOKUP(INDIRECT(ADDRESS(2,COLUMN())),OFFSET($BN$2,0,0,ROW()-1,60),ROW()-1,FALSE))</f>
        <v>136.98099999999999</v>
      </c>
      <c r="U40">
        <f ca="1">IF(AND(ISNUMBER($U$358),$B$294=1),$U$358,HLOOKUP(INDIRECT(ADDRESS(2,COLUMN())),OFFSET($BN$2,0,0,ROW()-1,60),ROW()-1,FALSE))</f>
        <v>136.75700000000001</v>
      </c>
      <c r="V40">
        <f ca="1">IF(AND(ISNUMBER($V$358),$B$294=1),$V$358,HLOOKUP(INDIRECT(ADDRESS(2,COLUMN())),OFFSET($BN$2,0,0,ROW()-1,60),ROW()-1,FALSE))</f>
        <v>129.16800000000001</v>
      </c>
      <c r="W40">
        <f ca="1">IF(AND(ISNUMBER($W$358),$B$294=1),$W$358,HLOOKUP(INDIRECT(ADDRESS(2,COLUMN())),OFFSET($BN$2,0,0,ROW()-1,60),ROW()-1,FALSE))</f>
        <v>133.387</v>
      </c>
      <c r="X40">
        <f ca="1">IF(AND(ISNUMBER($X$358),$B$294=1),$X$358,HLOOKUP(INDIRECT(ADDRESS(2,COLUMN())),OFFSET($BN$2,0,0,ROW()-1,60),ROW()-1,FALSE))</f>
        <v>132.50200000000001</v>
      </c>
      <c r="Y40">
        <f ca="1">IF(AND(ISNUMBER($Y$358),$B$294=1),$Y$358,HLOOKUP(INDIRECT(ADDRESS(2,COLUMN())),OFFSET($BN$2,0,0,ROW()-1,60),ROW()-1,FALSE))</f>
        <v>131.89699999999999</v>
      </c>
      <c r="Z40">
        <f ca="1">IF(AND(ISNUMBER($Z$358),$B$294=1),$Z$358,HLOOKUP(INDIRECT(ADDRESS(2,COLUMN())),OFFSET($BN$2,0,0,ROW()-1,60),ROW()-1,FALSE))</f>
        <v>128.792</v>
      </c>
      <c r="AA40">
        <f ca="1">IF(AND(ISNUMBER($AA$358),$B$294=1),$AA$358,HLOOKUP(INDIRECT(ADDRESS(2,COLUMN())),OFFSET($BN$2,0,0,ROW()-1,60),ROW()-1,FALSE))</f>
        <v>125.503</v>
      </c>
      <c r="AB40">
        <f ca="1">IF(AND(ISNUMBER($AB$358),$B$294=1),$AB$358,HLOOKUP(INDIRECT(ADDRESS(2,COLUMN())),OFFSET($BN$2,0,0,ROW()-1,60),ROW()-1,FALSE))</f>
        <v>144.708</v>
      </c>
      <c r="AC40">
        <f ca="1">IF(AND(ISNUMBER($AC$358),$B$294=1),$AC$358,HLOOKUP(INDIRECT(ADDRESS(2,COLUMN())),OFFSET($BN$2,0,0,ROW()-1,60),ROW()-1,FALSE))</f>
        <v>140.971</v>
      </c>
      <c r="AD40">
        <f ca="1">IF(AND(ISNUMBER($AD$358),$B$294=1),$AD$358,HLOOKUP(INDIRECT(ADDRESS(2,COLUMN())),OFFSET($BN$2,0,0,ROW()-1,60),ROW()-1,FALSE))</f>
        <v>141.34</v>
      </c>
      <c r="AE40">
        <f ca="1">IF(AND(ISNUMBER($AE$358),$B$294=1),$AE$358,HLOOKUP(INDIRECT(ADDRESS(2,COLUMN())),OFFSET($BN$2,0,0,ROW()-1,60),ROW()-1,FALSE))</f>
        <v>122.392</v>
      </c>
      <c r="AF40">
        <f ca="1">IF(AND(ISNUMBER($AF$358),$B$294=1),$AF$358,HLOOKUP(INDIRECT(ADDRESS(2,COLUMN())),OFFSET($BN$2,0,0,ROW()-1,60),ROW()-1,FALSE))</f>
        <v>157.14400000000001</v>
      </c>
      <c r="AG40">
        <f ca="1">IF(AND(ISNUMBER($AG$358),$B$294=1),$AG$358,HLOOKUP(INDIRECT(ADDRESS(2,COLUMN())),OFFSET($BN$2,0,0,ROW()-1,60),ROW()-1,FALSE))</f>
        <v>152.89400000000001</v>
      </c>
      <c r="AH40">
        <f ca="1">IF(AND(ISNUMBER($AH$358),$B$294=1),$AH$358,HLOOKUP(INDIRECT(ADDRESS(2,COLUMN())),OFFSET($BN$2,0,0,ROW()-1,60),ROW()-1,FALSE))</f>
        <v>143.959</v>
      </c>
      <c r="AI40">
        <f ca="1">IF(AND(ISNUMBER($AI$358),$B$294=1),$AI$358,HLOOKUP(INDIRECT(ADDRESS(2,COLUMN())),OFFSET($BN$2,0,0,ROW()-1,60),ROW()-1,FALSE))</f>
        <v>130.66399999999999</v>
      </c>
      <c r="AJ40">
        <f ca="1">IF(AND(ISNUMBER($AJ$358),$B$294=1),$AJ$358,HLOOKUP(INDIRECT(ADDRESS(2,COLUMN())),OFFSET($BN$2,0,0,ROW()-1,60),ROW()-1,FALSE))</f>
        <v>144.58000000000001</v>
      </c>
      <c r="AK40">
        <f ca="1">IF(AND(ISNUMBER($AK$358),$B$294=1),$AK$358,HLOOKUP(INDIRECT(ADDRESS(2,COLUMN())),OFFSET($BN$2,0,0,ROW()-1,60),ROW()-1,FALSE))</f>
        <v>140.089</v>
      </c>
      <c r="AL40">
        <f ca="1">IF(AND(ISNUMBER($AL$358),$B$294=1),$AL$358,HLOOKUP(INDIRECT(ADDRESS(2,COLUMN())),OFFSET($BN$2,0,0,ROW()-1,60),ROW()-1,FALSE))</f>
        <v>135.57400000000001</v>
      </c>
      <c r="AM40">
        <f ca="1">IF(AND(ISNUMBER($AM$358),$B$294=1),$AM$358,HLOOKUP(INDIRECT(ADDRESS(2,COLUMN())),OFFSET($BN$2,0,0,ROW()-1,60),ROW()-1,FALSE))</f>
        <v>152.62799999999999</v>
      </c>
      <c r="AN40">
        <f ca="1">IF(AND(ISNUMBER($AN$358),$B$294=1),$AN$358,HLOOKUP(INDIRECT(ADDRESS(2,COLUMN())),OFFSET($BN$2,0,0,ROW()-1,60),ROW()-1,FALSE))</f>
        <v>137.79400000000001</v>
      </c>
      <c r="AO40">
        <f ca="1">IF(AND(ISNUMBER($AO$358),$B$294=1),$AO$358,HLOOKUP(INDIRECT(ADDRESS(2,COLUMN())),OFFSET($BN$2,0,0,ROW()-1,60),ROW()-1,FALSE))</f>
        <v>139.65299999999999</v>
      </c>
      <c r="AP40">
        <f ca="1">IF(AND(ISNUMBER($AP$358),$B$294=1),$AP$358,HLOOKUP(INDIRECT(ADDRESS(2,COLUMN())),OFFSET($BN$2,0,0,ROW()-1,60),ROW()-1,FALSE))</f>
        <v>137.33699999999999</v>
      </c>
      <c r="AQ40" t="str">
        <f ca="1">IF(AND(ISNUMBER($AQ$358),$B$294=1),$AQ$358,HLOOKUP(INDIRECT(ADDRESS(2,COLUMN())),OFFSET($BN$2,0,0,ROW()-1,60),ROW()-1,FALSE))</f>
        <v/>
      </c>
      <c r="AR40" t="str">
        <f ca="1">IF(AND(ISNUMBER($AR$358),$B$294=1),$AR$358,HLOOKUP(INDIRECT(ADDRESS(2,COLUMN())),OFFSET($BN$2,0,0,ROW()-1,60),ROW()-1,FALSE))</f>
        <v/>
      </c>
      <c r="AS40" t="str">
        <f ca="1">IF(AND(ISNUMBER($AS$358),$B$294=1),$AS$358,HLOOKUP(INDIRECT(ADDRESS(2,COLUMN())),OFFSET($BN$2,0,0,ROW()-1,60),ROW()-1,FALSE))</f>
        <v/>
      </c>
      <c r="AT40" t="str">
        <f ca="1">IF(AND(ISNUMBER($AT$358),$B$294=1),$AT$358,HLOOKUP(INDIRECT(ADDRESS(2,COLUMN())),OFFSET($BN$2,0,0,ROW()-1,60),ROW()-1,FALSE))</f>
        <v/>
      </c>
      <c r="AU40" t="str">
        <f ca="1">IF(AND(ISNUMBER($AU$358),$B$294=1),$AU$358,HLOOKUP(INDIRECT(ADDRESS(2,COLUMN())),OFFSET($BN$2,0,0,ROW()-1,60),ROW()-1,FALSE))</f>
        <v/>
      </c>
      <c r="AV40" t="str">
        <f ca="1">IF(AND(ISNUMBER($AV$358),$B$294=1),$AV$358,HLOOKUP(INDIRECT(ADDRESS(2,COLUMN())),OFFSET($BN$2,0,0,ROW()-1,60),ROW()-1,FALSE))</f>
        <v/>
      </c>
      <c r="AW40" t="str">
        <f ca="1">IF(AND(ISNUMBER($AW$358),$B$294=1),$AW$358,HLOOKUP(INDIRECT(ADDRESS(2,COLUMN())),OFFSET($BN$2,0,0,ROW()-1,60),ROW()-1,FALSE))</f>
        <v/>
      </c>
      <c r="AX40" t="str">
        <f ca="1">IF(AND(ISNUMBER($AX$358),$B$294=1),$AX$358,HLOOKUP(INDIRECT(ADDRESS(2,COLUMN())),OFFSET($BN$2,0,0,ROW()-1,60),ROW()-1,FALSE))</f>
        <v/>
      </c>
      <c r="AY40" t="str">
        <f ca="1">IF(AND(ISNUMBER($AY$358),$B$294=1),$AY$358,HLOOKUP(INDIRECT(ADDRESS(2,COLUMN())),OFFSET($BN$2,0,0,ROW()-1,60),ROW()-1,FALSE))</f>
        <v/>
      </c>
      <c r="AZ40" t="str">
        <f ca="1">IF(AND(ISNUMBER($AZ$358),$B$294=1),$AZ$358,HLOOKUP(INDIRECT(ADDRESS(2,COLUMN())),OFFSET($BN$2,0,0,ROW()-1,60),ROW()-1,FALSE))</f>
        <v/>
      </c>
      <c r="BA40" t="str">
        <f ca="1">IF(AND(ISNUMBER($BA$358),$B$294=1),$BA$358,HLOOKUP(INDIRECT(ADDRESS(2,COLUMN())),OFFSET($BN$2,0,0,ROW()-1,60),ROW()-1,FALSE))</f>
        <v/>
      </c>
      <c r="BB40" t="str">
        <f ca="1">IF(AND(ISNUMBER($BB$358),$B$294=1),$BB$358,HLOOKUP(INDIRECT(ADDRESS(2,COLUMN())),OFFSET($BN$2,0,0,ROW()-1,60),ROW()-1,FALSE))</f>
        <v/>
      </c>
      <c r="BC40" t="str">
        <f ca="1">IF(AND(ISNUMBER($BC$358),$B$294=1),$BC$358,HLOOKUP(INDIRECT(ADDRESS(2,COLUMN())),OFFSET($BN$2,0,0,ROW()-1,60),ROW()-1,FALSE))</f>
        <v/>
      </c>
      <c r="BD40" t="str">
        <f ca="1">IF(AND(ISNUMBER($BD$358),$B$294=1),$BD$358,HLOOKUP(INDIRECT(ADDRESS(2,COLUMN())),OFFSET($BN$2,0,0,ROW()-1,60),ROW()-1,FALSE))</f>
        <v/>
      </c>
      <c r="BE40" t="str">
        <f ca="1">IF(AND(ISNUMBER($BE$358),$B$294=1),$BE$358,HLOOKUP(INDIRECT(ADDRESS(2,COLUMN())),OFFSET($BN$2,0,0,ROW()-1,60),ROW()-1,FALSE))</f>
        <v/>
      </c>
      <c r="BF40" t="str">
        <f ca="1">IF(AND(ISNUMBER($BF$358),$B$294=1),$BF$358,HLOOKUP(INDIRECT(ADDRESS(2,COLUMN())),OFFSET($BN$2,0,0,ROW()-1,60),ROW()-1,FALSE))</f>
        <v/>
      </c>
      <c r="BG40" t="str">
        <f ca="1">IF(AND(ISNUMBER($BG$358),$B$294=1),$BG$358,HLOOKUP(INDIRECT(ADDRESS(2,COLUMN())),OFFSET($BN$2,0,0,ROW()-1,60),ROW()-1,FALSE))</f>
        <v/>
      </c>
      <c r="BH40" t="str">
        <f ca="1">IF(AND(ISNUMBER($BH$358),$B$294=1),$BH$358,HLOOKUP(INDIRECT(ADDRESS(2,COLUMN())),OFFSET($BN$2,0,0,ROW()-1,60),ROW()-1,FALSE))</f>
        <v/>
      </c>
      <c r="BI40" t="str">
        <f ca="1">IF(AND(ISNUMBER($BI$358),$B$294=1),$BI$358,HLOOKUP(INDIRECT(ADDRESS(2,COLUMN())),OFFSET($BN$2,0,0,ROW()-1,60),ROW()-1,FALSE))</f>
        <v/>
      </c>
      <c r="BJ40" t="str">
        <f ca="1">IF(AND(ISNUMBER($BJ$358),$B$294=1),$BJ$358,HLOOKUP(INDIRECT(ADDRESS(2,COLUMN())),OFFSET($BN$2,0,0,ROW()-1,60),ROW()-1,FALSE))</f>
        <v/>
      </c>
      <c r="BK40" t="str">
        <f ca="1">IF(AND(ISNUMBER($BK$358),$B$294=1),$BK$358,HLOOKUP(INDIRECT(ADDRESS(2,COLUMN())),OFFSET($BN$2,0,0,ROW()-1,60),ROW()-1,FALSE))</f>
        <v/>
      </c>
      <c r="BL40" t="str">
        <f ca="1">IF(AND(ISNUMBER($BL$358),$B$294=1),$BL$358,HLOOKUP(INDIRECT(ADDRESS(2,COLUMN())),OFFSET($BN$2,0,0,ROW()-1,60),ROW()-1,FALSE))</f>
        <v/>
      </c>
      <c r="BM40" t="str">
        <f ca="1">IF(AND(ISNUMBER($BM$358),$B$294=1),$BM$358,HLOOKUP(INDIRECT(ADDRESS(2,COLUMN())),OFFSET($BN$2,0,0,ROW()-1,60),ROW()-1,FALSE))</f>
        <v/>
      </c>
      <c r="BN40" t="str">
        <f>""</f>
        <v/>
      </c>
      <c r="BO40">
        <f>71.625</f>
        <v>71.625</v>
      </c>
      <c r="BP40">
        <f>60.362</f>
        <v>60.362000000000002</v>
      </c>
      <c r="BQ40">
        <f>74.857</f>
        <v>74.856999999999999</v>
      </c>
      <c r="BR40">
        <f>82.156</f>
        <v>82.156000000000006</v>
      </c>
      <c r="BS40">
        <f>105.768</f>
        <v>105.768</v>
      </c>
      <c r="BT40">
        <f>113.266</f>
        <v>113.26600000000001</v>
      </c>
      <c r="BU40">
        <f>127.93</f>
        <v>127.93</v>
      </c>
      <c r="BV40">
        <f>126.579</f>
        <v>126.57899999999999</v>
      </c>
      <c r="BW40">
        <f>132.679</f>
        <v>132.679</v>
      </c>
      <c r="BX40">
        <f>137.719</f>
        <v>137.71899999999999</v>
      </c>
      <c r="BY40">
        <f>148.124</f>
        <v>148.124</v>
      </c>
      <c r="BZ40">
        <f>147.543</f>
        <v>147.54300000000001</v>
      </c>
      <c r="CA40">
        <f>137.891</f>
        <v>137.89099999999999</v>
      </c>
      <c r="CB40">
        <f>136.981</f>
        <v>136.98099999999999</v>
      </c>
      <c r="CC40">
        <f>136.757</f>
        <v>136.75700000000001</v>
      </c>
      <c r="CD40">
        <f>129.168</f>
        <v>129.16800000000001</v>
      </c>
      <c r="CE40">
        <f>133.387</f>
        <v>133.387</v>
      </c>
      <c r="CF40">
        <f>132.502</f>
        <v>132.50200000000001</v>
      </c>
      <c r="CG40">
        <f>131.897</f>
        <v>131.89699999999999</v>
      </c>
      <c r="CH40">
        <f>128.792</f>
        <v>128.792</v>
      </c>
      <c r="CI40">
        <f>125.503</f>
        <v>125.503</v>
      </c>
      <c r="CJ40">
        <f>144.708</f>
        <v>144.708</v>
      </c>
      <c r="CK40">
        <f>140.971</f>
        <v>140.971</v>
      </c>
      <c r="CL40">
        <f>141.34</f>
        <v>141.34</v>
      </c>
      <c r="CM40">
        <f>122.392</f>
        <v>122.392</v>
      </c>
      <c r="CN40">
        <f>157.144</f>
        <v>157.14400000000001</v>
      </c>
      <c r="CO40">
        <f>152.894</f>
        <v>152.89400000000001</v>
      </c>
      <c r="CP40">
        <f>143.959</f>
        <v>143.959</v>
      </c>
      <c r="CQ40">
        <f>130.664</f>
        <v>130.66399999999999</v>
      </c>
      <c r="CR40">
        <f>144.58</f>
        <v>144.58000000000001</v>
      </c>
      <c r="CS40">
        <f>140.089</f>
        <v>140.089</v>
      </c>
      <c r="CT40">
        <f>135.574</f>
        <v>135.57400000000001</v>
      </c>
      <c r="CU40">
        <f>152.628</f>
        <v>152.62799999999999</v>
      </c>
      <c r="CV40">
        <f>137.794</f>
        <v>137.79400000000001</v>
      </c>
      <c r="CW40">
        <f>139.653</f>
        <v>139.65299999999999</v>
      </c>
      <c r="CX40">
        <f>137.337</f>
        <v>137.33699999999999</v>
      </c>
      <c r="CY40" t="str">
        <f>""</f>
        <v/>
      </c>
      <c r="CZ40" t="str">
        <f>""</f>
        <v/>
      </c>
      <c r="DA40" t="str">
        <f>""</f>
        <v/>
      </c>
      <c r="DB40" t="str">
        <f>""</f>
        <v/>
      </c>
      <c r="DC40" t="str">
        <f>""</f>
        <v/>
      </c>
      <c r="DD40" t="str">
        <f>""</f>
        <v/>
      </c>
      <c r="DE40" t="str">
        <f>""</f>
        <v/>
      </c>
      <c r="DF40" t="str">
        <f>""</f>
        <v/>
      </c>
      <c r="DG40" t="str">
        <f>""</f>
        <v/>
      </c>
      <c r="DH40" t="str">
        <f>""</f>
        <v/>
      </c>
      <c r="DI40" t="str">
        <f>""</f>
        <v/>
      </c>
      <c r="DJ40" t="str">
        <f>""</f>
        <v/>
      </c>
      <c r="DK40" t="str">
        <f>""</f>
        <v/>
      </c>
      <c r="DL40" t="str">
        <f>""</f>
        <v/>
      </c>
      <c r="DM40" t="str">
        <f>""</f>
        <v/>
      </c>
      <c r="DN40" t="str">
        <f>""</f>
        <v/>
      </c>
      <c r="DO40" t="str">
        <f>""</f>
        <v/>
      </c>
      <c r="DP40" t="str">
        <f>""</f>
        <v/>
      </c>
      <c r="DQ40" t="str">
        <f>""</f>
        <v/>
      </c>
      <c r="DR40" t="str">
        <f>""</f>
        <v/>
      </c>
      <c r="DS40" t="str">
        <f>""</f>
        <v/>
      </c>
      <c r="DT40" t="str">
        <f>""</f>
        <v/>
      </c>
      <c r="DU40" t="str">
        <f>""</f>
        <v/>
      </c>
    </row>
    <row r="41" spans="1:125">
      <c r="A41" t="str">
        <f>"    Corporate Office Properties Tr"</f>
        <v xml:space="preserve">    Corporate Office Properties Tr</v>
      </c>
      <c r="B41" t="str">
        <f>"OFC US Equity"</f>
        <v>OFC US Equity</v>
      </c>
      <c r="C41" t="str">
        <f t="shared" si="9"/>
        <v>IS010</v>
      </c>
      <c r="D41" t="str">
        <f t="shared" si="10"/>
        <v>SALES_REV_TURN</v>
      </c>
      <c r="E41" t="str">
        <f t="shared" si="11"/>
        <v>动态</v>
      </c>
      <c r="F41" t="str">
        <f ca="1">IF(AND(ISNUMBER($F$359),$B$294=1),$F$359,HLOOKUP(INDIRECT(ADDRESS(2,COLUMN())),OFFSET($BN$2,0,0,ROW()-1,60),ROW()-1,FALSE))</f>
        <v/>
      </c>
      <c r="G41">
        <f ca="1">IF(AND(ISNUMBER($G$359),$B$294=1),$G$359,HLOOKUP(INDIRECT(ADDRESS(2,COLUMN())),OFFSET($BN$2,0,0,ROW()-1,60),ROW()-1,FALSE))</f>
        <v>164.56700000000001</v>
      </c>
      <c r="H41">
        <f ca="1">IF(AND(ISNUMBER($H$359),$B$294=1),$H$359,HLOOKUP(INDIRECT(ADDRESS(2,COLUMN())),OFFSET($BN$2,0,0,ROW()-1,60),ROW()-1,FALSE))</f>
        <v>157.017</v>
      </c>
      <c r="I41">
        <f ca="1">IF(AND(ISNUMBER($I$359),$B$294=1),$I$359,HLOOKUP(INDIRECT(ADDRESS(2,COLUMN())),OFFSET($BN$2,0,0,ROW()-1,60),ROW()-1,FALSE))</f>
        <v>151.435</v>
      </c>
      <c r="J41">
        <f ca="1">IF(AND(ISNUMBER($J$359),$B$294=1),$J$359,HLOOKUP(INDIRECT(ADDRESS(2,COLUMN())),OFFSET($BN$2,0,0,ROW()-1,60),ROW()-1,FALSE))</f>
        <v>139.80099999999999</v>
      </c>
      <c r="K41">
        <f ca="1">IF(AND(ISNUMBER($K$359),$B$294=1),$K$359,HLOOKUP(INDIRECT(ADDRESS(2,COLUMN())),OFFSET($BN$2,0,0,ROW()-1,60),ROW()-1,FALSE))</f>
        <v>141.99100000000001</v>
      </c>
      <c r="L41">
        <f ca="1">IF(AND(ISNUMBER($L$359),$B$294=1),$L$359,HLOOKUP(INDIRECT(ADDRESS(2,COLUMN())),OFFSET($BN$2,0,0,ROW()-1,60),ROW()-1,FALSE))</f>
        <v>142.10300000000001</v>
      </c>
      <c r="M41">
        <f ca="1">IF(AND(ISNUMBER($M$359),$B$294=1),$M$359,HLOOKUP(INDIRECT(ADDRESS(2,COLUMN())),OFFSET($BN$2,0,0,ROW()-1,60),ROW()-1,FALSE))</f>
        <v>145.92699999999999</v>
      </c>
      <c r="N41">
        <f ca="1">IF(AND(ISNUMBER($N$359),$B$294=1),$N$359,HLOOKUP(INDIRECT(ADDRESS(2,COLUMN())),OFFSET($BN$2,0,0,ROW()-1,60),ROW()-1,FALSE))</f>
        <v>144.30699999999999</v>
      </c>
      <c r="O41">
        <f ca="1">IF(AND(ISNUMBER($O$359),$B$294=1),$O$359,HLOOKUP(INDIRECT(ADDRESS(2,COLUMN())),OFFSET($BN$2,0,0,ROW()-1,60),ROW()-1,FALSE))</f>
        <v>143.32499999999999</v>
      </c>
      <c r="P41">
        <f ca="1">IF(AND(ISNUMBER($P$359),$B$294=1),$P$359,HLOOKUP(INDIRECT(ADDRESS(2,COLUMN())),OFFSET($BN$2,0,0,ROW()-1,60),ROW()-1,FALSE))</f>
        <v>150.744</v>
      </c>
      <c r="Q41">
        <f ca="1">IF(AND(ISNUMBER($Q$359),$B$294=1),$Q$359,HLOOKUP(INDIRECT(ADDRESS(2,COLUMN())),OFFSET($BN$2,0,0,ROW()-1,60),ROW()-1,FALSE))</f>
        <v>170.363</v>
      </c>
      <c r="R41">
        <f ca="1">IF(AND(ISNUMBER($R$359),$B$294=1),$R$359,HLOOKUP(INDIRECT(ADDRESS(2,COLUMN())),OFFSET($BN$2,0,0,ROW()-1,60),ROW()-1,FALSE))</f>
        <v>161.03399999999999</v>
      </c>
      <c r="S41">
        <f ca="1">IF(AND(ISNUMBER($S$359),$B$294=1),$S$359,HLOOKUP(INDIRECT(ADDRESS(2,COLUMN())),OFFSET($BN$2,0,0,ROW()-1,60),ROW()-1,FALSE))</f>
        <v>146.971</v>
      </c>
      <c r="T41">
        <f ca="1">IF(AND(ISNUMBER($T$359),$B$294=1),$T$359,HLOOKUP(INDIRECT(ADDRESS(2,COLUMN())),OFFSET($BN$2,0,0,ROW()-1,60),ROW()-1,FALSE))</f>
        <v>153.01499999999999</v>
      </c>
      <c r="U41">
        <f ca="1">IF(AND(ISNUMBER($U$359),$B$294=1),$U$359,HLOOKUP(INDIRECT(ADDRESS(2,COLUMN())),OFFSET($BN$2,0,0,ROW()-1,60),ROW()-1,FALSE))</f>
        <v>139.82</v>
      </c>
      <c r="V41">
        <f ca="1">IF(AND(ISNUMBER($V$359),$B$294=1),$V$359,HLOOKUP(INDIRECT(ADDRESS(2,COLUMN())),OFFSET($BN$2,0,0,ROW()-1,60),ROW()-1,FALSE))</f>
        <v>146.667</v>
      </c>
      <c r="W41">
        <f ca="1">IF(AND(ISNUMBER($W$359),$B$294=1),$W$359,HLOOKUP(INDIRECT(ADDRESS(2,COLUMN())),OFFSET($BN$2,0,0,ROW()-1,60),ROW()-1,FALSE))</f>
        <v>128.80199999999999</v>
      </c>
      <c r="X41">
        <f ca="1">IF(AND(ISNUMBER($X$359),$B$294=1),$X$359,HLOOKUP(INDIRECT(ADDRESS(2,COLUMN())),OFFSET($BN$2,0,0,ROW()-1,60),ROW()-1,FALSE))</f>
        <v>131.81200000000001</v>
      </c>
      <c r="Y41">
        <f ca="1">IF(AND(ISNUMBER($Y$359),$B$294=1),$Y$359,HLOOKUP(INDIRECT(ADDRESS(2,COLUMN())),OFFSET($BN$2,0,0,ROW()-1,60),ROW()-1,FALSE))</f>
        <v>136.52699999999999</v>
      </c>
      <c r="Z41">
        <f ca="1">IF(AND(ISNUMBER($Z$359),$B$294=1),$Z$359,HLOOKUP(INDIRECT(ADDRESS(2,COLUMN())),OFFSET($BN$2,0,0,ROW()-1,60),ROW()-1,FALSE))</f>
        <v>126.21899999999999</v>
      </c>
      <c r="AA41">
        <f ca="1">IF(AND(ISNUMBER($AA$359),$B$294=1),$AA$359,HLOOKUP(INDIRECT(ADDRESS(2,COLUMN())),OFFSET($BN$2,0,0,ROW()-1,60),ROW()-1,FALSE))</f>
        <v>132.63499999999999</v>
      </c>
      <c r="AB41">
        <f ca="1">IF(AND(ISNUMBER($AB$359),$B$294=1),$AB$359,HLOOKUP(INDIRECT(ADDRESS(2,COLUMN())),OFFSET($BN$2,0,0,ROW()-1,60),ROW()-1,FALSE))</f>
        <v>130.14400000000001</v>
      </c>
      <c r="AC41">
        <f ca="1">IF(AND(ISNUMBER($AC$359),$B$294=1),$AC$359,HLOOKUP(INDIRECT(ADDRESS(2,COLUMN())),OFFSET($BN$2,0,0,ROW()-1,60),ROW()-1,FALSE))</f>
        <v>127.664</v>
      </c>
      <c r="AD41">
        <f ca="1">IF(AND(ISNUMBER($AD$359),$B$294=1),$AD$359,HLOOKUP(INDIRECT(ADDRESS(2,COLUMN())),OFFSET($BN$2,0,0,ROW()-1,60),ROW()-1,FALSE))</f>
        <v>132.19499999999999</v>
      </c>
      <c r="AE41">
        <f ca="1">IF(AND(ISNUMBER($AE$359),$B$294=1),$AE$359,HLOOKUP(INDIRECT(ADDRESS(2,COLUMN())),OFFSET($BN$2,0,0,ROW()-1,60),ROW()-1,FALSE))</f>
        <v>127.974</v>
      </c>
      <c r="AF41">
        <f ca="1">IF(AND(ISNUMBER($AF$359),$B$294=1),$AF$359,HLOOKUP(INDIRECT(ADDRESS(2,COLUMN())),OFFSET($BN$2,0,0,ROW()-1,60),ROW()-1,FALSE))</f>
        <v>126.70699999999999</v>
      </c>
      <c r="AG41">
        <f ca="1">IF(AND(ISNUMBER($AG$359),$B$294=1),$AG$359,HLOOKUP(INDIRECT(ADDRESS(2,COLUMN())),OFFSET($BN$2,0,0,ROW()-1,60),ROW()-1,FALSE))</f>
        <v>137.11600000000001</v>
      </c>
      <c r="AH41">
        <f ca="1">IF(AND(ISNUMBER($AH$359),$B$294=1),$AH$359,HLOOKUP(INDIRECT(ADDRESS(2,COLUMN())),OFFSET($BN$2,0,0,ROW()-1,60),ROW()-1,FALSE))</f>
        <v>137.489</v>
      </c>
      <c r="AI41">
        <f ca="1">IF(AND(ISNUMBER($AI$359),$B$294=1),$AI$359,HLOOKUP(INDIRECT(ADDRESS(2,COLUMN())),OFFSET($BN$2,0,0,ROW()-1,60),ROW()-1,FALSE))</f>
        <v>144.19499999999999</v>
      </c>
      <c r="AJ41">
        <f ca="1">IF(AND(ISNUMBER($AJ$359),$B$294=1),$AJ$359,HLOOKUP(INDIRECT(ADDRESS(2,COLUMN())),OFFSET($BN$2,0,0,ROW()-1,60),ROW()-1,FALSE))</f>
        <v>124.682</v>
      </c>
      <c r="AK41">
        <f ca="1">IF(AND(ISNUMBER($AK$359),$B$294=1),$AK$359,HLOOKUP(INDIRECT(ADDRESS(2,COLUMN())),OFFSET($BN$2,0,0,ROW()-1,60),ROW()-1,FALSE))</f>
        <v>132.79400000000001</v>
      </c>
      <c r="AL41">
        <f ca="1">IF(AND(ISNUMBER($AL$359),$B$294=1),$AL$359,HLOOKUP(INDIRECT(ADDRESS(2,COLUMN())),OFFSET($BN$2,0,0,ROW()-1,60),ROW()-1,FALSE))</f>
        <v>149.59299999999999</v>
      </c>
      <c r="AM41">
        <f ca="1">IF(AND(ISNUMBER($AM$359),$B$294=1),$AM$359,HLOOKUP(INDIRECT(ADDRESS(2,COLUMN())),OFFSET($BN$2,0,0,ROW()-1,60),ROW()-1,FALSE))</f>
        <v>178.29</v>
      </c>
      <c r="AN41">
        <f ca="1">IF(AND(ISNUMBER($AN$359),$B$294=1),$AN$359,HLOOKUP(INDIRECT(ADDRESS(2,COLUMN())),OFFSET($BN$2,0,0,ROW()-1,60),ROW()-1,FALSE))</f>
        <v>199.453</v>
      </c>
      <c r="AO41">
        <f ca="1">IF(AND(ISNUMBER($AO$359),$B$294=1),$AO$359,HLOOKUP(INDIRECT(ADDRESS(2,COLUMN())),OFFSET($BN$2,0,0,ROW()-1,60),ROW()-1,FALSE))</f>
        <v>208.33099999999999</v>
      </c>
      <c r="AP41">
        <f ca="1">IF(AND(ISNUMBER($AP$359),$B$294=1),$AP$359,HLOOKUP(INDIRECT(ADDRESS(2,COLUMN())),OFFSET($BN$2,0,0,ROW()-1,60),ROW()-1,FALSE))</f>
        <v>180.99700000000001</v>
      </c>
      <c r="AQ41">
        <f ca="1">IF(AND(ISNUMBER($AQ$359),$B$294=1),$AQ$359,HLOOKUP(INDIRECT(ADDRESS(2,COLUMN())),OFFSET($BN$2,0,0,ROW()-1,60),ROW()-1,FALSE))</f>
        <v>168.30600000000001</v>
      </c>
      <c r="AR41">
        <f ca="1">IF(AND(ISNUMBER($AR$359),$B$294=1),$AR$359,HLOOKUP(INDIRECT(ADDRESS(2,COLUMN())),OFFSET($BN$2,0,0,ROW()-1,60),ROW()-1,FALSE))</f>
        <v>191.08799999999999</v>
      </c>
      <c r="AS41">
        <f ca="1">IF(AND(ISNUMBER($AS$359),$B$294=1),$AS$359,HLOOKUP(INDIRECT(ADDRESS(2,COLUMN())),OFFSET($BN$2,0,0,ROW()-1,60),ROW()-1,FALSE))</f>
        <v>120.37</v>
      </c>
      <c r="AT41">
        <f ca="1">IF(AND(ISNUMBER($AT$359),$B$294=1),$AT$359,HLOOKUP(INDIRECT(ADDRESS(2,COLUMN())),OFFSET($BN$2,0,0,ROW()-1,60),ROW()-1,FALSE))</f>
        <v>107.616</v>
      </c>
      <c r="AU41">
        <f ca="1">IF(AND(ISNUMBER($AU$359),$B$294=1),$AU$359,HLOOKUP(INDIRECT(ADDRESS(2,COLUMN())),OFFSET($BN$2,0,0,ROW()-1,60),ROW()-1,FALSE))</f>
        <v>100.465</v>
      </c>
      <c r="AV41">
        <f ca="1">IF(AND(ISNUMBER($AV$359),$B$294=1),$AV$359,HLOOKUP(INDIRECT(ADDRESS(2,COLUMN())),OFFSET($BN$2,0,0,ROW()-1,60),ROW()-1,FALSE))</f>
        <v>105.521</v>
      </c>
      <c r="AW41">
        <f ca="1">IF(AND(ISNUMBER($AW$359),$B$294=1),$AW$359,HLOOKUP(INDIRECT(ADDRESS(2,COLUMN())),OFFSET($BN$2,0,0,ROW()-1,60),ROW()-1,FALSE))</f>
        <v>102.06699999999999</v>
      </c>
      <c r="AX41">
        <f ca="1">IF(AND(ISNUMBER($AX$359),$B$294=1),$AX$359,HLOOKUP(INDIRECT(ADDRESS(2,COLUMN())),OFFSET($BN$2,0,0,ROW()-1,60),ROW()-1,FALSE))</f>
        <v>99.085999999999999</v>
      </c>
      <c r="AY41">
        <f ca="1">IF(AND(ISNUMBER($AY$359),$B$294=1),$AY$359,HLOOKUP(INDIRECT(ADDRESS(2,COLUMN())),OFFSET($BN$2,0,0,ROW()-1,60),ROW()-1,FALSE))</f>
        <v>91.561999999999998</v>
      </c>
      <c r="AZ41">
        <f ca="1">IF(AND(ISNUMBER($AZ$359),$B$294=1),$AZ$359,HLOOKUP(INDIRECT(ADDRESS(2,COLUMN())),OFFSET($BN$2,0,0,ROW()-1,60),ROW()-1,FALSE))</f>
        <v>91.66</v>
      </c>
      <c r="BA41">
        <f ca="1">IF(AND(ISNUMBER($BA$359),$B$294=1),$BA$359,HLOOKUP(INDIRECT(ADDRESS(2,COLUMN())),OFFSET($BN$2,0,0,ROW()-1,60),ROW()-1,FALSE))</f>
        <v>84.909000000000006</v>
      </c>
      <c r="BB41">
        <f ca="1">IF(AND(ISNUMBER($BB$359),$B$294=1),$BB$359,HLOOKUP(INDIRECT(ADDRESS(2,COLUMN())),OFFSET($BN$2,0,0,ROW()-1,60),ROW()-1,FALSE))</f>
        <v>85.531000000000006</v>
      </c>
      <c r="BC41">
        <f ca="1">IF(AND(ISNUMBER($BC$359),$B$294=1),$BC$359,HLOOKUP(INDIRECT(ADDRESS(2,COLUMN())),OFFSET($BN$2,0,0,ROW()-1,60),ROW()-1,FALSE))</f>
        <v>77.013999999999996</v>
      </c>
      <c r="BD41">
        <f ca="1">IF(AND(ISNUMBER($BD$359),$B$294=1),$BD$359,HLOOKUP(INDIRECT(ADDRESS(2,COLUMN())),OFFSET($BN$2,0,0,ROW()-1,60),ROW()-1,FALSE))</f>
        <v>90.792000000000002</v>
      </c>
      <c r="BE41">
        <f ca="1">IF(AND(ISNUMBER($BE$359),$B$294=1),$BE$359,HLOOKUP(INDIRECT(ADDRESS(2,COLUMN())),OFFSET($BN$2,0,0,ROW()-1,60),ROW()-1,FALSE))</f>
        <v>77.475999999999999</v>
      </c>
      <c r="BF41">
        <f ca="1">IF(AND(ISNUMBER($BF$359),$B$294=1),$BF$359,HLOOKUP(INDIRECT(ADDRESS(2,COLUMN())),OFFSET($BN$2,0,0,ROW()-1,60),ROW()-1,FALSE))</f>
        <v>76.025000000000006</v>
      </c>
      <c r="BG41">
        <f ca="1">IF(AND(ISNUMBER($BG$359),$B$294=1),$BG$359,HLOOKUP(INDIRECT(ADDRESS(2,COLUMN())),OFFSET($BN$2,0,0,ROW()-1,60),ROW()-1,FALSE))</f>
        <v>64.47</v>
      </c>
      <c r="BH41">
        <f ca="1">IF(AND(ISNUMBER($BH$359),$B$294=1),$BH$359,HLOOKUP(INDIRECT(ADDRESS(2,COLUMN())),OFFSET($BN$2,0,0,ROW()-1,60),ROW()-1,FALSE))</f>
        <v>59.741999999999997</v>
      </c>
      <c r="BI41">
        <f ca="1">IF(AND(ISNUMBER($BI$359),$B$294=1),$BI$359,HLOOKUP(INDIRECT(ADDRESS(2,COLUMN())),OFFSET($BN$2,0,0,ROW()-1,60),ROW()-1,FALSE))</f>
        <v>60.250999999999998</v>
      </c>
      <c r="BJ41">
        <f ca="1">IF(AND(ISNUMBER($BJ$359),$B$294=1),$BJ$359,HLOOKUP(INDIRECT(ADDRESS(2,COLUMN())),OFFSET($BN$2,0,0,ROW()-1,60),ROW()-1,FALSE))</f>
        <v>56.829000000000001</v>
      </c>
      <c r="BK41">
        <f ca="1">IF(AND(ISNUMBER($BK$359),$B$294=1),$BK$359,HLOOKUP(INDIRECT(ADDRESS(2,COLUMN())),OFFSET($BN$2,0,0,ROW()-1,60),ROW()-1,FALSE))</f>
        <v>46.578998570000003</v>
      </c>
      <c r="BL41">
        <f ca="1">IF(AND(ISNUMBER($BL$359),$B$294=1),$BL$359,HLOOKUP(INDIRECT(ADDRESS(2,COLUMN())),OFFSET($BN$2,0,0,ROW()-1,60),ROW()-1,FALSE))</f>
        <v>65.251000000000005</v>
      </c>
      <c r="BM41">
        <f ca="1">IF(AND(ISNUMBER($BM$359),$B$294=1),$BM$359,HLOOKUP(INDIRECT(ADDRESS(2,COLUMN())),OFFSET($BN$2,0,0,ROW()-1,60),ROW()-1,FALSE))</f>
        <v>43.069000000000003</v>
      </c>
      <c r="BN41" t="str">
        <f>""</f>
        <v/>
      </c>
      <c r="BO41">
        <f>164.567</f>
        <v>164.56700000000001</v>
      </c>
      <c r="BP41">
        <f>157.017</f>
        <v>157.017</v>
      </c>
      <c r="BQ41">
        <f>151.435</f>
        <v>151.435</v>
      </c>
      <c r="BR41">
        <f>139.801</f>
        <v>139.80099999999999</v>
      </c>
      <c r="BS41">
        <f>141.991</f>
        <v>141.99100000000001</v>
      </c>
      <c r="BT41">
        <f>142.103</f>
        <v>142.10300000000001</v>
      </c>
      <c r="BU41">
        <f>145.927</f>
        <v>145.92699999999999</v>
      </c>
      <c r="BV41">
        <f>144.307</f>
        <v>144.30699999999999</v>
      </c>
      <c r="BW41">
        <f>143.325</f>
        <v>143.32499999999999</v>
      </c>
      <c r="BX41">
        <f>150.744</f>
        <v>150.744</v>
      </c>
      <c r="BY41">
        <f>170.363</f>
        <v>170.363</v>
      </c>
      <c r="BZ41">
        <f>161.034</f>
        <v>161.03399999999999</v>
      </c>
      <c r="CA41">
        <f>146.971</f>
        <v>146.971</v>
      </c>
      <c r="CB41">
        <f>153.015</f>
        <v>153.01499999999999</v>
      </c>
      <c r="CC41">
        <f>139.82</f>
        <v>139.82</v>
      </c>
      <c r="CD41">
        <f>146.667</f>
        <v>146.667</v>
      </c>
      <c r="CE41">
        <f>128.802</f>
        <v>128.80199999999999</v>
      </c>
      <c r="CF41">
        <f>131.812</f>
        <v>131.81200000000001</v>
      </c>
      <c r="CG41">
        <f>136.527</f>
        <v>136.52699999999999</v>
      </c>
      <c r="CH41">
        <f>126.219</f>
        <v>126.21899999999999</v>
      </c>
      <c r="CI41">
        <f>132.635</f>
        <v>132.63499999999999</v>
      </c>
      <c r="CJ41">
        <f>130.144</f>
        <v>130.14400000000001</v>
      </c>
      <c r="CK41">
        <f>127.664</f>
        <v>127.664</v>
      </c>
      <c r="CL41">
        <f>132.195</f>
        <v>132.19499999999999</v>
      </c>
      <c r="CM41">
        <f>127.974</f>
        <v>127.974</v>
      </c>
      <c r="CN41">
        <f>126.707</f>
        <v>126.70699999999999</v>
      </c>
      <c r="CO41">
        <f>137.116</f>
        <v>137.11600000000001</v>
      </c>
      <c r="CP41">
        <f>137.489</f>
        <v>137.489</v>
      </c>
      <c r="CQ41">
        <f>144.195</f>
        <v>144.19499999999999</v>
      </c>
      <c r="CR41">
        <f>124.682</f>
        <v>124.682</v>
      </c>
      <c r="CS41">
        <f>132.794</f>
        <v>132.79400000000001</v>
      </c>
      <c r="CT41">
        <f>149.593</f>
        <v>149.59299999999999</v>
      </c>
      <c r="CU41">
        <f>178.29</f>
        <v>178.29</v>
      </c>
      <c r="CV41">
        <f>199.453</f>
        <v>199.453</v>
      </c>
      <c r="CW41">
        <f>208.331</f>
        <v>208.33099999999999</v>
      </c>
      <c r="CX41">
        <f>180.997</f>
        <v>180.99700000000001</v>
      </c>
      <c r="CY41">
        <f>168.306</f>
        <v>168.30600000000001</v>
      </c>
      <c r="CZ41">
        <f>191.088</f>
        <v>191.08799999999999</v>
      </c>
      <c r="DA41">
        <f>120.37</f>
        <v>120.37</v>
      </c>
      <c r="DB41">
        <f>107.616</f>
        <v>107.616</v>
      </c>
      <c r="DC41">
        <f>100.465</f>
        <v>100.465</v>
      </c>
      <c r="DD41">
        <f>105.521</f>
        <v>105.521</v>
      </c>
      <c r="DE41">
        <f>102.067</f>
        <v>102.06699999999999</v>
      </c>
      <c r="DF41">
        <f>99.086</f>
        <v>99.085999999999999</v>
      </c>
      <c r="DG41">
        <f>91.562</f>
        <v>91.561999999999998</v>
      </c>
      <c r="DH41">
        <f>91.66</f>
        <v>91.66</v>
      </c>
      <c r="DI41">
        <f>84.909</f>
        <v>84.909000000000006</v>
      </c>
      <c r="DJ41">
        <f>85.531</f>
        <v>85.531000000000006</v>
      </c>
      <c r="DK41">
        <f>77.014</f>
        <v>77.013999999999996</v>
      </c>
      <c r="DL41">
        <f>90.792</f>
        <v>90.792000000000002</v>
      </c>
      <c r="DM41">
        <f>77.476</f>
        <v>77.475999999999999</v>
      </c>
      <c r="DN41">
        <f>76.025</f>
        <v>76.025000000000006</v>
      </c>
      <c r="DO41">
        <f>64.47</f>
        <v>64.47</v>
      </c>
      <c r="DP41">
        <f>59.742</f>
        <v>59.741999999999997</v>
      </c>
      <c r="DQ41">
        <f>60.251</f>
        <v>60.250999999999998</v>
      </c>
      <c r="DR41">
        <f>56.829</f>
        <v>56.829000000000001</v>
      </c>
      <c r="DS41">
        <f>46.57899857</f>
        <v>46.578998570000003</v>
      </c>
      <c r="DT41">
        <f>65.251</f>
        <v>65.251000000000005</v>
      </c>
      <c r="DU41">
        <f>43.069</f>
        <v>43.069000000000003</v>
      </c>
    </row>
    <row r="42" spans="1:125">
      <c r="A42" t="str">
        <f>"    Highwoods Properties Inc"</f>
        <v xml:space="preserve">    Highwoods Properties Inc</v>
      </c>
      <c r="B42" t="str">
        <f>"HIW US Equity"</f>
        <v>HIW US Equity</v>
      </c>
      <c r="C42" t="str">
        <f t="shared" si="9"/>
        <v>IS010</v>
      </c>
      <c r="D42" t="str">
        <f t="shared" si="10"/>
        <v>SALES_REV_TURN</v>
      </c>
      <c r="E42" t="str">
        <f t="shared" si="11"/>
        <v>动态</v>
      </c>
      <c r="F42" t="str">
        <f ca="1">IF(AND(ISNUMBER($F$360),$B$294=1),$F$360,HLOOKUP(INDIRECT(ADDRESS(2,COLUMN())),OFFSET($BN$2,0,0,ROW()-1,60),ROW()-1,FALSE))</f>
        <v/>
      </c>
      <c r="G42">
        <f ca="1">IF(AND(ISNUMBER($G$360),$B$294=1),$G$360,HLOOKUP(INDIRECT(ADDRESS(2,COLUMN())),OFFSET($BN$2,0,0,ROW()-1,60),ROW()-1,FALSE))</f>
        <v>175.86099999999999</v>
      </c>
      <c r="H42">
        <f ca="1">IF(AND(ISNUMBER($H$360),$B$294=1),$H$360,HLOOKUP(INDIRECT(ADDRESS(2,COLUMN())),OFFSET($BN$2,0,0,ROW()-1,60),ROW()-1,FALSE))</f>
        <v>180.185</v>
      </c>
      <c r="I42">
        <f ca="1">IF(AND(ISNUMBER($I$360),$B$294=1),$I$360,HLOOKUP(INDIRECT(ADDRESS(2,COLUMN())),OFFSET($BN$2,0,0,ROW()-1,60),ROW()-1,FALSE))</f>
        <v>177.28299999999999</v>
      </c>
      <c r="J42">
        <f ca="1">IF(AND(ISNUMBER($J$360),$B$294=1),$J$360,HLOOKUP(INDIRECT(ADDRESS(2,COLUMN())),OFFSET($BN$2,0,0,ROW()-1,60),ROW()-1,FALSE))</f>
        <v>169.40799999999999</v>
      </c>
      <c r="K42">
        <f ca="1">IF(AND(ISNUMBER($K$360),$B$294=1),$K$360,HLOOKUP(INDIRECT(ADDRESS(2,COLUMN())),OFFSET($BN$2,0,0,ROW()-1,60),ROW()-1,FALSE))</f>
        <v>167.64599999999999</v>
      </c>
      <c r="L42">
        <f ca="1">IF(AND(ISNUMBER($L$360),$B$294=1),$L$360,HLOOKUP(INDIRECT(ADDRESS(2,COLUMN())),OFFSET($BN$2,0,0,ROW()-1,60),ROW()-1,FALSE))</f>
        <v>166.26900000000001</v>
      </c>
      <c r="M42">
        <f ca="1">IF(AND(ISNUMBER($M$360),$B$294=1),$M$360,HLOOKUP(INDIRECT(ADDRESS(2,COLUMN())),OFFSET($BN$2,0,0,ROW()-1,60),ROW()-1,FALSE))</f>
        <v>166.86</v>
      </c>
      <c r="N42">
        <f ca="1">IF(AND(ISNUMBER($N$360),$B$294=1),$N$360,HLOOKUP(INDIRECT(ADDRESS(2,COLUMN())),OFFSET($BN$2,0,0,ROW()-1,60),ROW()-1,FALSE))</f>
        <v>164.85900000000001</v>
      </c>
      <c r="O42">
        <f ca="1">IF(AND(ISNUMBER($O$360),$B$294=1),$O$360,HLOOKUP(INDIRECT(ADDRESS(2,COLUMN())),OFFSET($BN$2,0,0,ROW()-1,60),ROW()-1,FALSE))</f>
        <v>160.126</v>
      </c>
      <c r="P42">
        <f ca="1">IF(AND(ISNUMBER($P$360),$B$294=1),$P$360,HLOOKUP(INDIRECT(ADDRESS(2,COLUMN())),OFFSET($BN$2,0,0,ROW()-1,60),ROW()-1,FALSE))</f>
        <v>163.73599999999999</v>
      </c>
      <c r="Q42">
        <f ca="1">IF(AND(ISNUMBER($Q$360),$B$294=1),$Q$360,HLOOKUP(INDIRECT(ADDRESS(2,COLUMN())),OFFSET($BN$2,0,0,ROW()-1,60),ROW()-1,FALSE))</f>
        <v>148.54300000000001</v>
      </c>
      <c r="R42">
        <f ca="1">IF(AND(ISNUMBER($R$360),$B$294=1),$R$360,HLOOKUP(INDIRECT(ADDRESS(2,COLUMN())),OFFSET($BN$2,0,0,ROW()-1,60),ROW()-1,FALSE))</f>
        <v>157.31</v>
      </c>
      <c r="S42">
        <f ca="1">IF(AND(ISNUMBER($S$360),$B$294=1),$S$360,HLOOKUP(INDIRECT(ADDRESS(2,COLUMN())),OFFSET($BN$2,0,0,ROW()-1,60),ROW()-1,FALSE))</f>
        <v>140.72399999999999</v>
      </c>
      <c r="T42">
        <f ca="1">IF(AND(ISNUMBER($T$360),$B$294=1),$T$360,HLOOKUP(INDIRECT(ADDRESS(2,COLUMN())),OFFSET($BN$2,0,0,ROW()-1,60),ROW()-1,FALSE))</f>
        <v>152.62899999999999</v>
      </c>
      <c r="U42">
        <f ca="1">IF(AND(ISNUMBER($U$360),$B$294=1),$U$360,HLOOKUP(INDIRECT(ADDRESS(2,COLUMN())),OFFSET($BN$2,0,0,ROW()-1,60),ROW()-1,FALSE))</f>
        <v>152.72200000000001</v>
      </c>
      <c r="V42">
        <f ca="1">IF(AND(ISNUMBER($V$360),$B$294=1),$V$360,HLOOKUP(INDIRECT(ADDRESS(2,COLUMN())),OFFSET($BN$2,0,0,ROW()-1,60),ROW()-1,FALSE))</f>
        <v>148.453</v>
      </c>
      <c r="W42">
        <f ca="1">IF(AND(ISNUMBER($W$360),$B$294=1),$W$360,HLOOKUP(INDIRECT(ADDRESS(2,COLUMN())),OFFSET($BN$2,0,0,ROW()-1,60),ROW()-1,FALSE))</f>
        <v>148.988</v>
      </c>
      <c r="X42">
        <f ca="1">IF(AND(ISNUMBER($X$360),$B$294=1),$X$360,HLOOKUP(INDIRECT(ADDRESS(2,COLUMN())),OFFSET($BN$2,0,0,ROW()-1,60),ROW()-1,FALSE))</f>
        <v>144.827</v>
      </c>
      <c r="Y42">
        <f ca="1">IF(AND(ISNUMBER($Y$360),$B$294=1),$Y$360,HLOOKUP(INDIRECT(ADDRESS(2,COLUMN())),OFFSET($BN$2,0,0,ROW()-1,60),ROW()-1,FALSE))</f>
        <v>132.61799999999999</v>
      </c>
      <c r="Z42">
        <f ca="1">IF(AND(ISNUMBER($Z$360),$B$294=1),$Z$360,HLOOKUP(INDIRECT(ADDRESS(2,COLUMN())),OFFSET($BN$2,0,0,ROW()-1,60),ROW()-1,FALSE))</f>
        <v>130.37700000000001</v>
      </c>
      <c r="AA42">
        <f ca="1">IF(AND(ISNUMBER($AA$360),$B$294=1),$AA$360,HLOOKUP(INDIRECT(ADDRESS(2,COLUMN())),OFFSET($BN$2,0,0,ROW()-1,60),ROW()-1,FALSE))</f>
        <v>126.316</v>
      </c>
      <c r="AB42">
        <f ca="1">IF(AND(ISNUMBER($AB$360),$B$294=1),$AB$360,HLOOKUP(INDIRECT(ADDRESS(2,COLUMN())),OFFSET($BN$2,0,0,ROW()-1,60),ROW()-1,FALSE))</f>
        <v>123.41800000000001</v>
      </c>
      <c r="AC42">
        <f ca="1">IF(AND(ISNUMBER($AC$360),$B$294=1),$AC$360,HLOOKUP(INDIRECT(ADDRESS(2,COLUMN())),OFFSET($BN$2,0,0,ROW()-1,60),ROW()-1,FALSE))</f>
        <v>126.72799999999999</v>
      </c>
      <c r="AD42">
        <f ca="1">IF(AND(ISNUMBER($AD$360),$B$294=1),$AD$360,HLOOKUP(INDIRECT(ADDRESS(2,COLUMN())),OFFSET($BN$2,0,0,ROW()-1,60),ROW()-1,FALSE))</f>
        <v>124.89400000000001</v>
      </c>
      <c r="AE42">
        <f ca="1">IF(AND(ISNUMBER($AE$360),$B$294=1),$AE$360,HLOOKUP(INDIRECT(ADDRESS(2,COLUMN())),OFFSET($BN$2,0,0,ROW()-1,60),ROW()-1,FALSE))</f>
        <v>123.947</v>
      </c>
      <c r="AF42">
        <f ca="1">IF(AND(ISNUMBER($AF$360),$B$294=1),$AF$360,HLOOKUP(INDIRECT(ADDRESS(2,COLUMN())),OFFSET($BN$2,0,0,ROW()-1,60),ROW()-1,FALSE))</f>
        <v>117.265</v>
      </c>
      <c r="AG42">
        <f ca="1">IF(AND(ISNUMBER($AG$360),$B$294=1),$AG$360,HLOOKUP(INDIRECT(ADDRESS(2,COLUMN())),OFFSET($BN$2,0,0,ROW()-1,60),ROW()-1,FALSE))</f>
        <v>114.651</v>
      </c>
      <c r="AH42">
        <f ca="1">IF(AND(ISNUMBER($AH$360),$B$294=1),$AH$360,HLOOKUP(INDIRECT(ADDRESS(2,COLUMN())),OFFSET($BN$2,0,0,ROW()-1,60),ROW()-1,FALSE))</f>
        <v>114.351</v>
      </c>
      <c r="AI42">
        <f ca="1">IF(AND(ISNUMBER($AI$360),$B$294=1),$AI$360,HLOOKUP(INDIRECT(ADDRESS(2,COLUMN())),OFFSET($BN$2,0,0,ROW()-1,60),ROW()-1,FALSE))</f>
        <v>116.779</v>
      </c>
      <c r="AJ42">
        <f ca="1">IF(AND(ISNUMBER($AJ$360),$B$294=1),$AJ$360,HLOOKUP(INDIRECT(ADDRESS(2,COLUMN())),OFFSET($BN$2,0,0,ROW()-1,60),ROW()-1,FALSE))</f>
        <v>115.52800000000001</v>
      </c>
      <c r="AK42">
        <f ca="1">IF(AND(ISNUMBER($AK$360),$B$294=1),$AK$360,HLOOKUP(INDIRECT(ADDRESS(2,COLUMN())),OFFSET($BN$2,0,0,ROW()-1,60),ROW()-1,FALSE))</f>
        <v>113.765</v>
      </c>
      <c r="AL42">
        <f ca="1">IF(AND(ISNUMBER($AL$360),$B$294=1),$AL$360,HLOOKUP(INDIRECT(ADDRESS(2,COLUMN())),OFFSET($BN$2,0,0,ROW()-1,60),ROW()-1,FALSE))</f>
        <v>115.054</v>
      </c>
      <c r="AM42">
        <f ca="1">IF(AND(ISNUMBER($AM$360),$B$294=1),$AM$360,HLOOKUP(INDIRECT(ADDRESS(2,COLUMN())),OFFSET($BN$2,0,0,ROW()-1,60),ROW()-1,FALSE))</f>
        <v>112.709</v>
      </c>
      <c r="AN42">
        <f ca="1">IF(AND(ISNUMBER($AN$360),$B$294=1),$AN$360,HLOOKUP(INDIRECT(ADDRESS(2,COLUMN())),OFFSET($BN$2,0,0,ROW()-1,60),ROW()-1,FALSE))</f>
        <v>113.17</v>
      </c>
      <c r="AO42">
        <f ca="1">IF(AND(ISNUMBER($AO$360),$B$294=1),$AO$360,HLOOKUP(INDIRECT(ADDRESS(2,COLUMN())),OFFSET($BN$2,0,0,ROW()-1,60),ROW()-1,FALSE))</f>
        <v>111.914</v>
      </c>
      <c r="AP42">
        <f ca="1">IF(AND(ISNUMBER($AP$360),$B$294=1),$AP$360,HLOOKUP(INDIRECT(ADDRESS(2,COLUMN())),OFFSET($BN$2,0,0,ROW()-1,60),ROW()-1,FALSE))</f>
        <v>113.22</v>
      </c>
      <c r="AQ42">
        <f ca="1">IF(AND(ISNUMBER($AQ$360),$B$294=1),$AQ$360,HLOOKUP(INDIRECT(ADDRESS(2,COLUMN())),OFFSET($BN$2,0,0,ROW()-1,60),ROW()-1,FALSE))</f>
        <v>111.28</v>
      </c>
      <c r="AR42">
        <f ca="1">IF(AND(ISNUMBER($AR$360),$B$294=1),$AR$360,HLOOKUP(INDIRECT(ADDRESS(2,COLUMN())),OFFSET($BN$2,0,0,ROW()-1,60),ROW()-1,FALSE))</f>
        <v>112.755</v>
      </c>
      <c r="AS42">
        <f ca="1">IF(AND(ISNUMBER($AS$360),$B$294=1),$AS$360,HLOOKUP(INDIRECT(ADDRESS(2,COLUMN())),OFFSET($BN$2,0,0,ROW()-1,60),ROW()-1,FALSE))</f>
        <v>112.828</v>
      </c>
      <c r="AT42">
        <f ca="1">IF(AND(ISNUMBER($AT$360),$B$294=1),$AT$360,HLOOKUP(INDIRECT(ADDRESS(2,COLUMN())),OFFSET($BN$2,0,0,ROW()-1,60),ROW()-1,FALSE))</f>
        <v>113.428</v>
      </c>
      <c r="AU42">
        <f ca="1">IF(AND(ISNUMBER($AU$360),$B$294=1),$AU$360,HLOOKUP(INDIRECT(ADDRESS(2,COLUMN())),OFFSET($BN$2,0,0,ROW()-1,60),ROW()-1,FALSE))</f>
        <v>113.08199999999999</v>
      </c>
      <c r="AV42">
        <f ca="1">IF(AND(ISNUMBER($AV$360),$B$294=1),$AV$360,HLOOKUP(INDIRECT(ADDRESS(2,COLUMN())),OFFSET($BN$2,0,0,ROW()-1,60),ROW()-1,FALSE))</f>
        <v>107.58</v>
      </c>
      <c r="AW42">
        <f ca="1">IF(AND(ISNUMBER($AW$360),$B$294=1),$AW$360,HLOOKUP(INDIRECT(ADDRESS(2,COLUMN())),OFFSET($BN$2,0,0,ROW()-1,60),ROW()-1,FALSE))</f>
        <v>107.261</v>
      </c>
      <c r="AX42">
        <f ca="1">IF(AND(ISNUMBER($AX$360),$B$294=1),$AX$360,HLOOKUP(INDIRECT(ADDRESS(2,COLUMN())),OFFSET($BN$2,0,0,ROW()-1,60),ROW()-1,FALSE))</f>
        <v>107.622</v>
      </c>
      <c r="AY42">
        <f ca="1">IF(AND(ISNUMBER($AY$360),$B$294=1),$AY$360,HLOOKUP(INDIRECT(ADDRESS(2,COLUMN())),OFFSET($BN$2,0,0,ROW()-1,60),ROW()-1,FALSE))</f>
        <v>97.665000000000006</v>
      </c>
      <c r="AZ42">
        <f ca="1">IF(AND(ISNUMBER($AZ$360),$B$294=1),$AZ$360,HLOOKUP(INDIRECT(ADDRESS(2,COLUMN())),OFFSET($BN$2,0,0,ROW()-1,60),ROW()-1,FALSE))</f>
        <v>104.569</v>
      </c>
      <c r="BA42">
        <f ca="1">IF(AND(ISNUMBER($BA$360),$B$294=1),$BA$360,HLOOKUP(INDIRECT(ADDRESS(2,COLUMN())),OFFSET($BN$2,0,0,ROW()-1,60),ROW()-1,FALSE))</f>
        <v>103.983</v>
      </c>
      <c r="BB42">
        <f ca="1">IF(AND(ISNUMBER($BB$360),$B$294=1),$BB$360,HLOOKUP(INDIRECT(ADDRESS(2,COLUMN())),OFFSET($BN$2,0,0,ROW()-1,60),ROW()-1,FALSE))</f>
        <v>103.056</v>
      </c>
      <c r="BC42">
        <f ca="1">IF(AND(ISNUMBER($BC$360),$B$294=1),$BC$360,HLOOKUP(INDIRECT(ADDRESS(2,COLUMN())),OFFSET($BN$2,0,0,ROW()-1,60),ROW()-1,FALSE))</f>
        <v>94.24</v>
      </c>
      <c r="BD42">
        <f ca="1">IF(AND(ISNUMBER($BD$360),$B$294=1),$BD$360,HLOOKUP(INDIRECT(ADDRESS(2,COLUMN())),OFFSET($BN$2,0,0,ROW()-1,60),ROW()-1,FALSE))</f>
        <v>102.17</v>
      </c>
      <c r="BE42">
        <f ca="1">IF(AND(ISNUMBER($BE$360),$B$294=1),$BE$360,HLOOKUP(INDIRECT(ADDRESS(2,COLUMN())),OFFSET($BN$2,0,0,ROW()-1,60),ROW()-1,FALSE))</f>
        <v>102.64</v>
      </c>
      <c r="BF42">
        <f ca="1">IF(AND(ISNUMBER($BF$360),$B$294=1),$BF$360,HLOOKUP(INDIRECT(ADDRESS(2,COLUMN())),OFFSET($BN$2,0,0,ROW()-1,60),ROW()-1,FALSE))</f>
        <v>104.10299999999999</v>
      </c>
      <c r="BG42">
        <f ca="1">IF(AND(ISNUMBER($BG$360),$B$294=1),$BG$360,HLOOKUP(INDIRECT(ADDRESS(2,COLUMN())),OFFSET($BN$2,0,0,ROW()-1,60),ROW()-1,FALSE))</f>
        <v>78.703000000000003</v>
      </c>
      <c r="BH42">
        <f ca="1">IF(AND(ISNUMBER($BH$360),$B$294=1),$BH$360,HLOOKUP(INDIRECT(ADDRESS(2,COLUMN())),OFFSET($BN$2,0,0,ROW()-1,60),ROW()-1,FALSE))</f>
        <v>103.504</v>
      </c>
      <c r="BI42">
        <f ca="1">IF(AND(ISNUMBER($BI$360),$B$294=1),$BI$360,HLOOKUP(INDIRECT(ADDRESS(2,COLUMN())),OFFSET($BN$2,0,0,ROW()-1,60),ROW()-1,FALSE))</f>
        <v>108.36</v>
      </c>
      <c r="BJ42">
        <f ca="1">IF(AND(ISNUMBER($BJ$360),$B$294=1),$BJ$360,HLOOKUP(INDIRECT(ADDRESS(2,COLUMN())),OFFSET($BN$2,0,0,ROW()-1,60),ROW()-1,FALSE))</f>
        <v>119.706</v>
      </c>
      <c r="BK42" t="str">
        <f ca="1">IF(AND(ISNUMBER($BK$360),$B$294=1),$BK$360,HLOOKUP(INDIRECT(ADDRESS(2,COLUMN())),OFFSET($BN$2,0,0,ROW()-1,60),ROW()-1,FALSE))</f>
        <v/>
      </c>
      <c r="BL42">
        <f ca="1">IF(AND(ISNUMBER($BL$360),$B$294=1),$BL$360,HLOOKUP(INDIRECT(ADDRESS(2,COLUMN())),OFFSET($BN$2,0,0,ROW()-1,60),ROW()-1,FALSE))</f>
        <v>139.48099999999999</v>
      </c>
      <c r="BM42">
        <f ca="1">IF(AND(ISNUMBER($BM$360),$B$294=1),$BM$360,HLOOKUP(INDIRECT(ADDRESS(2,COLUMN())),OFFSET($BN$2,0,0,ROW()-1,60),ROW()-1,FALSE))</f>
        <v>128.102</v>
      </c>
      <c r="BN42" t="str">
        <f>""</f>
        <v/>
      </c>
      <c r="BO42">
        <f>175.861</f>
        <v>175.86099999999999</v>
      </c>
      <c r="BP42">
        <f>180.185</f>
        <v>180.185</v>
      </c>
      <c r="BQ42">
        <f>177.283</f>
        <v>177.28299999999999</v>
      </c>
      <c r="BR42">
        <f>169.408</f>
        <v>169.40799999999999</v>
      </c>
      <c r="BS42">
        <f>167.646</f>
        <v>167.64599999999999</v>
      </c>
      <c r="BT42">
        <f>166.269</f>
        <v>166.26900000000001</v>
      </c>
      <c r="BU42">
        <f>166.86</f>
        <v>166.86</v>
      </c>
      <c r="BV42">
        <f>164.859</f>
        <v>164.85900000000001</v>
      </c>
      <c r="BW42">
        <f>160.126</f>
        <v>160.126</v>
      </c>
      <c r="BX42">
        <f>163.736</f>
        <v>163.73599999999999</v>
      </c>
      <c r="BY42">
        <f>148.543</f>
        <v>148.54300000000001</v>
      </c>
      <c r="BZ42">
        <f>157.31</f>
        <v>157.31</v>
      </c>
      <c r="CA42">
        <f>140.724</f>
        <v>140.72399999999999</v>
      </c>
      <c r="CB42">
        <f>152.629</f>
        <v>152.62899999999999</v>
      </c>
      <c r="CC42">
        <f>152.722</f>
        <v>152.72200000000001</v>
      </c>
      <c r="CD42">
        <f>148.453</f>
        <v>148.453</v>
      </c>
      <c r="CE42">
        <f>148.988</f>
        <v>148.988</v>
      </c>
      <c r="CF42">
        <f>144.827</f>
        <v>144.827</v>
      </c>
      <c r="CG42">
        <f>132.618</f>
        <v>132.61799999999999</v>
      </c>
      <c r="CH42">
        <f>130.377</f>
        <v>130.37700000000001</v>
      </c>
      <c r="CI42">
        <f>126.316</f>
        <v>126.316</v>
      </c>
      <c r="CJ42">
        <f>123.418</f>
        <v>123.41800000000001</v>
      </c>
      <c r="CK42">
        <f>126.728</f>
        <v>126.72799999999999</v>
      </c>
      <c r="CL42">
        <f>124.894</f>
        <v>124.89400000000001</v>
      </c>
      <c r="CM42">
        <f>123.947</f>
        <v>123.947</v>
      </c>
      <c r="CN42">
        <f>117.265</f>
        <v>117.265</v>
      </c>
      <c r="CO42">
        <f>114.651</f>
        <v>114.651</v>
      </c>
      <c r="CP42">
        <f>114.351</f>
        <v>114.351</v>
      </c>
      <c r="CQ42">
        <f>116.779</f>
        <v>116.779</v>
      </c>
      <c r="CR42">
        <f>115.528</f>
        <v>115.52800000000001</v>
      </c>
      <c r="CS42">
        <f>113.765</f>
        <v>113.765</v>
      </c>
      <c r="CT42">
        <f>115.054</f>
        <v>115.054</v>
      </c>
      <c r="CU42">
        <f>112.709</f>
        <v>112.709</v>
      </c>
      <c r="CV42">
        <f>113.17</f>
        <v>113.17</v>
      </c>
      <c r="CW42">
        <f>111.914</f>
        <v>111.914</v>
      </c>
      <c r="CX42">
        <f>113.22</f>
        <v>113.22</v>
      </c>
      <c r="CY42">
        <f>111.28</f>
        <v>111.28</v>
      </c>
      <c r="CZ42">
        <f>112.755</f>
        <v>112.755</v>
      </c>
      <c r="DA42">
        <f>112.828</f>
        <v>112.828</v>
      </c>
      <c r="DB42">
        <f>113.428</f>
        <v>113.428</v>
      </c>
      <c r="DC42">
        <f>113.082</f>
        <v>113.08199999999999</v>
      </c>
      <c r="DD42">
        <f>107.58</f>
        <v>107.58</v>
      </c>
      <c r="DE42">
        <f>107.261</f>
        <v>107.261</v>
      </c>
      <c r="DF42">
        <f>107.622</f>
        <v>107.622</v>
      </c>
      <c r="DG42">
        <f>97.665</f>
        <v>97.665000000000006</v>
      </c>
      <c r="DH42">
        <f>104.569</f>
        <v>104.569</v>
      </c>
      <c r="DI42">
        <f>103.983</f>
        <v>103.983</v>
      </c>
      <c r="DJ42">
        <f>103.056</f>
        <v>103.056</v>
      </c>
      <c r="DK42">
        <f>94.24</f>
        <v>94.24</v>
      </c>
      <c r="DL42">
        <f>102.17</f>
        <v>102.17</v>
      </c>
      <c r="DM42">
        <f>102.64</f>
        <v>102.64</v>
      </c>
      <c r="DN42">
        <f>104.103</f>
        <v>104.10299999999999</v>
      </c>
      <c r="DO42">
        <f>78.703</f>
        <v>78.703000000000003</v>
      </c>
      <c r="DP42">
        <f>103.504</f>
        <v>103.504</v>
      </c>
      <c r="DQ42">
        <f>108.36</f>
        <v>108.36</v>
      </c>
      <c r="DR42">
        <f>119.706</f>
        <v>119.706</v>
      </c>
      <c r="DS42" t="str">
        <f>""</f>
        <v/>
      </c>
      <c r="DT42">
        <f>139.481</f>
        <v>139.48099999999999</v>
      </c>
      <c r="DU42">
        <f>128.102</f>
        <v>128.102</v>
      </c>
    </row>
    <row r="43" spans="1:125">
      <c r="A43" t="str">
        <f>"    Kilroy Realty Corp"</f>
        <v xml:space="preserve">    Kilroy Realty Corp</v>
      </c>
      <c r="B43" t="str">
        <f>"KRC US Equity"</f>
        <v>KRC US Equity</v>
      </c>
      <c r="C43" t="str">
        <f t="shared" si="9"/>
        <v>IS010</v>
      </c>
      <c r="D43" t="str">
        <f t="shared" si="10"/>
        <v>SALES_REV_TURN</v>
      </c>
      <c r="E43" t="str">
        <f t="shared" si="11"/>
        <v>动态</v>
      </c>
      <c r="F43" t="str">
        <f ca="1">IF(AND(ISNUMBER($F$361),$B$294=1),$F$361,HLOOKUP(INDIRECT(ADDRESS(2,COLUMN())),OFFSET($BN$2,0,0,ROW()-1,60),ROW()-1,FALSE))</f>
        <v/>
      </c>
      <c r="G43">
        <f ca="1">IF(AND(ISNUMBER($G$361),$B$294=1),$G$361,HLOOKUP(INDIRECT(ADDRESS(2,COLUMN())),OFFSET($BN$2,0,0,ROW()-1,60),ROW()-1,FALSE))</f>
        <v>177.56100000000001</v>
      </c>
      <c r="H43">
        <f ca="1">IF(AND(ISNUMBER($H$361),$B$294=1),$H$361,HLOOKUP(INDIRECT(ADDRESS(2,COLUMN())),OFFSET($BN$2,0,0,ROW()-1,60),ROW()-1,FALSE))</f>
        <v>181.53399999999999</v>
      </c>
      <c r="I43">
        <f ca="1">IF(AND(ISNUMBER($I$361),$B$294=1),$I$361,HLOOKUP(INDIRECT(ADDRESS(2,COLUMN())),OFFSET($BN$2,0,0,ROW()-1,60),ROW()-1,FALSE))</f>
        <v>180.59800000000001</v>
      </c>
      <c r="J43">
        <f ca="1">IF(AND(ISNUMBER($J$361),$B$294=1),$J$361,HLOOKUP(INDIRECT(ADDRESS(2,COLUMN())),OFFSET($BN$2,0,0,ROW()-1,60),ROW()-1,FALSE))</f>
        <v>179.30799999999999</v>
      </c>
      <c r="K43">
        <f ca="1">IF(AND(ISNUMBER($K$361),$B$294=1),$K$361,HLOOKUP(INDIRECT(ADDRESS(2,COLUMN())),OFFSET($BN$2,0,0,ROW()-1,60),ROW()-1,FALSE))</f>
        <v>168.64500000000001</v>
      </c>
      <c r="L43">
        <f ca="1">IF(AND(ISNUMBER($L$361),$B$294=1),$L$361,HLOOKUP(INDIRECT(ADDRESS(2,COLUMN())),OFFSET($BN$2,0,0,ROW()-1,60),ROW()-1,FALSE))</f>
        <v>168.34800000000001</v>
      </c>
      <c r="M43">
        <f ca="1">IF(AND(ISNUMBER($M$361),$B$294=1),$M$361,HLOOKUP(INDIRECT(ADDRESS(2,COLUMN())),OFFSET($BN$2,0,0,ROW()-1,60),ROW()-1,FALSE))</f>
        <v>160.13300000000001</v>
      </c>
      <c r="N43">
        <f ca="1">IF(AND(ISNUMBER($N$361),$B$294=1),$N$361,HLOOKUP(INDIRECT(ADDRESS(2,COLUMN())),OFFSET($BN$2,0,0,ROW()-1,60),ROW()-1,FALSE))</f>
        <v>145.446</v>
      </c>
      <c r="O43">
        <f ca="1">IF(AND(ISNUMBER($O$361),$B$294=1),$O$361,HLOOKUP(INDIRECT(ADDRESS(2,COLUMN())),OFFSET($BN$2,0,0,ROW()-1,60),ROW()-1,FALSE))</f>
        <v>147.41300000000001</v>
      </c>
      <c r="P43">
        <f ca="1">IF(AND(ISNUMBER($P$361),$B$294=1),$P$361,HLOOKUP(INDIRECT(ADDRESS(2,COLUMN())),OFFSET($BN$2,0,0,ROW()-1,60),ROW()-1,FALSE))</f>
        <v>141.553</v>
      </c>
      <c r="Q43">
        <f ca="1">IF(AND(ISNUMBER($Q$361),$B$294=1),$Q$361,HLOOKUP(INDIRECT(ADDRESS(2,COLUMN())),OFFSET($BN$2,0,0,ROW()-1,60),ROW()-1,FALSE))</f>
        <v>146.227</v>
      </c>
      <c r="R43">
        <f ca="1">IF(AND(ISNUMBER($R$361),$B$294=1),$R$361,HLOOKUP(INDIRECT(ADDRESS(2,COLUMN())),OFFSET($BN$2,0,0,ROW()-1,60),ROW()-1,FALSE))</f>
        <v>146.08199999999999</v>
      </c>
      <c r="S43">
        <f ca="1">IF(AND(ISNUMBER($S$361),$B$294=1),$S$361,HLOOKUP(INDIRECT(ADDRESS(2,COLUMN())),OFFSET($BN$2,0,0,ROW()-1,60),ROW()-1,FALSE))</f>
        <v>141.76499999999999</v>
      </c>
      <c r="T43">
        <f ca="1">IF(AND(ISNUMBER($T$361),$B$294=1),$T$361,HLOOKUP(INDIRECT(ADDRESS(2,COLUMN())),OFFSET($BN$2,0,0,ROW()-1,60),ROW()-1,FALSE))</f>
        <v>129.024</v>
      </c>
      <c r="U43">
        <f ca="1">IF(AND(ISNUMBER($U$361),$B$294=1),$U$361,HLOOKUP(INDIRECT(ADDRESS(2,COLUMN())),OFFSET($BN$2,0,0,ROW()-1,60),ROW()-1,FALSE))</f>
        <v>127.178</v>
      </c>
      <c r="V43">
        <f ca="1">IF(AND(ISNUMBER($V$361),$B$294=1),$V$361,HLOOKUP(INDIRECT(ADDRESS(2,COLUMN())),OFFSET($BN$2,0,0,ROW()-1,60),ROW()-1,FALSE))</f>
        <v>123.758</v>
      </c>
      <c r="W43">
        <f ca="1">IF(AND(ISNUMBER($W$361),$B$294=1),$W$361,HLOOKUP(INDIRECT(ADDRESS(2,COLUMN())),OFFSET($BN$2,0,0,ROW()-1,60),ROW()-1,FALSE))</f>
        <v>118.604</v>
      </c>
      <c r="X43">
        <f ca="1">IF(AND(ISNUMBER($X$361),$B$294=1),$X$361,HLOOKUP(INDIRECT(ADDRESS(2,COLUMN())),OFFSET($BN$2,0,0,ROW()-1,60),ROW()-1,FALSE))</f>
        <v>113.545</v>
      </c>
      <c r="Y43">
        <f ca="1">IF(AND(ISNUMBER($Y$361),$B$294=1),$Y$361,HLOOKUP(INDIRECT(ADDRESS(2,COLUMN())),OFFSET($BN$2,0,0,ROW()-1,60),ROW()-1,FALSE))</f>
        <v>117.83499999999999</v>
      </c>
      <c r="Z43">
        <f ca="1">IF(AND(ISNUMBER($Z$361),$B$294=1),$Z$361,HLOOKUP(INDIRECT(ADDRESS(2,COLUMN())),OFFSET($BN$2,0,0,ROW()-1,60),ROW()-1,FALSE))</f>
        <v>110.964</v>
      </c>
      <c r="AA43">
        <f ca="1">IF(AND(ISNUMBER($AA$361),$B$294=1),$AA$361,HLOOKUP(INDIRECT(ADDRESS(2,COLUMN())),OFFSET($BN$2,0,0,ROW()-1,60),ROW()-1,FALSE))</f>
        <v>111.111</v>
      </c>
      <c r="AB43">
        <f ca="1">IF(AND(ISNUMBER($AB$361),$B$294=1),$AB$361,HLOOKUP(INDIRECT(ADDRESS(2,COLUMN())),OFFSET($BN$2,0,0,ROW()-1,60),ROW()-1,FALSE))</f>
        <v>98.984999999999999</v>
      </c>
      <c r="AC43">
        <f ca="1">IF(AND(ISNUMBER($AC$361),$B$294=1),$AC$361,HLOOKUP(INDIRECT(ADDRESS(2,COLUMN())),OFFSET($BN$2,0,0,ROW()-1,60),ROW()-1,FALSE))</f>
        <v>97.111000000000004</v>
      </c>
      <c r="AD43">
        <f ca="1">IF(AND(ISNUMBER($AD$361),$B$294=1),$AD$361,HLOOKUP(INDIRECT(ADDRESS(2,COLUMN())),OFFSET($BN$2,0,0,ROW()-1,60),ROW()-1,FALSE))</f>
        <v>92.397000000000006</v>
      </c>
      <c r="AE43">
        <f ca="1">IF(AND(ISNUMBER($AE$361),$B$294=1),$AE$361,HLOOKUP(INDIRECT(ADDRESS(2,COLUMN())),OFFSET($BN$2,0,0,ROW()-1,60),ROW()-1,FALSE))</f>
        <v>94.225999999999999</v>
      </c>
      <c r="AF43">
        <f ca="1">IF(AND(ISNUMBER($AF$361),$B$294=1),$AF$361,HLOOKUP(INDIRECT(ADDRESS(2,COLUMN())),OFFSET($BN$2,0,0,ROW()-1,60),ROW()-1,FALSE))</f>
        <v>86.399000000000001</v>
      </c>
      <c r="AG43">
        <f ca="1">IF(AND(ISNUMBER($AG$361),$B$294=1),$AG$361,HLOOKUP(INDIRECT(ADDRESS(2,COLUMN())),OFFSET($BN$2,0,0,ROW()-1,60),ROW()-1,FALSE))</f>
        <v>88.39</v>
      </c>
      <c r="AH43">
        <f ca="1">IF(AND(ISNUMBER($AH$361),$B$294=1),$AH$361,HLOOKUP(INDIRECT(ADDRESS(2,COLUMN())),OFFSET($BN$2,0,0,ROW()-1,60),ROW()-1,FALSE))</f>
        <v>83.772999999999996</v>
      </c>
      <c r="AI43">
        <f ca="1">IF(AND(ISNUMBER($AI$361),$B$294=1),$AI$361,HLOOKUP(INDIRECT(ADDRESS(2,COLUMN())),OFFSET($BN$2,0,0,ROW()-1,60),ROW()-1,FALSE))</f>
        <v>79.308999999999997</v>
      </c>
      <c r="AJ43">
        <f ca="1">IF(AND(ISNUMBER($AJ$361),$B$294=1),$AJ$361,HLOOKUP(INDIRECT(ADDRESS(2,COLUMN())),OFFSET($BN$2,0,0,ROW()-1,60),ROW()-1,FALSE))</f>
        <v>79.275999999999996</v>
      </c>
      <c r="AK43">
        <f ca="1">IF(AND(ISNUMBER($AK$361),$B$294=1),$AK$361,HLOOKUP(INDIRECT(ADDRESS(2,COLUMN())),OFFSET($BN$2,0,0,ROW()-1,60),ROW()-1,FALSE))</f>
        <v>72.415999999999997</v>
      </c>
      <c r="AL43">
        <f ca="1">IF(AND(ISNUMBER($AL$361),$B$294=1),$AL$361,HLOOKUP(INDIRECT(ADDRESS(2,COLUMN())),OFFSET($BN$2,0,0,ROW()-1,60),ROW()-1,FALSE))</f>
        <v>66.819000000000003</v>
      </c>
      <c r="AM43">
        <f ca="1">IF(AND(ISNUMBER($AM$361),$B$294=1),$AM$361,HLOOKUP(INDIRECT(ADDRESS(2,COLUMN())),OFFSET($BN$2,0,0,ROW()-1,60),ROW()-1,FALSE))</f>
        <v>67.379000000000005</v>
      </c>
      <c r="AN43">
        <f ca="1">IF(AND(ISNUMBER($AN$361),$B$294=1),$AN$361,HLOOKUP(INDIRECT(ADDRESS(2,COLUMN())),OFFSET($BN$2,0,0,ROW()-1,60),ROW()-1,FALSE))</f>
        <v>68.494</v>
      </c>
      <c r="AO43">
        <f ca="1">IF(AND(ISNUMBER($AO$361),$B$294=1),$AO$361,HLOOKUP(INDIRECT(ADDRESS(2,COLUMN())),OFFSET($BN$2,0,0,ROW()-1,60),ROW()-1,FALSE))</f>
        <v>71.05</v>
      </c>
      <c r="AP43">
        <f ca="1">IF(AND(ISNUMBER($AP$361),$B$294=1),$AP$361,HLOOKUP(INDIRECT(ADDRESS(2,COLUMN())),OFFSET($BN$2,0,0,ROW()-1,60),ROW()-1,FALSE))</f>
        <v>72.512</v>
      </c>
      <c r="AQ43">
        <f ca="1">IF(AND(ISNUMBER($AQ$361),$B$294=1),$AQ$361,HLOOKUP(INDIRECT(ADDRESS(2,COLUMN())),OFFSET($BN$2,0,0,ROW()-1,60),ROW()-1,FALSE))</f>
        <v>72.284000000000006</v>
      </c>
      <c r="AR43">
        <f ca="1">IF(AND(ISNUMBER($AR$361),$B$294=1),$AR$361,HLOOKUP(INDIRECT(ADDRESS(2,COLUMN())),OFFSET($BN$2,0,0,ROW()-1,60),ROW()-1,FALSE))</f>
        <v>76.945999999999998</v>
      </c>
      <c r="AS43">
        <f ca="1">IF(AND(ISNUMBER($AS$361),$B$294=1),$AS$361,HLOOKUP(INDIRECT(ADDRESS(2,COLUMN())),OFFSET($BN$2,0,0,ROW()-1,60),ROW()-1,FALSE))</f>
        <v>69.475999999999999</v>
      </c>
      <c r="AT43">
        <f ca="1">IF(AND(ISNUMBER($AT$361),$B$294=1),$AT$361,HLOOKUP(INDIRECT(ADDRESS(2,COLUMN())),OFFSET($BN$2,0,0,ROW()-1,60),ROW()-1,FALSE))</f>
        <v>70.802000000000007</v>
      </c>
      <c r="AU43">
        <f ca="1">IF(AND(ISNUMBER($AU$361),$B$294=1),$AU$361,HLOOKUP(INDIRECT(ADDRESS(2,COLUMN())),OFFSET($BN$2,0,0,ROW()-1,60),ROW()-1,FALSE))</f>
        <v>60.929000000000002</v>
      </c>
      <c r="AV43">
        <f ca="1">IF(AND(ISNUMBER($AV$361),$B$294=1),$AV$361,HLOOKUP(INDIRECT(ADDRESS(2,COLUMN())),OFFSET($BN$2,0,0,ROW()-1,60),ROW()-1,FALSE))</f>
        <v>65.117000000000004</v>
      </c>
      <c r="AW43">
        <f ca="1">IF(AND(ISNUMBER($AW$361),$B$294=1),$AW$361,HLOOKUP(INDIRECT(ADDRESS(2,COLUMN())),OFFSET($BN$2,0,0,ROW()-1,60),ROW()-1,FALSE))</f>
        <v>62.18</v>
      </c>
      <c r="AX43">
        <f ca="1">IF(AND(ISNUMBER($AX$361),$B$294=1),$AX$361,HLOOKUP(INDIRECT(ADDRESS(2,COLUMN())),OFFSET($BN$2,0,0,ROW()-1,60),ROW()-1,FALSE))</f>
        <v>61.433</v>
      </c>
      <c r="AY43">
        <f ca="1">IF(AND(ISNUMBER($AY$361),$B$294=1),$AY$361,HLOOKUP(INDIRECT(ADDRESS(2,COLUMN())),OFFSET($BN$2,0,0,ROW()-1,60),ROW()-1,FALSE))</f>
        <v>53.408000000000001</v>
      </c>
      <c r="AZ43">
        <f ca="1">IF(AND(ISNUMBER($AZ$361),$B$294=1),$AZ$361,HLOOKUP(INDIRECT(ADDRESS(2,COLUMN())),OFFSET($BN$2,0,0,ROW()-1,60),ROW()-1,FALSE))</f>
        <v>63.02</v>
      </c>
      <c r="BA43">
        <f ca="1">IF(AND(ISNUMBER($BA$361),$B$294=1),$BA$361,HLOOKUP(INDIRECT(ADDRESS(2,COLUMN())),OFFSET($BN$2,0,0,ROW()-1,60),ROW()-1,FALSE))</f>
        <v>62.838000000000001</v>
      </c>
      <c r="BB43">
        <f ca="1">IF(AND(ISNUMBER($BB$361),$B$294=1),$BB$361,HLOOKUP(INDIRECT(ADDRESS(2,COLUMN())),OFFSET($BN$2,0,0,ROW()-1,60),ROW()-1,FALSE))</f>
        <v>62.274999999999999</v>
      </c>
      <c r="BC43">
        <f ca="1">IF(AND(ISNUMBER($BC$361),$B$294=1),$BC$361,HLOOKUP(INDIRECT(ADDRESS(2,COLUMN())),OFFSET($BN$2,0,0,ROW()-1,60),ROW()-1,FALSE))</f>
        <v>57.718000000000004</v>
      </c>
      <c r="BD43">
        <f ca="1">IF(AND(ISNUMBER($BD$361),$B$294=1),$BD$361,HLOOKUP(INDIRECT(ADDRESS(2,COLUMN())),OFFSET($BN$2,0,0,ROW()-1,60),ROW()-1,FALSE))</f>
        <v>59.518000000000001</v>
      </c>
      <c r="BE43">
        <f ca="1">IF(AND(ISNUMBER($BE$361),$B$294=1),$BE$361,HLOOKUP(INDIRECT(ADDRESS(2,COLUMN())),OFFSET($BN$2,0,0,ROW()-1,60),ROW()-1,FALSE))</f>
        <v>60.252000000000002</v>
      </c>
      <c r="BF43">
        <f ca="1">IF(AND(ISNUMBER($BF$361),$B$294=1),$BF$361,HLOOKUP(INDIRECT(ADDRESS(2,COLUMN())),OFFSET($BN$2,0,0,ROW()-1,60),ROW()-1,FALSE))</f>
        <v>59.470999999999997</v>
      </c>
      <c r="BG43">
        <f ca="1">IF(AND(ISNUMBER($BG$361),$B$294=1),$BG$361,HLOOKUP(INDIRECT(ADDRESS(2,COLUMN())),OFFSET($BN$2,0,0,ROW()-1,60),ROW()-1,FALSE))</f>
        <v>58.085999999999999</v>
      </c>
      <c r="BH43">
        <f ca="1">IF(AND(ISNUMBER($BH$361),$B$294=1),$BH$361,HLOOKUP(INDIRECT(ADDRESS(2,COLUMN())),OFFSET($BN$2,0,0,ROW()-1,60),ROW()-1,FALSE))</f>
        <v>54.576000000000001</v>
      </c>
      <c r="BI43">
        <f ca="1">IF(AND(ISNUMBER($BI$361),$B$294=1),$BI$361,HLOOKUP(INDIRECT(ADDRESS(2,COLUMN())),OFFSET($BN$2,0,0,ROW()-1,60),ROW()-1,FALSE))</f>
        <v>54.552999999999997</v>
      </c>
      <c r="BJ43">
        <f ca="1">IF(AND(ISNUMBER($BJ$361),$B$294=1),$BJ$361,HLOOKUP(INDIRECT(ADDRESS(2,COLUMN())),OFFSET($BN$2,0,0,ROW()-1,60),ROW()-1,FALSE))</f>
        <v>54.881</v>
      </c>
      <c r="BK43">
        <f ca="1">IF(AND(ISNUMBER($BK$361),$B$294=1),$BK$361,HLOOKUP(INDIRECT(ADDRESS(2,COLUMN())),OFFSET($BN$2,0,0,ROW()-1,60),ROW()-1,FALSE))</f>
        <v>53.054000850000001</v>
      </c>
      <c r="BL43">
        <f ca="1">IF(AND(ISNUMBER($BL$361),$B$294=1),$BL$361,HLOOKUP(INDIRECT(ADDRESS(2,COLUMN())),OFFSET($BN$2,0,0,ROW()-1,60),ROW()-1,FALSE))</f>
        <v>68.819000000000003</v>
      </c>
      <c r="BM43">
        <f ca="1">IF(AND(ISNUMBER($BM$361),$B$294=1),$BM$361,HLOOKUP(INDIRECT(ADDRESS(2,COLUMN())),OFFSET($BN$2,0,0,ROW()-1,60),ROW()-1,FALSE))</f>
        <v>48.802</v>
      </c>
      <c r="BN43" t="str">
        <f>""</f>
        <v/>
      </c>
      <c r="BO43">
        <f>177.561</f>
        <v>177.56100000000001</v>
      </c>
      <c r="BP43">
        <f>181.534</f>
        <v>181.53399999999999</v>
      </c>
      <c r="BQ43">
        <f>180.598</f>
        <v>180.59800000000001</v>
      </c>
      <c r="BR43">
        <f>179.308</f>
        <v>179.30799999999999</v>
      </c>
      <c r="BS43">
        <f>168.645</f>
        <v>168.64500000000001</v>
      </c>
      <c r="BT43">
        <f>168.348</f>
        <v>168.34800000000001</v>
      </c>
      <c r="BU43">
        <f>160.133</f>
        <v>160.13300000000001</v>
      </c>
      <c r="BV43">
        <f>145.446</f>
        <v>145.446</v>
      </c>
      <c r="BW43">
        <f>147.413</f>
        <v>147.41300000000001</v>
      </c>
      <c r="BX43">
        <f>141.553</f>
        <v>141.553</v>
      </c>
      <c r="BY43">
        <f>146.227</f>
        <v>146.227</v>
      </c>
      <c r="BZ43">
        <f>146.082</f>
        <v>146.08199999999999</v>
      </c>
      <c r="CA43">
        <f>141.765</f>
        <v>141.76499999999999</v>
      </c>
      <c r="CB43">
        <f>129.024</f>
        <v>129.024</v>
      </c>
      <c r="CC43">
        <f>127.178</f>
        <v>127.178</v>
      </c>
      <c r="CD43">
        <f>123.758</f>
        <v>123.758</v>
      </c>
      <c r="CE43">
        <f>118.604</f>
        <v>118.604</v>
      </c>
      <c r="CF43">
        <f>113.545</f>
        <v>113.545</v>
      </c>
      <c r="CG43">
        <f>117.835</f>
        <v>117.83499999999999</v>
      </c>
      <c r="CH43">
        <f>110.964</f>
        <v>110.964</v>
      </c>
      <c r="CI43">
        <f>111.111</f>
        <v>111.111</v>
      </c>
      <c r="CJ43">
        <f>98.985</f>
        <v>98.984999999999999</v>
      </c>
      <c r="CK43">
        <f>97.111</f>
        <v>97.111000000000004</v>
      </c>
      <c r="CL43">
        <f>92.397</f>
        <v>92.397000000000006</v>
      </c>
      <c r="CM43">
        <f>94.226</f>
        <v>94.225999999999999</v>
      </c>
      <c r="CN43">
        <f>86.399</f>
        <v>86.399000000000001</v>
      </c>
      <c r="CO43">
        <f>88.39</f>
        <v>88.39</v>
      </c>
      <c r="CP43">
        <f>83.773</f>
        <v>83.772999999999996</v>
      </c>
      <c r="CQ43">
        <f>79.309</f>
        <v>79.308999999999997</v>
      </c>
      <c r="CR43">
        <f>79.276</f>
        <v>79.275999999999996</v>
      </c>
      <c r="CS43">
        <f>72.416</f>
        <v>72.415999999999997</v>
      </c>
      <c r="CT43">
        <f>66.819</f>
        <v>66.819000000000003</v>
      </c>
      <c r="CU43">
        <f>67.379</f>
        <v>67.379000000000005</v>
      </c>
      <c r="CV43">
        <f>68.494</f>
        <v>68.494</v>
      </c>
      <c r="CW43">
        <f>71.05</f>
        <v>71.05</v>
      </c>
      <c r="CX43">
        <f>72.512</f>
        <v>72.512</v>
      </c>
      <c r="CY43">
        <f>72.284</f>
        <v>72.284000000000006</v>
      </c>
      <c r="CZ43">
        <f>76.946</f>
        <v>76.945999999999998</v>
      </c>
      <c r="DA43">
        <f>69.476</f>
        <v>69.475999999999999</v>
      </c>
      <c r="DB43">
        <f>70.802</f>
        <v>70.802000000000007</v>
      </c>
      <c r="DC43">
        <f>60.929</f>
        <v>60.929000000000002</v>
      </c>
      <c r="DD43">
        <f>65.117</f>
        <v>65.117000000000004</v>
      </c>
      <c r="DE43">
        <f>62.18</f>
        <v>62.18</v>
      </c>
      <c r="DF43">
        <f>61.433</f>
        <v>61.433</v>
      </c>
      <c r="DG43">
        <f>53.408</f>
        <v>53.408000000000001</v>
      </c>
      <c r="DH43">
        <f>63.02</f>
        <v>63.02</v>
      </c>
      <c r="DI43">
        <f>62.838</f>
        <v>62.838000000000001</v>
      </c>
      <c r="DJ43">
        <f>62.275</f>
        <v>62.274999999999999</v>
      </c>
      <c r="DK43">
        <f>57.718</f>
        <v>57.718000000000004</v>
      </c>
      <c r="DL43">
        <f>59.518</f>
        <v>59.518000000000001</v>
      </c>
      <c r="DM43">
        <f>60.252</f>
        <v>60.252000000000002</v>
      </c>
      <c r="DN43">
        <f>59.471</f>
        <v>59.470999999999997</v>
      </c>
      <c r="DO43">
        <f>58.086</f>
        <v>58.085999999999999</v>
      </c>
      <c r="DP43">
        <f>54.576</f>
        <v>54.576000000000001</v>
      </c>
      <c r="DQ43">
        <f>54.553</f>
        <v>54.552999999999997</v>
      </c>
      <c r="DR43">
        <f>54.881</f>
        <v>54.881</v>
      </c>
      <c r="DS43">
        <f>53.05400085</f>
        <v>53.054000850000001</v>
      </c>
      <c r="DT43">
        <f>68.819</f>
        <v>68.819000000000003</v>
      </c>
      <c r="DU43">
        <f>48.802</f>
        <v>48.802</v>
      </c>
    </row>
    <row r="44" spans="1:125">
      <c r="A44" t="str">
        <f>"    Mack-Cali Realty Corp"</f>
        <v xml:space="preserve">    Mack-Cali Realty Corp</v>
      </c>
      <c r="B44" t="str">
        <f>"CLI US Equity"</f>
        <v>CLI US Equity</v>
      </c>
      <c r="C44" t="str">
        <f t="shared" si="9"/>
        <v>IS010</v>
      </c>
      <c r="D44" t="str">
        <f t="shared" si="10"/>
        <v>SALES_REV_TURN</v>
      </c>
      <c r="E44" t="str">
        <f t="shared" si="11"/>
        <v>动态</v>
      </c>
      <c r="F44" t="str">
        <f ca="1">IF(AND(ISNUMBER($F$362),$B$294=1),$F$362,HLOOKUP(INDIRECT(ADDRESS(2,COLUMN())),OFFSET($BN$2,0,0,ROW()-1,60),ROW()-1,FALSE))</f>
        <v/>
      </c>
      <c r="G44">
        <f ca="1">IF(AND(ISNUMBER($G$362),$B$294=1),$G$362,HLOOKUP(INDIRECT(ADDRESS(2,COLUMN())),OFFSET($BN$2,0,0,ROW()-1,60),ROW()-1,FALSE))</f>
        <v>143.529</v>
      </c>
      <c r="H44">
        <f ca="1">IF(AND(ISNUMBER($H$362),$B$294=1),$H$362,HLOOKUP(INDIRECT(ADDRESS(2,COLUMN())),OFFSET($BN$2,0,0,ROW()-1,60),ROW()-1,FALSE))</f>
        <v>160.018</v>
      </c>
      <c r="I44">
        <f ca="1">IF(AND(ISNUMBER($I$362),$B$294=1),$I$362,HLOOKUP(INDIRECT(ADDRESS(2,COLUMN())),OFFSET($BN$2,0,0,ROW()-1,60),ROW()-1,FALSE))</f>
        <v>162.76599999999999</v>
      </c>
      <c r="J44">
        <f ca="1">IF(AND(ISNUMBER($J$362),$B$294=1),$J$362,HLOOKUP(INDIRECT(ADDRESS(2,COLUMN())),OFFSET($BN$2,0,0,ROW()-1,60),ROW()-1,FALSE))</f>
        <v>149.887</v>
      </c>
      <c r="K44">
        <f ca="1">IF(AND(ISNUMBER($K$362),$B$294=1),$K$362,HLOOKUP(INDIRECT(ADDRESS(2,COLUMN())),OFFSET($BN$2,0,0,ROW()-1,60),ROW()-1,FALSE))</f>
        <v>153.73099999999999</v>
      </c>
      <c r="L44">
        <f ca="1">IF(AND(ISNUMBER($L$362),$B$294=1),$L$362,HLOOKUP(INDIRECT(ADDRESS(2,COLUMN())),OFFSET($BN$2,0,0,ROW()-1,60),ROW()-1,FALSE))</f>
        <v>157.517</v>
      </c>
      <c r="M44">
        <f ca="1">IF(AND(ISNUMBER($M$362),$B$294=1),$M$362,HLOOKUP(INDIRECT(ADDRESS(2,COLUMN())),OFFSET($BN$2,0,0,ROW()-1,60),ROW()-1,FALSE))</f>
        <v>149.227</v>
      </c>
      <c r="N44">
        <f ca="1">IF(AND(ISNUMBER($N$362),$B$294=1),$N$362,HLOOKUP(INDIRECT(ADDRESS(2,COLUMN())),OFFSET($BN$2,0,0,ROW()-1,60),ROW()-1,FALSE))</f>
        <v>152.923</v>
      </c>
      <c r="O44">
        <f ca="1">IF(AND(ISNUMBER($O$362),$B$294=1),$O$362,HLOOKUP(INDIRECT(ADDRESS(2,COLUMN())),OFFSET($BN$2,0,0,ROW()-1,60),ROW()-1,FALSE))</f>
        <v>146.44300000000001</v>
      </c>
      <c r="P44">
        <f ca="1">IF(AND(ISNUMBER($P$362),$B$294=1),$P$362,HLOOKUP(INDIRECT(ADDRESS(2,COLUMN())),OFFSET($BN$2,0,0,ROW()-1,60),ROW()-1,FALSE))</f>
        <v>146.15799999999999</v>
      </c>
      <c r="Q44">
        <f ca="1">IF(AND(ISNUMBER($Q$362),$B$294=1),$Q$362,HLOOKUP(INDIRECT(ADDRESS(2,COLUMN())),OFFSET($BN$2,0,0,ROW()-1,60),ROW()-1,FALSE))</f>
        <v>148.56700000000001</v>
      </c>
      <c r="R44">
        <f ca="1">IF(AND(ISNUMBER($R$362),$B$294=1),$R$362,HLOOKUP(INDIRECT(ADDRESS(2,COLUMN())),OFFSET($BN$2,0,0,ROW()-1,60),ROW()-1,FALSE))</f>
        <v>153.715</v>
      </c>
      <c r="S44">
        <f ca="1">IF(AND(ISNUMBER($S$362),$B$294=1),$S$362,HLOOKUP(INDIRECT(ADDRESS(2,COLUMN())),OFFSET($BN$2,0,0,ROW()-1,60),ROW()-1,FALSE))</f>
        <v>151.41399999999999</v>
      </c>
      <c r="T44">
        <f ca="1">IF(AND(ISNUMBER($T$362),$B$294=1),$T$362,HLOOKUP(INDIRECT(ADDRESS(2,COLUMN())),OFFSET($BN$2,0,0,ROW()-1,60),ROW()-1,FALSE))</f>
        <v>155.489</v>
      </c>
      <c r="U44">
        <f ca="1">IF(AND(ISNUMBER($U$362),$B$294=1),$U$362,HLOOKUP(INDIRECT(ADDRESS(2,COLUMN())),OFFSET($BN$2,0,0,ROW()-1,60),ROW()-1,FALSE))</f>
        <v>160.30000000000001</v>
      </c>
      <c r="V44">
        <f ca="1">IF(AND(ISNUMBER($V$362),$B$294=1),$V$362,HLOOKUP(INDIRECT(ADDRESS(2,COLUMN())),OFFSET($BN$2,0,0,ROW()-1,60),ROW()-1,FALSE))</f>
        <v>169.596</v>
      </c>
      <c r="W44">
        <f ca="1">IF(AND(ISNUMBER($W$362),$B$294=1),$W$362,HLOOKUP(INDIRECT(ADDRESS(2,COLUMN())),OFFSET($BN$2,0,0,ROW()-1,60),ROW()-1,FALSE))</f>
        <v>165.267</v>
      </c>
      <c r="X44">
        <f ca="1">IF(AND(ISNUMBER($X$362),$B$294=1),$X$362,HLOOKUP(INDIRECT(ADDRESS(2,COLUMN())),OFFSET($BN$2,0,0,ROW()-1,60),ROW()-1,FALSE))</f>
        <v>162.505</v>
      </c>
      <c r="Y44">
        <f ca="1">IF(AND(ISNUMBER($Y$362),$B$294=1),$Y$362,HLOOKUP(INDIRECT(ADDRESS(2,COLUMN())),OFFSET($BN$2,0,0,ROW()-1,60),ROW()-1,FALSE))</f>
        <v>168.346</v>
      </c>
      <c r="Z44">
        <f ca="1">IF(AND(ISNUMBER($Z$362),$B$294=1),$Z$362,HLOOKUP(INDIRECT(ADDRESS(2,COLUMN())),OFFSET($BN$2,0,0,ROW()-1,60),ROW()-1,FALSE))</f>
        <v>170.91300000000001</v>
      </c>
      <c r="AA44">
        <f ca="1">IF(AND(ISNUMBER($AA$362),$B$294=1),$AA$362,HLOOKUP(INDIRECT(ADDRESS(2,COLUMN())),OFFSET($BN$2,0,0,ROW()-1,60),ROW()-1,FALSE))</f>
        <v>177.03</v>
      </c>
      <c r="AB44">
        <f ca="1">IF(AND(ISNUMBER($AB$362),$B$294=1),$AB$362,HLOOKUP(INDIRECT(ADDRESS(2,COLUMN())),OFFSET($BN$2,0,0,ROW()-1,60),ROW()-1,FALSE))</f>
        <v>156.797</v>
      </c>
      <c r="AC44">
        <f ca="1">IF(AND(ISNUMBER($AC$362),$B$294=1),$AC$362,HLOOKUP(INDIRECT(ADDRESS(2,COLUMN())),OFFSET($BN$2,0,0,ROW()-1,60),ROW()-1,FALSE))</f>
        <v>172.04499999999999</v>
      </c>
      <c r="AD44">
        <f ca="1">IF(AND(ISNUMBER($AD$362),$B$294=1),$AD$362,HLOOKUP(INDIRECT(ADDRESS(2,COLUMN())),OFFSET($BN$2,0,0,ROW()-1,60),ROW()-1,FALSE))</f>
        <v>177.82300000000001</v>
      </c>
      <c r="AE44">
        <f ca="1">IF(AND(ISNUMBER($AE$362),$B$294=1),$AE$362,HLOOKUP(INDIRECT(ADDRESS(2,COLUMN())),OFFSET($BN$2,0,0,ROW()-1,60),ROW()-1,FALSE))</f>
        <v>175.512</v>
      </c>
      <c r="AF44">
        <f ca="1">IF(AND(ISNUMBER($AF$362),$B$294=1),$AF$362,HLOOKUP(INDIRECT(ADDRESS(2,COLUMN())),OFFSET($BN$2,0,0,ROW()-1,60),ROW()-1,FALSE))</f>
        <v>175.43700000000001</v>
      </c>
      <c r="AG44">
        <f ca="1">IF(AND(ISNUMBER($AG$362),$B$294=1),$AG$362,HLOOKUP(INDIRECT(ADDRESS(2,COLUMN())),OFFSET($BN$2,0,0,ROW()-1,60),ROW()-1,FALSE))</f>
        <v>179.16800000000001</v>
      </c>
      <c r="AH44">
        <f ca="1">IF(AND(ISNUMBER($AH$362),$B$294=1),$AH$362,HLOOKUP(INDIRECT(ADDRESS(2,COLUMN())),OFFSET($BN$2,0,0,ROW()-1,60),ROW()-1,FALSE))</f>
        <v>184.21299999999999</v>
      </c>
      <c r="AI44">
        <f ca="1">IF(AND(ISNUMBER($AI$362),$B$294=1),$AI$362,HLOOKUP(INDIRECT(ADDRESS(2,COLUMN())),OFFSET($BN$2,0,0,ROW()-1,60),ROW()-1,FALSE))</f>
        <v>192.15600000000001</v>
      </c>
      <c r="AJ44">
        <f ca="1">IF(AND(ISNUMBER($AJ$362),$B$294=1),$AJ$362,HLOOKUP(INDIRECT(ADDRESS(2,COLUMN())),OFFSET($BN$2,0,0,ROW()-1,60),ROW()-1,FALSE))</f>
        <v>197.95599999999999</v>
      </c>
      <c r="AK44">
        <f ca="1">IF(AND(ISNUMBER($AK$362),$B$294=1),$AK$362,HLOOKUP(INDIRECT(ADDRESS(2,COLUMN())),OFFSET($BN$2,0,0,ROW()-1,60),ROW()-1,FALSE))</f>
        <v>202.785</v>
      </c>
      <c r="AL44">
        <f ca="1">IF(AND(ISNUMBER($AL$362),$B$294=1),$AL$362,HLOOKUP(INDIRECT(ADDRESS(2,COLUMN())),OFFSET($BN$2,0,0,ROW()-1,60),ROW()-1,FALSE))</f>
        <v>194.583</v>
      </c>
      <c r="AM44">
        <f ca="1">IF(AND(ISNUMBER($AM$362),$B$294=1),$AM$362,HLOOKUP(INDIRECT(ADDRESS(2,COLUMN())),OFFSET($BN$2,0,0,ROW()-1,60),ROW()-1,FALSE))</f>
        <v>192.28899999999999</v>
      </c>
      <c r="AN44">
        <f ca="1">IF(AND(ISNUMBER($AN$362),$B$294=1),$AN$362,HLOOKUP(INDIRECT(ADDRESS(2,COLUMN())),OFFSET($BN$2,0,0,ROW()-1,60),ROW()-1,FALSE))</f>
        <v>192.14699999999999</v>
      </c>
      <c r="AO44">
        <f ca="1">IF(AND(ISNUMBER($AO$362),$B$294=1),$AO$362,HLOOKUP(INDIRECT(ADDRESS(2,COLUMN())),OFFSET($BN$2,0,0,ROW()-1,60),ROW()-1,FALSE))</f>
        <v>187.82300000000001</v>
      </c>
      <c r="AP44">
        <f ca="1">IF(AND(ISNUMBER($AP$362),$B$294=1),$AP$362,HLOOKUP(INDIRECT(ADDRESS(2,COLUMN())),OFFSET($BN$2,0,0,ROW()-1,60),ROW()-1,FALSE))</f>
        <v>186.666</v>
      </c>
      <c r="AQ44">
        <f ca="1">IF(AND(ISNUMBER($AQ$362),$B$294=1),$AQ$362,HLOOKUP(INDIRECT(ADDRESS(2,COLUMN())),OFFSET($BN$2,0,0,ROW()-1,60),ROW()-1,FALSE))</f>
        <v>186.1</v>
      </c>
      <c r="AR44">
        <f ca="1">IF(AND(ISNUMBER($AR$362),$B$294=1),$AR$362,HLOOKUP(INDIRECT(ADDRESS(2,COLUMN())),OFFSET($BN$2,0,0,ROW()-1,60),ROW()-1,FALSE))</f>
        <v>204.62</v>
      </c>
      <c r="AS44">
        <f ca="1">IF(AND(ISNUMBER($AS$362),$B$294=1),$AS$362,HLOOKUP(INDIRECT(ADDRESS(2,COLUMN())),OFFSET($BN$2,0,0,ROW()-1,60),ROW()-1,FALSE))</f>
        <v>193.095</v>
      </c>
      <c r="AT44">
        <f ca="1">IF(AND(ISNUMBER($AT$362),$B$294=1),$AT$362,HLOOKUP(INDIRECT(ADDRESS(2,COLUMN())),OFFSET($BN$2,0,0,ROW()-1,60),ROW()-1,FALSE))</f>
        <v>195.26900000000001</v>
      </c>
      <c r="AU44">
        <f ca="1">IF(AND(ISNUMBER($AU$362),$B$294=1),$AU$362,HLOOKUP(INDIRECT(ADDRESS(2,COLUMN())),OFFSET($BN$2,0,0,ROW()-1,60),ROW()-1,FALSE))</f>
        <v>202.179</v>
      </c>
      <c r="AV44">
        <f ca="1">IF(AND(ISNUMBER($AV$362),$B$294=1),$AV$362,HLOOKUP(INDIRECT(ADDRESS(2,COLUMN())),OFFSET($BN$2,0,0,ROW()-1,60),ROW()-1,FALSE))</f>
        <v>212.881</v>
      </c>
      <c r="AW44">
        <f ca="1">IF(AND(ISNUMBER($AW$362),$B$294=1),$AW$362,HLOOKUP(INDIRECT(ADDRESS(2,COLUMN())),OFFSET($BN$2,0,0,ROW()-1,60),ROW()-1,FALSE))</f>
        <v>202.101</v>
      </c>
      <c r="AX44">
        <f ca="1">IF(AND(ISNUMBER($AX$362),$B$294=1),$AX$362,HLOOKUP(INDIRECT(ADDRESS(2,COLUMN())),OFFSET($BN$2,0,0,ROW()-1,60),ROW()-1,FALSE))</f>
        <v>194.874</v>
      </c>
      <c r="AY44">
        <f ca="1">IF(AND(ISNUMBER($AY$362),$B$294=1),$AY$362,HLOOKUP(INDIRECT(ADDRESS(2,COLUMN())),OFFSET($BN$2,0,0,ROW()-1,60),ROW()-1,FALSE))</f>
        <v>198.86799999999999</v>
      </c>
      <c r="AZ44">
        <f ca="1">IF(AND(ISNUMBER($AZ$362),$B$294=1),$AZ$362,HLOOKUP(INDIRECT(ADDRESS(2,COLUMN())),OFFSET($BN$2,0,0,ROW()-1,60),ROW()-1,FALSE))</f>
        <v>203.73099999999999</v>
      </c>
      <c r="BA44">
        <f ca="1">IF(AND(ISNUMBER($BA$362),$B$294=1),$BA$362,HLOOKUP(INDIRECT(ADDRESS(2,COLUMN())),OFFSET($BN$2,0,0,ROW()-1,60),ROW()-1,FALSE))</f>
        <v>183.18799999999999</v>
      </c>
      <c r="BB44">
        <f ca="1">IF(AND(ISNUMBER($BB$362),$B$294=1),$BB$362,HLOOKUP(INDIRECT(ADDRESS(2,COLUMN())),OFFSET($BN$2,0,0,ROW()-1,60),ROW()-1,FALSE))</f>
        <v>153.84</v>
      </c>
      <c r="BC44">
        <f ca="1">IF(AND(ISNUMBER($BC$362),$B$294=1),$BC$362,HLOOKUP(INDIRECT(ADDRESS(2,COLUMN())),OFFSET($BN$2,0,0,ROW()-1,60),ROW()-1,FALSE))</f>
        <v>131.655</v>
      </c>
      <c r="BD44">
        <f ca="1">IF(AND(ISNUMBER($BD$362),$B$294=1),$BD$362,HLOOKUP(INDIRECT(ADDRESS(2,COLUMN())),OFFSET($BN$2,0,0,ROW()-1,60),ROW()-1,FALSE))</f>
        <v>154.46</v>
      </c>
      <c r="BE44">
        <f ca="1">IF(AND(ISNUMBER($BE$362),$B$294=1),$BE$362,HLOOKUP(INDIRECT(ADDRESS(2,COLUMN())),OFFSET($BN$2,0,0,ROW()-1,60),ROW()-1,FALSE))</f>
        <v>162.47200000000001</v>
      </c>
      <c r="BF44">
        <f ca="1">IF(AND(ISNUMBER($BF$362),$B$294=1),$BF$362,HLOOKUP(INDIRECT(ADDRESS(2,COLUMN())),OFFSET($BN$2,0,0,ROW()-1,60),ROW()-1,FALSE))</f>
        <v>152.4</v>
      </c>
      <c r="BG44">
        <f ca="1">IF(AND(ISNUMBER($BG$362),$B$294=1),$BG$362,HLOOKUP(INDIRECT(ADDRESS(2,COLUMN())),OFFSET($BN$2,0,0,ROW()-1,60),ROW()-1,FALSE))</f>
        <v>149.39699999999999</v>
      </c>
      <c r="BH44">
        <f ca="1">IF(AND(ISNUMBER($BH$362),$B$294=1),$BH$362,HLOOKUP(INDIRECT(ADDRESS(2,COLUMN())),OFFSET($BN$2,0,0,ROW()-1,60),ROW()-1,FALSE))</f>
        <v>148.108</v>
      </c>
      <c r="BI44">
        <f ca="1">IF(AND(ISNUMBER($BI$362),$B$294=1),$BI$362,HLOOKUP(INDIRECT(ADDRESS(2,COLUMN())),OFFSET($BN$2,0,0,ROW()-1,60),ROW()-1,FALSE))</f>
        <v>146.945007</v>
      </c>
      <c r="BJ44">
        <f ca="1">IF(AND(ISNUMBER($BJ$362),$B$294=1),$BJ$362,HLOOKUP(INDIRECT(ADDRESS(2,COLUMN())),OFFSET($BN$2,0,0,ROW()-1,60),ROW()-1,FALSE))</f>
        <v>140.45799299999999</v>
      </c>
      <c r="BK44">
        <f ca="1">IF(AND(ISNUMBER($BK$362),$B$294=1),$BK$362,HLOOKUP(INDIRECT(ADDRESS(2,COLUMN())),OFFSET($BN$2,0,0,ROW()-1,60),ROW()-1,FALSE))</f>
        <v>143.97300720000001</v>
      </c>
      <c r="BL44">
        <f ca="1">IF(AND(ISNUMBER($BL$362),$B$294=1),$BL$362,HLOOKUP(INDIRECT(ADDRESS(2,COLUMN())),OFFSET($BN$2,0,0,ROW()-1,60),ROW()-1,FALSE))</f>
        <v>143.182007</v>
      </c>
      <c r="BM44">
        <f ca="1">IF(AND(ISNUMBER($BM$362),$B$294=1),$BM$362,HLOOKUP(INDIRECT(ADDRESS(2,COLUMN())),OFFSET($BN$2,0,0,ROW()-1,60),ROW()-1,FALSE))</f>
        <v>142.628006</v>
      </c>
      <c r="BN44" t="str">
        <f>""</f>
        <v/>
      </c>
      <c r="BO44">
        <f>143.529</f>
        <v>143.529</v>
      </c>
      <c r="BP44">
        <f>160.018</f>
        <v>160.018</v>
      </c>
      <c r="BQ44">
        <f>162.766</f>
        <v>162.76599999999999</v>
      </c>
      <c r="BR44">
        <f>149.887</f>
        <v>149.887</v>
      </c>
      <c r="BS44">
        <f>153.731</f>
        <v>153.73099999999999</v>
      </c>
      <c r="BT44">
        <f>157.517</f>
        <v>157.517</v>
      </c>
      <c r="BU44">
        <f>149.227</f>
        <v>149.227</v>
      </c>
      <c r="BV44">
        <f>152.923</f>
        <v>152.923</v>
      </c>
      <c r="BW44">
        <f>146.443</f>
        <v>146.44300000000001</v>
      </c>
      <c r="BX44">
        <f>146.158</f>
        <v>146.15799999999999</v>
      </c>
      <c r="BY44">
        <f>148.567</f>
        <v>148.56700000000001</v>
      </c>
      <c r="BZ44">
        <f>153.715</f>
        <v>153.715</v>
      </c>
      <c r="CA44">
        <f>151.414</f>
        <v>151.41399999999999</v>
      </c>
      <c r="CB44">
        <f>155.489</f>
        <v>155.489</v>
      </c>
      <c r="CC44">
        <f>160.3</f>
        <v>160.30000000000001</v>
      </c>
      <c r="CD44">
        <f>169.596</f>
        <v>169.596</v>
      </c>
      <c r="CE44">
        <f>165.267</f>
        <v>165.267</v>
      </c>
      <c r="CF44">
        <f>162.505</f>
        <v>162.505</v>
      </c>
      <c r="CG44">
        <f>168.346</f>
        <v>168.346</v>
      </c>
      <c r="CH44">
        <f>170.913</f>
        <v>170.91300000000001</v>
      </c>
      <c r="CI44">
        <f>177.03</f>
        <v>177.03</v>
      </c>
      <c r="CJ44">
        <f>156.797</f>
        <v>156.797</v>
      </c>
      <c r="CK44">
        <f>172.045</f>
        <v>172.04499999999999</v>
      </c>
      <c r="CL44">
        <f>177.823</f>
        <v>177.82300000000001</v>
      </c>
      <c r="CM44">
        <f>175.512</f>
        <v>175.512</v>
      </c>
      <c r="CN44">
        <f>175.437</f>
        <v>175.43700000000001</v>
      </c>
      <c r="CO44">
        <f>179.168</f>
        <v>179.16800000000001</v>
      </c>
      <c r="CP44">
        <f>184.213</f>
        <v>184.21299999999999</v>
      </c>
      <c r="CQ44">
        <f>192.156</f>
        <v>192.15600000000001</v>
      </c>
      <c r="CR44">
        <f>197.956</f>
        <v>197.95599999999999</v>
      </c>
      <c r="CS44">
        <f>202.785</f>
        <v>202.785</v>
      </c>
      <c r="CT44">
        <f>194.583</f>
        <v>194.583</v>
      </c>
      <c r="CU44">
        <f>192.289</f>
        <v>192.28899999999999</v>
      </c>
      <c r="CV44">
        <f>192.147</f>
        <v>192.14699999999999</v>
      </c>
      <c r="CW44">
        <f>187.823</f>
        <v>187.82300000000001</v>
      </c>
      <c r="CX44">
        <f>186.666</f>
        <v>186.666</v>
      </c>
      <c r="CY44">
        <f>186.1</f>
        <v>186.1</v>
      </c>
      <c r="CZ44">
        <f>204.62</f>
        <v>204.62</v>
      </c>
      <c r="DA44">
        <f>193.095</f>
        <v>193.095</v>
      </c>
      <c r="DB44">
        <f>195.269</f>
        <v>195.26900000000001</v>
      </c>
      <c r="DC44">
        <f>202.179</f>
        <v>202.179</v>
      </c>
      <c r="DD44">
        <f>212.881</f>
        <v>212.881</v>
      </c>
      <c r="DE44">
        <f>202.101</f>
        <v>202.101</v>
      </c>
      <c r="DF44">
        <f>194.874</f>
        <v>194.874</v>
      </c>
      <c r="DG44">
        <f>198.868</f>
        <v>198.86799999999999</v>
      </c>
      <c r="DH44">
        <f>203.731</f>
        <v>203.73099999999999</v>
      </c>
      <c r="DI44">
        <f>183.188</f>
        <v>183.18799999999999</v>
      </c>
      <c r="DJ44">
        <f>153.84</f>
        <v>153.84</v>
      </c>
      <c r="DK44">
        <f>131.655</f>
        <v>131.655</v>
      </c>
      <c r="DL44">
        <f>154.46</f>
        <v>154.46</v>
      </c>
      <c r="DM44">
        <f>162.472</f>
        <v>162.47200000000001</v>
      </c>
      <c r="DN44">
        <f>152.4</f>
        <v>152.4</v>
      </c>
      <c r="DO44">
        <f>149.397</f>
        <v>149.39699999999999</v>
      </c>
      <c r="DP44">
        <f>148.108</f>
        <v>148.108</v>
      </c>
      <c r="DQ44">
        <f>146.945007</f>
        <v>146.945007</v>
      </c>
      <c r="DR44">
        <f>140.457993</f>
        <v>140.45799299999999</v>
      </c>
      <c r="DS44">
        <f>143.9730072</f>
        <v>143.97300720000001</v>
      </c>
      <c r="DT44">
        <f>143.182007</f>
        <v>143.182007</v>
      </c>
      <c r="DU44">
        <f>142.628006</f>
        <v>142.628006</v>
      </c>
    </row>
    <row r="45" spans="1:125">
      <c r="A45" t="str">
        <f>"    Piedmont Office Realty Trust I"</f>
        <v xml:space="preserve">    Piedmont Office Realty Trust I</v>
      </c>
      <c r="B45" t="str">
        <f>"PDM US Equity"</f>
        <v>PDM US Equity</v>
      </c>
      <c r="C45" t="str">
        <f t="shared" si="9"/>
        <v>IS010</v>
      </c>
      <c r="D45" t="str">
        <f t="shared" si="10"/>
        <v>SALES_REV_TURN</v>
      </c>
      <c r="E45" t="str">
        <f t="shared" si="11"/>
        <v>动态</v>
      </c>
      <c r="F45" t="str">
        <f ca="1">IF(AND(ISNUMBER($F$363),$B$294=1),$F$363,HLOOKUP(INDIRECT(ADDRESS(2,COLUMN())),OFFSET($BN$2,0,0,ROW()-1,60),ROW()-1,FALSE))</f>
        <v/>
      </c>
      <c r="G45">
        <f ca="1">IF(AND(ISNUMBER($G$363),$B$294=1),$G$363,HLOOKUP(INDIRECT(ADDRESS(2,COLUMN())),OFFSET($BN$2,0,0,ROW()-1,60),ROW()-1,FALSE))</f>
        <v>139.44399999999999</v>
      </c>
      <c r="H45">
        <f ca="1">IF(AND(ISNUMBER($H$363),$B$294=1),$H$363,HLOOKUP(INDIRECT(ADDRESS(2,COLUMN())),OFFSET($BN$2,0,0,ROW()-1,60),ROW()-1,FALSE))</f>
        <v>137.58699999999999</v>
      </c>
      <c r="I45">
        <f ca="1">IF(AND(ISNUMBER($I$363),$B$294=1),$I$363,HLOOKUP(INDIRECT(ADDRESS(2,COLUMN())),OFFSET($BN$2,0,0,ROW()-1,60),ROW()-1,FALSE))</f>
        <v>148.679</v>
      </c>
      <c r="J45">
        <f ca="1">IF(AND(ISNUMBER($J$363),$B$294=1),$J$363,HLOOKUP(INDIRECT(ADDRESS(2,COLUMN())),OFFSET($BN$2,0,0,ROW()-1,60),ROW()-1,FALSE))</f>
        <v>148.46299999999999</v>
      </c>
      <c r="K45">
        <f ca="1">IF(AND(ISNUMBER($K$363),$B$294=1),$K$363,HLOOKUP(INDIRECT(ADDRESS(2,COLUMN())),OFFSET($BN$2,0,0,ROW()-1,60),ROW()-1,FALSE))</f>
        <v>143.911</v>
      </c>
      <c r="L45">
        <f ca="1">IF(AND(ISNUMBER($L$363),$B$294=1),$L$363,HLOOKUP(INDIRECT(ADDRESS(2,COLUMN())),OFFSET($BN$2,0,0,ROW()-1,60),ROW()-1,FALSE))</f>
        <v>138.48500000000001</v>
      </c>
      <c r="M45">
        <f ca="1">IF(AND(ISNUMBER($M$363),$B$294=1),$M$363,HLOOKUP(INDIRECT(ADDRESS(2,COLUMN())),OFFSET($BN$2,0,0,ROW()-1,60),ROW()-1,FALSE))</f>
        <v>135.30699999999999</v>
      </c>
      <c r="N45">
        <f ca="1">IF(AND(ISNUMBER($N$363),$B$294=1),$N$363,HLOOKUP(INDIRECT(ADDRESS(2,COLUMN())),OFFSET($BN$2,0,0,ROW()-1,60),ROW()-1,FALSE))</f>
        <v>138.012</v>
      </c>
      <c r="O45">
        <f ca="1">IF(AND(ISNUMBER($O$363),$B$294=1),$O$363,HLOOKUP(INDIRECT(ADDRESS(2,COLUMN())),OFFSET($BN$2,0,0,ROW()-1,60),ROW()-1,FALSE))</f>
        <v>139.46100000000001</v>
      </c>
      <c r="P45">
        <f ca="1">IF(AND(ISNUMBER($P$363),$B$294=1),$P$363,HLOOKUP(INDIRECT(ADDRESS(2,COLUMN())),OFFSET($BN$2,0,0,ROW()-1,60),ROW()-1,FALSE))</f>
        <v>148.815</v>
      </c>
      <c r="Q45">
        <f ca="1">IF(AND(ISNUMBER($Q$363),$B$294=1),$Q$363,HLOOKUP(INDIRECT(ADDRESS(2,COLUMN())),OFFSET($BN$2,0,0,ROW()-1,60),ROW()-1,FALSE))</f>
        <v>146.73400000000001</v>
      </c>
      <c r="R45">
        <f ca="1">IF(AND(ISNUMBER($R$363),$B$294=1),$R$363,HLOOKUP(INDIRECT(ADDRESS(2,COLUMN())),OFFSET($BN$2,0,0,ROW()-1,60),ROW()-1,FALSE))</f>
        <v>149.75899999999999</v>
      </c>
      <c r="S45">
        <f ca="1">IF(AND(ISNUMBER($S$363),$B$294=1),$S$363,HLOOKUP(INDIRECT(ADDRESS(2,COLUMN())),OFFSET($BN$2,0,0,ROW()-1,60),ROW()-1,FALSE))</f>
        <v>146.71100000000001</v>
      </c>
      <c r="T45">
        <f ca="1">IF(AND(ISNUMBER($T$363),$B$294=1),$T$363,HLOOKUP(INDIRECT(ADDRESS(2,COLUMN())),OFFSET($BN$2,0,0,ROW()-1,60),ROW()-1,FALSE))</f>
        <v>144.64099999999999</v>
      </c>
      <c r="U45">
        <f ca="1">IF(AND(ISNUMBER($U$363),$B$294=1),$U$363,HLOOKUP(INDIRECT(ADDRESS(2,COLUMN())),OFFSET($BN$2,0,0,ROW()-1,60),ROW()-1,FALSE))</f>
        <v>138.58000000000001</v>
      </c>
      <c r="V45">
        <f ca="1">IF(AND(ISNUMBER($V$363),$B$294=1),$V$363,HLOOKUP(INDIRECT(ADDRESS(2,COLUMN())),OFFSET($BN$2,0,0,ROW()-1,60),ROW()-1,FALSE))</f>
        <v>136.32</v>
      </c>
      <c r="W45">
        <f ca="1">IF(AND(ISNUMBER($W$363),$B$294=1),$W$363,HLOOKUP(INDIRECT(ADDRESS(2,COLUMN())),OFFSET($BN$2,0,0,ROW()-1,60),ROW()-1,FALSE))</f>
        <v>141.50399999999999</v>
      </c>
      <c r="X45">
        <f ca="1">IF(AND(ISNUMBER($X$363),$B$294=1),$X$363,HLOOKUP(INDIRECT(ADDRESS(2,COLUMN())),OFFSET($BN$2,0,0,ROW()-1,60),ROW()-1,FALSE))</f>
        <v>143.38900000000001</v>
      </c>
      <c r="Y45">
        <f ca="1">IF(AND(ISNUMBER($Y$363),$B$294=1),$Y$363,HLOOKUP(INDIRECT(ADDRESS(2,COLUMN())),OFFSET($BN$2,0,0,ROW()-1,60),ROW()-1,FALSE))</f>
        <v>132.565</v>
      </c>
      <c r="Z45">
        <f ca="1">IF(AND(ISNUMBER($Z$363),$B$294=1),$Z$363,HLOOKUP(INDIRECT(ADDRESS(2,COLUMN())),OFFSET($BN$2,0,0,ROW()-1,60),ROW()-1,FALSE))</f>
        <v>132.15100000000001</v>
      </c>
      <c r="AA45">
        <f ca="1">IF(AND(ISNUMBER($AA$363),$B$294=1),$AA$363,HLOOKUP(INDIRECT(ADDRESS(2,COLUMN())),OFFSET($BN$2,0,0,ROW()-1,60),ROW()-1,FALSE))</f>
        <v>132.37899999999999</v>
      </c>
      <c r="AB45">
        <f ca="1">IF(AND(ISNUMBER($AB$363),$B$294=1),$AB$363,HLOOKUP(INDIRECT(ADDRESS(2,COLUMN())),OFFSET($BN$2,0,0,ROW()-1,60),ROW()-1,FALSE))</f>
        <v>132.6</v>
      </c>
      <c r="AC45">
        <f ca="1">IF(AND(ISNUMBER($AC$363),$B$294=1),$AC$363,HLOOKUP(INDIRECT(ADDRESS(2,COLUMN())),OFFSET($BN$2,0,0,ROW()-1,60),ROW()-1,FALSE))</f>
        <v>131.65199999999999</v>
      </c>
      <c r="AD45">
        <f ca="1">IF(AND(ISNUMBER($AD$363),$B$294=1),$AD$363,HLOOKUP(INDIRECT(ADDRESS(2,COLUMN())),OFFSET($BN$2,0,0,ROW()-1,60),ROW()-1,FALSE))</f>
        <v>131.08600000000001</v>
      </c>
      <c r="AE45">
        <f ca="1">IF(AND(ISNUMBER($AE$363),$B$294=1),$AE$363,HLOOKUP(INDIRECT(ADDRESS(2,COLUMN())),OFFSET($BN$2,0,0,ROW()-1,60),ROW()-1,FALSE))</f>
        <v>135.62299999999999</v>
      </c>
      <c r="AF45">
        <f ca="1">IF(AND(ISNUMBER($AF$363),$B$294=1),$AF$363,HLOOKUP(INDIRECT(ADDRESS(2,COLUMN())),OFFSET($BN$2,0,0,ROW()-1,60),ROW()-1,FALSE))</f>
        <v>132.47800000000001</v>
      </c>
      <c r="AG45">
        <f ca="1">IF(AND(ISNUMBER($AG$363),$B$294=1),$AG$363,HLOOKUP(INDIRECT(ADDRESS(2,COLUMN())),OFFSET($BN$2,0,0,ROW()-1,60),ROW()-1,FALSE))</f>
        <v>135.55500000000001</v>
      </c>
      <c r="AH45">
        <f ca="1">IF(AND(ISNUMBER($AH$363),$B$294=1),$AH$363,HLOOKUP(INDIRECT(ADDRESS(2,COLUMN())),OFFSET($BN$2,0,0,ROW()-1,60),ROW()-1,FALSE))</f>
        <v>131.44999999999999</v>
      </c>
      <c r="AI45">
        <f ca="1">IF(AND(ISNUMBER($AI$363),$B$294=1),$AI$363,HLOOKUP(INDIRECT(ADDRESS(2,COLUMN())),OFFSET($BN$2,0,0,ROW()-1,60),ROW()-1,FALSE))</f>
        <v>135.233</v>
      </c>
      <c r="AJ45">
        <f ca="1">IF(AND(ISNUMBER($AJ$363),$B$294=1),$AJ$363,HLOOKUP(INDIRECT(ADDRESS(2,COLUMN())),OFFSET($BN$2,0,0,ROW()-1,60),ROW()-1,FALSE))</f>
        <v>134.11600000000001</v>
      </c>
      <c r="AK45">
        <f ca="1">IF(AND(ISNUMBER($AK$363),$B$294=1),$AK$363,HLOOKUP(INDIRECT(ADDRESS(2,COLUMN())),OFFSET($BN$2,0,0,ROW()-1,60),ROW()-1,FALSE))</f>
        <v>144.267</v>
      </c>
      <c r="AL45">
        <f ca="1">IF(AND(ISNUMBER($AL$363),$B$294=1),$AL$363,HLOOKUP(INDIRECT(ADDRESS(2,COLUMN())),OFFSET($BN$2,0,0,ROW()-1,60),ROW()-1,FALSE))</f>
        <v>146.84399999999999</v>
      </c>
      <c r="AM45">
        <f ca="1">IF(AND(ISNUMBER($AM$363),$B$294=1),$AM$363,HLOOKUP(INDIRECT(ADDRESS(2,COLUMN())),OFFSET($BN$2,0,0,ROW()-1,60),ROW()-1,FALSE))</f>
        <v>149.423</v>
      </c>
      <c r="AN45">
        <f ca="1">IF(AND(ISNUMBER($AN$363),$B$294=1),$AN$363,HLOOKUP(INDIRECT(ADDRESS(2,COLUMN())),OFFSET($BN$2,0,0,ROW()-1,60),ROW()-1,FALSE))</f>
        <v>148.94399999999999</v>
      </c>
      <c r="AO45">
        <f ca="1">IF(AND(ISNUMBER($AO$363),$B$294=1),$AO$363,HLOOKUP(INDIRECT(ADDRESS(2,COLUMN())),OFFSET($BN$2,0,0,ROW()-1,60),ROW()-1,FALSE))</f>
        <v>147.98500000000001</v>
      </c>
      <c r="AP45">
        <f ca="1">IF(AND(ISNUMBER($AP$363),$B$294=1),$AP$363,HLOOKUP(INDIRECT(ADDRESS(2,COLUMN())),OFFSET($BN$2,0,0,ROW()-1,60),ROW()-1,FALSE))</f>
        <v>153.74799999999999</v>
      </c>
      <c r="AQ45">
        <f ca="1">IF(AND(ISNUMBER($AQ$363),$B$294=1),$AQ$363,HLOOKUP(INDIRECT(ADDRESS(2,COLUMN())),OFFSET($BN$2,0,0,ROW()-1,60),ROW()-1,FALSE))</f>
        <v>155.416</v>
      </c>
      <c r="AR45">
        <f ca="1">IF(AND(ISNUMBER($AR$363),$B$294=1),$AR$363,HLOOKUP(INDIRECT(ADDRESS(2,COLUMN())),OFFSET($BN$2,0,0,ROW()-1,60),ROW()-1,FALSE))</f>
        <v>156.37100000000001</v>
      </c>
      <c r="AS45">
        <f ca="1">IF(AND(ISNUMBER($AS$363),$B$294=1),$AS$363,HLOOKUP(INDIRECT(ADDRESS(2,COLUMN())),OFFSET($BN$2,0,0,ROW()-1,60),ROW()-1,FALSE))</f>
        <v>152.161</v>
      </c>
      <c r="AT45">
        <f ca="1">IF(AND(ISNUMBER($AT$363),$B$294=1),$AT$363,HLOOKUP(INDIRECT(ADDRESS(2,COLUMN())),OFFSET($BN$2,0,0,ROW()-1,60),ROW()-1,FALSE))</f>
        <v>159.09299999999999</v>
      </c>
      <c r="AU45">
        <f ca="1">IF(AND(ISNUMBER($AU$363),$B$294=1),$AU$363,HLOOKUP(INDIRECT(ADDRESS(2,COLUMN())),OFFSET($BN$2,0,0,ROW()-1,60),ROW()-1,FALSE))</f>
        <v>146.15700000000001</v>
      </c>
      <c r="AV45">
        <f ca="1">IF(AND(ISNUMBER($AV$363),$B$294=1),$AV$363,HLOOKUP(INDIRECT(ADDRESS(2,COLUMN())),OFFSET($BN$2,0,0,ROW()-1,60),ROW()-1,FALSE))</f>
        <v>150.286</v>
      </c>
      <c r="AW45">
        <f ca="1">IF(AND(ISNUMBER($AW$363),$B$294=1),$AW$363,HLOOKUP(INDIRECT(ADDRESS(2,COLUMN())),OFFSET($BN$2,0,0,ROW()-1,60),ROW()-1,FALSE))</f>
        <v>146.17699999999999</v>
      </c>
      <c r="AX45">
        <f ca="1">IF(AND(ISNUMBER($AX$363),$B$294=1),$AX$363,HLOOKUP(INDIRECT(ADDRESS(2,COLUMN())),OFFSET($BN$2,0,0,ROW()-1,60),ROW()-1,FALSE))</f>
        <v>148.21799999999999</v>
      </c>
      <c r="AY45">
        <f ca="1">IF(AND(ISNUMBER($AY$363),$B$294=1),$AY$363,HLOOKUP(INDIRECT(ADDRESS(2,COLUMN())),OFFSET($BN$2,0,0,ROW()-1,60),ROW()-1,FALSE))</f>
        <v>138.57900000000001</v>
      </c>
      <c r="AZ45">
        <f ca="1">IF(AND(ISNUMBER($AZ$363),$B$294=1),$AZ$363,HLOOKUP(INDIRECT(ADDRESS(2,COLUMN())),OFFSET($BN$2,0,0,ROW()-1,60),ROW()-1,FALSE))</f>
        <v>151.64699999999999</v>
      </c>
      <c r="BA45">
        <f ca="1">IF(AND(ISNUMBER($BA$363),$B$294=1),$BA$363,HLOOKUP(INDIRECT(ADDRESS(2,COLUMN())),OFFSET($BN$2,0,0,ROW()-1,60),ROW()-1,FALSE))</f>
        <v>141.577</v>
      </c>
      <c r="BB45">
        <f ca="1">IF(AND(ISNUMBER($BB$363),$B$294=1),$BB$363,HLOOKUP(INDIRECT(ADDRESS(2,COLUMN())),OFFSET($BN$2,0,0,ROW()-1,60),ROW()-1,FALSE))</f>
        <v>139.56</v>
      </c>
      <c r="BC45">
        <f ca="1">IF(AND(ISNUMBER($BC$363),$B$294=1),$BC$363,HLOOKUP(INDIRECT(ADDRESS(2,COLUMN())),OFFSET($BN$2,0,0,ROW()-1,60),ROW()-1,FALSE))</f>
        <v>136.43799999999999</v>
      </c>
      <c r="BD45">
        <f ca="1">IF(AND(ISNUMBER($BD$363),$B$294=1),$BD$363,HLOOKUP(INDIRECT(ADDRESS(2,COLUMN())),OFFSET($BN$2,0,0,ROW()-1,60),ROW()-1,FALSE))</f>
        <v>141.15899999999999</v>
      </c>
      <c r="BE45">
        <f ca="1">IF(AND(ISNUMBER($BE$363),$B$294=1),$BE$363,HLOOKUP(INDIRECT(ADDRESS(2,COLUMN())),OFFSET($BN$2,0,0,ROW()-1,60),ROW()-1,FALSE))</f>
        <v>148.53700000000001</v>
      </c>
      <c r="BF45">
        <f ca="1">IF(AND(ISNUMBER($BF$363),$B$294=1),$BF$363,HLOOKUP(INDIRECT(ADDRESS(2,COLUMN())),OFFSET($BN$2,0,0,ROW()-1,60),ROW()-1,FALSE))</f>
        <v>143.67400000000001</v>
      </c>
      <c r="BG45">
        <f ca="1">IF(AND(ISNUMBER($BG$363),$B$294=1),$BG$363,HLOOKUP(INDIRECT(ADDRESS(2,COLUMN())),OFFSET($BN$2,0,0,ROW()-1,60),ROW()-1,FALSE))</f>
        <v>130.989</v>
      </c>
      <c r="BH45">
        <f ca="1">IF(AND(ISNUMBER($BH$363),$B$294=1),$BH$363,HLOOKUP(INDIRECT(ADDRESS(2,COLUMN())),OFFSET($BN$2,0,0,ROW()-1,60),ROW()-1,FALSE))</f>
        <v>137.15700000000001</v>
      </c>
      <c r="BI45">
        <f ca="1">IF(AND(ISNUMBER($BI$363),$B$294=1),$BI$363,HLOOKUP(INDIRECT(ADDRESS(2,COLUMN())),OFFSET($BN$2,0,0,ROW()-1,60),ROW()-1,FALSE))</f>
        <v>145.33299260000001</v>
      </c>
      <c r="BJ45">
        <f ca="1">IF(AND(ISNUMBER($BJ$363),$B$294=1),$BJ$363,HLOOKUP(INDIRECT(ADDRESS(2,COLUMN())),OFFSET($BN$2,0,0,ROW()-1,60),ROW()-1,FALSE))</f>
        <v>135.12899780000001</v>
      </c>
      <c r="BK45">
        <f ca="1">IF(AND(ISNUMBER($BK$363),$B$294=1),$BK$363,HLOOKUP(INDIRECT(ADDRESS(2,COLUMN())),OFFSET($BN$2,0,0,ROW()-1,60),ROW()-1,FALSE))</f>
        <v>125.4110031</v>
      </c>
      <c r="BL45">
        <f ca="1">IF(AND(ISNUMBER($BL$363),$B$294=1),$BL$363,HLOOKUP(INDIRECT(ADDRESS(2,COLUMN())),OFFSET($BN$2,0,0,ROW()-1,60),ROW()-1,FALSE))</f>
        <v>107.20500180000001</v>
      </c>
      <c r="BM45">
        <f ca="1">IF(AND(ISNUMBER($BM$363),$B$294=1),$BM$363,HLOOKUP(INDIRECT(ADDRESS(2,COLUMN())),OFFSET($BN$2,0,0,ROW()-1,60),ROW()-1,FALSE))</f>
        <v>85.842002870000002</v>
      </c>
      <c r="BN45" t="str">
        <f>""</f>
        <v/>
      </c>
      <c r="BO45">
        <f>139.444</f>
        <v>139.44399999999999</v>
      </c>
      <c r="BP45">
        <f>137.587</f>
        <v>137.58699999999999</v>
      </c>
      <c r="BQ45">
        <f>148.679</f>
        <v>148.679</v>
      </c>
      <c r="BR45">
        <f>148.463</f>
        <v>148.46299999999999</v>
      </c>
      <c r="BS45">
        <f>143.911</f>
        <v>143.911</v>
      </c>
      <c r="BT45">
        <f>138.485</f>
        <v>138.48500000000001</v>
      </c>
      <c r="BU45">
        <f>135.307</f>
        <v>135.30699999999999</v>
      </c>
      <c r="BV45">
        <f>138.012</f>
        <v>138.012</v>
      </c>
      <c r="BW45">
        <f>139.461</f>
        <v>139.46100000000001</v>
      </c>
      <c r="BX45">
        <f>148.815</f>
        <v>148.815</v>
      </c>
      <c r="BY45">
        <f>146.734</f>
        <v>146.73400000000001</v>
      </c>
      <c r="BZ45">
        <f>149.759</f>
        <v>149.75899999999999</v>
      </c>
      <c r="CA45">
        <f>146.711</f>
        <v>146.71100000000001</v>
      </c>
      <c r="CB45">
        <f>144.641</f>
        <v>144.64099999999999</v>
      </c>
      <c r="CC45">
        <f>138.58</f>
        <v>138.58000000000001</v>
      </c>
      <c r="CD45">
        <f>136.32</f>
        <v>136.32</v>
      </c>
      <c r="CE45">
        <f>141.504</f>
        <v>141.50399999999999</v>
      </c>
      <c r="CF45">
        <f>143.389</f>
        <v>143.38900000000001</v>
      </c>
      <c r="CG45">
        <f>132.565</f>
        <v>132.565</v>
      </c>
      <c r="CH45">
        <f>132.151</f>
        <v>132.15100000000001</v>
      </c>
      <c r="CI45">
        <f>132.379</f>
        <v>132.37899999999999</v>
      </c>
      <c r="CJ45">
        <f>132.6</f>
        <v>132.6</v>
      </c>
      <c r="CK45">
        <f>131.652</f>
        <v>131.65199999999999</v>
      </c>
      <c r="CL45">
        <f>131.086</f>
        <v>131.08600000000001</v>
      </c>
      <c r="CM45">
        <f>135.623</f>
        <v>135.62299999999999</v>
      </c>
      <c r="CN45">
        <f>132.478</f>
        <v>132.47800000000001</v>
      </c>
      <c r="CO45">
        <f>135.555</f>
        <v>135.55500000000001</v>
      </c>
      <c r="CP45">
        <f>131.45</f>
        <v>131.44999999999999</v>
      </c>
      <c r="CQ45">
        <f>135.233</f>
        <v>135.233</v>
      </c>
      <c r="CR45">
        <f>134.116</f>
        <v>134.11600000000001</v>
      </c>
      <c r="CS45">
        <f>144.267</f>
        <v>144.267</v>
      </c>
      <c r="CT45">
        <f>146.844</f>
        <v>146.84399999999999</v>
      </c>
      <c r="CU45">
        <f>149.423</f>
        <v>149.423</v>
      </c>
      <c r="CV45">
        <f>148.944</f>
        <v>148.94399999999999</v>
      </c>
      <c r="CW45">
        <f>147.985</f>
        <v>147.98500000000001</v>
      </c>
      <c r="CX45">
        <f>153.748</f>
        <v>153.74799999999999</v>
      </c>
      <c r="CY45">
        <f>155.416</f>
        <v>155.416</v>
      </c>
      <c r="CZ45">
        <f>156.371</f>
        <v>156.37100000000001</v>
      </c>
      <c r="DA45">
        <f>152.161</f>
        <v>152.161</v>
      </c>
      <c r="DB45">
        <f>159.093</f>
        <v>159.09299999999999</v>
      </c>
      <c r="DC45">
        <f>146.157</f>
        <v>146.15700000000001</v>
      </c>
      <c r="DD45">
        <f>150.286</f>
        <v>150.286</v>
      </c>
      <c r="DE45">
        <f>146.177</f>
        <v>146.17699999999999</v>
      </c>
      <c r="DF45">
        <f>148.218</f>
        <v>148.21799999999999</v>
      </c>
      <c r="DG45">
        <f>138.579</f>
        <v>138.57900000000001</v>
      </c>
      <c r="DH45">
        <f>151.647</f>
        <v>151.64699999999999</v>
      </c>
      <c r="DI45">
        <f>141.577</f>
        <v>141.577</v>
      </c>
      <c r="DJ45">
        <f>139.56</f>
        <v>139.56</v>
      </c>
      <c r="DK45">
        <f>136.438</f>
        <v>136.43799999999999</v>
      </c>
      <c r="DL45">
        <f>141.159</f>
        <v>141.15899999999999</v>
      </c>
      <c r="DM45">
        <f>148.537</f>
        <v>148.53700000000001</v>
      </c>
      <c r="DN45">
        <f>143.674</f>
        <v>143.67400000000001</v>
      </c>
      <c r="DO45">
        <f>130.989</f>
        <v>130.989</v>
      </c>
      <c r="DP45">
        <f>137.157</f>
        <v>137.15700000000001</v>
      </c>
      <c r="DQ45">
        <f>145.3329926</f>
        <v>145.33299260000001</v>
      </c>
      <c r="DR45">
        <f>135.1289978</f>
        <v>135.12899780000001</v>
      </c>
      <c r="DS45">
        <f>125.4110031</f>
        <v>125.4110031</v>
      </c>
      <c r="DT45">
        <f>107.2050018</f>
        <v>107.20500180000001</v>
      </c>
      <c r="DU45">
        <f>85.84200287</f>
        <v>85.842002870000002</v>
      </c>
    </row>
    <row r="46" spans="1:125">
      <c r="A46" t="str">
        <f>"    SL Green Realty Corp"</f>
        <v xml:space="preserve">    SL Green Realty Corp</v>
      </c>
      <c r="B46" t="str">
        <f>"SLG US Equity"</f>
        <v>SLG US Equity</v>
      </c>
      <c r="C46" t="str">
        <f t="shared" si="9"/>
        <v>IS010</v>
      </c>
      <c r="D46" t="str">
        <f t="shared" si="10"/>
        <v>SALES_REV_TURN</v>
      </c>
      <c r="E46" t="str">
        <f t="shared" si="11"/>
        <v>动态</v>
      </c>
      <c r="F46" t="str">
        <f ca="1">IF(AND(ISNUMBER($F$364),$B$294=1),$F$364,HLOOKUP(INDIRECT(ADDRESS(2,COLUMN())),OFFSET($BN$2,0,0,ROW()-1,60),ROW()-1,FALSE))</f>
        <v/>
      </c>
      <c r="G46">
        <f ca="1">IF(AND(ISNUMBER($G$364),$B$294=1),$G$364,HLOOKUP(INDIRECT(ADDRESS(2,COLUMN())),OFFSET($BN$2,0,0,ROW()-1,60),ROW()-1,FALSE))</f>
        <v>361.34199999999998</v>
      </c>
      <c r="H46">
        <f ca="1">IF(AND(ISNUMBER($H$364),$B$294=1),$H$364,HLOOKUP(INDIRECT(ADDRESS(2,COLUMN())),OFFSET($BN$2,0,0,ROW()-1,60),ROW()-1,FALSE))</f>
        <v>374.6</v>
      </c>
      <c r="I46">
        <f ca="1">IF(AND(ISNUMBER($I$364),$B$294=1),$I$364,HLOOKUP(INDIRECT(ADDRESS(2,COLUMN())),OFFSET($BN$2,0,0,ROW()-1,60),ROW()-1,FALSE))</f>
        <v>398.15</v>
      </c>
      <c r="J46">
        <f ca="1">IF(AND(ISNUMBER($J$364),$B$294=1),$J$364,HLOOKUP(INDIRECT(ADDRESS(2,COLUMN())),OFFSET($BN$2,0,0,ROW()-1,60),ROW()-1,FALSE))</f>
        <v>377.38099999999997</v>
      </c>
      <c r="K46">
        <f ca="1">IF(AND(ISNUMBER($K$364),$B$294=1),$K$364,HLOOKUP(INDIRECT(ADDRESS(2,COLUMN())),OFFSET($BN$2,0,0,ROW()-1,60),ROW()-1,FALSE))</f>
        <v>374.24200000000002</v>
      </c>
      <c r="L46">
        <f ca="1">IF(AND(ISNUMBER($L$364),$B$294=1),$L$364,HLOOKUP(INDIRECT(ADDRESS(2,COLUMN())),OFFSET($BN$2,0,0,ROW()-1,60),ROW()-1,FALSE))</f>
        <v>416.68099999999998</v>
      </c>
      <c r="M46">
        <f ca="1">IF(AND(ISNUMBER($M$364),$B$294=1),$M$364,HLOOKUP(INDIRECT(ADDRESS(2,COLUMN())),OFFSET($BN$2,0,0,ROW()-1,60),ROW()-1,FALSE))</f>
        <v>617.61400000000003</v>
      </c>
      <c r="N46">
        <f ca="1">IF(AND(ISNUMBER($N$364),$B$294=1),$N$364,HLOOKUP(INDIRECT(ADDRESS(2,COLUMN())),OFFSET($BN$2,0,0,ROW()-1,60),ROW()-1,FALSE))</f>
        <v>455.44400000000002</v>
      </c>
      <c r="O46">
        <f ca="1">IF(AND(ISNUMBER($O$364),$B$294=1),$O$364,HLOOKUP(INDIRECT(ADDRESS(2,COLUMN())),OFFSET($BN$2,0,0,ROW()-1,60),ROW()-1,FALSE))</f>
        <v>425.39</v>
      </c>
      <c r="P46">
        <f ca="1">IF(AND(ISNUMBER($P$364),$B$294=1),$P$364,HLOOKUP(INDIRECT(ADDRESS(2,COLUMN())),OFFSET($BN$2,0,0,ROW()-1,60),ROW()-1,FALSE))</f>
        <v>432.06599999999997</v>
      </c>
      <c r="Q46">
        <f ca="1">IF(AND(ISNUMBER($Q$364),$B$294=1),$Q$364,HLOOKUP(INDIRECT(ADDRESS(2,COLUMN())),OFFSET($BN$2,0,0,ROW()-1,60),ROW()-1,FALSE))</f>
        <v>409.07400000000001</v>
      </c>
      <c r="R46">
        <f ca="1">IF(AND(ISNUMBER($R$364),$B$294=1),$R$364,HLOOKUP(INDIRECT(ADDRESS(2,COLUMN())),OFFSET($BN$2,0,0,ROW()-1,60),ROW()-1,FALSE))</f>
        <v>396.29899999999998</v>
      </c>
      <c r="S46">
        <f ca="1">IF(AND(ISNUMBER($S$364),$B$294=1),$S$364,HLOOKUP(INDIRECT(ADDRESS(2,COLUMN())),OFFSET($BN$2,0,0,ROW()-1,60),ROW()-1,FALSE))</f>
        <v>386.62700000000001</v>
      </c>
      <c r="T46">
        <f ca="1">IF(AND(ISNUMBER($T$364),$B$294=1),$T$364,HLOOKUP(INDIRECT(ADDRESS(2,COLUMN())),OFFSET($BN$2,0,0,ROW()-1,60),ROW()-1,FALSE))</f>
        <v>390.274</v>
      </c>
      <c r="U46">
        <f ca="1">IF(AND(ISNUMBER($U$364),$B$294=1),$U$364,HLOOKUP(INDIRECT(ADDRESS(2,COLUMN())),OFFSET($BN$2,0,0,ROW()-1,60),ROW()-1,FALSE))</f>
        <v>380.63200000000001</v>
      </c>
      <c r="V46">
        <f ca="1">IF(AND(ISNUMBER($V$364),$B$294=1),$V$364,HLOOKUP(INDIRECT(ADDRESS(2,COLUMN())),OFFSET($BN$2,0,0,ROW()-1,60),ROW()-1,FALSE))</f>
        <v>362.44499999999999</v>
      </c>
      <c r="W46">
        <f ca="1">IF(AND(ISNUMBER($W$364),$B$294=1),$W$364,HLOOKUP(INDIRECT(ADDRESS(2,COLUMN())),OFFSET($BN$2,0,0,ROW()-1,60),ROW()-1,FALSE))</f>
        <v>350.45100000000002</v>
      </c>
      <c r="X46">
        <f ca="1">IF(AND(ISNUMBER($X$364),$B$294=1),$X$364,HLOOKUP(INDIRECT(ADDRESS(2,COLUMN())),OFFSET($BN$2,0,0,ROW()-1,60),ROW()-1,FALSE))</f>
        <v>338.78199999999998</v>
      </c>
      <c r="Y46">
        <f ca="1">IF(AND(ISNUMBER($Y$364),$B$294=1),$Y$364,HLOOKUP(INDIRECT(ADDRESS(2,COLUMN())),OFFSET($BN$2,0,0,ROW()-1,60),ROW()-1,FALSE))</f>
        <v>353.94400000000002</v>
      </c>
      <c r="Z46">
        <f ca="1">IF(AND(ISNUMBER($Z$364),$B$294=1),$Z$364,HLOOKUP(INDIRECT(ADDRESS(2,COLUMN())),OFFSET($BN$2,0,0,ROW()-1,60),ROW()-1,FALSE))</f>
        <v>359.95299999999997</v>
      </c>
      <c r="AA46">
        <f ca="1">IF(AND(ISNUMBER($AA$364),$B$294=1),$AA$364,HLOOKUP(INDIRECT(ADDRESS(2,COLUMN())),OFFSET($BN$2,0,0,ROW()-1,60),ROW()-1,FALSE))</f>
        <v>346.59899999999999</v>
      </c>
      <c r="AB46">
        <f ca="1">IF(AND(ISNUMBER($AB$364),$B$294=1),$AB$364,HLOOKUP(INDIRECT(ADDRESS(2,COLUMN())),OFFSET($BN$2,0,0,ROW()-1,60),ROW()-1,FALSE))</f>
        <v>357.01100000000002</v>
      </c>
      <c r="AC46">
        <f ca="1">IF(AND(ISNUMBER($AC$364),$B$294=1),$AC$364,HLOOKUP(INDIRECT(ADDRESS(2,COLUMN())),OFFSET($BN$2,0,0,ROW()-1,60),ROW()-1,FALSE))</f>
        <v>344.53500000000003</v>
      </c>
      <c r="AD46">
        <f ca="1">IF(AND(ISNUMBER($AD$364),$B$294=1),$AD$364,HLOOKUP(INDIRECT(ADDRESS(2,COLUMN())),OFFSET($BN$2,0,0,ROW()-1,60),ROW()-1,FALSE))</f>
        <v>339.13299999999998</v>
      </c>
      <c r="AE46">
        <f ca="1">IF(AND(ISNUMBER($AE$364),$B$294=1),$AE$364,HLOOKUP(INDIRECT(ADDRESS(2,COLUMN())),OFFSET($BN$2,0,0,ROW()-1,60),ROW()-1,FALSE))</f>
        <v>328.87900000000002</v>
      </c>
      <c r="AF46">
        <f ca="1">IF(AND(ISNUMBER($AF$364),$B$294=1),$AF$364,HLOOKUP(INDIRECT(ADDRESS(2,COLUMN())),OFFSET($BN$2,0,0,ROW()-1,60),ROW()-1,FALSE))</f>
        <v>306.62299999999999</v>
      </c>
      <c r="AG46">
        <f ca="1">IF(AND(ISNUMBER($AG$364),$B$294=1),$AG$364,HLOOKUP(INDIRECT(ADDRESS(2,COLUMN())),OFFSET($BN$2,0,0,ROW()-1,60),ROW()-1,FALSE))</f>
        <v>298.70499999999998</v>
      </c>
      <c r="AH46">
        <f ca="1">IF(AND(ISNUMBER($AH$364),$B$294=1),$AH$364,HLOOKUP(INDIRECT(ADDRESS(2,COLUMN())),OFFSET($BN$2,0,0,ROW()-1,60),ROW()-1,FALSE))</f>
        <v>329.221</v>
      </c>
      <c r="AI46">
        <f ca="1">IF(AND(ISNUMBER($AI$364),$B$294=1),$AI$364,HLOOKUP(INDIRECT(ADDRESS(2,COLUMN())),OFFSET($BN$2,0,0,ROW()-1,60),ROW()-1,FALSE))</f>
        <v>262.78399999999999</v>
      </c>
      <c r="AJ46">
        <f ca="1">IF(AND(ISNUMBER($AJ$364),$B$294=1),$AJ$364,HLOOKUP(INDIRECT(ADDRESS(2,COLUMN())),OFFSET($BN$2,0,0,ROW()-1,60),ROW()-1,FALSE))</f>
        <v>319.15100000000001</v>
      </c>
      <c r="AK46">
        <f ca="1">IF(AND(ISNUMBER($AK$364),$B$294=1),$AK$364,HLOOKUP(INDIRECT(ADDRESS(2,COLUMN())),OFFSET($BN$2,0,0,ROW()-1,60),ROW()-1,FALSE))</f>
        <v>251.572</v>
      </c>
      <c r="AL46">
        <f ca="1">IF(AND(ISNUMBER($AL$364),$B$294=1),$AL$364,HLOOKUP(INDIRECT(ADDRESS(2,COLUMN())),OFFSET($BN$2,0,0,ROW()-1,60),ROW()-1,FALSE))</f>
        <v>250.881</v>
      </c>
      <c r="AM46">
        <f ca="1">IF(AND(ISNUMBER($AM$364),$B$294=1),$AM$364,HLOOKUP(INDIRECT(ADDRESS(2,COLUMN())),OFFSET($BN$2,0,0,ROW()-1,60),ROW()-1,FALSE))</f>
        <v>243.04</v>
      </c>
      <c r="AN46">
        <f ca="1">IF(AND(ISNUMBER($AN$364),$B$294=1),$AN$364,HLOOKUP(INDIRECT(ADDRESS(2,COLUMN())),OFFSET($BN$2,0,0,ROW()-1,60),ROW()-1,FALSE))</f>
        <v>245.76900000000001</v>
      </c>
      <c r="AO46">
        <f ca="1">IF(AND(ISNUMBER($AO$364),$B$294=1),$AO$364,HLOOKUP(INDIRECT(ADDRESS(2,COLUMN())),OFFSET($BN$2,0,0,ROW()-1,60),ROW()-1,FALSE))</f>
        <v>252.005</v>
      </c>
      <c r="AP46">
        <f ca="1">IF(AND(ISNUMBER($AP$364),$B$294=1),$AP$364,HLOOKUP(INDIRECT(ADDRESS(2,COLUMN())),OFFSET($BN$2,0,0,ROW()-1,60),ROW()-1,FALSE))</f>
        <v>262.43700000000001</v>
      </c>
      <c r="AQ46">
        <f ca="1">IF(AND(ISNUMBER($AQ$364),$B$294=1),$AQ$364,HLOOKUP(INDIRECT(ADDRESS(2,COLUMN())),OFFSET($BN$2,0,0,ROW()-1,60),ROW()-1,FALSE))</f>
        <v>269.02499999999998</v>
      </c>
      <c r="AR46">
        <f ca="1">IF(AND(ISNUMBER($AR$364),$B$294=1),$AR$364,HLOOKUP(INDIRECT(ADDRESS(2,COLUMN())),OFFSET($BN$2,0,0,ROW()-1,60),ROW()-1,FALSE))</f>
        <v>268.31299999999999</v>
      </c>
      <c r="AS46">
        <f ca="1">IF(AND(ISNUMBER($AS$364),$B$294=1),$AS$364,HLOOKUP(INDIRECT(ADDRESS(2,COLUMN())),OFFSET($BN$2,0,0,ROW()-1,60),ROW()-1,FALSE))</f>
        <v>290.72199999999998</v>
      </c>
      <c r="AT46">
        <f ca="1">IF(AND(ISNUMBER($AT$364),$B$294=1),$AT$364,HLOOKUP(INDIRECT(ADDRESS(2,COLUMN())),OFFSET($BN$2,0,0,ROW()-1,60),ROW()-1,FALSE))</f>
        <v>254.702</v>
      </c>
      <c r="AU46">
        <f ca="1">IF(AND(ISNUMBER($AU$364),$B$294=1),$AU$364,HLOOKUP(INDIRECT(ADDRESS(2,COLUMN())),OFFSET($BN$2,0,0,ROW()-1,60),ROW()-1,FALSE))</f>
        <v>253.011</v>
      </c>
      <c r="AV46">
        <f ca="1">IF(AND(ISNUMBER($AV$364),$B$294=1),$AV$364,HLOOKUP(INDIRECT(ADDRESS(2,COLUMN())),OFFSET($BN$2,0,0,ROW()-1,60),ROW()-1,FALSE))</f>
        <v>245.251</v>
      </c>
      <c r="AW46">
        <f ca="1">IF(AND(ISNUMBER($AW$364),$B$294=1),$AW$364,HLOOKUP(INDIRECT(ADDRESS(2,COLUMN())),OFFSET($BN$2,0,0,ROW()-1,60),ROW()-1,FALSE))</f>
        <v>251.81100000000001</v>
      </c>
      <c r="AX46">
        <f ca="1">IF(AND(ISNUMBER($AX$364),$B$294=1),$AX$364,HLOOKUP(INDIRECT(ADDRESS(2,COLUMN())),OFFSET($BN$2,0,0,ROW()-1,60),ROW()-1,FALSE))</f>
        <v>285.91800000000001</v>
      </c>
      <c r="AY46">
        <f ca="1">IF(AND(ISNUMBER($AY$364),$B$294=1),$AY$364,HLOOKUP(INDIRECT(ADDRESS(2,COLUMN())),OFFSET($BN$2,0,0,ROW()-1,60),ROW()-1,FALSE))</f>
        <v>145.30500000000001</v>
      </c>
      <c r="AZ46">
        <f ca="1">IF(AND(ISNUMBER($AZ$364),$B$294=1),$AZ$364,HLOOKUP(INDIRECT(ADDRESS(2,COLUMN())),OFFSET($BN$2,0,0,ROW()-1,60),ROW()-1,FALSE))</f>
        <v>129.58799999999999</v>
      </c>
      <c r="BA46">
        <f ca="1">IF(AND(ISNUMBER($BA$364),$B$294=1),$BA$364,HLOOKUP(INDIRECT(ADDRESS(2,COLUMN())),OFFSET($BN$2,0,0,ROW()-1,60),ROW()-1,FALSE))</f>
        <v>123.64</v>
      </c>
      <c r="BB46">
        <f ca="1">IF(AND(ISNUMBER($BB$364),$B$294=1),$BB$364,HLOOKUP(INDIRECT(ADDRESS(2,COLUMN())),OFFSET($BN$2,0,0,ROW()-1,60),ROW()-1,FALSE))</f>
        <v>116.366</v>
      </c>
      <c r="BC46">
        <f ca="1">IF(AND(ISNUMBER($BC$364),$B$294=1),$BC$364,HLOOKUP(INDIRECT(ADDRESS(2,COLUMN())),OFFSET($BN$2,0,0,ROW()-1,60),ROW()-1,FALSE))</f>
        <v>106.423</v>
      </c>
      <c r="BD46">
        <f ca="1">IF(AND(ISNUMBER($BD$364),$B$294=1),$BD$364,HLOOKUP(INDIRECT(ADDRESS(2,COLUMN())),OFFSET($BN$2,0,0,ROW()-1,60),ROW()-1,FALSE))</f>
        <v>115.598</v>
      </c>
      <c r="BE46">
        <f ca="1">IF(AND(ISNUMBER($BE$364),$B$294=1),$BE$364,HLOOKUP(INDIRECT(ADDRESS(2,COLUMN())),OFFSET($BN$2,0,0,ROW()-1,60),ROW()-1,FALSE))</f>
        <v>102.056</v>
      </c>
      <c r="BF46">
        <f ca="1">IF(AND(ISNUMBER($BF$364),$B$294=1),$BF$364,HLOOKUP(INDIRECT(ADDRESS(2,COLUMN())),OFFSET($BN$2,0,0,ROW()-1,60),ROW()-1,FALSE))</f>
        <v>100.11199999999999</v>
      </c>
      <c r="BG46">
        <f ca="1">IF(AND(ISNUMBER($BG$364),$B$294=1),$BG$364,HLOOKUP(INDIRECT(ADDRESS(2,COLUMN())),OFFSET($BN$2,0,0,ROW()-1,60),ROW()-1,FALSE))</f>
        <v>94.113</v>
      </c>
      <c r="BH46">
        <f ca="1">IF(AND(ISNUMBER($BH$364),$B$294=1),$BH$364,HLOOKUP(INDIRECT(ADDRESS(2,COLUMN())),OFFSET($BN$2,0,0,ROW()-1,60),ROW()-1,FALSE))</f>
        <v>85.867999999999995</v>
      </c>
      <c r="BI46">
        <f ca="1">IF(AND(ISNUMBER($BI$364),$B$294=1),$BI$364,HLOOKUP(INDIRECT(ADDRESS(2,COLUMN())),OFFSET($BN$2,0,0,ROW()-1,60),ROW()-1,FALSE))</f>
        <v>89.444999999999993</v>
      </c>
      <c r="BJ46">
        <f ca="1">IF(AND(ISNUMBER($BJ$364),$B$294=1),$BJ$364,HLOOKUP(INDIRECT(ADDRESS(2,COLUMN())),OFFSET($BN$2,0,0,ROW()-1,60),ROW()-1,FALSE))</f>
        <v>87.69</v>
      </c>
      <c r="BK46">
        <f ca="1">IF(AND(ISNUMBER($BK$364),$B$294=1),$BK$364,HLOOKUP(INDIRECT(ADDRESS(2,COLUMN())),OFFSET($BN$2,0,0,ROW()-1,60),ROW()-1,FALSE))</f>
        <v>80.924003600000006</v>
      </c>
      <c r="BL46">
        <f ca="1">IF(AND(ISNUMBER($BL$364),$B$294=1),$BL$364,HLOOKUP(INDIRECT(ADDRESS(2,COLUMN())),OFFSET($BN$2,0,0,ROW()-1,60),ROW()-1,FALSE))</f>
        <v>75.92</v>
      </c>
      <c r="BM46">
        <f ca="1">IF(AND(ISNUMBER($BM$364),$B$294=1),$BM$364,HLOOKUP(INDIRECT(ADDRESS(2,COLUMN())),OFFSET($BN$2,0,0,ROW()-1,60),ROW()-1,FALSE))</f>
        <v>74.350999999999999</v>
      </c>
      <c r="BN46" t="str">
        <f>""</f>
        <v/>
      </c>
      <c r="BO46">
        <f>361.342</f>
        <v>361.34199999999998</v>
      </c>
      <c r="BP46">
        <f>374.6</f>
        <v>374.6</v>
      </c>
      <c r="BQ46">
        <f>398.15</f>
        <v>398.15</v>
      </c>
      <c r="BR46">
        <f>377.381</f>
        <v>377.38099999999997</v>
      </c>
      <c r="BS46">
        <f>374.242</f>
        <v>374.24200000000002</v>
      </c>
      <c r="BT46">
        <f>416.681</f>
        <v>416.68099999999998</v>
      </c>
      <c r="BU46">
        <f>617.614</f>
        <v>617.61400000000003</v>
      </c>
      <c r="BV46">
        <f>455.444</f>
        <v>455.44400000000002</v>
      </c>
      <c r="BW46">
        <f>425.39</f>
        <v>425.39</v>
      </c>
      <c r="BX46">
        <f>432.066</f>
        <v>432.06599999999997</v>
      </c>
      <c r="BY46">
        <f>409.074</f>
        <v>409.07400000000001</v>
      </c>
      <c r="BZ46">
        <f>396.299</f>
        <v>396.29899999999998</v>
      </c>
      <c r="CA46">
        <f>386.627</f>
        <v>386.62700000000001</v>
      </c>
      <c r="CB46">
        <f>390.274</f>
        <v>390.274</v>
      </c>
      <c r="CC46">
        <f>380.632</f>
        <v>380.63200000000001</v>
      </c>
      <c r="CD46">
        <f>362.445</f>
        <v>362.44499999999999</v>
      </c>
      <c r="CE46">
        <f>350.451</f>
        <v>350.45100000000002</v>
      </c>
      <c r="CF46">
        <f>338.782</f>
        <v>338.78199999999998</v>
      </c>
      <c r="CG46">
        <f>353.944</f>
        <v>353.94400000000002</v>
      </c>
      <c r="CH46">
        <f>359.953</f>
        <v>359.95299999999997</v>
      </c>
      <c r="CI46">
        <f>346.599</f>
        <v>346.59899999999999</v>
      </c>
      <c r="CJ46">
        <f>357.011</f>
        <v>357.01100000000002</v>
      </c>
      <c r="CK46">
        <f>344.535</f>
        <v>344.53500000000003</v>
      </c>
      <c r="CL46">
        <f>339.133</f>
        <v>339.13299999999998</v>
      </c>
      <c r="CM46">
        <f>328.879</f>
        <v>328.87900000000002</v>
      </c>
      <c r="CN46">
        <f>306.623</f>
        <v>306.62299999999999</v>
      </c>
      <c r="CO46">
        <f>298.705</f>
        <v>298.70499999999998</v>
      </c>
      <c r="CP46">
        <f>329.221</f>
        <v>329.221</v>
      </c>
      <c r="CQ46">
        <f>262.784</f>
        <v>262.78399999999999</v>
      </c>
      <c r="CR46">
        <f>319.151</f>
        <v>319.15100000000001</v>
      </c>
      <c r="CS46">
        <f>251.572</f>
        <v>251.572</v>
      </c>
      <c r="CT46">
        <f>250.881</f>
        <v>250.881</v>
      </c>
      <c r="CU46">
        <f>243.04</f>
        <v>243.04</v>
      </c>
      <c r="CV46">
        <f>245.769</f>
        <v>245.76900000000001</v>
      </c>
      <c r="CW46">
        <f>252.005</f>
        <v>252.005</v>
      </c>
      <c r="CX46">
        <f>262.437</f>
        <v>262.43700000000001</v>
      </c>
      <c r="CY46">
        <f>269.025</f>
        <v>269.02499999999998</v>
      </c>
      <c r="CZ46">
        <f>268.313</f>
        <v>268.31299999999999</v>
      </c>
      <c r="DA46">
        <f>290.722</f>
        <v>290.72199999999998</v>
      </c>
      <c r="DB46">
        <f>254.702</f>
        <v>254.702</v>
      </c>
      <c r="DC46">
        <f>253.011</f>
        <v>253.011</v>
      </c>
      <c r="DD46">
        <f>245.251</f>
        <v>245.251</v>
      </c>
      <c r="DE46">
        <f>251.811</f>
        <v>251.81100000000001</v>
      </c>
      <c r="DF46">
        <f>285.918</f>
        <v>285.91800000000001</v>
      </c>
      <c r="DG46">
        <f>145.305</f>
        <v>145.30500000000001</v>
      </c>
      <c r="DH46">
        <f>129.588</f>
        <v>129.58799999999999</v>
      </c>
      <c r="DI46">
        <f>123.64</f>
        <v>123.64</v>
      </c>
      <c r="DJ46">
        <f>116.366</f>
        <v>116.366</v>
      </c>
      <c r="DK46">
        <f>106.423</f>
        <v>106.423</v>
      </c>
      <c r="DL46">
        <f>115.598</f>
        <v>115.598</v>
      </c>
      <c r="DM46">
        <f>102.056</f>
        <v>102.056</v>
      </c>
      <c r="DN46">
        <f>100.112</f>
        <v>100.11199999999999</v>
      </c>
      <c r="DO46">
        <f>94.113</f>
        <v>94.113</v>
      </c>
      <c r="DP46">
        <f>85.868</f>
        <v>85.867999999999995</v>
      </c>
      <c r="DQ46">
        <f>89.445</f>
        <v>89.444999999999993</v>
      </c>
      <c r="DR46">
        <f>87.69</f>
        <v>87.69</v>
      </c>
      <c r="DS46">
        <f>80.9240036</f>
        <v>80.924003600000006</v>
      </c>
      <c r="DT46">
        <f>75.92</f>
        <v>75.92</v>
      </c>
      <c r="DU46">
        <f>74.351</f>
        <v>74.350999999999999</v>
      </c>
    </row>
    <row r="47" spans="1:125">
      <c r="A47" t="str">
        <f>"    Vornado Realty Trust"</f>
        <v xml:space="preserve">    Vornado Realty Trust</v>
      </c>
      <c r="B47" t="str">
        <f>"VNO US Equity"</f>
        <v>VNO US Equity</v>
      </c>
      <c r="C47" t="str">
        <f t="shared" si="9"/>
        <v>IS010</v>
      </c>
      <c r="D47" t="str">
        <f t="shared" si="10"/>
        <v>SALES_REV_TURN</v>
      </c>
      <c r="E47" t="str">
        <f t="shared" si="11"/>
        <v>动态</v>
      </c>
      <c r="F47" t="str">
        <f ca="1">IF(AND(ISNUMBER($F$365),$B$294=1),$F$365,HLOOKUP(INDIRECT(ADDRESS(2,COLUMN())),OFFSET($BN$2,0,0,ROW()-1,60),ROW()-1,FALSE))</f>
        <v/>
      </c>
      <c r="G47">
        <f ca="1">IF(AND(ISNUMBER($G$365),$B$294=1),$G$365,HLOOKUP(INDIRECT(ADDRESS(2,COLUMN())),OFFSET($BN$2,0,0,ROW()-1,60),ROW()-1,FALSE))</f>
        <v>536.226</v>
      </c>
      <c r="H47">
        <f ca="1">IF(AND(ISNUMBER($H$365),$B$294=1),$H$365,HLOOKUP(INDIRECT(ADDRESS(2,COLUMN())),OFFSET($BN$2,0,0,ROW()-1,60),ROW()-1,FALSE))</f>
        <v>528.755</v>
      </c>
      <c r="I47">
        <f ca="1">IF(AND(ISNUMBER($I$365),$B$294=1),$I$365,HLOOKUP(INDIRECT(ADDRESS(2,COLUMN())),OFFSET($BN$2,0,0,ROW()-1,60),ROW()-1,FALSE))</f>
        <v>626.03899999999999</v>
      </c>
      <c r="J47">
        <f ca="1">IF(AND(ISNUMBER($J$365),$B$294=1),$J$365,HLOOKUP(INDIRECT(ADDRESS(2,COLUMN())),OFFSET($BN$2,0,0,ROW()-1,60),ROW()-1,FALSE))</f>
        <v>620.84799999999996</v>
      </c>
      <c r="K47">
        <f ca="1">IF(AND(ISNUMBER($K$365),$B$294=1),$K$365,HLOOKUP(INDIRECT(ADDRESS(2,COLUMN())),OFFSET($BN$2,0,0,ROW()-1,60),ROW()-1,FALSE))</f>
        <v>638.26</v>
      </c>
      <c r="L47">
        <f ca="1">IF(AND(ISNUMBER($L$365),$B$294=1),$L$365,HLOOKUP(INDIRECT(ADDRESS(2,COLUMN())),OFFSET($BN$2,0,0,ROW()-1,60),ROW()-1,FALSE))</f>
        <v>633.197</v>
      </c>
      <c r="M47">
        <f ca="1">IF(AND(ISNUMBER($M$365),$B$294=1),$M$365,HLOOKUP(INDIRECT(ADDRESS(2,COLUMN())),OFFSET($BN$2,0,0,ROW()-1,60),ROW()-1,FALSE))</f>
        <v>621.70799999999997</v>
      </c>
      <c r="N47">
        <f ca="1">IF(AND(ISNUMBER($N$365),$B$294=1),$N$365,HLOOKUP(INDIRECT(ADDRESS(2,COLUMN())),OFFSET($BN$2,0,0,ROW()-1,60),ROW()-1,FALSE))</f>
        <v>613.03700000000003</v>
      </c>
      <c r="O47">
        <f ca="1">IF(AND(ISNUMBER($O$365),$B$294=1),$O$365,HLOOKUP(INDIRECT(ADDRESS(2,COLUMN())),OFFSET($BN$2,0,0,ROW()-1,60),ROW()-1,FALSE))</f>
        <v>651.58100000000002</v>
      </c>
      <c r="P47">
        <f ca="1">IF(AND(ISNUMBER($P$365),$B$294=1),$P$365,HLOOKUP(INDIRECT(ADDRESS(2,COLUMN())),OFFSET($BN$2,0,0,ROW()-1,60),ROW()-1,FALSE))</f>
        <v>627.596</v>
      </c>
      <c r="Q47">
        <f ca="1">IF(AND(ISNUMBER($Q$365),$B$294=1),$Q$365,HLOOKUP(INDIRECT(ADDRESS(2,COLUMN())),OFFSET($BN$2,0,0,ROW()-1,60),ROW()-1,FALSE))</f>
        <v>616.28800000000001</v>
      </c>
      <c r="R47">
        <f ca="1">IF(AND(ISNUMBER($R$365),$B$294=1),$R$365,HLOOKUP(INDIRECT(ADDRESS(2,COLUMN())),OFFSET($BN$2,0,0,ROW()-1,60),ROW()-1,FALSE))</f>
        <v>606.80200000000002</v>
      </c>
      <c r="S47">
        <f ca="1">IF(AND(ISNUMBER($S$365),$B$294=1),$S$365,HLOOKUP(INDIRECT(ADDRESS(2,COLUMN())),OFFSET($BN$2,0,0,ROW()-1,60),ROW()-1,FALSE))</f>
        <v>597.01</v>
      </c>
      <c r="T47">
        <f ca="1">IF(AND(ISNUMBER($T$365),$B$294=1),$T$365,HLOOKUP(INDIRECT(ADDRESS(2,COLUMN())),OFFSET($BN$2,0,0,ROW()-1,60),ROW()-1,FALSE))</f>
        <v>578.71</v>
      </c>
      <c r="U47">
        <f ca="1">IF(AND(ISNUMBER($U$365),$B$294=1),$U$365,HLOOKUP(INDIRECT(ADDRESS(2,COLUMN())),OFFSET($BN$2,0,0,ROW()-1,60),ROW()-1,FALSE))</f>
        <v>574.41099999999994</v>
      </c>
      <c r="V47">
        <f ca="1">IF(AND(ISNUMBER($V$365),$B$294=1),$V$365,HLOOKUP(INDIRECT(ADDRESS(2,COLUMN())),OFFSET($BN$2,0,0,ROW()-1,60),ROW()-1,FALSE))</f>
        <v>562.38099999999997</v>
      </c>
      <c r="W47">
        <f ca="1">IF(AND(ISNUMBER($W$365),$B$294=1),$W$365,HLOOKUP(INDIRECT(ADDRESS(2,COLUMN())),OFFSET($BN$2,0,0,ROW()-1,60),ROW()-1,FALSE))</f>
        <v>649.40300000000002</v>
      </c>
      <c r="X47">
        <f ca="1">IF(AND(ISNUMBER($X$365),$B$294=1),$X$365,HLOOKUP(INDIRECT(ADDRESS(2,COLUMN())),OFFSET($BN$2,0,0,ROW()-1,60),ROW()-1,FALSE))</f>
        <v>668.98900000000003</v>
      </c>
      <c r="Y47">
        <f ca="1">IF(AND(ISNUMBER($Y$365),$B$294=1),$Y$365,HLOOKUP(INDIRECT(ADDRESS(2,COLUMN())),OFFSET($BN$2,0,0,ROW()-1,60),ROW()-1,FALSE))</f>
        <v>671.21600000000001</v>
      </c>
      <c r="Z47">
        <f ca="1">IF(AND(ISNUMBER($Z$365),$B$294=1),$Z$365,HLOOKUP(INDIRECT(ADDRESS(2,COLUMN())),OFFSET($BN$2,0,0,ROW()-1,60),ROW()-1,FALSE))</f>
        <v>718.71299999999997</v>
      </c>
      <c r="AA47">
        <f ca="1">IF(AND(ISNUMBER($AA$365),$B$294=1),$AA$365,HLOOKUP(INDIRECT(ADDRESS(2,COLUMN())),OFFSET($BN$2,0,0,ROW()-1,60),ROW()-1,FALSE))</f>
        <v>686.69299999999998</v>
      </c>
      <c r="AB47">
        <f ca="1">IF(AND(ISNUMBER($AB$365),$B$294=1),$AB$365,HLOOKUP(INDIRECT(ADDRESS(2,COLUMN())),OFFSET($BN$2,0,0,ROW()-1,60),ROW()-1,FALSE))</f>
        <v>703.05200000000002</v>
      </c>
      <c r="AC47">
        <f ca="1">IF(AND(ISNUMBER($AC$365),$B$294=1),$AC$365,HLOOKUP(INDIRECT(ADDRESS(2,COLUMN())),OFFSET($BN$2,0,0,ROW()-1,60),ROW()-1,FALSE))</f>
        <v>677.98299999999995</v>
      </c>
      <c r="AD47">
        <f ca="1">IF(AND(ISNUMBER($AD$365),$B$294=1),$AD$365,HLOOKUP(INDIRECT(ADDRESS(2,COLUMN())),OFFSET($BN$2,0,0,ROW()-1,60),ROW()-1,FALSE))</f>
        <v>669.24099999999999</v>
      </c>
      <c r="AE47">
        <f ca="1">IF(AND(ISNUMBER($AE$365),$B$294=1),$AE$365,HLOOKUP(INDIRECT(ADDRESS(2,COLUMN())),OFFSET($BN$2,0,0,ROW()-1,60),ROW()-1,FALSE))</f>
        <v>689.95899999999995</v>
      </c>
      <c r="AF47">
        <f ca="1">IF(AND(ISNUMBER($AF$365),$B$294=1),$AF$365,HLOOKUP(INDIRECT(ADDRESS(2,COLUMN())),OFFSET($BN$2,0,0,ROW()-1,60),ROW()-1,FALSE))</f>
        <v>687.86</v>
      </c>
      <c r="AG47">
        <f ca="1">IF(AND(ISNUMBER($AG$365),$B$294=1),$AG$365,HLOOKUP(INDIRECT(ADDRESS(2,COLUMN())),OFFSET($BN$2,0,0,ROW()-1,60),ROW()-1,FALSE))</f>
        <v>696.03800000000001</v>
      </c>
      <c r="AH47">
        <f ca="1">IF(AND(ISNUMBER($AH$365),$B$294=1),$AH$365,HLOOKUP(INDIRECT(ADDRESS(2,COLUMN())),OFFSET($BN$2,0,0,ROW()-1,60),ROW()-1,FALSE))</f>
        <v>726.88300000000004</v>
      </c>
      <c r="AI47">
        <f ca="1">IF(AND(ISNUMBER($AI$365),$B$294=1),$AI$365,HLOOKUP(INDIRECT(ADDRESS(2,COLUMN())),OFFSET($BN$2,0,0,ROW()-1,60),ROW()-1,FALSE))</f>
        <v>684.25300000000004</v>
      </c>
      <c r="AJ47">
        <f ca="1">IF(AND(ISNUMBER($AJ$365),$B$294=1),$AJ$365,HLOOKUP(INDIRECT(ADDRESS(2,COLUMN())),OFFSET($BN$2,0,0,ROW()-1,60),ROW()-1,FALSE))</f>
        <v>687.125</v>
      </c>
      <c r="AK47">
        <f ca="1">IF(AND(ISNUMBER($AK$365),$B$294=1),$AK$365,HLOOKUP(INDIRECT(ADDRESS(2,COLUMN())),OFFSET($BN$2,0,0,ROW()-1,60),ROW()-1,FALSE))</f>
        <v>683.98900000000003</v>
      </c>
      <c r="AL47">
        <f ca="1">IF(AND(ISNUMBER($AL$365),$B$294=1),$AL$365,HLOOKUP(INDIRECT(ADDRESS(2,COLUMN())),OFFSET($BN$2,0,0,ROW()-1,60),ROW()-1,FALSE))</f>
        <v>685.31399999999996</v>
      </c>
      <c r="AM47">
        <f ca="1">IF(AND(ISNUMBER($AM$365),$B$294=1),$AM$365,HLOOKUP(INDIRECT(ADDRESS(2,COLUMN())),OFFSET($BN$2,0,0,ROW()-1,60),ROW()-1,FALSE))</f>
        <v>706.55200000000002</v>
      </c>
      <c r="AN47">
        <f ca="1">IF(AND(ISNUMBER($AN$365),$B$294=1),$AN$365,HLOOKUP(INDIRECT(ADDRESS(2,COLUMN())),OFFSET($BN$2,0,0,ROW()-1,60),ROW()-1,FALSE))</f>
        <v>671.21900000000005</v>
      </c>
      <c r="AO47">
        <f ca="1">IF(AND(ISNUMBER($AO$365),$B$294=1),$AO$365,HLOOKUP(INDIRECT(ADDRESS(2,COLUMN())),OFFSET($BN$2,0,0,ROW()-1,60),ROW()-1,FALSE))</f>
        <v>673.79</v>
      </c>
      <c r="AP47">
        <f ca="1">IF(AND(ISNUMBER($AP$365),$B$294=1),$AP$365,HLOOKUP(INDIRECT(ADDRESS(2,COLUMN())),OFFSET($BN$2,0,0,ROW()-1,60),ROW()-1,FALSE))</f>
        <v>678.56600000000003</v>
      </c>
      <c r="AQ47">
        <f ca="1">IF(AND(ISNUMBER($AQ$365),$B$294=1),$AQ$365,HLOOKUP(INDIRECT(ADDRESS(2,COLUMN())),OFFSET($BN$2,0,0,ROW()-1,60),ROW()-1,FALSE))</f>
        <v>695.15300000000002</v>
      </c>
      <c r="AR47">
        <f ca="1">IF(AND(ISNUMBER($AR$365),$B$294=1),$AR$365,HLOOKUP(INDIRECT(ADDRESS(2,COLUMN())),OFFSET($BN$2,0,0,ROW()-1,60),ROW()-1,FALSE))</f>
        <v>676.06799999999998</v>
      </c>
      <c r="AS47">
        <f ca="1">IF(AND(ISNUMBER($AS$365),$B$294=1),$AS$365,HLOOKUP(INDIRECT(ADDRESS(2,COLUMN())),OFFSET($BN$2,0,0,ROW()-1,60),ROW()-1,FALSE))</f>
        <v>674.36500000000001</v>
      </c>
      <c r="AT47">
        <f ca="1">IF(AND(ISNUMBER($AT$365),$B$294=1),$AT$365,HLOOKUP(INDIRECT(ADDRESS(2,COLUMN())),OFFSET($BN$2,0,0,ROW()-1,60),ROW()-1,FALSE))</f>
        <v>649.28200000000004</v>
      </c>
      <c r="AU47">
        <f ca="1">IF(AND(ISNUMBER($AU$365),$B$294=1),$AU$365,HLOOKUP(INDIRECT(ADDRESS(2,COLUMN())),OFFSET($BN$2,0,0,ROW()-1,60),ROW()-1,FALSE))</f>
        <v>657.16600000000005</v>
      </c>
      <c r="AV47">
        <f ca="1">IF(AND(ISNUMBER($AV$365),$B$294=1),$AV$365,HLOOKUP(INDIRECT(ADDRESS(2,COLUMN())),OFFSET($BN$2,0,0,ROW()-1,60),ROW()-1,FALSE))</f>
        <v>637.07799999999997</v>
      </c>
      <c r="AW47">
        <f ca="1">IF(AND(ISNUMBER($AW$365),$B$294=1),$AW$365,HLOOKUP(INDIRECT(ADDRESS(2,COLUMN())),OFFSET($BN$2,0,0,ROW()-1,60),ROW()-1,FALSE))</f>
        <v>583.22</v>
      </c>
      <c r="AX47">
        <f ca="1">IF(AND(ISNUMBER($AX$365),$B$294=1),$AX$365,HLOOKUP(INDIRECT(ADDRESS(2,COLUMN())),OFFSET($BN$2,0,0,ROW()-1,60),ROW()-1,FALSE))</f>
        <v>536.24400000000003</v>
      </c>
      <c r="AY47">
        <f ca="1">IF(AND(ISNUMBER($AY$365),$B$294=1),$AY$365,HLOOKUP(INDIRECT(ADDRESS(2,COLUMN())),OFFSET($BN$2,0,0,ROW()-1,60),ROW()-1,FALSE))</f>
        <v>722.54899999999998</v>
      </c>
      <c r="AZ47">
        <f ca="1">IF(AND(ISNUMBER($AZ$365),$B$294=1),$AZ$365,HLOOKUP(INDIRECT(ADDRESS(2,COLUMN())),OFFSET($BN$2,0,0,ROW()-1,60),ROW()-1,FALSE))</f>
        <v>675.93100000000004</v>
      </c>
      <c r="BA47">
        <f ca="1">IF(AND(ISNUMBER($BA$365),$B$294=1),$BA$365,HLOOKUP(INDIRECT(ADDRESS(2,COLUMN())),OFFSET($BN$2,0,0,ROW()-1,60),ROW()-1,FALSE))</f>
        <v>663.03200000000004</v>
      </c>
      <c r="BB47">
        <f ca="1">IF(AND(ISNUMBER($BB$365),$B$294=1),$BB$365,HLOOKUP(INDIRECT(ADDRESS(2,COLUMN())),OFFSET($BN$2,0,0,ROW()-1,60),ROW()-1,FALSE))</f>
        <v>669.81200000000001</v>
      </c>
      <c r="BC47">
        <f ca="1">IF(AND(ISNUMBER($BC$365),$B$294=1),$BC$365,HLOOKUP(INDIRECT(ADDRESS(2,COLUMN())),OFFSET($BN$2,0,0,ROW()-1,60),ROW()-1,FALSE))</f>
        <v>725.34100000000001</v>
      </c>
      <c r="BD47">
        <f ca="1">IF(AND(ISNUMBER($BD$365),$B$294=1),$BD$365,HLOOKUP(INDIRECT(ADDRESS(2,COLUMN())),OFFSET($BN$2,0,0,ROW()-1,60),ROW()-1,FALSE))</f>
        <v>617.80100000000004</v>
      </c>
      <c r="BE47">
        <f ca="1">IF(AND(ISNUMBER($BE$365),$B$294=1),$BE$365,HLOOKUP(INDIRECT(ADDRESS(2,COLUMN())),OFFSET($BN$2,0,0,ROW()-1,60),ROW()-1,FALSE))</f>
        <v>591.47500000000002</v>
      </c>
      <c r="BF47">
        <f ca="1">IF(AND(ISNUMBER($BF$365),$B$294=1),$BF$365,HLOOKUP(INDIRECT(ADDRESS(2,COLUMN())),OFFSET($BN$2,0,0,ROW()-1,60),ROW()-1,FALSE))</f>
        <v>596.18399999999997</v>
      </c>
      <c r="BG47">
        <f ca="1">IF(AND(ISNUMBER($BG$365),$B$294=1),$BG$365,HLOOKUP(INDIRECT(ADDRESS(2,COLUMN())),OFFSET($BN$2,0,0,ROW()-1,60),ROW()-1,FALSE))</f>
        <v>672.04499999999996</v>
      </c>
      <c r="BH47">
        <f ca="1">IF(AND(ISNUMBER($BH$365),$B$294=1),$BH$365,HLOOKUP(INDIRECT(ADDRESS(2,COLUMN())),OFFSET($BN$2,0,0,ROW()-1,60),ROW()-1,FALSE))</f>
        <v>433.108</v>
      </c>
      <c r="BI47">
        <f ca="1">IF(AND(ISNUMBER($BI$365),$B$294=1),$BI$365,HLOOKUP(INDIRECT(ADDRESS(2,COLUMN())),OFFSET($BN$2,0,0,ROW()-1,60),ROW()-1,FALSE))</f>
        <v>408.60299700000002</v>
      </c>
      <c r="BJ47">
        <f ca="1">IF(AND(ISNUMBER($BJ$365),$B$294=1),$BJ$365,HLOOKUP(INDIRECT(ADDRESS(2,COLUMN())),OFFSET($BN$2,0,0,ROW()-1,60),ROW()-1,FALSE))</f>
        <v>402.29501299999998</v>
      </c>
      <c r="BK47">
        <f ca="1">IF(AND(ISNUMBER($BK$365),$B$294=1),$BK$365,HLOOKUP(INDIRECT(ADDRESS(2,COLUMN())),OFFSET($BN$2,0,0,ROW()-1,60),ROW()-1,FALSE))</f>
        <v>394.52499399999999</v>
      </c>
      <c r="BL47">
        <f ca="1">IF(AND(ISNUMBER($BL$365),$B$294=1),$BL$365,HLOOKUP(INDIRECT(ADDRESS(2,COLUMN())),OFFSET($BN$2,0,0,ROW()-1,60),ROW()-1,FALSE))</f>
        <v>382.96798699999999</v>
      </c>
      <c r="BM47">
        <f ca="1">IF(AND(ISNUMBER($BM$365),$B$294=1),$BM$365,HLOOKUP(INDIRECT(ADDRESS(2,COLUMN())),OFFSET($BN$2,0,0,ROW()-1,60),ROW()-1,FALSE))</f>
        <v>374.76299999999998</v>
      </c>
      <c r="BN47" t="str">
        <f>""</f>
        <v/>
      </c>
      <c r="BO47">
        <f>536.226</f>
        <v>536.226</v>
      </c>
      <c r="BP47">
        <f>528.755</f>
        <v>528.755</v>
      </c>
      <c r="BQ47">
        <f>626.039</f>
        <v>626.03899999999999</v>
      </c>
      <c r="BR47">
        <f>620.848</f>
        <v>620.84799999999996</v>
      </c>
      <c r="BS47">
        <f>638.26</f>
        <v>638.26</v>
      </c>
      <c r="BT47">
        <f>633.197</f>
        <v>633.197</v>
      </c>
      <c r="BU47">
        <f>621.708</f>
        <v>621.70799999999997</v>
      </c>
      <c r="BV47">
        <f>613.037</f>
        <v>613.03700000000003</v>
      </c>
      <c r="BW47">
        <f>651.581</f>
        <v>651.58100000000002</v>
      </c>
      <c r="BX47">
        <f>627.596</f>
        <v>627.596</v>
      </c>
      <c r="BY47">
        <f>616.288</f>
        <v>616.28800000000001</v>
      </c>
      <c r="BZ47">
        <f>606.802</f>
        <v>606.80200000000002</v>
      </c>
      <c r="CA47">
        <f>597.01</f>
        <v>597.01</v>
      </c>
      <c r="CB47">
        <f>578.71</f>
        <v>578.71</v>
      </c>
      <c r="CC47">
        <f>574.411</f>
        <v>574.41099999999994</v>
      </c>
      <c r="CD47">
        <f>562.381</f>
        <v>562.38099999999997</v>
      </c>
      <c r="CE47">
        <f>649.403</f>
        <v>649.40300000000002</v>
      </c>
      <c r="CF47">
        <f>668.989</f>
        <v>668.98900000000003</v>
      </c>
      <c r="CG47">
        <f>671.216</f>
        <v>671.21600000000001</v>
      </c>
      <c r="CH47">
        <f>718.713</f>
        <v>718.71299999999997</v>
      </c>
      <c r="CI47">
        <f>686.693</f>
        <v>686.69299999999998</v>
      </c>
      <c r="CJ47">
        <f>703.052</f>
        <v>703.05200000000002</v>
      </c>
      <c r="CK47">
        <f>677.983</f>
        <v>677.98299999999995</v>
      </c>
      <c r="CL47">
        <f>669.241</f>
        <v>669.24099999999999</v>
      </c>
      <c r="CM47">
        <f>689.959</f>
        <v>689.95899999999995</v>
      </c>
      <c r="CN47">
        <f>687.86</f>
        <v>687.86</v>
      </c>
      <c r="CO47">
        <f>696.038</f>
        <v>696.03800000000001</v>
      </c>
      <c r="CP47">
        <f>726.883</f>
        <v>726.88300000000004</v>
      </c>
      <c r="CQ47">
        <f>684.253</f>
        <v>684.25300000000004</v>
      </c>
      <c r="CR47">
        <f>687.125</f>
        <v>687.125</v>
      </c>
      <c r="CS47">
        <f>683.989</f>
        <v>683.98900000000003</v>
      </c>
      <c r="CT47">
        <f>685.314</f>
        <v>685.31399999999996</v>
      </c>
      <c r="CU47">
        <f>706.552</f>
        <v>706.55200000000002</v>
      </c>
      <c r="CV47">
        <f>671.219</f>
        <v>671.21900000000005</v>
      </c>
      <c r="CW47">
        <f>673.79</f>
        <v>673.79</v>
      </c>
      <c r="CX47">
        <f>678.566</f>
        <v>678.56600000000003</v>
      </c>
      <c r="CY47">
        <f>695.153</f>
        <v>695.15300000000002</v>
      </c>
      <c r="CZ47">
        <f>676.068</f>
        <v>676.06799999999998</v>
      </c>
      <c r="DA47">
        <f>674.365</f>
        <v>674.36500000000001</v>
      </c>
      <c r="DB47">
        <f>649.282</f>
        <v>649.28200000000004</v>
      </c>
      <c r="DC47">
        <f>657.166</f>
        <v>657.16600000000005</v>
      </c>
      <c r="DD47">
        <f>637.078</f>
        <v>637.07799999999997</v>
      </c>
      <c r="DE47">
        <f>583.22</f>
        <v>583.22</v>
      </c>
      <c r="DF47">
        <f>536.244</f>
        <v>536.24400000000003</v>
      </c>
      <c r="DG47">
        <f>722.549</f>
        <v>722.54899999999998</v>
      </c>
      <c r="DH47">
        <f>675.931</f>
        <v>675.93100000000004</v>
      </c>
      <c r="DI47">
        <f>663.032</f>
        <v>663.03200000000004</v>
      </c>
      <c r="DJ47">
        <f>669.812</f>
        <v>669.81200000000001</v>
      </c>
      <c r="DK47">
        <f>725.341</f>
        <v>725.34100000000001</v>
      </c>
      <c r="DL47">
        <f>617.801</f>
        <v>617.80100000000004</v>
      </c>
      <c r="DM47">
        <f>591.475</f>
        <v>591.47500000000002</v>
      </c>
      <c r="DN47">
        <f>596.184</f>
        <v>596.18399999999997</v>
      </c>
      <c r="DO47">
        <f>672.045</f>
        <v>672.04499999999996</v>
      </c>
      <c r="DP47">
        <f>433.108</f>
        <v>433.108</v>
      </c>
      <c r="DQ47">
        <f>408.602997</f>
        <v>408.60299700000002</v>
      </c>
      <c r="DR47">
        <f>402.295013</f>
        <v>402.29501299999998</v>
      </c>
      <c r="DS47">
        <f>394.524994</f>
        <v>394.52499399999999</v>
      </c>
      <c r="DT47">
        <f>382.967987</f>
        <v>382.96798699999999</v>
      </c>
      <c r="DU47">
        <f>374.763</f>
        <v>374.76299999999998</v>
      </c>
    </row>
    <row r="48" spans="1:125">
      <c r="A48" t="str">
        <f>"营业净利润"</f>
        <v>营业净利润</v>
      </c>
      <c r="B48" t="str">
        <f>""</f>
        <v/>
      </c>
      <c r="E48" t="str">
        <f>"Median"</f>
        <v>Median</v>
      </c>
      <c r="F48" t="str">
        <f ca="1">IF(ISERROR(IF(MEDIAN($F$49:$F$58) = 0, "", MEDIAN($F$49:$F$58))), "", (IF(MEDIAN($F$49:$F$58) = 0, "", MEDIAN($F$49:$F$58))))</f>
        <v/>
      </c>
      <c r="G48">
        <f ca="1">IF(ISERROR(IF(MEDIAN($G$49:$G$58) = 0, "", MEDIAN($G$49:$G$58))), "", (IF(MEDIAN($G$49:$G$58) = 0, "", MEDIAN($G$49:$G$58))))</f>
        <v>100.262</v>
      </c>
      <c r="H48">
        <f ca="1">IF(ISERROR(IF(MEDIAN($H$49:$H$58) = 0, "", MEDIAN($H$49:$H$58))), "", (IF(MEDIAN($H$49:$H$58) = 0, "", MEDIAN($H$49:$H$58))))</f>
        <v>105.3265</v>
      </c>
      <c r="I48">
        <f ca="1">IF(ISERROR(IF(MEDIAN($I$49:$I$58) = 0, "", MEDIAN($I$49:$I$58))), "", (IF(MEDIAN($I$49:$I$58) = 0, "", MEDIAN($I$49:$I$58))))</f>
        <v>106.89150000000001</v>
      </c>
      <c r="J48">
        <f ca="1">IF(ISERROR(IF(MEDIAN($J$49:$J$58) = 0, "", MEDIAN($J$49:$J$58))), "", (IF(MEDIAN($J$49:$J$58) = 0, "", MEDIAN($J$49:$J$58))))</f>
        <v>102.5455</v>
      </c>
      <c r="K48">
        <f ca="1">IF(ISERROR(IF(MEDIAN($K$49:$K$58) = 0, "", MEDIAN($K$49:$K$58))), "", (IF(MEDIAN($K$49:$K$58) = 0, "", MEDIAN($K$49:$K$58))))</f>
        <v>98.345500000000001</v>
      </c>
      <c r="L48">
        <f ca="1">IF(ISERROR(IF(MEDIAN($L$49:$L$58) = 0, "", MEDIAN($L$49:$L$58))), "", (IF(MEDIAN($L$49:$L$58) = 0, "", MEDIAN($L$49:$L$58))))</f>
        <v>98.253</v>
      </c>
      <c r="M48">
        <f ca="1">IF(ISERROR(IF(MEDIAN($M$49:$M$58) = 0, "", MEDIAN($M$49:$M$58))), "", (IF(MEDIAN($M$49:$M$58) = 0, "", MEDIAN($M$49:$M$58))))</f>
        <v>97.563999999999993</v>
      </c>
      <c r="N48">
        <f ca="1">IF(ISERROR(IF(MEDIAN($N$49:$N$58) = 0, "", MEDIAN($N$49:$N$58))), "", (IF(MEDIAN($N$49:$N$58) = 0, "", MEDIAN($N$49:$N$58))))</f>
        <v>95.551500000000004</v>
      </c>
      <c r="O48">
        <f ca="1">IF(ISERROR(IF(MEDIAN($O$49:$O$58) = 0, "", MEDIAN($O$49:$O$58))), "", (IF(MEDIAN($O$49:$O$58) = 0, "", MEDIAN($O$49:$O$58))))</f>
        <v>96.959499999999991</v>
      </c>
      <c r="P48">
        <f ca="1">IF(ISERROR(IF(MEDIAN($P$49:$P$58) = 0, "", MEDIAN($P$49:$P$58))), "", (IF(MEDIAN($P$49:$P$58) = 0, "", MEDIAN($P$49:$P$58))))</f>
        <v>97.063500000000005</v>
      </c>
      <c r="Q48">
        <f ca="1">IF(ISERROR(IF(MEDIAN($Q$49:$Q$58) = 0, "", MEDIAN($Q$49:$Q$58))), "", (IF(MEDIAN($Q$49:$Q$58) = 0, "", MEDIAN($Q$49:$Q$58))))</f>
        <v>92.118499999999997</v>
      </c>
      <c r="R48">
        <f ca="1">IF(ISERROR(IF(MEDIAN($R$49:$R$58) = 0, "", MEDIAN($R$49:$R$58))), "", (IF(MEDIAN($R$49:$R$58) = 0, "", MEDIAN($R$49:$R$58))))</f>
        <v>93.335499999999996</v>
      </c>
      <c r="S48">
        <f ca="1">IF(ISERROR(IF(MEDIAN($S$49:$S$58) = 0, "", MEDIAN($S$49:$S$58))), "", (IF(MEDIAN($S$49:$S$58) = 0, "", MEDIAN($S$49:$S$58))))</f>
        <v>88.551500000000004</v>
      </c>
      <c r="T48">
        <f ca="1">IF(ISERROR(IF(MEDIAN($T$49:$T$58) = 0, "", MEDIAN($T$49:$T$58))), "", (IF(MEDIAN($T$49:$T$58) = 0, "", MEDIAN($T$49:$T$58))))</f>
        <v>88.744499999999988</v>
      </c>
      <c r="U48">
        <f ca="1">IF(ISERROR(IF(MEDIAN($U$49:$U$58) = 0, "", MEDIAN($U$49:$U$58))), "", (IF(MEDIAN($U$49:$U$58) = 0, "", MEDIAN($U$49:$U$58))))</f>
        <v>89.705500000000001</v>
      </c>
      <c r="V48">
        <f ca="1">IF(ISERROR(IF(MEDIAN($V$49:$V$58) = 0, "", MEDIAN($V$49:$V$58))), "", (IF(MEDIAN($V$49:$V$58) = 0, "", MEDIAN($V$49:$V$58))))</f>
        <v>87.4465</v>
      </c>
      <c r="W48">
        <f ca="1">IF(ISERROR(IF(MEDIAN($W$49:$W$58) = 0, "", MEDIAN($W$49:$W$58))), "", (IF(MEDIAN($W$49:$W$58) = 0, "", MEDIAN($W$49:$W$58))))</f>
        <v>86.225499999999997</v>
      </c>
      <c r="X48">
        <f ca="1">IF(ISERROR(IF(MEDIAN($X$49:$X$58) = 0, "", MEDIAN($X$49:$X$58))), "", (IF(MEDIAN($X$49:$X$58) = 0, "", MEDIAN($X$49:$X$58))))</f>
        <v>87.742999999999995</v>
      </c>
      <c r="Y48">
        <f ca="1">IF(ISERROR(IF(MEDIAN($Y$49:$Y$58) = 0, "", MEDIAN($Y$49:$Y$58))), "", (IF(MEDIAN($Y$49:$Y$58) = 0, "", MEDIAN($Y$49:$Y$58))))</f>
        <v>84.757499999999993</v>
      </c>
      <c r="Z48">
        <f ca="1">IF(ISERROR(IF(MEDIAN($Z$49:$Z$58) = 0, "", MEDIAN($Z$49:$Z$58))), "", (IF(MEDIAN($Z$49:$Z$58) = 0, "", MEDIAN($Z$49:$Z$58))))</f>
        <v>83.697499999999991</v>
      </c>
      <c r="AA48">
        <f ca="1">IF(ISERROR(IF(MEDIAN($AA$49:$AA$58) = 0, "", MEDIAN($AA$49:$AA$58))), "", (IF(MEDIAN($AA$49:$AA$58) = 0, "", MEDIAN($AA$49:$AA$58))))</f>
        <v>80.338999999999999</v>
      </c>
      <c r="AB48">
        <f ca="1">IF(ISERROR(IF(MEDIAN($AB$49:$AB$58) = 0, "", MEDIAN($AB$49:$AB$58))), "", (IF(MEDIAN($AB$49:$AB$58) = 0, "", MEDIAN($AB$49:$AB$58))))</f>
        <v>80.880500000000012</v>
      </c>
      <c r="AC48">
        <f ca="1">IF(ISERROR(IF(MEDIAN($AC$49:$AC$58) = 0, "", MEDIAN($AC$49:$AC$58))), "", (IF(MEDIAN($AC$49:$AC$58) = 0, "", MEDIAN($AC$49:$AC$58))))</f>
        <v>80.505499999999998</v>
      </c>
      <c r="AD48">
        <f ca="1">IF(ISERROR(IF(MEDIAN($AD$49:$AD$58) = 0, "", MEDIAN($AD$49:$AD$58))), "", (IF(MEDIAN($AD$49:$AD$58) = 0, "", MEDIAN($AD$49:$AD$58))))</f>
        <v>81.3125</v>
      </c>
      <c r="AE48">
        <f ca="1">IF(ISERROR(IF(MEDIAN($AE$49:$AE$58) = 0, "", MEDIAN($AE$49:$AE$58))), "", (IF(MEDIAN($AE$49:$AE$58) = 0, "", MEDIAN($AE$49:$AE$58))))</f>
        <v>81.16149999999999</v>
      </c>
      <c r="AF48">
        <f ca="1">IF(ISERROR(IF(MEDIAN($AF$49:$AF$58) = 0, "", MEDIAN($AF$49:$AF$58))), "", (IF(MEDIAN($AF$49:$AF$58) = 0, "", MEDIAN($AF$49:$AF$58))))</f>
        <v>87.00200000000001</v>
      </c>
      <c r="AG48">
        <f ca="1">IF(ISERROR(IF(MEDIAN($AG$49:$AG$58) = 0, "", MEDIAN($AG$49:$AG$58))), "", (IF(MEDIAN($AG$49:$AG$58) = 0, "", MEDIAN($AG$49:$AG$58))))</f>
        <v>86.402500000000003</v>
      </c>
      <c r="AH48">
        <f ca="1">IF(ISERROR(IF(MEDIAN($AH$49:$AH$58) = 0, "", MEDIAN($AH$49:$AH$58))), "", (IF(MEDIAN($AH$49:$AH$58) = 0, "", MEDIAN($AH$49:$AH$58))))</f>
        <v>83.594999999999999</v>
      </c>
      <c r="AI48">
        <f ca="1">IF(ISERROR(IF(MEDIAN($AI$49:$AI$58) = 0, "", MEDIAN($AI$49:$AI$58))), "", (IF(MEDIAN($AI$49:$AI$58) = 0, "", MEDIAN($AI$49:$AI$58))))</f>
        <v>83.213999999999999</v>
      </c>
      <c r="AJ48">
        <f ca="1">IF(ISERROR(IF(MEDIAN($AJ$49:$AJ$58) = 0, "", MEDIAN($AJ$49:$AJ$58))), "", (IF(MEDIAN($AJ$49:$AJ$58) = 0, "", MEDIAN($AJ$49:$AJ$58))))</f>
        <v>86.244500000000002</v>
      </c>
      <c r="AK48">
        <f ca="1">IF(ISERROR(IF(MEDIAN($AK$49:$AK$58) = 0, "", MEDIAN($AK$49:$AK$58))), "", (IF(MEDIAN($AK$49:$AK$58) = 0, "", MEDIAN($AK$49:$AK$58))))</f>
        <v>85.28</v>
      </c>
      <c r="AL48">
        <f ca="1">IF(ISERROR(IF(MEDIAN($AL$49:$AL$58) = 0, "", MEDIAN($AL$49:$AL$58))), "", (IF(MEDIAN($AL$49:$AL$58) = 0, "", MEDIAN($AL$49:$AL$58))))</f>
        <v>86.654499999999999</v>
      </c>
      <c r="AM48">
        <f ca="1">IF(ISERROR(IF(MEDIAN($AM$49:$AM$58) = 0, "", MEDIAN($AM$49:$AM$58))), "", (IF(MEDIAN($AM$49:$AM$58) = 0, "", MEDIAN($AM$49:$AM$58))))</f>
        <v>92.3035</v>
      </c>
      <c r="AN48">
        <f ca="1">IF(ISERROR(IF(MEDIAN($AN$49:$AN$58) = 0, "", MEDIAN($AN$49:$AN$58))), "", (IF(MEDIAN($AN$49:$AN$58) = 0, "", MEDIAN($AN$49:$AN$58))))</f>
        <v>90.117999999999995</v>
      </c>
      <c r="AO48">
        <f ca="1">IF(ISERROR(IF(MEDIAN($AO$49:$AO$58) = 0, "", MEDIAN($AO$49:$AO$58))), "", (IF(MEDIAN($AO$49:$AO$58) = 0, "", MEDIAN($AO$49:$AO$58))))</f>
        <v>89.412000000000006</v>
      </c>
      <c r="AP48">
        <f ca="1">IF(ISERROR(IF(MEDIAN($AP$49:$AP$58) = 0, "", MEDIAN($AP$49:$AP$58))), "", (IF(MEDIAN($AP$49:$AP$58) = 0, "", MEDIAN($AP$49:$AP$58))))</f>
        <v>89.782499999999999</v>
      </c>
      <c r="AQ48">
        <f ca="1">IF(ISERROR(IF(MEDIAN($AQ$49:$AQ$58) = 0, "", MEDIAN($AQ$49:$AQ$58))), "", (IF(MEDIAN($AQ$49:$AQ$58) = 0, "", MEDIAN($AQ$49:$AQ$58))))</f>
        <v>100.01900000000001</v>
      </c>
      <c r="AR48">
        <f ca="1">IF(ISERROR(IF(MEDIAN($AR$49:$AR$58) = 0, "", MEDIAN($AR$49:$AR$58))), "", (IF(MEDIAN($AR$49:$AR$58) = 0, "", MEDIAN($AR$49:$AR$58))))</f>
        <v>101.03400000000001</v>
      </c>
      <c r="AS48">
        <f ca="1">IF(ISERROR(IF(MEDIAN($AS$49:$AS$58) = 0, "", MEDIAN($AS$49:$AS$58))), "", (IF(MEDIAN($AS$49:$AS$58) = 0, "", MEDIAN($AS$49:$AS$58))))</f>
        <v>96.305000000000007</v>
      </c>
      <c r="AT48">
        <f ca="1">IF(ISERROR(IF(MEDIAN($AT$49:$AT$58) = 0, "", MEDIAN($AT$49:$AT$58))), "", (IF(MEDIAN($AT$49:$AT$58) = 0, "", MEDIAN($AT$49:$AT$58))))</f>
        <v>101.30200000000001</v>
      </c>
      <c r="AU48">
        <f ca="1">IF(ISERROR(IF(MEDIAN($AU$49:$AU$58) = 0, "", MEDIAN($AU$49:$AU$58))), "", (IF(MEDIAN($AU$49:$AU$58) = 0, "", MEDIAN($AU$49:$AU$58))))</f>
        <v>96.963999999999999</v>
      </c>
      <c r="AV48">
        <f ca="1">IF(ISERROR(IF(MEDIAN($AV$49:$AV$58) = 0, "", MEDIAN($AV$49:$AV$58))), "", (IF(MEDIAN($AV$49:$AV$58) = 0, "", MEDIAN($AV$49:$AV$58))))</f>
        <v>99.715999999999994</v>
      </c>
      <c r="AW48">
        <f ca="1">IF(ISERROR(IF(MEDIAN($AW$49:$AW$58) = 0, "", MEDIAN($AW$49:$AW$58))), "", (IF(MEDIAN($AW$49:$AW$58) = 0, "", MEDIAN($AW$49:$AW$58))))</f>
        <v>91.956000000000003</v>
      </c>
      <c r="AX48">
        <f ca="1">IF(ISERROR(IF(MEDIAN($AX$49:$AX$58) = 0, "", MEDIAN($AX$49:$AX$58))), "", (IF(MEDIAN($AX$49:$AX$58) = 0, "", MEDIAN($AX$49:$AX$58))))</f>
        <v>90.989000000000004</v>
      </c>
      <c r="AY48">
        <f ca="1">IF(ISERROR(IF(MEDIAN($AY$49:$AY$58) = 0, "", MEDIAN($AY$49:$AY$58))), "", (IF(MEDIAN($AY$49:$AY$58) = 0, "", MEDIAN($AY$49:$AY$58))))</f>
        <v>80.58</v>
      </c>
      <c r="AZ48">
        <f ca="1">IF(ISERROR(IF(MEDIAN($AZ$49:$AZ$58) = 0, "", MEDIAN($AZ$49:$AZ$58))), "", (IF(MEDIAN($AZ$49:$AZ$58) = 0, "", MEDIAN($AZ$49:$AZ$58))))</f>
        <v>92.177000000000007</v>
      </c>
      <c r="BA48">
        <f ca="1">IF(ISERROR(IF(MEDIAN($BA$49:$BA$58) = 0, "", MEDIAN($BA$49:$BA$58))), "", (IF(MEDIAN($BA$49:$BA$58) = 0, "", MEDIAN($BA$49:$BA$58))))</f>
        <v>85.022000000000006</v>
      </c>
      <c r="BB48">
        <f ca="1">IF(ISERROR(IF(MEDIAN($BB$49:$BB$58) = 0, "", MEDIAN($BB$49:$BB$58))), "", (IF(MEDIAN($BB$49:$BB$58) = 0, "", MEDIAN($BB$49:$BB$58))))</f>
        <v>84.522000000000006</v>
      </c>
      <c r="BC48">
        <f ca="1">IF(ISERROR(IF(MEDIAN($BC$49:$BC$58) = 0, "", MEDIAN($BC$49:$BC$58))), "", (IF(MEDIAN($BC$49:$BC$58) = 0, "", MEDIAN($BC$49:$BC$58))))</f>
        <v>59.095999999999997</v>
      </c>
      <c r="BD48">
        <f ca="1">IF(ISERROR(IF(MEDIAN($BD$49:$BD$58) = 0, "", MEDIAN($BD$49:$BD$58))), "", (IF(MEDIAN($BD$49:$BD$58) = 0, "", MEDIAN($BD$49:$BD$58))))</f>
        <v>63.045999999999999</v>
      </c>
      <c r="BE48">
        <f ca="1">IF(ISERROR(IF(MEDIAN($BE$49:$BE$58) = 0, "", MEDIAN($BE$49:$BE$58))), "", (IF(MEDIAN($BE$49:$BE$58) = 0, "", MEDIAN($BE$49:$BE$58))))</f>
        <v>67.057000000000002</v>
      </c>
      <c r="BF48">
        <f ca="1">IF(ISERROR(IF(MEDIAN($BF$49:$BF$58) = 0, "", MEDIAN($BF$49:$BF$58))), "", (IF(MEDIAN($BF$49:$BF$58) = 0, "", MEDIAN($BF$49:$BF$58))))</f>
        <v>67.165000000000006</v>
      </c>
      <c r="BG48">
        <f ca="1">IF(ISERROR(IF(MEDIAN($BG$49:$BG$58) = 0, "", MEDIAN($BG$49:$BG$58))), "", (IF(MEDIAN($BG$49:$BG$58) = 0, "", MEDIAN($BG$49:$BG$58))))</f>
        <v>57.566000000000003</v>
      </c>
      <c r="BH48">
        <f ca="1">IF(ISERROR(IF(MEDIAN($BH$49:$BH$58) = 0, "", MEDIAN($BH$49:$BH$58))), "", (IF(MEDIAN($BH$49:$BH$58) = 0, "", MEDIAN($BH$49:$BH$58))))</f>
        <v>65.340999999999994</v>
      </c>
      <c r="BI48">
        <f ca="1">IF(ISERROR(IF(MEDIAN($BI$49:$BI$58) = 0, "", MEDIAN($BI$49:$BI$58))), "", (IF(MEDIAN($BI$49:$BI$58) = 0, "", MEDIAN($BI$49:$BI$58))))</f>
        <v>68.953000000000003</v>
      </c>
      <c r="BJ48">
        <f ca="1">IF(ISERROR(IF(MEDIAN($BJ$49:$BJ$58) = 0, "", MEDIAN($BJ$49:$BJ$58))), "", (IF(MEDIAN($BJ$49:$BJ$58) = 0, "", MEDIAN($BJ$49:$BJ$58))))</f>
        <v>73.375</v>
      </c>
      <c r="BK48">
        <f ca="1">IF(ISERROR(IF(MEDIAN($BK$49:$BK$58) = 0, "", MEDIAN($BK$49:$BK$58))), "", (IF(MEDIAN($BK$49:$BK$58) = 0, "", MEDIAN($BK$49:$BK$58))))</f>
        <v>81.134002690000003</v>
      </c>
      <c r="BL48">
        <f ca="1">IF(ISERROR(IF(MEDIAN($BL$49:$BL$58) = 0, "", MEDIAN($BL$49:$BL$58))), "", (IF(MEDIAN($BL$49:$BL$58) = 0, "", MEDIAN($BL$49:$BL$58))))</f>
        <v>68.578998569999996</v>
      </c>
      <c r="BM48">
        <f ca="1">IF(ISERROR(IF(MEDIAN($BM$49:$BM$58) = 0, "", MEDIAN($BM$49:$BM$58))), "", (IF(MEDIAN($BM$49:$BM$58) = 0, "", MEDIAN($BM$49:$BM$58))))</f>
        <v>57.333000179999999</v>
      </c>
      <c r="BN48" t="str">
        <f>""</f>
        <v/>
      </c>
      <c r="BO48">
        <f>100.262</f>
        <v>100.262</v>
      </c>
      <c r="BP48">
        <f>105.3265</f>
        <v>105.3265</v>
      </c>
      <c r="BQ48">
        <f>106.8915</f>
        <v>106.89149999999999</v>
      </c>
      <c r="BR48">
        <f>102.5455</f>
        <v>102.5455</v>
      </c>
      <c r="BS48">
        <f>98.3455</f>
        <v>98.345500000000001</v>
      </c>
      <c r="BT48">
        <f>98.253</f>
        <v>98.253</v>
      </c>
      <c r="BU48">
        <f>97.564</f>
        <v>97.563999999999993</v>
      </c>
      <c r="BV48">
        <f>95.5515</f>
        <v>95.551500000000004</v>
      </c>
      <c r="BW48">
        <f>96.9595</f>
        <v>96.959500000000006</v>
      </c>
      <c r="BX48">
        <f>97.0635</f>
        <v>97.063500000000005</v>
      </c>
      <c r="BY48">
        <f>92.1185</f>
        <v>92.118499999999997</v>
      </c>
      <c r="BZ48">
        <f>93.3355</f>
        <v>93.335499999999996</v>
      </c>
      <c r="CA48">
        <f>88.5515</f>
        <v>88.551500000000004</v>
      </c>
      <c r="CB48">
        <f>88.7445</f>
        <v>88.744500000000002</v>
      </c>
      <c r="CC48">
        <f>89.7055</f>
        <v>89.705500000000001</v>
      </c>
      <c r="CD48">
        <f>87.4465</f>
        <v>87.4465</v>
      </c>
      <c r="CE48">
        <f>86.2255</f>
        <v>86.225499999999997</v>
      </c>
      <c r="CF48">
        <f>87.743</f>
        <v>87.742999999999995</v>
      </c>
      <c r="CG48">
        <f>84.7575</f>
        <v>84.757499999999993</v>
      </c>
      <c r="CH48">
        <f>83.6975</f>
        <v>83.697500000000005</v>
      </c>
      <c r="CI48">
        <f>80.339</f>
        <v>80.338999999999999</v>
      </c>
      <c r="CJ48">
        <f>80.8805</f>
        <v>80.880499999999998</v>
      </c>
      <c r="CK48">
        <f>80.5055</f>
        <v>80.505499999999998</v>
      </c>
      <c r="CL48">
        <f>81.3125</f>
        <v>81.3125</v>
      </c>
      <c r="CM48">
        <f>81.1615</f>
        <v>81.161500000000004</v>
      </c>
      <c r="CN48">
        <f>87.002</f>
        <v>87.001999999999995</v>
      </c>
      <c r="CO48">
        <f>86.4025</f>
        <v>86.402500000000003</v>
      </c>
      <c r="CP48">
        <f>83.595</f>
        <v>83.594999999999999</v>
      </c>
      <c r="CQ48">
        <f>83.214</f>
        <v>83.213999999999999</v>
      </c>
      <c r="CR48">
        <f>86.2445</f>
        <v>86.244500000000002</v>
      </c>
      <c r="CS48">
        <f>85.28</f>
        <v>85.28</v>
      </c>
      <c r="CT48">
        <f>86.6545</f>
        <v>86.654499999999999</v>
      </c>
      <c r="CU48">
        <f>92.3035</f>
        <v>92.3035</v>
      </c>
      <c r="CV48">
        <f>90.118</f>
        <v>90.117999999999995</v>
      </c>
      <c r="CW48">
        <f>89.412</f>
        <v>89.412000000000006</v>
      </c>
      <c r="CX48">
        <f>89.7825</f>
        <v>89.782499999999999</v>
      </c>
      <c r="CY48">
        <f>100.019</f>
        <v>100.01900000000001</v>
      </c>
      <c r="CZ48">
        <f>101.034</f>
        <v>101.03400000000001</v>
      </c>
      <c r="DA48">
        <f>96.305</f>
        <v>96.305000000000007</v>
      </c>
      <c r="DB48">
        <f>101.302</f>
        <v>101.30200000000001</v>
      </c>
      <c r="DC48">
        <f>96.964</f>
        <v>96.963999999999999</v>
      </c>
      <c r="DD48">
        <f>99.716</f>
        <v>99.715999999999994</v>
      </c>
      <c r="DE48">
        <f>91.956</f>
        <v>91.956000000000003</v>
      </c>
      <c r="DF48">
        <f>90.989</f>
        <v>90.989000000000004</v>
      </c>
      <c r="DG48">
        <f>80.58</f>
        <v>80.58</v>
      </c>
      <c r="DH48">
        <f>92.177</f>
        <v>92.177000000000007</v>
      </c>
      <c r="DI48">
        <f>85.022</f>
        <v>85.022000000000006</v>
      </c>
      <c r="DJ48">
        <f>84.522</f>
        <v>84.522000000000006</v>
      </c>
      <c r="DK48">
        <f>59.096</f>
        <v>59.095999999999997</v>
      </c>
      <c r="DL48">
        <f>63.046</f>
        <v>63.045999999999999</v>
      </c>
      <c r="DM48">
        <f>67.057</f>
        <v>67.057000000000002</v>
      </c>
      <c r="DN48">
        <f>67.165</f>
        <v>67.165000000000006</v>
      </c>
      <c r="DO48">
        <f>57.566</f>
        <v>57.566000000000003</v>
      </c>
      <c r="DP48">
        <f>65.341</f>
        <v>65.340999999999994</v>
      </c>
      <c r="DQ48">
        <f>68.953</f>
        <v>68.953000000000003</v>
      </c>
      <c r="DR48">
        <f>73.375</f>
        <v>73.375</v>
      </c>
      <c r="DS48">
        <f>81.13400269</f>
        <v>81.134002690000003</v>
      </c>
      <c r="DT48">
        <f>68.57899857</f>
        <v>68.578998569999996</v>
      </c>
      <c r="DU48">
        <f>57.33300018</f>
        <v>57.333000179999999</v>
      </c>
    </row>
    <row r="49" spans="1:125">
      <c r="A49" t="str">
        <f>"    Boston Properties Inc"</f>
        <v xml:space="preserve">    Boston Properties Inc</v>
      </c>
      <c r="B49" t="str">
        <f>"BXP US Equity"</f>
        <v>BXP US Equity</v>
      </c>
      <c r="C49" t="str">
        <f t="shared" ref="C49:C58" si="12">"RR502"</f>
        <v>RR502</v>
      </c>
      <c r="D49" t="str">
        <f t="shared" ref="D49:D58" si="13">"NET_OPER_INCOME"</f>
        <v>NET_OPER_INCOME</v>
      </c>
      <c r="E49" t="str">
        <f t="shared" ref="E49:E58" si="14">"动态"</f>
        <v>动态</v>
      </c>
      <c r="F49" t="str">
        <f ca="1">IF(AND(ISNUMBER($F$366),$B$294=1),$F$366,HLOOKUP(INDIRECT(ADDRESS(2,COLUMN())),OFFSET($BN$2,0,0,ROW()-1,60),ROW()-1,FALSE))</f>
        <v/>
      </c>
      <c r="G49">
        <f ca="1">IF(AND(ISNUMBER($G$366),$B$294=1),$G$366,HLOOKUP(INDIRECT(ADDRESS(2,COLUMN())),OFFSET($BN$2,0,0,ROW()-1,60),ROW()-1,FALSE))</f>
        <v>401.47300000000001</v>
      </c>
      <c r="H49">
        <f ca="1">IF(AND(ISNUMBER($H$366),$B$294=1),$H$366,HLOOKUP(INDIRECT(ADDRESS(2,COLUMN())),OFFSET($BN$2,0,0,ROW()-1,60),ROW()-1,FALSE))</f>
        <v>398.86</v>
      </c>
      <c r="I49">
        <f ca="1">IF(AND(ISNUMBER($I$366),$B$294=1),$I$366,HLOOKUP(INDIRECT(ADDRESS(2,COLUMN())),OFFSET($BN$2,0,0,ROW()-1,60),ROW()-1,FALSE))</f>
        <v>404.67399999999998</v>
      </c>
      <c r="J49">
        <f ca="1">IF(AND(ISNUMBER($J$366),$B$294=1),$J$366,HLOOKUP(INDIRECT(ADDRESS(2,COLUMN())),OFFSET($BN$2,0,0,ROW()-1,60),ROW()-1,FALSE))</f>
        <v>389.43</v>
      </c>
      <c r="K49">
        <f ca="1">IF(AND(ISNUMBER($K$366),$B$294=1),$K$366,HLOOKUP(INDIRECT(ADDRESS(2,COLUMN())),OFFSET($BN$2,0,0,ROW()-1,60),ROW()-1,FALSE))</f>
        <v>393.262</v>
      </c>
      <c r="L49">
        <f ca="1">IF(AND(ISNUMBER($L$366),$B$294=1),$L$366,HLOOKUP(INDIRECT(ADDRESS(2,COLUMN())),OFFSET($BN$2,0,0,ROW()-1,60),ROW()-1,FALSE))</f>
        <v>376.19600000000003</v>
      </c>
      <c r="M49">
        <f ca="1">IF(AND(ISNUMBER($M$366),$B$294=1),$M$366,HLOOKUP(INDIRECT(ADDRESS(2,COLUMN())),OFFSET($BN$2,0,0,ROW()-1,60),ROW()-1,FALSE))</f>
        <v>384.822</v>
      </c>
      <c r="N49">
        <f ca="1">IF(AND(ISNUMBER($N$366),$B$294=1),$N$366,HLOOKUP(INDIRECT(ADDRESS(2,COLUMN())),OFFSET($BN$2,0,0,ROW()-1,60),ROW()-1,FALSE))</f>
        <v>430.42200000000003</v>
      </c>
      <c r="O49">
        <f ca="1">IF(AND(ISNUMBER($O$366),$B$294=1),$O$366,HLOOKUP(INDIRECT(ADDRESS(2,COLUMN())),OFFSET($BN$2,0,0,ROW()-1,60),ROW()-1,FALSE))</f>
        <v>388.77100000000002</v>
      </c>
      <c r="P49">
        <f ca="1">IF(AND(ISNUMBER($P$366),$B$294=1),$P$366,HLOOKUP(INDIRECT(ADDRESS(2,COLUMN())),OFFSET($BN$2,0,0,ROW()-1,60),ROW()-1,FALSE))</f>
        <v>389.34399999999999</v>
      </c>
      <c r="Q49">
        <f ca="1">IF(AND(ISNUMBER($Q$366),$B$294=1),$Q$366,HLOOKUP(INDIRECT(ADDRESS(2,COLUMN())),OFFSET($BN$2,0,0,ROW()-1,60),ROW()-1,FALSE))</f>
        <v>381.85899999999998</v>
      </c>
      <c r="R49">
        <f ca="1">IF(AND(ISNUMBER($R$366),$B$294=1),$R$366,HLOOKUP(INDIRECT(ADDRESS(2,COLUMN())),OFFSET($BN$2,0,0,ROW()-1,60),ROW()-1,FALSE))</f>
        <v>380.46499999999997</v>
      </c>
      <c r="S49">
        <f ca="1">IF(AND(ISNUMBER($S$366),$B$294=1),$S$366,HLOOKUP(INDIRECT(ADDRESS(2,COLUMN())),OFFSET($BN$2,0,0,ROW()-1,60),ROW()-1,FALSE))</f>
        <v>384.18400000000003</v>
      </c>
      <c r="T49">
        <f ca="1">IF(AND(ISNUMBER($T$366),$B$294=1),$T$366,HLOOKUP(INDIRECT(ADDRESS(2,COLUMN())),OFFSET($BN$2,0,0,ROW()-1,60),ROW()-1,FALSE))</f>
        <v>357.88499999999999</v>
      </c>
      <c r="U49">
        <f ca="1">IF(AND(ISNUMBER($U$366),$B$294=1),$U$366,HLOOKUP(INDIRECT(ADDRESS(2,COLUMN())),OFFSET($BN$2,0,0,ROW()-1,60),ROW()-1,FALSE))</f>
        <v>341.166</v>
      </c>
      <c r="V49">
        <f ca="1">IF(AND(ISNUMBER($V$366),$B$294=1),$V$366,HLOOKUP(INDIRECT(ADDRESS(2,COLUMN())),OFFSET($BN$2,0,0,ROW()-1,60),ROW()-1,FALSE))</f>
        <v>353.31599999999997</v>
      </c>
      <c r="W49">
        <f ca="1">IF(AND(ISNUMBER($W$366),$B$294=1),$W$366,HLOOKUP(INDIRECT(ADDRESS(2,COLUMN())),OFFSET($BN$2,0,0,ROW()-1,60),ROW()-1,FALSE))</f>
        <v>359.85399999999998</v>
      </c>
      <c r="X49">
        <f ca="1">IF(AND(ISNUMBER($X$366),$B$294=1),$X$366,HLOOKUP(INDIRECT(ADDRESS(2,COLUMN())),OFFSET($BN$2,0,0,ROW()-1,60),ROW()-1,FALSE))</f>
        <v>337.834</v>
      </c>
      <c r="Y49">
        <f ca="1">IF(AND(ISNUMBER($Y$366),$B$294=1),$Y$366,HLOOKUP(INDIRECT(ADDRESS(2,COLUMN())),OFFSET($BN$2,0,0,ROW()-1,60),ROW()-1,FALSE))</f>
        <v>292.01499999999999</v>
      </c>
      <c r="Z49">
        <f ca="1">IF(AND(ISNUMBER($Z$366),$B$294=1),$Z$366,HLOOKUP(INDIRECT(ADDRESS(2,COLUMN())),OFFSET($BN$2,0,0,ROW()-1,60),ROW()-1,FALSE))</f>
        <v>293.42899999999997</v>
      </c>
      <c r="AA49">
        <f ca="1">IF(AND(ISNUMBER($AA$366),$B$294=1),$AA$366,HLOOKUP(INDIRECT(ADDRESS(2,COLUMN())),OFFSET($BN$2,0,0,ROW()-1,60),ROW()-1,FALSE))</f>
        <v>293.238</v>
      </c>
      <c r="AB49">
        <f ca="1">IF(AND(ISNUMBER($AB$366),$B$294=1),$AB$366,HLOOKUP(INDIRECT(ADDRESS(2,COLUMN())),OFFSET($BN$2,0,0,ROW()-1,60),ROW()-1,FALSE))</f>
        <v>269.536</v>
      </c>
      <c r="AC49">
        <f ca="1">IF(AND(ISNUMBER($AC$366),$B$294=1),$AC$366,HLOOKUP(INDIRECT(ADDRESS(2,COLUMN())),OFFSET($BN$2,0,0,ROW()-1,60),ROW()-1,FALSE))</f>
        <v>276.77199999999999</v>
      </c>
      <c r="AD49">
        <f ca="1">IF(AND(ISNUMBER($AD$366),$B$294=1),$AD$366,HLOOKUP(INDIRECT(ADDRESS(2,COLUMN())),OFFSET($BN$2,0,0,ROW()-1,60),ROW()-1,FALSE))</f>
        <v>258.77600000000001</v>
      </c>
      <c r="AE49">
        <f ca="1">IF(AND(ISNUMBER($AE$366),$B$294=1),$AE$366,HLOOKUP(INDIRECT(ADDRESS(2,COLUMN())),OFFSET($BN$2,0,0,ROW()-1,60),ROW()-1,FALSE))</f>
        <v>264.685</v>
      </c>
      <c r="AF49">
        <f ca="1">IF(AND(ISNUMBER($AF$366),$B$294=1),$AF$366,HLOOKUP(INDIRECT(ADDRESS(2,COLUMN())),OFFSET($BN$2,0,0,ROW()-1,60),ROW()-1,FALSE))</f>
        <v>266.20299999999997</v>
      </c>
      <c r="AG49">
        <f ca="1">IF(AND(ISNUMBER($AG$366),$B$294=1),$AG$366,HLOOKUP(INDIRECT(ADDRESS(2,COLUMN())),OFFSET($BN$2,0,0,ROW()-1,60),ROW()-1,FALSE))</f>
        <v>260.23200000000003</v>
      </c>
      <c r="AH49">
        <f ca="1">IF(AND(ISNUMBER($AH$366),$B$294=1),$AH$366,HLOOKUP(INDIRECT(ADDRESS(2,COLUMN())),OFFSET($BN$2,0,0,ROW()-1,60),ROW()-1,FALSE))</f>
        <v>252.572</v>
      </c>
      <c r="AI49">
        <f ca="1">IF(AND(ISNUMBER($AI$366),$B$294=1),$AI$366,HLOOKUP(INDIRECT(ADDRESS(2,COLUMN())),OFFSET($BN$2,0,0,ROW()-1,60),ROW()-1,FALSE))</f>
        <v>239.66800000000001</v>
      </c>
      <c r="AJ49">
        <f ca="1">IF(AND(ISNUMBER($AJ$366),$B$294=1),$AJ$366,HLOOKUP(INDIRECT(ADDRESS(2,COLUMN())),OFFSET($BN$2,0,0,ROW()-1,60),ROW()-1,FALSE))</f>
        <v>234.50299999999999</v>
      </c>
      <c r="AK49">
        <f ca="1">IF(AND(ISNUMBER($AK$366),$B$294=1),$AK$366,HLOOKUP(INDIRECT(ADDRESS(2,COLUMN())),OFFSET($BN$2,0,0,ROW()-1,60),ROW()-1,FALSE))</f>
        <v>245.76300000000001</v>
      </c>
      <c r="AL49">
        <f ca="1">IF(AND(ISNUMBER($AL$366),$B$294=1),$AL$366,HLOOKUP(INDIRECT(ADDRESS(2,COLUMN())),OFFSET($BN$2,0,0,ROW()-1,60),ROW()-1,FALSE))</f>
        <v>231.886</v>
      </c>
      <c r="AM49">
        <f ca="1">IF(AND(ISNUMBER($AM$366),$B$294=1),$AM$366,HLOOKUP(INDIRECT(ADDRESS(2,COLUMN())),OFFSET($BN$2,0,0,ROW()-1,60),ROW()-1,FALSE))</f>
        <v>226.30600000000001</v>
      </c>
      <c r="AN49">
        <f ca="1">IF(AND(ISNUMBER($AN$366),$B$294=1),$AN$366,HLOOKUP(INDIRECT(ADDRESS(2,COLUMN())),OFFSET($BN$2,0,0,ROW()-1,60),ROW()-1,FALSE))</f>
        <v>224.23699999999999</v>
      </c>
      <c r="AO49">
        <f ca="1">IF(AND(ISNUMBER($AO$366),$B$294=1),$AO$366,HLOOKUP(INDIRECT(ADDRESS(2,COLUMN())),OFFSET($BN$2,0,0,ROW()-1,60),ROW()-1,FALSE))</f>
        <v>238.506</v>
      </c>
      <c r="AP49">
        <f ca="1">IF(AND(ISNUMBER($AP$366),$B$294=1),$AP$366,HLOOKUP(INDIRECT(ADDRESS(2,COLUMN())),OFFSET($BN$2,0,0,ROW()-1,60),ROW()-1,FALSE))</f>
        <v>230.36</v>
      </c>
      <c r="AQ49">
        <f ca="1">IF(AND(ISNUMBER($AQ$366),$B$294=1),$AQ$366,HLOOKUP(INDIRECT(ADDRESS(2,COLUMN())),OFFSET($BN$2,0,0,ROW()-1,60),ROW()-1,FALSE))</f>
        <v>244.93799999999999</v>
      </c>
      <c r="AR49">
        <f ca="1">IF(AND(ISNUMBER($AR$366),$B$294=1),$AR$366,HLOOKUP(INDIRECT(ADDRESS(2,COLUMN())),OFFSET($BN$2,0,0,ROW()-1,60),ROW()-1,FALSE))</f>
        <v>220.63900000000001</v>
      </c>
      <c r="AS49">
        <f ca="1">IF(AND(ISNUMBER($AS$366),$B$294=1),$AS$366,HLOOKUP(INDIRECT(ADDRESS(2,COLUMN())),OFFSET($BN$2,0,0,ROW()-1,60),ROW()-1,FALSE))</f>
        <v>229.14500000000001</v>
      </c>
      <c r="AT49">
        <f ca="1">IF(AND(ISNUMBER($AT$366),$B$294=1),$AT$366,HLOOKUP(INDIRECT(ADDRESS(2,COLUMN())),OFFSET($BN$2,0,0,ROW()-1,60),ROW()-1,FALSE))</f>
        <v>228.626</v>
      </c>
      <c r="AU49">
        <f ca="1">IF(AND(ISNUMBER($AU$366),$B$294=1),$AU$366,HLOOKUP(INDIRECT(ADDRESS(2,COLUMN())),OFFSET($BN$2,0,0,ROW()-1,60),ROW()-1,FALSE))</f>
        <v>229.77199999999999</v>
      </c>
      <c r="AV49">
        <f ca="1">IF(AND(ISNUMBER($AV$366),$B$294=1),$AV$366,HLOOKUP(INDIRECT(ADDRESS(2,COLUMN())),OFFSET($BN$2,0,0,ROW()-1,60),ROW()-1,FALSE))</f>
        <v>221.351</v>
      </c>
      <c r="AW49">
        <f ca="1">IF(AND(ISNUMBER($AW$366),$B$294=1),$AW$366,HLOOKUP(INDIRECT(ADDRESS(2,COLUMN())),OFFSET($BN$2,0,0,ROW()-1,60),ROW()-1,FALSE))</f>
        <v>223.67500000000001</v>
      </c>
      <c r="AX49">
        <f ca="1">IF(AND(ISNUMBER($AX$366),$B$294=1),$AX$366,HLOOKUP(INDIRECT(ADDRESS(2,COLUMN())),OFFSET($BN$2,0,0,ROW()-1,60),ROW()-1,FALSE))</f>
        <v>224.13499999999999</v>
      </c>
      <c r="AY49">
        <f ca="1">IF(AND(ISNUMBER($AY$366),$B$294=1),$AY$366,HLOOKUP(INDIRECT(ADDRESS(2,COLUMN())),OFFSET($BN$2,0,0,ROW()-1,60),ROW()-1,FALSE))</f>
        <v>225.011</v>
      </c>
      <c r="AZ49">
        <f ca="1">IF(AND(ISNUMBER($AZ$366),$B$294=1),$AZ$366,HLOOKUP(INDIRECT(ADDRESS(2,COLUMN())),OFFSET($BN$2,0,0,ROW()-1,60),ROW()-1,FALSE))</f>
        <v>225.39099999999999</v>
      </c>
      <c r="BA49">
        <f ca="1">IF(AND(ISNUMBER($BA$366),$B$294=1),$BA$366,HLOOKUP(INDIRECT(ADDRESS(2,COLUMN())),OFFSET($BN$2,0,0,ROW()-1,60),ROW()-1,FALSE))</f>
        <v>231.26</v>
      </c>
      <c r="BB49">
        <f ca="1">IF(AND(ISNUMBER($BB$366),$B$294=1),$BB$366,HLOOKUP(INDIRECT(ADDRESS(2,COLUMN())),OFFSET($BN$2,0,0,ROW()-1,60),ROW()-1,FALSE))</f>
        <v>228.56899999999999</v>
      </c>
      <c r="BC49">
        <f ca="1">IF(AND(ISNUMBER($BC$366),$B$294=1),$BC$366,HLOOKUP(INDIRECT(ADDRESS(2,COLUMN())),OFFSET($BN$2,0,0,ROW()-1,60),ROW()-1,FALSE))</f>
        <v>229.16200000000001</v>
      </c>
      <c r="BD49">
        <f ca="1">IF(AND(ISNUMBER($BD$366),$B$294=1),$BD$366,HLOOKUP(INDIRECT(ADDRESS(2,COLUMN())),OFFSET($BN$2,0,0,ROW()-1,60),ROW()-1,FALSE))</f>
        <v>225.78700000000001</v>
      </c>
      <c r="BE49">
        <f ca="1">IF(AND(ISNUMBER($BE$366),$B$294=1),$BE$366,HLOOKUP(INDIRECT(ADDRESS(2,COLUMN())),OFFSET($BN$2,0,0,ROW()-1,60),ROW()-1,FALSE))</f>
        <v>230.99799999999999</v>
      </c>
      <c r="BF49">
        <f ca="1">IF(AND(ISNUMBER($BF$366),$B$294=1),$BF$366,HLOOKUP(INDIRECT(ADDRESS(2,COLUMN())),OFFSET($BN$2,0,0,ROW()-1,60),ROW()-1,FALSE))</f>
        <v>232.06200000000001</v>
      </c>
      <c r="BG49">
        <f ca="1">IF(AND(ISNUMBER($BG$366),$B$294=1),$BG$366,HLOOKUP(INDIRECT(ADDRESS(2,COLUMN())),OFFSET($BN$2,0,0,ROW()-1,60),ROW()-1,FALSE))</f>
        <v>230.82400000000001</v>
      </c>
      <c r="BH49">
        <f ca="1">IF(AND(ISNUMBER($BH$366),$B$294=1),$BH$366,HLOOKUP(INDIRECT(ADDRESS(2,COLUMN())),OFFSET($BN$2,0,0,ROW()-1,60),ROW()-1,FALSE))</f>
        <v>229.70699999999999</v>
      </c>
      <c r="BI49">
        <f ca="1">IF(AND(ISNUMBER($BI$366),$B$294=1),$BI$366,HLOOKUP(INDIRECT(ADDRESS(2,COLUMN())),OFFSET($BN$2,0,0,ROW()-1,60),ROW()-1,FALSE))</f>
        <v>223.01300000000001</v>
      </c>
      <c r="BJ49">
        <f ca="1">IF(AND(ISNUMBER($BJ$366),$B$294=1),$BJ$366,HLOOKUP(INDIRECT(ADDRESS(2,COLUMN())),OFFSET($BN$2,0,0,ROW()-1,60),ROW()-1,FALSE))</f>
        <v>211.916</v>
      </c>
      <c r="BK49">
        <f ca="1">IF(AND(ISNUMBER($BK$366),$B$294=1),$BK$366,HLOOKUP(INDIRECT(ADDRESS(2,COLUMN())),OFFSET($BN$2,0,0,ROW()-1,60),ROW()-1,FALSE))</f>
        <v>212.70501400000001</v>
      </c>
      <c r="BL49">
        <f ca="1">IF(AND(ISNUMBER($BL$366),$B$294=1),$BL$366,HLOOKUP(INDIRECT(ADDRESS(2,COLUMN())),OFFSET($BN$2,0,0,ROW()-1,60),ROW()-1,FALSE))</f>
        <v>203.45198300000001</v>
      </c>
      <c r="BM49">
        <f ca="1">IF(AND(ISNUMBER($BM$366),$B$294=1),$BM$366,HLOOKUP(INDIRECT(ADDRESS(2,COLUMN())),OFFSET($BN$2,0,0,ROW()-1,60),ROW()-1,FALSE))</f>
        <v>157.90600000000001</v>
      </c>
      <c r="BN49" t="str">
        <f>""</f>
        <v/>
      </c>
      <c r="BO49">
        <f>401.473</f>
        <v>401.47300000000001</v>
      </c>
      <c r="BP49">
        <f>398.86</f>
        <v>398.86</v>
      </c>
      <c r="BQ49">
        <f>404.674</f>
        <v>404.67399999999998</v>
      </c>
      <c r="BR49">
        <f>389.43</f>
        <v>389.43</v>
      </c>
      <c r="BS49">
        <f>393.262</f>
        <v>393.262</v>
      </c>
      <c r="BT49">
        <f>376.196</f>
        <v>376.19600000000003</v>
      </c>
      <c r="BU49">
        <f>384.822</f>
        <v>384.822</v>
      </c>
      <c r="BV49">
        <f>430.422</f>
        <v>430.42200000000003</v>
      </c>
      <c r="BW49">
        <f>388.771</f>
        <v>388.77100000000002</v>
      </c>
      <c r="BX49">
        <f>389.344</f>
        <v>389.34399999999999</v>
      </c>
      <c r="BY49">
        <f>381.859</f>
        <v>381.85899999999998</v>
      </c>
      <c r="BZ49">
        <f>380.465</f>
        <v>380.46499999999997</v>
      </c>
      <c r="CA49">
        <f>384.184</f>
        <v>384.18400000000003</v>
      </c>
      <c r="CB49">
        <f>357.885</f>
        <v>357.88499999999999</v>
      </c>
      <c r="CC49">
        <f>341.166</f>
        <v>341.166</v>
      </c>
      <c r="CD49">
        <f>353.316</f>
        <v>353.31599999999997</v>
      </c>
      <c r="CE49">
        <f>359.854</f>
        <v>359.85399999999998</v>
      </c>
      <c r="CF49">
        <f>337.834</f>
        <v>337.834</v>
      </c>
      <c r="CG49">
        <f>292.015</f>
        <v>292.01499999999999</v>
      </c>
      <c r="CH49">
        <f>293.429</f>
        <v>293.42899999999997</v>
      </c>
      <c r="CI49">
        <f>293.238</f>
        <v>293.238</v>
      </c>
      <c r="CJ49">
        <f>269.536</f>
        <v>269.536</v>
      </c>
      <c r="CK49">
        <f>276.772</f>
        <v>276.77199999999999</v>
      </c>
      <c r="CL49">
        <f>258.776</f>
        <v>258.77600000000001</v>
      </c>
      <c r="CM49">
        <f>264.685</f>
        <v>264.685</v>
      </c>
      <c r="CN49">
        <f>266.203</f>
        <v>266.20299999999997</v>
      </c>
      <c r="CO49">
        <f>260.232</f>
        <v>260.23200000000003</v>
      </c>
      <c r="CP49">
        <f>252.572</f>
        <v>252.572</v>
      </c>
      <c r="CQ49">
        <f>239.668</f>
        <v>239.66800000000001</v>
      </c>
      <c r="CR49">
        <f>234.503</f>
        <v>234.50299999999999</v>
      </c>
      <c r="CS49">
        <f>245.763</f>
        <v>245.76300000000001</v>
      </c>
      <c r="CT49">
        <f>231.886</f>
        <v>231.886</v>
      </c>
      <c r="CU49">
        <f>226.306</f>
        <v>226.30600000000001</v>
      </c>
      <c r="CV49">
        <f>224.237</f>
        <v>224.23699999999999</v>
      </c>
      <c r="CW49">
        <f>238.506</f>
        <v>238.506</v>
      </c>
      <c r="CX49">
        <f>230.36</f>
        <v>230.36</v>
      </c>
      <c r="CY49">
        <f>244.938</f>
        <v>244.93799999999999</v>
      </c>
      <c r="CZ49">
        <f>220.639</f>
        <v>220.63900000000001</v>
      </c>
      <c r="DA49">
        <f>229.145</f>
        <v>229.14500000000001</v>
      </c>
      <c r="DB49">
        <f>228.626</f>
        <v>228.626</v>
      </c>
      <c r="DC49">
        <f>229.772</f>
        <v>229.77199999999999</v>
      </c>
      <c r="DD49">
        <f>221.351</f>
        <v>221.351</v>
      </c>
      <c r="DE49">
        <f>223.675</f>
        <v>223.67500000000001</v>
      </c>
      <c r="DF49">
        <f>224.135</f>
        <v>224.13499999999999</v>
      </c>
      <c r="DG49">
        <f>225.011</f>
        <v>225.011</v>
      </c>
      <c r="DH49">
        <f>225.391</f>
        <v>225.39099999999999</v>
      </c>
      <c r="DI49">
        <f>231.26</f>
        <v>231.26</v>
      </c>
      <c r="DJ49">
        <f>228.569</f>
        <v>228.56899999999999</v>
      </c>
      <c r="DK49">
        <f>229.162</f>
        <v>229.16200000000001</v>
      </c>
      <c r="DL49">
        <f>225.787</f>
        <v>225.78700000000001</v>
      </c>
      <c r="DM49">
        <f>230.998</f>
        <v>230.99799999999999</v>
      </c>
      <c r="DN49">
        <f>232.062</f>
        <v>232.06200000000001</v>
      </c>
      <c r="DO49">
        <f>230.824</f>
        <v>230.82400000000001</v>
      </c>
      <c r="DP49">
        <f>229.707</f>
        <v>229.70699999999999</v>
      </c>
      <c r="DQ49">
        <f>223.013</f>
        <v>223.01300000000001</v>
      </c>
      <c r="DR49">
        <f>211.916</f>
        <v>211.916</v>
      </c>
      <c r="DS49">
        <f>212.705014</f>
        <v>212.70501400000001</v>
      </c>
      <c r="DT49">
        <f>203.451983</f>
        <v>203.45198300000001</v>
      </c>
      <c r="DU49">
        <f>157.906</f>
        <v>157.90600000000001</v>
      </c>
    </row>
    <row r="50" spans="1:125">
      <c r="A50" t="str">
        <f>"    Brandywine Realty Trust"</f>
        <v xml:space="preserve">    Brandywine Realty Trust</v>
      </c>
      <c r="B50" t="str">
        <f>"BDN US Equity"</f>
        <v>BDN US Equity</v>
      </c>
      <c r="C50" t="str">
        <f t="shared" si="12"/>
        <v>RR502</v>
      </c>
      <c r="D50" t="str">
        <f t="shared" si="13"/>
        <v>NET_OPER_INCOME</v>
      </c>
      <c r="E50" t="str">
        <f t="shared" si="14"/>
        <v>动态</v>
      </c>
      <c r="F50" t="str">
        <f ca="1">IF(AND(ISNUMBER($F$367),$B$294=1),$F$367,HLOOKUP(INDIRECT(ADDRESS(2,COLUMN())),OFFSET($BN$2,0,0,ROW()-1,60),ROW()-1,FALSE))</f>
        <v/>
      </c>
      <c r="G50">
        <f ca="1">IF(AND(ISNUMBER($G$367),$B$294=1),$G$367,HLOOKUP(INDIRECT(ADDRESS(2,COLUMN())),OFFSET($BN$2,0,0,ROW()-1,60),ROW()-1,FALSE))</f>
        <v>78.314999999999998</v>
      </c>
      <c r="H50">
        <f ca="1">IF(AND(ISNUMBER($H$367),$B$294=1),$H$367,HLOOKUP(INDIRECT(ADDRESS(2,COLUMN())),OFFSET($BN$2,0,0,ROW()-1,60),ROW()-1,FALSE))</f>
        <v>76.212999999999994</v>
      </c>
      <c r="I50">
        <f ca="1">IF(AND(ISNUMBER($I$367),$B$294=1),$I$367,HLOOKUP(INDIRECT(ADDRESS(2,COLUMN())),OFFSET($BN$2,0,0,ROW()-1,60),ROW()-1,FALSE))</f>
        <v>76.197000000000003</v>
      </c>
      <c r="J50">
        <f ca="1">IF(AND(ISNUMBER($J$367),$B$294=1),$J$367,HLOOKUP(INDIRECT(ADDRESS(2,COLUMN())),OFFSET($BN$2,0,0,ROW()-1,60),ROW()-1,FALSE))</f>
        <v>78.944000000000003</v>
      </c>
      <c r="K50">
        <f ca="1">IF(AND(ISNUMBER($K$367),$B$294=1),$K$367,HLOOKUP(INDIRECT(ADDRESS(2,COLUMN())),OFFSET($BN$2,0,0,ROW()-1,60),ROW()-1,FALSE))</f>
        <v>77.222999999999999</v>
      </c>
      <c r="L50">
        <f ca="1">IF(AND(ISNUMBER($L$367),$B$294=1),$L$367,HLOOKUP(INDIRECT(ADDRESS(2,COLUMN())),OFFSET($BN$2,0,0,ROW()-1,60),ROW()-1,FALSE))</f>
        <v>77.403000000000006</v>
      </c>
      <c r="M50">
        <f ca="1">IF(AND(ISNUMBER($M$367),$B$294=1),$M$367,HLOOKUP(INDIRECT(ADDRESS(2,COLUMN())),OFFSET($BN$2,0,0,ROW()-1,60),ROW()-1,FALSE))</f>
        <v>76.102000000000004</v>
      </c>
      <c r="N50">
        <f ca="1">IF(AND(ISNUMBER($N$367),$B$294=1),$N$367,HLOOKUP(INDIRECT(ADDRESS(2,COLUMN())),OFFSET($BN$2,0,0,ROW()-1,60),ROW()-1,FALSE))</f>
        <v>80.971000000000004</v>
      </c>
      <c r="O50">
        <f ca="1">IF(AND(ISNUMBER($O$367),$B$294=1),$O$367,HLOOKUP(INDIRECT(ADDRESS(2,COLUMN())),OFFSET($BN$2,0,0,ROW()-1,60),ROW()-1,FALSE))</f>
        <v>90.42</v>
      </c>
      <c r="P50">
        <f ca="1">IF(AND(ISNUMBER($P$367),$B$294=1),$P$367,HLOOKUP(INDIRECT(ADDRESS(2,COLUMN())),OFFSET($BN$2,0,0,ROW()-1,60),ROW()-1,FALSE))</f>
        <v>92.569000000000003</v>
      </c>
      <c r="Q50">
        <f ca="1">IF(AND(ISNUMBER($Q$367),$B$294=1),$Q$367,HLOOKUP(INDIRECT(ADDRESS(2,COLUMN())),OFFSET($BN$2,0,0,ROW()-1,60),ROW()-1,FALSE))</f>
        <v>88.063999999999993</v>
      </c>
      <c r="R50">
        <f ca="1">IF(AND(ISNUMBER($R$367),$B$294=1),$R$367,HLOOKUP(INDIRECT(ADDRESS(2,COLUMN())),OFFSET($BN$2,0,0,ROW()-1,60),ROW()-1,FALSE))</f>
        <v>86.873999999999995</v>
      </c>
      <c r="S50">
        <f ca="1">IF(AND(ISNUMBER($S$367),$B$294=1),$S$367,HLOOKUP(INDIRECT(ADDRESS(2,COLUMN())),OFFSET($BN$2,0,0,ROW()-1,60),ROW()-1,FALSE))</f>
        <v>87.831000000000003</v>
      </c>
      <c r="T50">
        <f ca="1">IF(AND(ISNUMBER($T$367),$B$294=1),$T$367,HLOOKUP(INDIRECT(ADDRESS(2,COLUMN())),OFFSET($BN$2,0,0,ROW()-1,60),ROW()-1,FALSE))</f>
        <v>88.501999999999995</v>
      </c>
      <c r="U50">
        <f ca="1">IF(AND(ISNUMBER($U$367),$B$294=1),$U$367,HLOOKUP(INDIRECT(ADDRESS(2,COLUMN())),OFFSET($BN$2,0,0,ROW()-1,60),ROW()-1,FALSE))</f>
        <v>91.953000000000003</v>
      </c>
      <c r="V50">
        <f ca="1">IF(AND(ISNUMBER($V$367),$B$294=1),$V$367,HLOOKUP(INDIRECT(ADDRESS(2,COLUMN())),OFFSET($BN$2,0,0,ROW()-1,60),ROW()-1,FALSE))</f>
        <v>89.51</v>
      </c>
      <c r="W50">
        <f ca="1">IF(AND(ISNUMBER($W$367),$B$294=1),$W$367,HLOOKUP(INDIRECT(ADDRESS(2,COLUMN())),OFFSET($BN$2,0,0,ROW()-1,60),ROW()-1,FALSE))</f>
        <v>82.173000000000002</v>
      </c>
      <c r="X50">
        <f ca="1">IF(AND(ISNUMBER($X$367),$B$294=1),$X$367,HLOOKUP(INDIRECT(ADDRESS(2,COLUMN())),OFFSET($BN$2,0,0,ROW()-1,60),ROW()-1,FALSE))</f>
        <v>86.256</v>
      </c>
      <c r="Y50">
        <f ca="1">IF(AND(ISNUMBER($Y$367),$B$294=1),$Y$367,HLOOKUP(INDIRECT(ADDRESS(2,COLUMN())),OFFSET($BN$2,0,0,ROW()-1,60),ROW()-1,FALSE))</f>
        <v>84.213999999999999</v>
      </c>
      <c r="Z50">
        <f ca="1">IF(AND(ISNUMBER($Z$367),$B$294=1),$Z$367,HLOOKUP(INDIRECT(ADDRESS(2,COLUMN())),OFFSET($BN$2,0,0,ROW()-1,60),ROW()-1,FALSE))</f>
        <v>83.611999999999995</v>
      </c>
      <c r="AA50">
        <f ca="1">IF(AND(ISNUMBER($AA$367),$B$294=1),$AA$367,HLOOKUP(INDIRECT(ADDRESS(2,COLUMN())),OFFSET($BN$2,0,0,ROW()-1,60),ROW()-1,FALSE))</f>
        <v>80.869</v>
      </c>
      <c r="AB50">
        <f ca="1">IF(AND(ISNUMBER($AB$367),$B$294=1),$AB$367,HLOOKUP(INDIRECT(ADDRESS(2,COLUMN())),OFFSET($BN$2,0,0,ROW()-1,60),ROW()-1,FALSE))</f>
        <v>79.322999999999993</v>
      </c>
      <c r="AC50">
        <f ca="1">IF(AND(ISNUMBER($AC$367),$B$294=1),$AC$367,HLOOKUP(INDIRECT(ADDRESS(2,COLUMN())),OFFSET($BN$2,0,0,ROW()-1,60),ROW()-1,FALSE))</f>
        <v>79.78</v>
      </c>
      <c r="AD50">
        <f ca="1">IF(AND(ISNUMBER($AD$367),$B$294=1),$AD$367,HLOOKUP(INDIRECT(ADDRESS(2,COLUMN())),OFFSET($BN$2,0,0,ROW()-1,60),ROW()-1,FALSE))</f>
        <v>80.132999999999996</v>
      </c>
      <c r="AE50">
        <f ca="1">IF(AND(ISNUMBER($AE$367),$B$294=1),$AE$367,HLOOKUP(INDIRECT(ADDRESS(2,COLUMN())),OFFSET($BN$2,0,0,ROW()-1,60),ROW()-1,FALSE))</f>
        <v>81.691999999999993</v>
      </c>
      <c r="AF50">
        <f ca="1">IF(AND(ISNUMBER($AF$367),$B$294=1),$AF$367,HLOOKUP(INDIRECT(ADDRESS(2,COLUMN())),OFFSET($BN$2,0,0,ROW()-1,60),ROW()-1,FALSE))</f>
        <v>83.075000000000003</v>
      </c>
      <c r="AG50">
        <f ca="1">IF(AND(ISNUMBER($AG$367),$B$294=1),$AG$367,HLOOKUP(INDIRECT(ADDRESS(2,COLUMN())),OFFSET($BN$2,0,0,ROW()-1,60),ROW()-1,FALSE))</f>
        <v>83.506</v>
      </c>
      <c r="AH50">
        <f ca="1">IF(AND(ISNUMBER($AH$367),$B$294=1),$AH$367,HLOOKUP(INDIRECT(ADDRESS(2,COLUMN())),OFFSET($BN$2,0,0,ROW()-1,60),ROW()-1,FALSE))</f>
        <v>82.745000000000005</v>
      </c>
      <c r="AI50">
        <f ca="1">IF(AND(ISNUMBER($AI$367),$B$294=1),$AI$367,HLOOKUP(INDIRECT(ADDRESS(2,COLUMN())),OFFSET($BN$2,0,0,ROW()-1,60),ROW()-1,FALSE))</f>
        <v>84.653000000000006</v>
      </c>
      <c r="AJ50">
        <f ca="1">IF(AND(ISNUMBER($AJ$367),$B$294=1),$AJ$367,HLOOKUP(INDIRECT(ADDRESS(2,COLUMN())),OFFSET($BN$2,0,0,ROW()-1,60),ROW()-1,FALSE))</f>
        <v>82.79</v>
      </c>
      <c r="AK50">
        <f ca="1">IF(AND(ISNUMBER($AK$367),$B$294=1),$AK$367,HLOOKUP(INDIRECT(ADDRESS(2,COLUMN())),OFFSET($BN$2,0,0,ROW()-1,60),ROW()-1,FALSE))</f>
        <v>81.581000000000003</v>
      </c>
      <c r="AL50">
        <f ca="1">IF(AND(ISNUMBER($AL$367),$B$294=1),$AL$367,HLOOKUP(INDIRECT(ADDRESS(2,COLUMN())),OFFSET($BN$2,0,0,ROW()-1,60),ROW()-1,FALSE))</f>
        <v>81.825999999999993</v>
      </c>
      <c r="AM50">
        <f ca="1">IF(AND(ISNUMBER($AM$367),$B$294=1),$AM$367,HLOOKUP(INDIRECT(ADDRESS(2,COLUMN())),OFFSET($BN$2,0,0,ROW()-1,60),ROW()-1,FALSE))</f>
        <v>83.385000000000005</v>
      </c>
      <c r="AN50">
        <f ca="1">IF(AND(ISNUMBER($AN$367),$B$294=1),$AN$367,HLOOKUP(INDIRECT(ADDRESS(2,COLUMN())),OFFSET($BN$2,0,0,ROW()-1,60),ROW()-1,FALSE))</f>
        <v>88.884</v>
      </c>
      <c r="AO50">
        <f ca="1">IF(AND(ISNUMBER($AO$367),$B$294=1),$AO$367,HLOOKUP(INDIRECT(ADDRESS(2,COLUMN())),OFFSET($BN$2,0,0,ROW()-1,60),ROW()-1,FALSE))</f>
        <v>86.465000000000003</v>
      </c>
      <c r="AP50">
        <f ca="1">IF(AND(ISNUMBER($AP$367),$B$294=1),$AP$367,HLOOKUP(INDIRECT(ADDRESS(2,COLUMN())),OFFSET($BN$2,0,0,ROW()-1,60),ROW()-1,FALSE))</f>
        <v>85.480999999999995</v>
      </c>
      <c r="AQ50">
        <f ca="1">IF(AND(ISNUMBER($AQ$367),$B$294=1),$AQ$367,HLOOKUP(INDIRECT(ADDRESS(2,COLUMN())),OFFSET($BN$2,0,0,ROW()-1,60),ROW()-1,FALSE))</f>
        <v>88.980999999999995</v>
      </c>
      <c r="AR50">
        <f ca="1">IF(AND(ISNUMBER($AR$367),$B$294=1),$AR$367,HLOOKUP(INDIRECT(ADDRESS(2,COLUMN())),OFFSET($BN$2,0,0,ROW()-1,60),ROW()-1,FALSE))</f>
        <v>88.111000000000004</v>
      </c>
      <c r="AS50">
        <f ca="1">IF(AND(ISNUMBER($AS$367),$B$294=1),$AS$367,HLOOKUP(INDIRECT(ADDRESS(2,COLUMN())),OFFSET($BN$2,0,0,ROW()-1,60),ROW()-1,FALSE))</f>
        <v>92.087000000000003</v>
      </c>
      <c r="AT50">
        <f ca="1">IF(AND(ISNUMBER($AT$367),$B$294=1),$AT$367,HLOOKUP(INDIRECT(ADDRESS(2,COLUMN())),OFFSET($BN$2,0,0,ROW()-1,60),ROW()-1,FALSE))</f>
        <v>92.73</v>
      </c>
      <c r="AU50">
        <f ca="1">IF(AND(ISNUMBER($AU$367),$B$294=1),$AU$367,HLOOKUP(INDIRECT(ADDRESS(2,COLUMN())),OFFSET($BN$2,0,0,ROW()-1,60),ROW()-1,FALSE))</f>
        <v>96.144000000000005</v>
      </c>
      <c r="AV50">
        <f ca="1">IF(AND(ISNUMBER($AV$367),$B$294=1),$AV$367,HLOOKUP(INDIRECT(ADDRESS(2,COLUMN())),OFFSET($BN$2,0,0,ROW()-1,60),ROW()-1,FALSE))</f>
        <v>99.715999999999994</v>
      </c>
      <c r="AW50">
        <f ca="1">IF(AND(ISNUMBER($AW$367),$B$294=1),$AW$367,HLOOKUP(INDIRECT(ADDRESS(2,COLUMN())),OFFSET($BN$2,0,0,ROW()-1,60),ROW()-1,FALSE))</f>
        <v>91.956000000000003</v>
      </c>
      <c r="AX50">
        <f ca="1">IF(AND(ISNUMBER($AX$367),$B$294=1),$AX$367,HLOOKUP(INDIRECT(ADDRESS(2,COLUMN())),OFFSET($BN$2,0,0,ROW()-1,60),ROW()-1,FALSE))</f>
        <v>102.667</v>
      </c>
      <c r="AY50">
        <f ca="1">IF(AND(ISNUMBER($AY$367),$B$294=1),$AY$367,HLOOKUP(INDIRECT(ADDRESS(2,COLUMN())),OFFSET($BN$2,0,0,ROW()-1,60),ROW()-1,FALSE))</f>
        <v>104.396</v>
      </c>
      <c r="AZ50">
        <f ca="1">IF(AND(ISNUMBER($AZ$367),$B$294=1),$AZ$367,HLOOKUP(INDIRECT(ADDRESS(2,COLUMN())),OFFSET($BN$2,0,0,ROW()-1,60),ROW()-1,FALSE))</f>
        <v>92.177000000000007</v>
      </c>
      <c r="BA50">
        <f ca="1">IF(AND(ISNUMBER($BA$367),$B$294=1),$BA$367,HLOOKUP(INDIRECT(ADDRESS(2,COLUMN())),OFFSET($BN$2,0,0,ROW()-1,60),ROW()-1,FALSE))</f>
        <v>90.070999999999998</v>
      </c>
      <c r="BB50">
        <f ca="1">IF(AND(ISNUMBER($BB$367),$B$294=1),$BB$367,HLOOKUP(INDIRECT(ADDRESS(2,COLUMN())),OFFSET($BN$2,0,0,ROW()-1,60),ROW()-1,FALSE))</f>
        <v>84.522000000000006</v>
      </c>
      <c r="BC50">
        <f ca="1">IF(AND(ISNUMBER($BC$367),$B$294=1),$BC$367,HLOOKUP(INDIRECT(ADDRESS(2,COLUMN())),OFFSET($BN$2,0,0,ROW()-1,60),ROW()-1,FALSE))</f>
        <v>59.095999999999997</v>
      </c>
      <c r="BD50">
        <f ca="1">IF(AND(ISNUMBER($BD$367),$B$294=1),$BD$367,HLOOKUP(INDIRECT(ADDRESS(2,COLUMN())),OFFSET($BN$2,0,0,ROW()-1,60),ROW()-1,FALSE))</f>
        <v>55.59</v>
      </c>
      <c r="BE50">
        <f ca="1">IF(AND(ISNUMBER($BE$367),$B$294=1),$BE$367,HLOOKUP(INDIRECT(ADDRESS(2,COLUMN())),OFFSET($BN$2,0,0,ROW()-1,60),ROW()-1,FALSE))</f>
        <v>55.4</v>
      </c>
      <c r="BF50">
        <f ca="1">IF(AND(ISNUMBER($BF$367),$B$294=1),$BF$367,HLOOKUP(INDIRECT(ADDRESS(2,COLUMN())),OFFSET($BN$2,0,0,ROW()-1,60),ROW()-1,FALSE))</f>
        <v>53.774000000000001</v>
      </c>
      <c r="BG50">
        <f ca="1">IF(AND(ISNUMBER($BG$367),$B$294=1),$BG$367,HLOOKUP(INDIRECT(ADDRESS(2,COLUMN())),OFFSET($BN$2,0,0,ROW()-1,60),ROW()-1,FALSE))</f>
        <v>57.566000000000003</v>
      </c>
      <c r="BH50">
        <f ca="1">IF(AND(ISNUMBER($BH$367),$B$294=1),$BH$367,HLOOKUP(INDIRECT(ADDRESS(2,COLUMN())),OFFSET($BN$2,0,0,ROW()-1,60),ROW()-1,FALSE))</f>
        <v>46.601999999999997</v>
      </c>
      <c r="BI50">
        <f ca="1">IF(AND(ISNUMBER($BI$367),$B$294=1),$BI$367,HLOOKUP(INDIRECT(ADDRESS(2,COLUMN())),OFFSET($BN$2,0,0,ROW()-1,60),ROW()-1,FALSE))</f>
        <v>45.473999999999997</v>
      </c>
      <c r="BJ50">
        <f ca="1">IF(AND(ISNUMBER($BJ$367),$B$294=1),$BJ$367,HLOOKUP(INDIRECT(ADDRESS(2,COLUMN())),OFFSET($BN$2,0,0,ROW()-1,60),ROW()-1,FALSE))</f>
        <v>42.542000000000002</v>
      </c>
      <c r="BK50" t="str">
        <f ca="1">IF(AND(ISNUMBER($BK$367),$B$294=1),$BK$367,HLOOKUP(INDIRECT(ADDRESS(2,COLUMN())),OFFSET($BN$2,0,0,ROW()-1,60),ROW()-1,FALSE))</f>
        <v/>
      </c>
      <c r="BL50">
        <f ca="1">IF(AND(ISNUMBER($BL$367),$B$294=1),$BL$367,HLOOKUP(INDIRECT(ADDRESS(2,COLUMN())),OFFSET($BN$2,0,0,ROW()-1,60),ROW()-1,FALSE))</f>
        <v>46.914999999999999</v>
      </c>
      <c r="BM50">
        <f ca="1">IF(AND(ISNUMBER($BM$367),$B$294=1),$BM$367,HLOOKUP(INDIRECT(ADDRESS(2,COLUMN())),OFFSET($BN$2,0,0,ROW()-1,60),ROW()-1,FALSE))</f>
        <v>47.22</v>
      </c>
      <c r="BN50" t="str">
        <f>""</f>
        <v/>
      </c>
      <c r="BO50">
        <f>78.315</f>
        <v>78.314999999999998</v>
      </c>
      <c r="BP50">
        <f>76.213</f>
        <v>76.212999999999994</v>
      </c>
      <c r="BQ50">
        <f>76.197</f>
        <v>76.197000000000003</v>
      </c>
      <c r="BR50">
        <f>78.944</f>
        <v>78.944000000000003</v>
      </c>
      <c r="BS50">
        <f>77.223</f>
        <v>77.222999999999999</v>
      </c>
      <c r="BT50">
        <f>77.403</f>
        <v>77.403000000000006</v>
      </c>
      <c r="BU50">
        <f>76.102</f>
        <v>76.102000000000004</v>
      </c>
      <c r="BV50">
        <f>80.971</f>
        <v>80.971000000000004</v>
      </c>
      <c r="BW50">
        <f>90.42</f>
        <v>90.42</v>
      </c>
      <c r="BX50">
        <f>92.569</f>
        <v>92.569000000000003</v>
      </c>
      <c r="BY50">
        <f>88.064</f>
        <v>88.063999999999993</v>
      </c>
      <c r="BZ50">
        <f>86.874</f>
        <v>86.873999999999995</v>
      </c>
      <c r="CA50">
        <f>87.831</f>
        <v>87.831000000000003</v>
      </c>
      <c r="CB50">
        <f>88.502</f>
        <v>88.501999999999995</v>
      </c>
      <c r="CC50">
        <f>91.953</f>
        <v>91.953000000000003</v>
      </c>
      <c r="CD50">
        <f>89.51</f>
        <v>89.51</v>
      </c>
      <c r="CE50">
        <f>82.173</f>
        <v>82.173000000000002</v>
      </c>
      <c r="CF50">
        <f>86.256</f>
        <v>86.256</v>
      </c>
      <c r="CG50">
        <f>84.214</f>
        <v>84.213999999999999</v>
      </c>
      <c r="CH50">
        <f>83.612</f>
        <v>83.611999999999995</v>
      </c>
      <c r="CI50">
        <f>80.869</f>
        <v>80.869</v>
      </c>
      <c r="CJ50">
        <f>79.323</f>
        <v>79.322999999999993</v>
      </c>
      <c r="CK50">
        <f>79.78</f>
        <v>79.78</v>
      </c>
      <c r="CL50">
        <f>80.133</f>
        <v>80.132999999999996</v>
      </c>
      <c r="CM50">
        <f>81.692</f>
        <v>81.691999999999993</v>
      </c>
      <c r="CN50">
        <f>83.075</f>
        <v>83.075000000000003</v>
      </c>
      <c r="CO50">
        <f>83.506</f>
        <v>83.506</v>
      </c>
      <c r="CP50">
        <f>82.745</f>
        <v>82.745000000000005</v>
      </c>
      <c r="CQ50">
        <f>84.653</f>
        <v>84.653000000000006</v>
      </c>
      <c r="CR50">
        <f>82.79</f>
        <v>82.79</v>
      </c>
      <c r="CS50">
        <f>81.581</f>
        <v>81.581000000000003</v>
      </c>
      <c r="CT50">
        <f>81.826</f>
        <v>81.825999999999993</v>
      </c>
      <c r="CU50">
        <f>83.385</f>
        <v>83.385000000000005</v>
      </c>
      <c r="CV50">
        <f>88.884</f>
        <v>88.884</v>
      </c>
      <c r="CW50">
        <f>86.465</f>
        <v>86.465000000000003</v>
      </c>
      <c r="CX50">
        <f>85.481</f>
        <v>85.480999999999995</v>
      </c>
      <c r="CY50">
        <f>88.981</f>
        <v>88.980999999999995</v>
      </c>
      <c r="CZ50">
        <f>88.111</f>
        <v>88.111000000000004</v>
      </c>
      <c r="DA50">
        <f>92.087</f>
        <v>92.087000000000003</v>
      </c>
      <c r="DB50">
        <f>92.73</f>
        <v>92.73</v>
      </c>
      <c r="DC50">
        <f>96.144</f>
        <v>96.144000000000005</v>
      </c>
      <c r="DD50">
        <f>99.716</f>
        <v>99.715999999999994</v>
      </c>
      <c r="DE50">
        <f>91.956</f>
        <v>91.956000000000003</v>
      </c>
      <c r="DF50">
        <f>102.667</f>
        <v>102.667</v>
      </c>
      <c r="DG50">
        <f>104.396</f>
        <v>104.396</v>
      </c>
      <c r="DH50">
        <f>92.177</f>
        <v>92.177000000000007</v>
      </c>
      <c r="DI50">
        <f>90.071</f>
        <v>90.070999999999998</v>
      </c>
      <c r="DJ50">
        <f>84.522</f>
        <v>84.522000000000006</v>
      </c>
      <c r="DK50">
        <f>59.096</f>
        <v>59.095999999999997</v>
      </c>
      <c r="DL50">
        <f>55.59</f>
        <v>55.59</v>
      </c>
      <c r="DM50">
        <f>55.4</f>
        <v>55.4</v>
      </c>
      <c r="DN50">
        <f>53.774</f>
        <v>53.774000000000001</v>
      </c>
      <c r="DO50">
        <f>57.566</f>
        <v>57.566000000000003</v>
      </c>
      <c r="DP50">
        <f>46.602</f>
        <v>46.601999999999997</v>
      </c>
      <c r="DQ50">
        <f>45.474</f>
        <v>45.473999999999997</v>
      </c>
      <c r="DR50">
        <f>42.542</f>
        <v>42.542000000000002</v>
      </c>
      <c r="DS50" t="str">
        <f>""</f>
        <v/>
      </c>
      <c r="DT50">
        <f>46.915</f>
        <v>46.914999999999999</v>
      </c>
      <c r="DU50">
        <f>47.22</f>
        <v>47.22</v>
      </c>
    </row>
    <row r="51" spans="1:125">
      <c r="A51" t="str">
        <f>"    Columbia Property Trust Inc"</f>
        <v xml:space="preserve">    Columbia Property Trust Inc</v>
      </c>
      <c r="B51" t="str">
        <f>"CXP US Equity"</f>
        <v>CXP US Equity</v>
      </c>
      <c r="C51" t="str">
        <f t="shared" si="12"/>
        <v>RR502</v>
      </c>
      <c r="D51" t="str">
        <f t="shared" si="13"/>
        <v>NET_OPER_INCOME</v>
      </c>
      <c r="E51" t="str">
        <f t="shared" si="14"/>
        <v>动态</v>
      </c>
      <c r="F51" t="str">
        <f ca="1">IF(AND(ISNUMBER($F$368),$B$294=1),$F$368,HLOOKUP(INDIRECT(ADDRESS(2,COLUMN())),OFFSET($BN$2,0,0,ROW()-1,60),ROW()-1,FALSE))</f>
        <v/>
      </c>
      <c r="G51">
        <f ca="1">IF(AND(ISNUMBER($G$368),$B$294=1),$G$368,HLOOKUP(INDIRECT(ADDRESS(2,COLUMN())),OFFSET($BN$2,0,0,ROW()-1,60),ROW()-1,FALSE))</f>
        <v>45.720999999999997</v>
      </c>
      <c r="H51">
        <f ca="1">IF(AND(ISNUMBER($H$368),$B$294=1),$H$368,HLOOKUP(INDIRECT(ADDRESS(2,COLUMN())),OFFSET($BN$2,0,0,ROW()-1,60),ROW()-1,FALSE))</f>
        <v>41.606999999999999</v>
      </c>
      <c r="I51">
        <f ca="1">IF(AND(ISNUMBER($I$368),$B$294=1),$I$368,HLOOKUP(INDIRECT(ADDRESS(2,COLUMN())),OFFSET($BN$2,0,0,ROW()-1,60),ROW()-1,FALSE))</f>
        <v>52.756999999999998</v>
      </c>
      <c r="J51">
        <f ca="1">IF(AND(ISNUMBER($J$368),$B$294=1),$J$368,HLOOKUP(INDIRECT(ADDRESS(2,COLUMN())),OFFSET($BN$2,0,0,ROW()-1,60),ROW()-1,FALSE))</f>
        <v>54.366999999999997</v>
      </c>
      <c r="K51">
        <f ca="1">IF(AND(ISNUMBER($K$368),$B$294=1),$K$368,HLOOKUP(INDIRECT(ADDRESS(2,COLUMN())),OFFSET($BN$2,0,0,ROW()-1,60),ROW()-1,FALSE))</f>
        <v>61.573999999999998</v>
      </c>
      <c r="L51">
        <f ca="1">IF(AND(ISNUMBER($L$368),$B$294=1),$L$368,HLOOKUP(INDIRECT(ADDRESS(2,COLUMN())),OFFSET($BN$2,0,0,ROW()-1,60),ROW()-1,FALSE))</f>
        <v>62.561999999999998</v>
      </c>
      <c r="M51">
        <f ca="1">IF(AND(ISNUMBER($M$368),$B$294=1),$M$368,HLOOKUP(INDIRECT(ADDRESS(2,COLUMN())),OFFSET($BN$2,0,0,ROW()-1,60),ROW()-1,FALSE))</f>
        <v>75.757999999999996</v>
      </c>
      <c r="N51">
        <f ca="1">IF(AND(ISNUMBER($N$368),$B$294=1),$N$368,HLOOKUP(INDIRECT(ADDRESS(2,COLUMN())),OFFSET($BN$2,0,0,ROW()-1,60),ROW()-1,FALSE))</f>
        <v>75.918999999999997</v>
      </c>
      <c r="O51">
        <f ca="1">IF(AND(ISNUMBER($O$368),$B$294=1),$O$368,HLOOKUP(INDIRECT(ADDRESS(2,COLUMN())),OFFSET($BN$2,0,0,ROW()-1,60),ROW()-1,FALSE))</f>
        <v>78.575000000000003</v>
      </c>
      <c r="P51">
        <f ca="1">IF(AND(ISNUMBER($P$368),$B$294=1),$P$368,HLOOKUP(INDIRECT(ADDRESS(2,COLUMN())),OFFSET($BN$2,0,0,ROW()-1,60),ROW()-1,FALSE))</f>
        <v>76.757000000000005</v>
      </c>
      <c r="Q51">
        <f ca="1">IF(AND(ISNUMBER($Q$368),$B$294=1),$Q$368,HLOOKUP(INDIRECT(ADDRESS(2,COLUMN())),OFFSET($BN$2,0,0,ROW()-1,60),ROW()-1,FALSE))</f>
        <v>87.427000000000007</v>
      </c>
      <c r="R51">
        <f ca="1">IF(AND(ISNUMBER($R$368),$B$294=1),$R$368,HLOOKUP(INDIRECT(ADDRESS(2,COLUMN())),OFFSET($BN$2,0,0,ROW()-1,60),ROW()-1,FALSE))</f>
        <v>85.813000000000002</v>
      </c>
      <c r="S51">
        <f ca="1">IF(AND(ISNUMBER($S$368),$B$294=1),$S$368,HLOOKUP(INDIRECT(ADDRESS(2,COLUMN())),OFFSET($BN$2,0,0,ROW()-1,60),ROW()-1,FALSE))</f>
        <v>81.959000000000003</v>
      </c>
      <c r="T51">
        <f ca="1">IF(AND(ISNUMBER($T$368),$B$294=1),$T$368,HLOOKUP(INDIRECT(ADDRESS(2,COLUMN())),OFFSET($BN$2,0,0,ROW()-1,60),ROW()-1,FALSE))</f>
        <v>75.388000000000005</v>
      </c>
      <c r="U51">
        <f ca="1">IF(AND(ISNUMBER($U$368),$B$294=1),$U$368,HLOOKUP(INDIRECT(ADDRESS(2,COLUMN())),OFFSET($BN$2,0,0,ROW()-1,60),ROW()-1,FALSE))</f>
        <v>86.055999999999997</v>
      </c>
      <c r="V51">
        <f ca="1">IF(AND(ISNUMBER($V$368),$B$294=1),$V$368,HLOOKUP(INDIRECT(ADDRESS(2,COLUMN())),OFFSET($BN$2,0,0,ROW()-1,60),ROW()-1,FALSE))</f>
        <v>81.697000000000003</v>
      </c>
      <c r="W51">
        <f ca="1">IF(AND(ISNUMBER($W$368),$B$294=1),$W$368,HLOOKUP(INDIRECT(ADDRESS(2,COLUMN())),OFFSET($BN$2,0,0,ROW()-1,60),ROW()-1,FALSE))</f>
        <v>82.956999999999994</v>
      </c>
      <c r="X51">
        <f ca="1">IF(AND(ISNUMBER($X$368),$B$294=1),$X$368,HLOOKUP(INDIRECT(ADDRESS(2,COLUMN())),OFFSET($BN$2,0,0,ROW()-1,60),ROW()-1,FALSE))</f>
        <v>80.242999999999995</v>
      </c>
      <c r="Y51">
        <f ca="1">IF(AND(ISNUMBER($Y$368),$B$294=1),$Y$368,HLOOKUP(INDIRECT(ADDRESS(2,COLUMN())),OFFSET($BN$2,0,0,ROW()-1,60),ROW()-1,FALSE))</f>
        <v>82.915999999999997</v>
      </c>
      <c r="Z51">
        <f ca="1">IF(AND(ISNUMBER($Z$368),$B$294=1),$Z$368,HLOOKUP(INDIRECT(ADDRESS(2,COLUMN())),OFFSET($BN$2,0,0,ROW()-1,60),ROW()-1,FALSE))</f>
        <v>76.686999999999998</v>
      </c>
      <c r="AA51">
        <f ca="1">IF(AND(ISNUMBER($AA$368),$B$294=1),$AA$368,HLOOKUP(INDIRECT(ADDRESS(2,COLUMN())),OFFSET($BN$2,0,0,ROW()-1,60),ROW()-1,FALSE))</f>
        <v>68.566000000000003</v>
      </c>
      <c r="AB51">
        <f ca="1">IF(AND(ISNUMBER($AB$368),$B$294=1),$AB$368,HLOOKUP(INDIRECT(ADDRESS(2,COLUMN())),OFFSET($BN$2,0,0,ROW()-1,60),ROW()-1,FALSE))</f>
        <v>79.644000000000005</v>
      </c>
      <c r="AC51">
        <f ca="1">IF(AND(ISNUMBER($AC$368),$B$294=1),$AC$368,HLOOKUP(INDIRECT(ADDRESS(2,COLUMN())),OFFSET($BN$2,0,0,ROW()-1,60),ROW()-1,FALSE))</f>
        <v>80.167000000000002</v>
      </c>
      <c r="AD51">
        <f ca="1">IF(AND(ISNUMBER($AD$368),$B$294=1),$AD$368,HLOOKUP(INDIRECT(ADDRESS(2,COLUMN())),OFFSET($BN$2,0,0,ROW()-1,60),ROW()-1,FALSE))</f>
        <v>82.108999999999995</v>
      </c>
      <c r="AE51">
        <f ca="1">IF(AND(ISNUMBER($AE$368),$B$294=1),$AE$368,HLOOKUP(INDIRECT(ADDRESS(2,COLUMN())),OFFSET($BN$2,0,0,ROW()-1,60),ROW()-1,FALSE))</f>
        <v>68.94</v>
      </c>
      <c r="AF51">
        <f ca="1">IF(AND(ISNUMBER($AF$368),$B$294=1),$AF$368,HLOOKUP(INDIRECT(ADDRESS(2,COLUMN())),OFFSET($BN$2,0,0,ROW()-1,60),ROW()-1,FALSE))</f>
        <v>90.929000000000002</v>
      </c>
      <c r="AG51">
        <f ca="1">IF(AND(ISNUMBER($AG$368),$B$294=1),$AG$368,HLOOKUP(INDIRECT(ADDRESS(2,COLUMN())),OFFSET($BN$2,0,0,ROW()-1,60),ROW()-1,FALSE))</f>
        <v>89.299000000000007</v>
      </c>
      <c r="AH51">
        <f ca="1">IF(AND(ISNUMBER($AH$368),$B$294=1),$AH$368,HLOOKUP(INDIRECT(ADDRESS(2,COLUMN())),OFFSET($BN$2,0,0,ROW()-1,60),ROW()-1,FALSE))</f>
        <v>84.444999999999993</v>
      </c>
      <c r="AI51">
        <f ca="1">IF(AND(ISNUMBER($AI$368),$B$294=1),$AI$368,HLOOKUP(INDIRECT(ADDRESS(2,COLUMN())),OFFSET($BN$2,0,0,ROW()-1,60),ROW()-1,FALSE))</f>
        <v>74.414000000000001</v>
      </c>
      <c r="AJ51">
        <f ca="1">IF(AND(ISNUMBER($AJ$368),$B$294=1),$AJ$368,HLOOKUP(INDIRECT(ADDRESS(2,COLUMN())),OFFSET($BN$2,0,0,ROW()-1,60),ROW()-1,FALSE))</f>
        <v>82.468999999999994</v>
      </c>
      <c r="AK51">
        <f ca="1">IF(AND(ISNUMBER($AK$368),$B$294=1),$AK$368,HLOOKUP(INDIRECT(ADDRESS(2,COLUMN())),OFFSET($BN$2,0,0,ROW()-1,60),ROW()-1,FALSE))</f>
        <v>79.561999999999998</v>
      </c>
      <c r="AL51">
        <f ca="1">IF(AND(ISNUMBER($AL$368),$B$294=1),$AL$368,HLOOKUP(INDIRECT(ADDRESS(2,COLUMN())),OFFSET($BN$2,0,0,ROW()-1,60),ROW()-1,FALSE))</f>
        <v>77.510000000000005</v>
      </c>
      <c r="AM51">
        <f ca="1">IF(AND(ISNUMBER($AM$368),$B$294=1),$AM$368,HLOOKUP(INDIRECT(ADDRESS(2,COLUMN())),OFFSET($BN$2,0,0,ROW()-1,60),ROW()-1,FALSE))</f>
        <v>92.465000000000003</v>
      </c>
      <c r="AN51">
        <f ca="1">IF(AND(ISNUMBER($AN$368),$B$294=1),$AN$368,HLOOKUP(INDIRECT(ADDRESS(2,COLUMN())),OFFSET($BN$2,0,0,ROW()-1,60),ROW()-1,FALSE))</f>
        <v>75.98</v>
      </c>
      <c r="AO51">
        <f ca="1">IF(AND(ISNUMBER($AO$368),$B$294=1),$AO$368,HLOOKUP(INDIRECT(ADDRESS(2,COLUMN())),OFFSET($BN$2,0,0,ROW()-1,60),ROW()-1,FALSE))</f>
        <v>77.962000000000003</v>
      </c>
      <c r="AP51">
        <f ca="1">IF(AND(ISNUMBER($AP$368),$B$294=1),$AP$368,HLOOKUP(INDIRECT(ADDRESS(2,COLUMN())),OFFSET($BN$2,0,0,ROW()-1,60),ROW()-1,FALSE))</f>
        <v>77.143000000000001</v>
      </c>
      <c r="AQ51" t="str">
        <f ca="1">IF(AND(ISNUMBER($AQ$368),$B$294=1),$AQ$368,HLOOKUP(INDIRECT(ADDRESS(2,COLUMN())),OFFSET($BN$2,0,0,ROW()-1,60),ROW()-1,FALSE))</f>
        <v/>
      </c>
      <c r="AR51" t="str">
        <f ca="1">IF(AND(ISNUMBER($AR$368),$B$294=1),$AR$368,HLOOKUP(INDIRECT(ADDRESS(2,COLUMN())),OFFSET($BN$2,0,0,ROW()-1,60),ROW()-1,FALSE))</f>
        <v/>
      </c>
      <c r="AS51" t="str">
        <f ca="1">IF(AND(ISNUMBER($AS$368),$B$294=1),$AS$368,HLOOKUP(INDIRECT(ADDRESS(2,COLUMN())),OFFSET($BN$2,0,0,ROW()-1,60),ROW()-1,FALSE))</f>
        <v/>
      </c>
      <c r="AT51" t="str">
        <f ca="1">IF(AND(ISNUMBER($AT$368),$B$294=1),$AT$368,HLOOKUP(INDIRECT(ADDRESS(2,COLUMN())),OFFSET($BN$2,0,0,ROW()-1,60),ROW()-1,FALSE))</f>
        <v/>
      </c>
      <c r="AU51" t="str">
        <f ca="1">IF(AND(ISNUMBER($AU$368),$B$294=1),$AU$368,HLOOKUP(INDIRECT(ADDRESS(2,COLUMN())),OFFSET($BN$2,0,0,ROW()-1,60),ROW()-1,FALSE))</f>
        <v/>
      </c>
      <c r="AV51" t="str">
        <f ca="1">IF(AND(ISNUMBER($AV$368),$B$294=1),$AV$368,HLOOKUP(INDIRECT(ADDRESS(2,COLUMN())),OFFSET($BN$2,0,0,ROW()-1,60),ROW()-1,FALSE))</f>
        <v/>
      </c>
      <c r="AW51" t="str">
        <f ca="1">IF(AND(ISNUMBER($AW$368),$B$294=1),$AW$368,HLOOKUP(INDIRECT(ADDRESS(2,COLUMN())),OFFSET($BN$2,0,0,ROW()-1,60),ROW()-1,FALSE))</f>
        <v/>
      </c>
      <c r="AX51" t="str">
        <f ca="1">IF(AND(ISNUMBER($AX$368),$B$294=1),$AX$368,HLOOKUP(INDIRECT(ADDRESS(2,COLUMN())),OFFSET($BN$2,0,0,ROW()-1,60),ROW()-1,FALSE))</f>
        <v/>
      </c>
      <c r="AY51" t="str">
        <f ca="1">IF(AND(ISNUMBER($AY$368),$B$294=1),$AY$368,HLOOKUP(INDIRECT(ADDRESS(2,COLUMN())),OFFSET($BN$2,0,0,ROW()-1,60),ROW()-1,FALSE))</f>
        <v/>
      </c>
      <c r="AZ51" t="str">
        <f ca="1">IF(AND(ISNUMBER($AZ$368),$B$294=1),$AZ$368,HLOOKUP(INDIRECT(ADDRESS(2,COLUMN())),OFFSET($BN$2,0,0,ROW()-1,60),ROW()-1,FALSE))</f>
        <v/>
      </c>
      <c r="BA51" t="str">
        <f ca="1">IF(AND(ISNUMBER($BA$368),$B$294=1),$BA$368,HLOOKUP(INDIRECT(ADDRESS(2,COLUMN())),OFFSET($BN$2,0,0,ROW()-1,60),ROW()-1,FALSE))</f>
        <v/>
      </c>
      <c r="BB51" t="str">
        <f ca="1">IF(AND(ISNUMBER($BB$368),$B$294=1),$BB$368,HLOOKUP(INDIRECT(ADDRESS(2,COLUMN())),OFFSET($BN$2,0,0,ROW()-1,60),ROW()-1,FALSE))</f>
        <v/>
      </c>
      <c r="BC51" t="str">
        <f ca="1">IF(AND(ISNUMBER($BC$368),$B$294=1),$BC$368,HLOOKUP(INDIRECT(ADDRESS(2,COLUMN())),OFFSET($BN$2,0,0,ROW()-1,60),ROW()-1,FALSE))</f>
        <v/>
      </c>
      <c r="BD51" t="str">
        <f ca="1">IF(AND(ISNUMBER($BD$368),$B$294=1),$BD$368,HLOOKUP(INDIRECT(ADDRESS(2,COLUMN())),OFFSET($BN$2,0,0,ROW()-1,60),ROW()-1,FALSE))</f>
        <v/>
      </c>
      <c r="BE51" t="str">
        <f ca="1">IF(AND(ISNUMBER($BE$368),$B$294=1),$BE$368,HLOOKUP(INDIRECT(ADDRESS(2,COLUMN())),OFFSET($BN$2,0,0,ROW()-1,60),ROW()-1,FALSE))</f>
        <v/>
      </c>
      <c r="BF51" t="str">
        <f ca="1">IF(AND(ISNUMBER($BF$368),$B$294=1),$BF$368,HLOOKUP(INDIRECT(ADDRESS(2,COLUMN())),OFFSET($BN$2,0,0,ROW()-1,60),ROW()-1,FALSE))</f>
        <v/>
      </c>
      <c r="BG51" t="str">
        <f ca="1">IF(AND(ISNUMBER($BG$368),$B$294=1),$BG$368,HLOOKUP(INDIRECT(ADDRESS(2,COLUMN())),OFFSET($BN$2,0,0,ROW()-1,60),ROW()-1,FALSE))</f>
        <v/>
      </c>
      <c r="BH51" t="str">
        <f ca="1">IF(AND(ISNUMBER($BH$368),$B$294=1),$BH$368,HLOOKUP(INDIRECT(ADDRESS(2,COLUMN())),OFFSET($BN$2,0,0,ROW()-1,60),ROW()-1,FALSE))</f>
        <v/>
      </c>
      <c r="BI51" t="str">
        <f ca="1">IF(AND(ISNUMBER($BI$368),$B$294=1),$BI$368,HLOOKUP(INDIRECT(ADDRESS(2,COLUMN())),OFFSET($BN$2,0,0,ROW()-1,60),ROW()-1,FALSE))</f>
        <v/>
      </c>
      <c r="BJ51" t="str">
        <f ca="1">IF(AND(ISNUMBER($BJ$368),$B$294=1),$BJ$368,HLOOKUP(INDIRECT(ADDRESS(2,COLUMN())),OFFSET($BN$2,0,0,ROW()-1,60),ROW()-1,FALSE))</f>
        <v/>
      </c>
      <c r="BK51" t="str">
        <f ca="1">IF(AND(ISNUMBER($BK$368),$B$294=1),$BK$368,HLOOKUP(INDIRECT(ADDRESS(2,COLUMN())),OFFSET($BN$2,0,0,ROW()-1,60),ROW()-1,FALSE))</f>
        <v/>
      </c>
      <c r="BL51" t="str">
        <f ca="1">IF(AND(ISNUMBER($BL$368),$B$294=1),$BL$368,HLOOKUP(INDIRECT(ADDRESS(2,COLUMN())),OFFSET($BN$2,0,0,ROW()-1,60),ROW()-1,FALSE))</f>
        <v/>
      </c>
      <c r="BM51" t="str">
        <f ca="1">IF(AND(ISNUMBER($BM$368),$B$294=1),$BM$368,HLOOKUP(INDIRECT(ADDRESS(2,COLUMN())),OFFSET($BN$2,0,0,ROW()-1,60),ROW()-1,FALSE))</f>
        <v/>
      </c>
      <c r="BN51" t="str">
        <f>""</f>
        <v/>
      </c>
      <c r="BO51">
        <f>45.721</f>
        <v>45.720999999999997</v>
      </c>
      <c r="BP51">
        <f>41.607</f>
        <v>41.606999999999999</v>
      </c>
      <c r="BQ51">
        <f>52.757</f>
        <v>52.756999999999998</v>
      </c>
      <c r="BR51">
        <f>54.367</f>
        <v>54.366999999999997</v>
      </c>
      <c r="BS51">
        <f>61.574</f>
        <v>61.573999999999998</v>
      </c>
      <c r="BT51">
        <f>62.562</f>
        <v>62.561999999999998</v>
      </c>
      <c r="BU51">
        <f>75.758</f>
        <v>75.757999999999996</v>
      </c>
      <c r="BV51">
        <f>75.919</f>
        <v>75.918999999999997</v>
      </c>
      <c r="BW51">
        <f>78.575</f>
        <v>78.575000000000003</v>
      </c>
      <c r="BX51">
        <f>76.757</f>
        <v>76.757000000000005</v>
      </c>
      <c r="BY51">
        <f>87.427</f>
        <v>87.427000000000007</v>
      </c>
      <c r="BZ51">
        <f>85.813</f>
        <v>85.813000000000002</v>
      </c>
      <c r="CA51">
        <f>81.959</f>
        <v>81.959000000000003</v>
      </c>
      <c r="CB51">
        <f>75.388</f>
        <v>75.388000000000005</v>
      </c>
      <c r="CC51">
        <f>86.056</f>
        <v>86.055999999999997</v>
      </c>
      <c r="CD51">
        <f>81.697</f>
        <v>81.697000000000003</v>
      </c>
      <c r="CE51">
        <f>82.957</f>
        <v>82.956999999999994</v>
      </c>
      <c r="CF51">
        <f>80.243</f>
        <v>80.242999999999995</v>
      </c>
      <c r="CG51">
        <f>82.916</f>
        <v>82.915999999999997</v>
      </c>
      <c r="CH51">
        <f>76.687</f>
        <v>76.686999999999998</v>
      </c>
      <c r="CI51">
        <f>68.566</f>
        <v>68.566000000000003</v>
      </c>
      <c r="CJ51">
        <f>79.644</f>
        <v>79.644000000000005</v>
      </c>
      <c r="CK51">
        <f>80.167</f>
        <v>80.167000000000002</v>
      </c>
      <c r="CL51">
        <f>82.109</f>
        <v>82.108999999999995</v>
      </c>
      <c r="CM51">
        <f>68.94</f>
        <v>68.94</v>
      </c>
      <c r="CN51">
        <f>90.929</f>
        <v>90.929000000000002</v>
      </c>
      <c r="CO51">
        <f>89.299</f>
        <v>89.299000000000007</v>
      </c>
      <c r="CP51">
        <f>84.445</f>
        <v>84.444999999999993</v>
      </c>
      <c r="CQ51">
        <f>74.414</f>
        <v>74.414000000000001</v>
      </c>
      <c r="CR51">
        <f>82.469</f>
        <v>82.468999999999994</v>
      </c>
      <c r="CS51">
        <f>79.562</f>
        <v>79.561999999999998</v>
      </c>
      <c r="CT51">
        <f>77.51</f>
        <v>77.510000000000005</v>
      </c>
      <c r="CU51">
        <f>92.465</f>
        <v>92.465000000000003</v>
      </c>
      <c r="CV51">
        <f>75.98</f>
        <v>75.98</v>
      </c>
      <c r="CW51">
        <f>77.962</f>
        <v>77.962000000000003</v>
      </c>
      <c r="CX51">
        <f>77.143</f>
        <v>77.143000000000001</v>
      </c>
      <c r="CY51" t="str">
        <f>""</f>
        <v/>
      </c>
      <c r="CZ51" t="str">
        <f>""</f>
        <v/>
      </c>
      <c r="DA51" t="str">
        <f>""</f>
        <v/>
      </c>
      <c r="DB51" t="str">
        <f>""</f>
        <v/>
      </c>
      <c r="DC51" t="str">
        <f>""</f>
        <v/>
      </c>
      <c r="DD51" t="str">
        <f>""</f>
        <v/>
      </c>
      <c r="DE51" t="str">
        <f>""</f>
        <v/>
      </c>
      <c r="DF51" t="str">
        <f>""</f>
        <v/>
      </c>
      <c r="DG51" t="str">
        <f>""</f>
        <v/>
      </c>
      <c r="DH51" t="str">
        <f>""</f>
        <v/>
      </c>
      <c r="DI51" t="str">
        <f>""</f>
        <v/>
      </c>
      <c r="DJ51" t="str">
        <f>""</f>
        <v/>
      </c>
      <c r="DK51" t="str">
        <f>""</f>
        <v/>
      </c>
      <c r="DL51" t="str">
        <f>""</f>
        <v/>
      </c>
      <c r="DM51" t="str">
        <f>""</f>
        <v/>
      </c>
      <c r="DN51" t="str">
        <f>""</f>
        <v/>
      </c>
      <c r="DO51" t="str">
        <f>""</f>
        <v/>
      </c>
      <c r="DP51" t="str">
        <f>""</f>
        <v/>
      </c>
      <c r="DQ51" t="str">
        <f>""</f>
        <v/>
      </c>
      <c r="DR51" t="str">
        <f>""</f>
        <v/>
      </c>
      <c r="DS51" t="str">
        <f>""</f>
        <v/>
      </c>
      <c r="DT51" t="str">
        <f>""</f>
        <v/>
      </c>
      <c r="DU51" t="str">
        <f>""</f>
        <v/>
      </c>
    </row>
    <row r="52" spans="1:125">
      <c r="A52" t="str">
        <f>"    Corporate Office Properties Tr"</f>
        <v xml:space="preserve">    Corporate Office Properties Tr</v>
      </c>
      <c r="B52" t="str">
        <f>"OFC US Equity"</f>
        <v>OFC US Equity</v>
      </c>
      <c r="C52" t="str">
        <f t="shared" si="12"/>
        <v>RR502</v>
      </c>
      <c r="D52" t="str">
        <f t="shared" si="13"/>
        <v>NET_OPER_INCOME</v>
      </c>
      <c r="E52" t="str">
        <f t="shared" si="14"/>
        <v>动态</v>
      </c>
      <c r="F52" t="str">
        <f ca="1">IF(AND(ISNUMBER($F$369),$B$294=1),$F$369,HLOOKUP(INDIRECT(ADDRESS(2,COLUMN())),OFFSET($BN$2,0,0,ROW()-1,60),ROW()-1,FALSE))</f>
        <v/>
      </c>
      <c r="G52">
        <f ca="1">IF(AND(ISNUMBER($G$369),$B$294=1),$G$369,HLOOKUP(INDIRECT(ADDRESS(2,COLUMN())),OFFSET($BN$2,0,0,ROW()-1,60),ROW()-1,FALSE))</f>
        <v>80.236000000000004</v>
      </c>
      <c r="H52">
        <f ca="1">IF(AND(ISNUMBER($H$369),$B$294=1),$H$369,HLOOKUP(INDIRECT(ADDRESS(2,COLUMN())),OFFSET($BN$2,0,0,ROW()-1,60),ROW()-1,FALSE))</f>
        <v>80.863</v>
      </c>
      <c r="I52">
        <f ca="1">IF(AND(ISNUMBER($I$369),$B$294=1),$I$369,HLOOKUP(INDIRECT(ADDRESS(2,COLUMN())),OFFSET($BN$2,0,0,ROW()-1,60),ROW()-1,FALSE))</f>
        <v>79.668999999999997</v>
      </c>
      <c r="J52">
        <f ca="1">IF(AND(ISNUMBER($J$369),$B$294=1),$J$369,HLOOKUP(INDIRECT(ADDRESS(2,COLUMN())),OFFSET($BN$2,0,0,ROW()-1,60),ROW()-1,FALSE))</f>
        <v>78.248000000000005</v>
      </c>
      <c r="K52">
        <f ca="1">IF(AND(ISNUMBER($K$369),$B$294=1),$K$369,HLOOKUP(INDIRECT(ADDRESS(2,COLUMN())),OFFSET($BN$2,0,0,ROW()-1,60),ROW()-1,FALSE))</f>
        <v>80.436999999999998</v>
      </c>
      <c r="L52">
        <f ca="1">IF(AND(ISNUMBER($L$369),$B$294=1),$L$369,HLOOKUP(INDIRECT(ADDRESS(2,COLUMN())),OFFSET($BN$2,0,0,ROW()-1,60),ROW()-1,FALSE))</f>
        <v>81.001999999999995</v>
      </c>
      <c r="M52">
        <f ca="1">IF(AND(ISNUMBER($M$369),$B$294=1),$M$369,HLOOKUP(INDIRECT(ADDRESS(2,COLUMN())),OFFSET($BN$2,0,0,ROW()-1,60),ROW()-1,FALSE))</f>
        <v>85.783000000000001</v>
      </c>
      <c r="N52">
        <f ca="1">IF(AND(ISNUMBER($N$369),$B$294=1),$N$369,HLOOKUP(INDIRECT(ADDRESS(2,COLUMN())),OFFSET($BN$2,0,0,ROW()-1,60),ROW()-1,FALSE))</f>
        <v>81.212000000000003</v>
      </c>
      <c r="O52">
        <f ca="1">IF(AND(ISNUMBER($O$369),$B$294=1),$O$369,HLOOKUP(INDIRECT(ADDRESS(2,COLUMN())),OFFSET($BN$2,0,0,ROW()-1,60),ROW()-1,FALSE))</f>
        <v>85.978999999999999</v>
      </c>
      <c r="P52">
        <f ca="1">IF(AND(ISNUMBER($P$369),$B$294=1),$P$369,HLOOKUP(INDIRECT(ADDRESS(2,COLUMN())),OFFSET($BN$2,0,0,ROW()-1,60),ROW()-1,FALSE))</f>
        <v>84.789000000000001</v>
      </c>
      <c r="Q52">
        <f ca="1">IF(AND(ISNUMBER($Q$369),$B$294=1),$Q$369,HLOOKUP(INDIRECT(ADDRESS(2,COLUMN())),OFFSET($BN$2,0,0,ROW()-1,60),ROW()-1,FALSE))</f>
        <v>81.772999999999996</v>
      </c>
      <c r="R52">
        <f ca="1">IF(AND(ISNUMBER($R$369),$B$294=1),$R$369,HLOOKUP(INDIRECT(ADDRESS(2,COLUMN())),OFFSET($BN$2,0,0,ROW()-1,60),ROW()-1,FALSE))</f>
        <v>72.028999999999996</v>
      </c>
      <c r="S52">
        <f ca="1">IF(AND(ISNUMBER($S$369),$B$294=1),$S$369,HLOOKUP(INDIRECT(ADDRESS(2,COLUMN())),OFFSET($BN$2,0,0,ROW()-1,60),ROW()-1,FALSE))</f>
        <v>77.278999999999996</v>
      </c>
      <c r="T52">
        <f ca="1">IF(AND(ISNUMBER($T$369),$B$294=1),$T$369,HLOOKUP(INDIRECT(ADDRESS(2,COLUMN())),OFFSET($BN$2,0,0,ROW()-1,60),ROW()-1,FALSE))</f>
        <v>75.22</v>
      </c>
      <c r="U52">
        <f ca="1">IF(AND(ISNUMBER($U$369),$B$294=1),$U$369,HLOOKUP(INDIRECT(ADDRESS(2,COLUMN())),OFFSET($BN$2,0,0,ROW()-1,60),ROW()-1,FALSE))</f>
        <v>72.186999999999998</v>
      </c>
      <c r="V52">
        <f ca="1">IF(AND(ISNUMBER($V$369),$B$294=1),$V$369,HLOOKUP(INDIRECT(ADDRESS(2,COLUMN())),OFFSET($BN$2,0,0,ROW()-1,60),ROW()-1,FALSE))</f>
        <v>75.105000000000004</v>
      </c>
      <c r="W52">
        <f ca="1">IF(AND(ISNUMBER($W$369),$B$294=1),$W$369,HLOOKUP(INDIRECT(ADDRESS(2,COLUMN())),OFFSET($BN$2,0,0,ROW()-1,60),ROW()-1,FALSE))</f>
        <v>74.37</v>
      </c>
      <c r="X52">
        <f ca="1">IF(AND(ISNUMBER($X$369),$B$294=1),$X$369,HLOOKUP(INDIRECT(ADDRESS(2,COLUMN())),OFFSET($BN$2,0,0,ROW()-1,60),ROW()-1,FALSE))</f>
        <v>73.459999999999994</v>
      </c>
      <c r="Y52">
        <f ca="1">IF(AND(ISNUMBER($Y$369),$B$294=1),$Y$369,HLOOKUP(INDIRECT(ADDRESS(2,COLUMN())),OFFSET($BN$2,0,0,ROW()-1,60),ROW()-1,FALSE))</f>
        <v>74.399000000000001</v>
      </c>
      <c r="Z52">
        <f ca="1">IF(AND(ISNUMBER($Z$369),$B$294=1),$Z$369,HLOOKUP(INDIRECT(ADDRESS(2,COLUMN())),OFFSET($BN$2,0,0,ROW()-1,60),ROW()-1,FALSE))</f>
        <v>71.569000000000003</v>
      </c>
      <c r="AA52">
        <f ca="1">IF(AND(ISNUMBER($AA$369),$B$294=1),$AA$369,HLOOKUP(INDIRECT(ADDRESS(2,COLUMN())),OFFSET($BN$2,0,0,ROW()-1,60),ROW()-1,FALSE))</f>
        <v>69.927000000000007</v>
      </c>
      <c r="AB52">
        <f ca="1">IF(AND(ISNUMBER($AB$369),$B$294=1),$AB$369,HLOOKUP(INDIRECT(ADDRESS(2,COLUMN())),OFFSET($BN$2,0,0,ROW()-1,60),ROW()-1,FALSE))</f>
        <v>72.061999999999998</v>
      </c>
      <c r="AC52">
        <f ca="1">IF(AND(ISNUMBER($AC$369),$B$294=1),$AC$369,HLOOKUP(INDIRECT(ADDRESS(2,COLUMN())),OFFSET($BN$2,0,0,ROW()-1,60),ROW()-1,FALSE))</f>
        <v>71.227999999999994</v>
      </c>
      <c r="AD52">
        <f ca="1">IF(AND(ISNUMBER($AD$369),$B$294=1),$AD$369,HLOOKUP(INDIRECT(ADDRESS(2,COLUMN())),OFFSET($BN$2,0,0,ROW()-1,60),ROW()-1,FALSE))</f>
        <v>69.408000000000001</v>
      </c>
      <c r="AE52">
        <f ca="1">IF(AND(ISNUMBER($AE$369),$B$294=1),$AE$369,HLOOKUP(INDIRECT(ADDRESS(2,COLUMN())),OFFSET($BN$2,0,0,ROW()-1,60),ROW()-1,FALSE))</f>
        <v>68.957999999999998</v>
      </c>
      <c r="AF52">
        <f ca="1">IF(AND(ISNUMBER($AF$369),$B$294=1),$AF$369,HLOOKUP(INDIRECT(ADDRESS(2,COLUMN())),OFFSET($BN$2,0,0,ROW()-1,60),ROW()-1,FALSE))</f>
        <v>66.308999999999997</v>
      </c>
      <c r="AG52">
        <f ca="1">IF(AND(ISNUMBER($AG$369),$B$294=1),$AG$369,HLOOKUP(INDIRECT(ADDRESS(2,COLUMN())),OFFSET($BN$2,0,0,ROW()-1,60),ROW()-1,FALSE))</f>
        <v>68.569000000000003</v>
      </c>
      <c r="AH52">
        <f ca="1">IF(AND(ISNUMBER($AH$369),$B$294=1),$AH$369,HLOOKUP(INDIRECT(ADDRESS(2,COLUMN())),OFFSET($BN$2,0,0,ROW()-1,60),ROW()-1,FALSE))</f>
        <v>69.400000000000006</v>
      </c>
      <c r="AI52">
        <f ca="1">IF(AND(ISNUMBER($AI$369),$B$294=1),$AI$369,HLOOKUP(INDIRECT(ADDRESS(2,COLUMN())),OFFSET($BN$2,0,0,ROW()-1,60),ROW()-1,FALSE))</f>
        <v>71.822999999999993</v>
      </c>
      <c r="AJ52">
        <f ca="1">IF(AND(ISNUMBER($AJ$369),$B$294=1),$AJ$369,HLOOKUP(INDIRECT(ADDRESS(2,COLUMN())),OFFSET($BN$2,0,0,ROW()-1,60),ROW()-1,FALSE))</f>
        <v>68.061000000000007</v>
      </c>
      <c r="AK52">
        <f ca="1">IF(AND(ISNUMBER($AK$369),$B$294=1),$AK$369,HLOOKUP(INDIRECT(ADDRESS(2,COLUMN())),OFFSET($BN$2,0,0,ROW()-1,60),ROW()-1,FALSE))</f>
        <v>67.468999999999994</v>
      </c>
      <c r="AL52">
        <f ca="1">IF(AND(ISNUMBER($AL$369),$B$294=1),$AL$369,HLOOKUP(INDIRECT(ADDRESS(2,COLUMN())),OFFSET($BN$2,0,0,ROW()-1,60),ROW()-1,FALSE))</f>
        <v>64.093000000000004</v>
      </c>
      <c r="AM52">
        <f ca="1">IF(AND(ISNUMBER($AM$369),$B$294=1),$AM$369,HLOOKUP(INDIRECT(ADDRESS(2,COLUMN())),OFFSET($BN$2,0,0,ROW()-1,60),ROW()-1,FALSE))</f>
        <v>66.17</v>
      </c>
      <c r="AN52">
        <f ca="1">IF(AND(ISNUMBER($AN$369),$B$294=1),$AN$369,HLOOKUP(INDIRECT(ADDRESS(2,COLUMN())),OFFSET($BN$2,0,0,ROW()-1,60),ROW()-1,FALSE))</f>
        <v>65.608999999999995</v>
      </c>
      <c r="AO52">
        <f ca="1">IF(AND(ISNUMBER($AO$369),$B$294=1),$AO$369,HLOOKUP(INDIRECT(ADDRESS(2,COLUMN())),OFFSET($BN$2,0,0,ROW()-1,60),ROW()-1,FALSE))</f>
        <v>67.906999999999996</v>
      </c>
      <c r="AP52">
        <f ca="1">IF(AND(ISNUMBER($AP$369),$B$294=1),$AP$369,HLOOKUP(INDIRECT(ADDRESS(2,COLUMN())),OFFSET($BN$2,0,0,ROW()-1,60),ROW()-1,FALSE))</f>
        <v>67.144000000000005</v>
      </c>
      <c r="AQ52">
        <f ca="1">IF(AND(ISNUMBER($AQ$369),$B$294=1),$AQ$369,HLOOKUP(INDIRECT(ADDRESS(2,COLUMN())),OFFSET($BN$2,0,0,ROW()-1,60),ROW()-1,FALSE))</f>
        <v>66.194999999999993</v>
      </c>
      <c r="AR52">
        <f ca="1">IF(AND(ISNUMBER($AR$369),$B$294=1),$AR$369,HLOOKUP(INDIRECT(ADDRESS(2,COLUMN())),OFFSET($BN$2,0,0,ROW()-1,60),ROW()-1,FALSE))</f>
        <v>65.231999999999999</v>
      </c>
      <c r="AS52">
        <f ca="1">IF(AND(ISNUMBER($AS$369),$B$294=1),$AS$369,HLOOKUP(INDIRECT(ADDRESS(2,COLUMN())),OFFSET($BN$2,0,0,ROW()-1,60),ROW()-1,FALSE))</f>
        <v>63.988999999999997</v>
      </c>
      <c r="AT52">
        <f ca="1">IF(AND(ISNUMBER($AT$369),$B$294=1),$AT$369,HLOOKUP(INDIRECT(ADDRESS(2,COLUMN())),OFFSET($BN$2,0,0,ROW()-1,60),ROW()-1,FALSE))</f>
        <v>62.46</v>
      </c>
      <c r="AU52">
        <f ca="1">IF(AND(ISNUMBER($AU$369),$B$294=1),$AU$369,HLOOKUP(INDIRECT(ADDRESS(2,COLUMN())),OFFSET($BN$2,0,0,ROW()-1,60),ROW()-1,FALSE))</f>
        <v>60.966000000000001</v>
      </c>
      <c r="AV52">
        <f ca="1">IF(AND(ISNUMBER($AV$369),$B$294=1),$AV$369,HLOOKUP(INDIRECT(ADDRESS(2,COLUMN())),OFFSET($BN$2,0,0,ROW()-1,60),ROW()-1,FALSE))</f>
        <v>62.921999999999997</v>
      </c>
      <c r="AW52">
        <f ca="1">IF(AND(ISNUMBER($AW$369),$B$294=1),$AW$369,HLOOKUP(INDIRECT(ADDRESS(2,COLUMN())),OFFSET($BN$2,0,0,ROW()-1,60),ROW()-1,FALSE))</f>
        <v>61.341999999999999</v>
      </c>
      <c r="AX52">
        <f ca="1">IF(AND(ISNUMBER($AX$369),$B$294=1),$AX$369,HLOOKUP(INDIRECT(ADDRESS(2,COLUMN())),OFFSET($BN$2,0,0,ROW()-1,60),ROW()-1,FALSE))</f>
        <v>57.426000000000002</v>
      </c>
      <c r="AY52">
        <f ca="1">IF(AND(ISNUMBER($AY$369),$B$294=1),$AY$369,HLOOKUP(INDIRECT(ADDRESS(2,COLUMN())),OFFSET($BN$2,0,0,ROW()-1,60),ROW()-1,FALSE))</f>
        <v>51.494999999999997</v>
      </c>
      <c r="AZ52">
        <f ca="1">IF(AND(ISNUMBER($AZ$369),$B$294=1),$AZ$369,HLOOKUP(INDIRECT(ADDRESS(2,COLUMN())),OFFSET($BN$2,0,0,ROW()-1,60),ROW()-1,FALSE))</f>
        <v>51.886000000000003</v>
      </c>
      <c r="BA52">
        <f ca="1">IF(AND(ISNUMBER($BA$369),$B$294=1),$BA$369,HLOOKUP(INDIRECT(ADDRESS(2,COLUMN())),OFFSET($BN$2,0,0,ROW()-1,60),ROW()-1,FALSE))</f>
        <v>49.128999999999998</v>
      </c>
      <c r="BB52">
        <f ca="1">IF(AND(ISNUMBER($BB$369),$B$294=1),$BB$369,HLOOKUP(INDIRECT(ADDRESS(2,COLUMN())),OFFSET($BN$2,0,0,ROW()-1,60),ROW()-1,FALSE))</f>
        <v>48.161000000000001</v>
      </c>
      <c r="BC52">
        <f ca="1">IF(AND(ISNUMBER($BC$369),$B$294=1),$BC$369,HLOOKUP(INDIRECT(ADDRESS(2,COLUMN())),OFFSET($BN$2,0,0,ROW()-1,60),ROW()-1,FALSE))</f>
        <v>44.451999999999998</v>
      </c>
      <c r="BD52">
        <f ca="1">IF(AND(ISNUMBER($BD$369),$B$294=1),$BD$369,HLOOKUP(INDIRECT(ADDRESS(2,COLUMN())),OFFSET($BN$2,0,0,ROW()-1,60),ROW()-1,FALSE))</f>
        <v>42.735999999999997</v>
      </c>
      <c r="BE52">
        <f ca="1">IF(AND(ISNUMBER($BE$369),$B$294=1),$BE$369,HLOOKUP(INDIRECT(ADDRESS(2,COLUMN())),OFFSET($BN$2,0,0,ROW()-1,60),ROW()-1,FALSE))</f>
        <v>41.872999999999998</v>
      </c>
      <c r="BF52">
        <f ca="1">IF(AND(ISNUMBER($BF$369),$B$294=1),$BF$369,HLOOKUP(INDIRECT(ADDRESS(2,COLUMN())),OFFSET($BN$2,0,0,ROW()-1,60),ROW()-1,FALSE))</f>
        <v>40.759</v>
      </c>
      <c r="BG52">
        <f ca="1">IF(AND(ISNUMBER($BG$369),$B$294=1),$BG$369,HLOOKUP(INDIRECT(ADDRESS(2,COLUMN())),OFFSET($BN$2,0,0,ROW()-1,60),ROW()-1,FALSE))</f>
        <v>40.415999999999997</v>
      </c>
      <c r="BH52">
        <f ca="1">IF(AND(ISNUMBER($BH$369),$B$294=1),$BH$369,HLOOKUP(INDIRECT(ADDRESS(2,COLUMN())),OFFSET($BN$2,0,0,ROW()-1,60),ROW()-1,FALSE))</f>
        <v>36.487000000000002</v>
      </c>
      <c r="BI52">
        <f ca="1">IF(AND(ISNUMBER($BI$369),$B$294=1),$BI$369,HLOOKUP(INDIRECT(ADDRESS(2,COLUMN())),OFFSET($BN$2,0,0,ROW()-1,60),ROW()-1,FALSE))</f>
        <v>39.244999999999997</v>
      </c>
      <c r="BJ52">
        <f ca="1">IF(AND(ISNUMBER($BJ$369),$B$294=1),$BJ$369,HLOOKUP(INDIRECT(ADDRESS(2,COLUMN())),OFFSET($BN$2,0,0,ROW()-1,60),ROW()-1,FALSE))</f>
        <v>33.932000000000002</v>
      </c>
      <c r="BK52">
        <f ca="1">IF(AND(ISNUMBER($BK$369),$B$294=1),$BK$369,HLOOKUP(INDIRECT(ADDRESS(2,COLUMN())),OFFSET($BN$2,0,0,ROW()-1,60),ROW()-1,FALSE))</f>
        <v>32.709998130000002</v>
      </c>
      <c r="BL52">
        <f ca="1">IF(AND(ISNUMBER($BL$369),$B$294=1),$BL$369,HLOOKUP(INDIRECT(ADDRESS(2,COLUMN())),OFFSET($BN$2,0,0,ROW()-1,60),ROW()-1,FALSE))</f>
        <v>32.372999999999998</v>
      </c>
      <c r="BM52">
        <f ca="1">IF(AND(ISNUMBER($BM$369),$B$294=1),$BM$369,HLOOKUP(INDIRECT(ADDRESS(2,COLUMN())),OFFSET($BN$2,0,0,ROW()-1,60),ROW()-1,FALSE))</f>
        <v>29.777000000000001</v>
      </c>
      <c r="BN52" t="str">
        <f>""</f>
        <v/>
      </c>
      <c r="BO52">
        <f>80.236</f>
        <v>80.236000000000004</v>
      </c>
      <c r="BP52">
        <f>80.863</f>
        <v>80.863</v>
      </c>
      <c r="BQ52">
        <f>79.669</f>
        <v>79.668999999999997</v>
      </c>
      <c r="BR52">
        <f>78.248</f>
        <v>78.248000000000005</v>
      </c>
      <c r="BS52">
        <f>80.437</f>
        <v>80.436999999999998</v>
      </c>
      <c r="BT52">
        <f>81.002</f>
        <v>81.001999999999995</v>
      </c>
      <c r="BU52">
        <f>85.783</f>
        <v>85.783000000000001</v>
      </c>
      <c r="BV52">
        <f>81.212</f>
        <v>81.212000000000003</v>
      </c>
      <c r="BW52">
        <f>85.979</f>
        <v>85.978999999999999</v>
      </c>
      <c r="BX52">
        <f>84.789</f>
        <v>84.789000000000001</v>
      </c>
      <c r="BY52">
        <f>81.773</f>
        <v>81.772999999999996</v>
      </c>
      <c r="BZ52">
        <f>72.029</f>
        <v>72.028999999999996</v>
      </c>
      <c r="CA52">
        <f>77.279</f>
        <v>77.278999999999996</v>
      </c>
      <c r="CB52">
        <f>75.22</f>
        <v>75.22</v>
      </c>
      <c r="CC52">
        <f>72.187</f>
        <v>72.186999999999998</v>
      </c>
      <c r="CD52">
        <f>75.105</f>
        <v>75.105000000000004</v>
      </c>
      <c r="CE52">
        <f>74.37</f>
        <v>74.37</v>
      </c>
      <c r="CF52">
        <f>73.46</f>
        <v>73.459999999999994</v>
      </c>
      <c r="CG52">
        <f>74.399</f>
        <v>74.399000000000001</v>
      </c>
      <c r="CH52">
        <f>71.569</f>
        <v>71.569000000000003</v>
      </c>
      <c r="CI52">
        <f>69.927</f>
        <v>69.927000000000007</v>
      </c>
      <c r="CJ52">
        <f>72.062</f>
        <v>72.061999999999998</v>
      </c>
      <c r="CK52">
        <f>71.228</f>
        <v>71.227999999999994</v>
      </c>
      <c r="CL52">
        <f>69.408</f>
        <v>69.408000000000001</v>
      </c>
      <c r="CM52">
        <f>68.958</f>
        <v>68.957999999999998</v>
      </c>
      <c r="CN52">
        <f>66.309</f>
        <v>66.308999999999997</v>
      </c>
      <c r="CO52">
        <f>68.569</f>
        <v>68.569000000000003</v>
      </c>
      <c r="CP52">
        <f>69.4</f>
        <v>69.400000000000006</v>
      </c>
      <c r="CQ52">
        <f>71.823</f>
        <v>71.822999999999993</v>
      </c>
      <c r="CR52">
        <f>68.061</f>
        <v>68.061000000000007</v>
      </c>
      <c r="CS52">
        <f>67.469</f>
        <v>67.468999999999994</v>
      </c>
      <c r="CT52">
        <f>64.093</f>
        <v>64.093000000000004</v>
      </c>
      <c r="CU52">
        <f>66.17</f>
        <v>66.17</v>
      </c>
      <c r="CV52">
        <f>65.609</f>
        <v>65.608999999999995</v>
      </c>
      <c r="CW52">
        <f>67.907</f>
        <v>67.906999999999996</v>
      </c>
      <c r="CX52">
        <f>67.144</f>
        <v>67.144000000000005</v>
      </c>
      <c r="CY52">
        <f>66.195</f>
        <v>66.194999999999993</v>
      </c>
      <c r="CZ52">
        <f>65.232</f>
        <v>65.231999999999999</v>
      </c>
      <c r="DA52">
        <f>63.989</f>
        <v>63.988999999999997</v>
      </c>
      <c r="DB52">
        <f>62.46</f>
        <v>62.46</v>
      </c>
      <c r="DC52">
        <f>60.966</f>
        <v>60.966000000000001</v>
      </c>
      <c r="DD52">
        <f>62.922</f>
        <v>62.921999999999997</v>
      </c>
      <c r="DE52">
        <f>61.342</f>
        <v>61.341999999999999</v>
      </c>
      <c r="DF52">
        <f>57.426</f>
        <v>57.426000000000002</v>
      </c>
      <c r="DG52">
        <f>51.495</f>
        <v>51.494999999999997</v>
      </c>
      <c r="DH52">
        <f>51.886</f>
        <v>51.886000000000003</v>
      </c>
      <c r="DI52">
        <f>49.129</f>
        <v>49.128999999999998</v>
      </c>
      <c r="DJ52">
        <f>48.161</f>
        <v>48.161000000000001</v>
      </c>
      <c r="DK52">
        <f>44.452</f>
        <v>44.451999999999998</v>
      </c>
      <c r="DL52">
        <f>42.736</f>
        <v>42.735999999999997</v>
      </c>
      <c r="DM52">
        <f>41.873</f>
        <v>41.872999999999998</v>
      </c>
      <c r="DN52">
        <f>40.759</f>
        <v>40.759</v>
      </c>
      <c r="DO52">
        <f>40.416</f>
        <v>40.415999999999997</v>
      </c>
      <c r="DP52">
        <f>36.487</f>
        <v>36.487000000000002</v>
      </c>
      <c r="DQ52">
        <f>39.245</f>
        <v>39.244999999999997</v>
      </c>
      <c r="DR52">
        <f>33.932</f>
        <v>33.932000000000002</v>
      </c>
      <c r="DS52">
        <f>32.70999813</f>
        <v>32.709998130000002</v>
      </c>
      <c r="DT52">
        <f>32.373</f>
        <v>32.372999999999998</v>
      </c>
      <c r="DU52">
        <f>29.777</f>
        <v>29.777000000000001</v>
      </c>
    </row>
    <row r="53" spans="1:125">
      <c r="A53" t="str">
        <f>"    Highwoods Properties Inc"</f>
        <v xml:space="preserve">    Highwoods Properties Inc</v>
      </c>
      <c r="B53" t="str">
        <f>"HIW US Equity"</f>
        <v>HIW US Equity</v>
      </c>
      <c r="C53" t="str">
        <f t="shared" si="12"/>
        <v>RR502</v>
      </c>
      <c r="D53" t="str">
        <f t="shared" si="13"/>
        <v>NET_OPER_INCOME</v>
      </c>
      <c r="E53" t="str">
        <f t="shared" si="14"/>
        <v>动态</v>
      </c>
      <c r="F53" t="str">
        <f ca="1">IF(AND(ISNUMBER($F$370),$B$294=1),$F$370,HLOOKUP(INDIRECT(ADDRESS(2,COLUMN())),OFFSET($BN$2,0,0,ROW()-1,60),ROW()-1,FALSE))</f>
        <v/>
      </c>
      <c r="G53">
        <f ca="1">IF(AND(ISNUMBER($G$370),$B$294=1),$G$370,HLOOKUP(INDIRECT(ADDRESS(2,COLUMN())),OFFSET($BN$2,0,0,ROW()-1,60),ROW()-1,FALSE))</f>
        <v>116.45699999999999</v>
      </c>
      <c r="H53">
        <f ca="1">IF(AND(ISNUMBER($H$370),$B$294=1),$H$370,HLOOKUP(INDIRECT(ADDRESS(2,COLUMN())),OFFSET($BN$2,0,0,ROW()-1,60),ROW()-1,FALSE))</f>
        <v>118.95099999999999</v>
      </c>
      <c r="I53">
        <f ca="1">IF(AND(ISNUMBER($I$370),$B$294=1),$I$370,HLOOKUP(INDIRECT(ADDRESS(2,COLUMN())),OFFSET($BN$2,0,0,ROW()-1,60),ROW()-1,FALSE))</f>
        <v>118.429</v>
      </c>
      <c r="J53">
        <f ca="1">IF(AND(ISNUMBER($J$370),$B$294=1),$J$370,HLOOKUP(INDIRECT(ADDRESS(2,COLUMN())),OFFSET($BN$2,0,0,ROW()-1,60),ROW()-1,FALSE))</f>
        <v>112.012</v>
      </c>
      <c r="K53">
        <f ca="1">IF(AND(ISNUMBER($K$370),$B$294=1),$K$370,HLOOKUP(INDIRECT(ADDRESS(2,COLUMN())),OFFSET($BN$2,0,0,ROW()-1,60),ROW()-1,FALSE))</f>
        <v>110.276</v>
      </c>
      <c r="L53">
        <f ca="1">IF(AND(ISNUMBER($L$370),$B$294=1),$L$370,HLOOKUP(INDIRECT(ADDRESS(2,COLUMN())),OFFSET($BN$2,0,0,ROW()-1,60),ROW()-1,FALSE))</f>
        <v>107.649</v>
      </c>
      <c r="M53">
        <f ca="1">IF(AND(ISNUMBER($M$370),$B$294=1),$M$370,HLOOKUP(INDIRECT(ADDRESS(2,COLUMN())),OFFSET($BN$2,0,0,ROW()-1,60),ROW()-1,FALSE))</f>
        <v>109.345</v>
      </c>
      <c r="N53">
        <f ca="1">IF(AND(ISNUMBER($N$370),$B$294=1),$N$370,HLOOKUP(INDIRECT(ADDRESS(2,COLUMN())),OFFSET($BN$2,0,0,ROW()-1,60),ROW()-1,FALSE))</f>
        <v>107.279</v>
      </c>
      <c r="O53">
        <f ca="1">IF(AND(ISNUMBER($O$370),$B$294=1),$O$370,HLOOKUP(INDIRECT(ADDRESS(2,COLUMN())),OFFSET($BN$2,0,0,ROW()-1,60),ROW()-1,FALSE))</f>
        <v>103.499</v>
      </c>
      <c r="P53">
        <f ca="1">IF(AND(ISNUMBER($P$370),$B$294=1),$P$370,HLOOKUP(INDIRECT(ADDRESS(2,COLUMN())),OFFSET($BN$2,0,0,ROW()-1,60),ROW()-1,FALSE))</f>
        <v>103.97799999999999</v>
      </c>
      <c r="Q53">
        <f ca="1">IF(AND(ISNUMBER($Q$370),$B$294=1),$Q$370,HLOOKUP(INDIRECT(ADDRESS(2,COLUMN())),OFFSET($BN$2,0,0,ROW()-1,60),ROW()-1,FALSE))</f>
        <v>96.173000000000002</v>
      </c>
      <c r="R53">
        <f ca="1">IF(AND(ISNUMBER($R$370),$B$294=1),$R$370,HLOOKUP(INDIRECT(ADDRESS(2,COLUMN())),OFFSET($BN$2,0,0,ROW()-1,60),ROW()-1,FALSE))</f>
        <v>99.796999999999997</v>
      </c>
      <c r="S53">
        <f ca="1">IF(AND(ISNUMBER($S$370),$B$294=1),$S$370,HLOOKUP(INDIRECT(ADDRESS(2,COLUMN())),OFFSET($BN$2,0,0,ROW()-1,60),ROW()-1,FALSE))</f>
        <v>89.272000000000006</v>
      </c>
      <c r="T53">
        <f ca="1">IF(AND(ISNUMBER($T$370),$B$294=1),$T$370,HLOOKUP(INDIRECT(ADDRESS(2,COLUMN())),OFFSET($BN$2,0,0,ROW()-1,60),ROW()-1,FALSE))</f>
        <v>95.245999999999995</v>
      </c>
      <c r="U53">
        <f ca="1">IF(AND(ISNUMBER($U$370),$B$294=1),$U$370,HLOOKUP(INDIRECT(ADDRESS(2,COLUMN())),OFFSET($BN$2,0,0,ROW()-1,60),ROW()-1,FALSE))</f>
        <v>97.447000000000003</v>
      </c>
      <c r="V53">
        <f ca="1">IF(AND(ISNUMBER($V$370),$B$294=1),$V$370,HLOOKUP(INDIRECT(ADDRESS(2,COLUMN())),OFFSET($BN$2,0,0,ROW()-1,60),ROW()-1,FALSE))</f>
        <v>92.063000000000002</v>
      </c>
      <c r="W53">
        <f ca="1">IF(AND(ISNUMBER($W$370),$B$294=1),$W$370,HLOOKUP(INDIRECT(ADDRESS(2,COLUMN())),OFFSET($BN$2,0,0,ROW()-1,60),ROW()-1,FALSE))</f>
        <v>93.656999999999996</v>
      </c>
      <c r="X53">
        <f ca="1">IF(AND(ISNUMBER($X$370),$B$294=1),$X$370,HLOOKUP(INDIRECT(ADDRESS(2,COLUMN())),OFFSET($BN$2,0,0,ROW()-1,60),ROW()-1,FALSE))</f>
        <v>90.724999999999994</v>
      </c>
      <c r="Y53">
        <f ca="1">IF(AND(ISNUMBER($Y$370),$B$294=1),$Y$370,HLOOKUP(INDIRECT(ADDRESS(2,COLUMN())),OFFSET($BN$2,0,0,ROW()-1,60),ROW()-1,FALSE))</f>
        <v>85.301000000000002</v>
      </c>
      <c r="Z53">
        <f ca="1">IF(AND(ISNUMBER($Z$370),$B$294=1),$Z$370,HLOOKUP(INDIRECT(ADDRESS(2,COLUMN())),OFFSET($BN$2,0,0,ROW()-1,60),ROW()-1,FALSE))</f>
        <v>83.783000000000001</v>
      </c>
      <c r="AA53">
        <f ca="1">IF(AND(ISNUMBER($AA$370),$B$294=1),$AA$370,HLOOKUP(INDIRECT(ADDRESS(2,COLUMN())),OFFSET($BN$2,0,0,ROW()-1,60),ROW()-1,FALSE))</f>
        <v>79.808999999999997</v>
      </c>
      <c r="AB53">
        <f ca="1">IF(AND(ISNUMBER($AB$370),$B$294=1),$AB$370,HLOOKUP(INDIRECT(ADDRESS(2,COLUMN())),OFFSET($BN$2,0,0,ROW()-1,60),ROW()-1,FALSE))</f>
        <v>77.513999999999996</v>
      </c>
      <c r="AC53">
        <f ca="1">IF(AND(ISNUMBER($AC$370),$B$294=1),$AC$370,HLOOKUP(INDIRECT(ADDRESS(2,COLUMN())),OFFSET($BN$2,0,0,ROW()-1,60),ROW()-1,FALSE))</f>
        <v>80.843999999999994</v>
      </c>
      <c r="AD53">
        <f ca="1">IF(AND(ISNUMBER($AD$370),$B$294=1),$AD$370,HLOOKUP(INDIRECT(ADDRESS(2,COLUMN())),OFFSET($BN$2,0,0,ROW()-1,60),ROW()-1,FALSE))</f>
        <v>80.516000000000005</v>
      </c>
      <c r="AE53">
        <f ca="1">IF(AND(ISNUMBER($AE$370),$B$294=1),$AE$370,HLOOKUP(INDIRECT(ADDRESS(2,COLUMN())),OFFSET($BN$2,0,0,ROW()-1,60),ROW()-1,FALSE))</f>
        <v>78.451999999999998</v>
      </c>
      <c r="AF53">
        <f ca="1">IF(AND(ISNUMBER($AF$370),$B$294=1),$AF$370,HLOOKUP(INDIRECT(ADDRESS(2,COLUMN())),OFFSET($BN$2,0,0,ROW()-1,60),ROW()-1,FALSE))</f>
        <v>73.233999999999995</v>
      </c>
      <c r="AG53">
        <f ca="1">IF(AND(ISNUMBER($AG$370),$B$294=1),$AG$370,HLOOKUP(INDIRECT(ADDRESS(2,COLUMN())),OFFSET($BN$2,0,0,ROW()-1,60),ROW()-1,FALSE))</f>
        <v>74.72</v>
      </c>
      <c r="AH53">
        <f ca="1">IF(AND(ISNUMBER($AH$370),$B$294=1),$AH$370,HLOOKUP(INDIRECT(ADDRESS(2,COLUMN())),OFFSET($BN$2,0,0,ROW()-1,60),ROW()-1,FALSE))</f>
        <v>73.417000000000002</v>
      </c>
      <c r="AI53">
        <f ca="1">IF(AND(ISNUMBER($AI$370),$B$294=1),$AI$370,HLOOKUP(INDIRECT(ADDRESS(2,COLUMN())),OFFSET($BN$2,0,0,ROW()-1,60),ROW()-1,FALSE))</f>
        <v>76.337999999999994</v>
      </c>
      <c r="AJ53">
        <f ca="1">IF(AND(ISNUMBER($AJ$370),$B$294=1),$AJ$370,HLOOKUP(INDIRECT(ADDRESS(2,COLUMN())),OFFSET($BN$2,0,0,ROW()-1,60),ROW()-1,FALSE))</f>
        <v>72.188999999999993</v>
      </c>
      <c r="AK53">
        <f ca="1">IF(AND(ISNUMBER($AK$370),$B$294=1),$AK$370,HLOOKUP(INDIRECT(ADDRESS(2,COLUMN())),OFFSET($BN$2,0,0,ROW()-1,60),ROW()-1,FALSE))</f>
        <v>75.622</v>
      </c>
      <c r="AL53">
        <f ca="1">IF(AND(ISNUMBER($AL$370),$B$294=1),$AL$370,HLOOKUP(INDIRECT(ADDRESS(2,COLUMN())),OFFSET($BN$2,0,0,ROW()-1,60),ROW()-1,FALSE))</f>
        <v>73.338999999999999</v>
      </c>
      <c r="AM53">
        <f ca="1">IF(AND(ISNUMBER($AM$370),$B$294=1),$AM$370,HLOOKUP(INDIRECT(ADDRESS(2,COLUMN())),OFFSET($BN$2,0,0,ROW()-1,60),ROW()-1,FALSE))</f>
        <v>71.64</v>
      </c>
      <c r="AN53">
        <f ca="1">IF(AND(ISNUMBER($AN$370),$B$294=1),$AN$370,HLOOKUP(INDIRECT(ADDRESS(2,COLUMN())),OFFSET($BN$2,0,0,ROW()-1,60),ROW()-1,FALSE))</f>
        <v>70.605999999999995</v>
      </c>
      <c r="AO53">
        <f ca="1">IF(AND(ISNUMBER($AO$370),$B$294=1),$AO$370,HLOOKUP(INDIRECT(ADDRESS(2,COLUMN())),OFFSET($BN$2,0,0,ROW()-1,60),ROW()-1,FALSE))</f>
        <v>73.013000000000005</v>
      </c>
      <c r="AP53">
        <f ca="1">IF(AND(ISNUMBER($AP$370),$B$294=1),$AP$370,HLOOKUP(INDIRECT(ADDRESS(2,COLUMN())),OFFSET($BN$2,0,0,ROW()-1,60),ROW()-1,FALSE))</f>
        <v>72.531000000000006</v>
      </c>
      <c r="AQ53">
        <f ca="1">IF(AND(ISNUMBER($AQ$370),$B$294=1),$AQ$370,HLOOKUP(INDIRECT(ADDRESS(2,COLUMN())),OFFSET($BN$2,0,0,ROW()-1,60),ROW()-1,FALSE))</f>
        <v>69.414000000000001</v>
      </c>
      <c r="AR53">
        <f ca="1">IF(AND(ISNUMBER($AR$370),$B$294=1),$AR$370,HLOOKUP(INDIRECT(ADDRESS(2,COLUMN())),OFFSET($BN$2,0,0,ROW()-1,60),ROW()-1,FALSE))</f>
        <v>71.843999999999994</v>
      </c>
      <c r="AS53">
        <f ca="1">IF(AND(ISNUMBER($AS$370),$B$294=1),$AS$370,HLOOKUP(INDIRECT(ADDRESS(2,COLUMN())),OFFSET($BN$2,0,0,ROW()-1,60),ROW()-1,FALSE))</f>
        <v>72.326999999999998</v>
      </c>
      <c r="AT53">
        <f ca="1">IF(AND(ISNUMBER($AT$370),$B$294=1),$AT$370,HLOOKUP(INDIRECT(ADDRESS(2,COLUMN())),OFFSET($BN$2,0,0,ROW()-1,60),ROW()-1,FALSE))</f>
        <v>74.853999999999999</v>
      </c>
      <c r="AU53">
        <f ca="1">IF(AND(ISNUMBER($AU$370),$B$294=1),$AU$370,HLOOKUP(INDIRECT(ADDRESS(2,COLUMN())),OFFSET($BN$2,0,0,ROW()-1,60),ROW()-1,FALSE))</f>
        <v>72.603999999999999</v>
      </c>
      <c r="AV53">
        <f ca="1">IF(AND(ISNUMBER($AV$370),$B$294=1),$AV$370,HLOOKUP(INDIRECT(ADDRESS(2,COLUMN())),OFFSET($BN$2,0,0,ROW()-1,60),ROW()-1,FALSE))</f>
        <v>68.897999999999996</v>
      </c>
      <c r="AW53">
        <f ca="1">IF(AND(ISNUMBER($AW$370),$B$294=1),$AW$370,HLOOKUP(INDIRECT(ADDRESS(2,COLUMN())),OFFSET($BN$2,0,0,ROW()-1,60),ROW()-1,FALSE))</f>
        <v>67.558999999999997</v>
      </c>
      <c r="AX53">
        <f ca="1">IF(AND(ISNUMBER($AX$370),$B$294=1),$AX$370,HLOOKUP(INDIRECT(ADDRESS(2,COLUMN())),OFFSET($BN$2,0,0,ROW()-1,60),ROW()-1,FALSE))</f>
        <v>68.171999999999997</v>
      </c>
      <c r="AY53">
        <f ca="1">IF(AND(ISNUMBER($AY$370),$B$294=1),$AY$370,HLOOKUP(INDIRECT(ADDRESS(2,COLUMN())),OFFSET($BN$2,0,0,ROW()-1,60),ROW()-1,FALSE))</f>
        <v>63.396999999999998</v>
      </c>
      <c r="AZ53">
        <f ca="1">IF(AND(ISNUMBER($AZ$370),$B$294=1),$AZ$370,HLOOKUP(INDIRECT(ADDRESS(2,COLUMN())),OFFSET($BN$2,0,0,ROW()-1,60),ROW()-1,FALSE))</f>
        <v>64.5</v>
      </c>
      <c r="BA53">
        <f ca="1">IF(AND(ISNUMBER($BA$370),$B$294=1),$BA$370,HLOOKUP(INDIRECT(ADDRESS(2,COLUMN())),OFFSET($BN$2,0,0,ROW()-1,60),ROW()-1,FALSE))</f>
        <v>65.941999999999993</v>
      </c>
      <c r="BB53">
        <f ca="1">IF(AND(ISNUMBER($BB$370),$B$294=1),$BB$370,HLOOKUP(INDIRECT(ADDRESS(2,COLUMN())),OFFSET($BN$2,0,0,ROW()-1,60),ROW()-1,FALSE))</f>
        <v>64.962000000000003</v>
      </c>
      <c r="BC53">
        <f ca="1">IF(AND(ISNUMBER($BC$370),$B$294=1),$BC$370,HLOOKUP(INDIRECT(ADDRESS(2,COLUMN())),OFFSET($BN$2,0,0,ROW()-1,60),ROW()-1,FALSE))</f>
        <v>57.231999999999999</v>
      </c>
      <c r="BD53">
        <f ca="1">IF(AND(ISNUMBER($BD$370),$B$294=1),$BD$370,HLOOKUP(INDIRECT(ADDRESS(2,COLUMN())),OFFSET($BN$2,0,0,ROW()-1,60),ROW()-1,FALSE))</f>
        <v>63.045999999999999</v>
      </c>
      <c r="BE53">
        <f ca="1">IF(AND(ISNUMBER($BE$370),$B$294=1),$BE$370,HLOOKUP(INDIRECT(ADDRESS(2,COLUMN())),OFFSET($BN$2,0,0,ROW()-1,60),ROW()-1,FALSE))</f>
        <v>67.057000000000002</v>
      </c>
      <c r="BF53">
        <f ca="1">IF(AND(ISNUMBER($BF$370),$B$294=1),$BF$370,HLOOKUP(INDIRECT(ADDRESS(2,COLUMN())),OFFSET($BN$2,0,0,ROW()-1,60),ROW()-1,FALSE))</f>
        <v>67.165000000000006</v>
      </c>
      <c r="BG53">
        <f ca="1">IF(AND(ISNUMBER($BG$370),$B$294=1),$BG$370,HLOOKUP(INDIRECT(ADDRESS(2,COLUMN())),OFFSET($BN$2,0,0,ROW()-1,60),ROW()-1,FALSE))</f>
        <v>53.293999999999997</v>
      </c>
      <c r="BH53">
        <f ca="1">IF(AND(ISNUMBER($BH$370),$B$294=1),$BH$370,HLOOKUP(INDIRECT(ADDRESS(2,COLUMN())),OFFSET($BN$2,0,0,ROW()-1,60),ROW()-1,FALSE))</f>
        <v>65.340999999999994</v>
      </c>
      <c r="BI53">
        <f ca="1">IF(AND(ISNUMBER($BI$370),$B$294=1),$BI$370,HLOOKUP(INDIRECT(ADDRESS(2,COLUMN())),OFFSET($BN$2,0,0,ROW()-1,60),ROW()-1,FALSE))</f>
        <v>68.953000000000003</v>
      </c>
      <c r="BJ53">
        <f ca="1">IF(AND(ISNUMBER($BJ$370),$B$294=1),$BJ$370,HLOOKUP(INDIRECT(ADDRESS(2,COLUMN())),OFFSET($BN$2,0,0,ROW()-1,60),ROW()-1,FALSE))</f>
        <v>73.375</v>
      </c>
      <c r="BK53" t="str">
        <f ca="1">IF(AND(ISNUMBER($BK$370),$B$294=1),$BK$370,HLOOKUP(INDIRECT(ADDRESS(2,COLUMN())),OFFSET($BN$2,0,0,ROW()-1,60),ROW()-1,FALSE))</f>
        <v/>
      </c>
      <c r="BL53">
        <f ca="1">IF(AND(ISNUMBER($BL$370),$B$294=1),$BL$370,HLOOKUP(INDIRECT(ADDRESS(2,COLUMN())),OFFSET($BN$2,0,0,ROW()-1,60),ROW()-1,FALSE))</f>
        <v>78.781000000000006</v>
      </c>
      <c r="BM53">
        <f ca="1">IF(AND(ISNUMBER($BM$370),$B$294=1),$BM$370,HLOOKUP(INDIRECT(ADDRESS(2,COLUMN())),OFFSET($BN$2,0,0,ROW()-1,60),ROW()-1,FALSE))</f>
        <v>82.236000000000004</v>
      </c>
      <c r="BN53" t="str">
        <f>""</f>
        <v/>
      </c>
      <c r="BO53">
        <f>116.457</f>
        <v>116.45699999999999</v>
      </c>
      <c r="BP53">
        <f>118.951</f>
        <v>118.95099999999999</v>
      </c>
      <c r="BQ53">
        <f>118.429</f>
        <v>118.429</v>
      </c>
      <c r="BR53">
        <f>112.012</f>
        <v>112.012</v>
      </c>
      <c r="BS53">
        <f>110.276</f>
        <v>110.276</v>
      </c>
      <c r="BT53">
        <f>107.649</f>
        <v>107.649</v>
      </c>
      <c r="BU53">
        <f>109.345</f>
        <v>109.345</v>
      </c>
      <c r="BV53">
        <f>107.279</f>
        <v>107.279</v>
      </c>
      <c r="BW53">
        <f>103.499</f>
        <v>103.499</v>
      </c>
      <c r="BX53">
        <f>103.978</f>
        <v>103.97799999999999</v>
      </c>
      <c r="BY53">
        <f>96.173</f>
        <v>96.173000000000002</v>
      </c>
      <c r="BZ53">
        <f>99.797</f>
        <v>99.796999999999997</v>
      </c>
      <c r="CA53">
        <f>89.272</f>
        <v>89.272000000000006</v>
      </c>
      <c r="CB53">
        <f>95.246</f>
        <v>95.245999999999995</v>
      </c>
      <c r="CC53">
        <f>97.447</f>
        <v>97.447000000000003</v>
      </c>
      <c r="CD53">
        <f>92.063</f>
        <v>92.063000000000002</v>
      </c>
      <c r="CE53">
        <f>93.657</f>
        <v>93.656999999999996</v>
      </c>
      <c r="CF53">
        <f>90.725</f>
        <v>90.724999999999994</v>
      </c>
      <c r="CG53">
        <f>85.301</f>
        <v>85.301000000000002</v>
      </c>
      <c r="CH53">
        <f>83.783</f>
        <v>83.783000000000001</v>
      </c>
      <c r="CI53">
        <f>79.809</f>
        <v>79.808999999999997</v>
      </c>
      <c r="CJ53">
        <f>77.514</f>
        <v>77.513999999999996</v>
      </c>
      <c r="CK53">
        <f>80.844</f>
        <v>80.843999999999994</v>
      </c>
      <c r="CL53">
        <f>80.516</f>
        <v>80.516000000000005</v>
      </c>
      <c r="CM53">
        <f>78.452</f>
        <v>78.451999999999998</v>
      </c>
      <c r="CN53">
        <f>73.234</f>
        <v>73.233999999999995</v>
      </c>
      <c r="CO53">
        <f>74.72</f>
        <v>74.72</v>
      </c>
      <c r="CP53">
        <f>73.417</f>
        <v>73.417000000000002</v>
      </c>
      <c r="CQ53">
        <f>76.338</f>
        <v>76.337999999999994</v>
      </c>
      <c r="CR53">
        <f>72.189</f>
        <v>72.188999999999993</v>
      </c>
      <c r="CS53">
        <f>75.622</f>
        <v>75.622</v>
      </c>
      <c r="CT53">
        <f>73.339</f>
        <v>73.338999999999999</v>
      </c>
      <c r="CU53">
        <f>71.64</f>
        <v>71.64</v>
      </c>
      <c r="CV53">
        <f>70.606</f>
        <v>70.605999999999995</v>
      </c>
      <c r="CW53">
        <f>73.013</f>
        <v>73.013000000000005</v>
      </c>
      <c r="CX53">
        <f>72.531</f>
        <v>72.531000000000006</v>
      </c>
      <c r="CY53">
        <f>69.414</f>
        <v>69.414000000000001</v>
      </c>
      <c r="CZ53">
        <f>71.844</f>
        <v>71.843999999999994</v>
      </c>
      <c r="DA53">
        <f>72.327</f>
        <v>72.326999999999998</v>
      </c>
      <c r="DB53">
        <f>74.854</f>
        <v>74.853999999999999</v>
      </c>
      <c r="DC53">
        <f>72.604</f>
        <v>72.603999999999999</v>
      </c>
      <c r="DD53">
        <f>68.898</f>
        <v>68.897999999999996</v>
      </c>
      <c r="DE53">
        <f>67.559</f>
        <v>67.558999999999997</v>
      </c>
      <c r="DF53">
        <f>68.172</f>
        <v>68.171999999999997</v>
      </c>
      <c r="DG53">
        <f>63.397</f>
        <v>63.396999999999998</v>
      </c>
      <c r="DH53">
        <f>64.5</f>
        <v>64.5</v>
      </c>
      <c r="DI53">
        <f>65.942</f>
        <v>65.941999999999993</v>
      </c>
      <c r="DJ53">
        <f>64.962</f>
        <v>64.962000000000003</v>
      </c>
      <c r="DK53">
        <f>57.232</f>
        <v>57.231999999999999</v>
      </c>
      <c r="DL53">
        <f>63.046</f>
        <v>63.045999999999999</v>
      </c>
      <c r="DM53">
        <f>67.057</f>
        <v>67.057000000000002</v>
      </c>
      <c r="DN53">
        <f>67.165</f>
        <v>67.165000000000006</v>
      </c>
      <c r="DO53">
        <f>53.294</f>
        <v>53.293999999999997</v>
      </c>
      <c r="DP53">
        <f>65.341</f>
        <v>65.340999999999994</v>
      </c>
      <c r="DQ53">
        <f>68.953</f>
        <v>68.953000000000003</v>
      </c>
      <c r="DR53">
        <f>73.375</f>
        <v>73.375</v>
      </c>
      <c r="DS53" t="str">
        <f>""</f>
        <v/>
      </c>
      <c r="DT53">
        <f>78.781</f>
        <v>78.781000000000006</v>
      </c>
      <c r="DU53">
        <f>82.236</f>
        <v>82.236000000000004</v>
      </c>
    </row>
    <row r="54" spans="1:125">
      <c r="A54" t="str">
        <f>"    Kilroy Realty Corp"</f>
        <v xml:space="preserve">    Kilroy Realty Corp</v>
      </c>
      <c r="B54" t="str">
        <f>"KRC US Equity"</f>
        <v>KRC US Equity</v>
      </c>
      <c r="C54" t="str">
        <f t="shared" si="12"/>
        <v>RR502</v>
      </c>
      <c r="D54" t="str">
        <f t="shared" si="13"/>
        <v>NET_OPER_INCOME</v>
      </c>
      <c r="E54" t="str">
        <f t="shared" si="14"/>
        <v>动态</v>
      </c>
      <c r="F54" t="str">
        <f ca="1">IF(AND(ISNUMBER($F$371),$B$294=1),$F$371,HLOOKUP(INDIRECT(ADDRESS(2,COLUMN())),OFFSET($BN$2,0,0,ROW()-1,60),ROW()-1,FALSE))</f>
        <v/>
      </c>
      <c r="G54">
        <f ca="1">IF(AND(ISNUMBER($G$371),$B$294=1),$G$371,HLOOKUP(INDIRECT(ADDRESS(2,COLUMN())),OFFSET($BN$2,0,0,ROW()-1,60),ROW()-1,FALSE))</f>
        <v>127.187</v>
      </c>
      <c r="H54">
        <f ca="1">IF(AND(ISNUMBER($H$371),$B$294=1),$H$371,HLOOKUP(INDIRECT(ADDRESS(2,COLUMN())),OFFSET($BN$2,0,0,ROW()-1,60),ROW()-1,FALSE))</f>
        <v>128.61600000000001</v>
      </c>
      <c r="I54">
        <f ca="1">IF(AND(ISNUMBER($I$371),$B$294=1),$I$371,HLOOKUP(INDIRECT(ADDRESS(2,COLUMN())),OFFSET($BN$2,0,0,ROW()-1,60),ROW()-1,FALSE))</f>
        <v>126.798</v>
      </c>
      <c r="J54">
        <f ca="1">IF(AND(ISNUMBER($J$371),$B$294=1),$J$371,HLOOKUP(INDIRECT(ADDRESS(2,COLUMN())),OFFSET($BN$2,0,0,ROW()-1,60),ROW()-1,FALSE))</f>
        <v>125.09699999999999</v>
      </c>
      <c r="K54">
        <f ca="1">IF(AND(ISNUMBER($K$371),$B$294=1),$K$371,HLOOKUP(INDIRECT(ADDRESS(2,COLUMN())),OFFSET($BN$2,0,0,ROW()-1,60),ROW()-1,FALSE))</f>
        <v>122.14</v>
      </c>
      <c r="L54">
        <f ca="1">IF(AND(ISNUMBER($L$371),$B$294=1),$L$371,HLOOKUP(INDIRECT(ADDRESS(2,COLUMN())),OFFSET($BN$2,0,0,ROW()-1,60),ROW()-1,FALSE))</f>
        <v>117.485</v>
      </c>
      <c r="M54">
        <f ca="1">IF(AND(ISNUMBER($M$371),$B$294=1),$M$371,HLOOKUP(INDIRECT(ADDRESS(2,COLUMN())),OFFSET($BN$2,0,0,ROW()-1,60),ROW()-1,FALSE))</f>
        <v>115.95699999999999</v>
      </c>
      <c r="N54">
        <f ca="1">IF(AND(ISNUMBER($N$371),$B$294=1),$N$371,HLOOKUP(INDIRECT(ADDRESS(2,COLUMN())),OFFSET($BN$2,0,0,ROW()-1,60),ROW()-1,FALSE))</f>
        <v>107.333</v>
      </c>
      <c r="O54">
        <f ca="1">IF(AND(ISNUMBER($O$371),$B$294=1),$O$371,HLOOKUP(INDIRECT(ADDRESS(2,COLUMN())),OFFSET($BN$2,0,0,ROW()-1,60),ROW()-1,FALSE))</f>
        <v>106.20699999999999</v>
      </c>
      <c r="P54">
        <f ca="1">IF(AND(ISNUMBER($P$371),$B$294=1),$P$371,HLOOKUP(INDIRECT(ADDRESS(2,COLUMN())),OFFSET($BN$2,0,0,ROW()-1,60),ROW()-1,FALSE))</f>
        <v>101.55800000000001</v>
      </c>
      <c r="Q54">
        <f ca="1">IF(AND(ISNUMBER($Q$371),$B$294=1),$Q$371,HLOOKUP(INDIRECT(ADDRESS(2,COLUMN())),OFFSET($BN$2,0,0,ROW()-1,60),ROW()-1,FALSE))</f>
        <v>105.515</v>
      </c>
      <c r="R54">
        <f ca="1">IF(AND(ISNUMBER($R$371),$B$294=1),$R$371,HLOOKUP(INDIRECT(ADDRESS(2,COLUMN())),OFFSET($BN$2,0,0,ROW()-1,60),ROW()-1,FALSE))</f>
        <v>107.152</v>
      </c>
      <c r="S54">
        <f ca="1">IF(AND(ISNUMBER($S$371),$B$294=1),$S$371,HLOOKUP(INDIRECT(ADDRESS(2,COLUMN())),OFFSET($BN$2,0,0,ROW()-1,60),ROW()-1,FALSE))</f>
        <v>102.431</v>
      </c>
      <c r="T54">
        <f ca="1">IF(AND(ISNUMBER($T$371),$B$294=1),$T$371,HLOOKUP(INDIRECT(ADDRESS(2,COLUMN())),OFFSET($BN$2,0,0,ROW()-1,60),ROW()-1,FALSE))</f>
        <v>88.986999999999995</v>
      </c>
      <c r="U54">
        <f ca="1">IF(AND(ISNUMBER($U$371),$B$294=1),$U$371,HLOOKUP(INDIRECT(ADDRESS(2,COLUMN())),OFFSET($BN$2,0,0,ROW()-1,60),ROW()-1,FALSE))</f>
        <v>87.457999999999998</v>
      </c>
      <c r="V54">
        <f ca="1">IF(AND(ISNUMBER($V$371),$B$294=1),$V$371,HLOOKUP(INDIRECT(ADDRESS(2,COLUMN())),OFFSET($BN$2,0,0,ROW()-1,60),ROW()-1,FALSE))</f>
        <v>85.382999999999996</v>
      </c>
      <c r="W54">
        <f ca="1">IF(AND(ISNUMBER($W$371),$B$294=1),$W$371,HLOOKUP(INDIRECT(ADDRESS(2,COLUMN())),OFFSET($BN$2,0,0,ROW()-1,60),ROW()-1,FALSE))</f>
        <v>82.676000000000002</v>
      </c>
      <c r="X54">
        <f ca="1">IF(AND(ISNUMBER($X$371),$B$294=1),$X$371,HLOOKUP(INDIRECT(ADDRESS(2,COLUMN())),OFFSET($BN$2,0,0,ROW()-1,60),ROW()-1,FALSE))</f>
        <v>77.45</v>
      </c>
      <c r="Y54">
        <f ca="1">IF(AND(ISNUMBER($Y$371),$B$294=1),$Y$371,HLOOKUP(INDIRECT(ADDRESS(2,COLUMN())),OFFSET($BN$2,0,0,ROW()-1,60),ROW()-1,FALSE))</f>
        <v>77.665000000000006</v>
      </c>
      <c r="Z54">
        <f ca="1">IF(AND(ISNUMBER($Z$371),$B$294=1),$Z$371,HLOOKUP(INDIRECT(ADDRESS(2,COLUMN())),OFFSET($BN$2,0,0,ROW()-1,60),ROW()-1,FALSE))</f>
        <v>77.421000000000006</v>
      </c>
      <c r="AA54">
        <f ca="1">IF(AND(ISNUMBER($AA$371),$B$294=1),$AA$371,HLOOKUP(INDIRECT(ADDRESS(2,COLUMN())),OFFSET($BN$2,0,0,ROW()-1,60),ROW()-1,FALSE))</f>
        <v>77.965999999999994</v>
      </c>
      <c r="AB54">
        <f ca="1">IF(AND(ISNUMBER($AB$371),$B$294=1),$AB$371,HLOOKUP(INDIRECT(ADDRESS(2,COLUMN())),OFFSET($BN$2,0,0,ROW()-1,60),ROW()-1,FALSE))</f>
        <v>68.228999999999999</v>
      </c>
      <c r="AC54">
        <f ca="1">IF(AND(ISNUMBER($AC$371),$B$294=1),$AC$371,HLOOKUP(INDIRECT(ADDRESS(2,COLUMN())),OFFSET($BN$2,0,0,ROW()-1,60),ROW()-1,FALSE))</f>
        <v>67.894999999999996</v>
      </c>
      <c r="AD54">
        <f ca="1">IF(AND(ISNUMBER($AD$371),$B$294=1),$AD$371,HLOOKUP(INDIRECT(ADDRESS(2,COLUMN())),OFFSET($BN$2,0,0,ROW()-1,60),ROW()-1,FALSE))</f>
        <v>66.924999999999997</v>
      </c>
      <c r="AE54">
        <f ca="1">IF(AND(ISNUMBER($AE$371),$B$294=1),$AE$371,HLOOKUP(INDIRECT(ADDRESS(2,COLUMN())),OFFSET($BN$2,0,0,ROW()-1,60),ROW()-1,FALSE))</f>
        <v>63.895000000000003</v>
      </c>
      <c r="AF54">
        <f ca="1">IF(AND(ISNUMBER($AF$371),$B$294=1),$AF$371,HLOOKUP(INDIRECT(ADDRESS(2,COLUMN())),OFFSET($BN$2,0,0,ROW()-1,60),ROW()-1,FALSE))</f>
        <v>60.073</v>
      </c>
      <c r="AG54">
        <f ca="1">IF(AND(ISNUMBER($AG$371),$B$294=1),$AG$371,HLOOKUP(INDIRECT(ADDRESS(2,COLUMN())),OFFSET($BN$2,0,0,ROW()-1,60),ROW()-1,FALSE))</f>
        <v>61.381</v>
      </c>
      <c r="AH54">
        <f ca="1">IF(AND(ISNUMBER($AH$371),$B$294=1),$AH$371,HLOOKUP(INDIRECT(ADDRESS(2,COLUMN())),OFFSET($BN$2,0,0,ROW()-1,60),ROW()-1,FALSE))</f>
        <v>57.280999999999999</v>
      </c>
      <c r="AI54">
        <f ca="1">IF(AND(ISNUMBER($AI$371),$B$294=1),$AI$371,HLOOKUP(INDIRECT(ADDRESS(2,COLUMN())),OFFSET($BN$2,0,0,ROW()-1,60),ROW()-1,FALSE))</f>
        <v>55.892000000000003</v>
      </c>
      <c r="AJ54">
        <f ca="1">IF(AND(ISNUMBER($AJ$371),$B$294=1),$AJ$371,HLOOKUP(INDIRECT(ADDRESS(2,COLUMN())),OFFSET($BN$2,0,0,ROW()-1,60),ROW()-1,FALSE))</f>
        <v>54.570999999999998</v>
      </c>
      <c r="AK54">
        <f ca="1">IF(AND(ISNUMBER($AK$371),$B$294=1),$AK$371,HLOOKUP(INDIRECT(ADDRESS(2,COLUMN())),OFFSET($BN$2,0,0,ROW()-1,60),ROW()-1,FALSE))</f>
        <v>50.125999999999998</v>
      </c>
      <c r="AL54">
        <f ca="1">IF(AND(ISNUMBER($AL$371),$B$294=1),$AL$371,HLOOKUP(INDIRECT(ADDRESS(2,COLUMN())),OFFSET($BN$2,0,0,ROW()-1,60),ROW()-1,FALSE))</f>
        <v>48.375999999999998</v>
      </c>
      <c r="AM54">
        <f ca="1">IF(AND(ISNUMBER($AM$371),$B$294=1),$AM$371,HLOOKUP(INDIRECT(ADDRESS(2,COLUMN())),OFFSET($BN$2,0,0,ROW()-1,60),ROW()-1,FALSE))</f>
        <v>48.329000000000001</v>
      </c>
      <c r="AN54">
        <f ca="1">IF(AND(ISNUMBER($AN$371),$B$294=1),$AN$371,HLOOKUP(INDIRECT(ADDRESS(2,COLUMN())),OFFSET($BN$2,0,0,ROW()-1,60),ROW()-1,FALSE))</f>
        <v>49.055</v>
      </c>
      <c r="AO54">
        <f ca="1">IF(AND(ISNUMBER($AO$371),$B$294=1),$AO$371,HLOOKUP(INDIRECT(ADDRESS(2,COLUMN())),OFFSET($BN$2,0,0,ROW()-1,60),ROW()-1,FALSE))</f>
        <v>50.844000000000001</v>
      </c>
      <c r="AP54">
        <f ca="1">IF(AND(ISNUMBER($AP$371),$B$294=1),$AP$371,HLOOKUP(INDIRECT(ADDRESS(2,COLUMN())),OFFSET($BN$2,0,0,ROW()-1,60),ROW()-1,FALSE))</f>
        <v>51.862000000000002</v>
      </c>
      <c r="AQ54">
        <f ca="1">IF(AND(ISNUMBER($AQ$371),$B$294=1),$AQ$371,HLOOKUP(INDIRECT(ADDRESS(2,COLUMN())),OFFSET($BN$2,0,0,ROW()-1,60),ROW()-1,FALSE))</f>
        <v>52.46</v>
      </c>
      <c r="AR54">
        <f ca="1">IF(AND(ISNUMBER($AR$371),$B$294=1),$AR$371,HLOOKUP(INDIRECT(ADDRESS(2,COLUMN())),OFFSET($BN$2,0,0,ROW()-1,60),ROW()-1,FALSE))</f>
        <v>52.591999999999999</v>
      </c>
      <c r="AS54">
        <f ca="1">IF(AND(ISNUMBER($AS$371),$B$294=1),$AS$371,HLOOKUP(INDIRECT(ADDRESS(2,COLUMN())),OFFSET($BN$2,0,0,ROW()-1,60),ROW()-1,FALSE))</f>
        <v>51.915999999999997</v>
      </c>
      <c r="AT54">
        <f ca="1">IF(AND(ISNUMBER($AT$371),$B$294=1),$AT$371,HLOOKUP(INDIRECT(ADDRESS(2,COLUMN())),OFFSET($BN$2,0,0,ROW()-1,60),ROW()-1,FALSE))</f>
        <v>53.136000000000003</v>
      </c>
      <c r="AU54">
        <f ca="1">IF(AND(ISNUMBER($AU$371),$B$294=1),$AU$371,HLOOKUP(INDIRECT(ADDRESS(2,COLUMN())),OFFSET($BN$2,0,0,ROW()-1,60),ROW()-1,FALSE))</f>
        <v>52.073999999999998</v>
      </c>
      <c r="AV54">
        <f ca="1">IF(AND(ISNUMBER($AV$371),$B$294=1),$AV$371,HLOOKUP(INDIRECT(ADDRESS(2,COLUMN())),OFFSET($BN$2,0,0,ROW()-1,60),ROW()-1,FALSE))</f>
        <v>47.927</v>
      </c>
      <c r="AW54">
        <f ca="1">IF(AND(ISNUMBER($AW$371),$B$294=1),$AW$371,HLOOKUP(INDIRECT(ADDRESS(2,COLUMN())),OFFSET($BN$2,0,0,ROW()-1,60),ROW()-1,FALSE))</f>
        <v>44.569000000000003</v>
      </c>
      <c r="AX54">
        <f ca="1">IF(AND(ISNUMBER($AX$371),$B$294=1),$AX$371,HLOOKUP(INDIRECT(ADDRESS(2,COLUMN())),OFFSET($BN$2,0,0,ROW()-1,60),ROW()-1,FALSE))</f>
        <v>45.406999999999996</v>
      </c>
      <c r="AY54">
        <f ca="1">IF(AND(ISNUMBER($AY$371),$B$294=1),$AY$371,HLOOKUP(INDIRECT(ADDRESS(2,COLUMN())),OFFSET($BN$2,0,0,ROW()-1,60),ROW()-1,FALSE))</f>
        <v>44.244999999999997</v>
      </c>
      <c r="AZ54">
        <f ca="1">IF(AND(ISNUMBER($AZ$371),$B$294=1),$AZ$371,HLOOKUP(INDIRECT(ADDRESS(2,COLUMN())),OFFSET($BN$2,0,0,ROW()-1,60),ROW()-1,FALSE))</f>
        <v>45.554000000000002</v>
      </c>
      <c r="BA54">
        <f ca="1">IF(AND(ISNUMBER($BA$371),$B$294=1),$BA$371,HLOOKUP(INDIRECT(ADDRESS(2,COLUMN())),OFFSET($BN$2,0,0,ROW()-1,60),ROW()-1,FALSE))</f>
        <v>46.478000000000002</v>
      </c>
      <c r="BB54">
        <f ca="1">IF(AND(ISNUMBER($BB$371),$B$294=1),$BB$371,HLOOKUP(INDIRECT(ADDRESS(2,COLUMN())),OFFSET($BN$2,0,0,ROW()-1,60),ROW()-1,FALSE))</f>
        <v>45.832000000000001</v>
      </c>
      <c r="BC54">
        <f ca="1">IF(AND(ISNUMBER($BC$371),$B$294=1),$BC$371,HLOOKUP(INDIRECT(ADDRESS(2,COLUMN())),OFFSET($BN$2,0,0,ROW()-1,60),ROW()-1,FALSE))</f>
        <v>44.371000000000002</v>
      </c>
      <c r="BD54">
        <f ca="1">IF(AND(ISNUMBER($BD$371),$B$294=1),$BD$371,HLOOKUP(INDIRECT(ADDRESS(2,COLUMN())),OFFSET($BN$2,0,0,ROW()-1,60),ROW()-1,FALSE))</f>
        <v>43.957999999999998</v>
      </c>
      <c r="BE54">
        <f ca="1">IF(AND(ISNUMBER($BE$371),$B$294=1),$BE$371,HLOOKUP(INDIRECT(ADDRESS(2,COLUMN())),OFFSET($BN$2,0,0,ROW()-1,60),ROW()-1,FALSE))</f>
        <v>44.945999999999998</v>
      </c>
      <c r="BF54">
        <f ca="1">IF(AND(ISNUMBER($BF$371),$B$294=1),$BF$371,HLOOKUP(INDIRECT(ADDRESS(2,COLUMN())),OFFSET($BN$2,0,0,ROW()-1,60),ROW()-1,FALSE))</f>
        <v>45.110999999999997</v>
      </c>
      <c r="BG54">
        <f ca="1">IF(AND(ISNUMBER($BG$371),$B$294=1),$BG$371,HLOOKUP(INDIRECT(ADDRESS(2,COLUMN())),OFFSET($BN$2,0,0,ROW()-1,60),ROW()-1,FALSE))</f>
        <v>43.305</v>
      </c>
      <c r="BH54">
        <f ca="1">IF(AND(ISNUMBER($BH$371),$B$294=1),$BH$371,HLOOKUP(INDIRECT(ADDRESS(2,COLUMN())),OFFSET($BN$2,0,0,ROW()-1,60),ROW()-1,FALSE))</f>
        <v>41.804000000000002</v>
      </c>
      <c r="BI54">
        <f ca="1">IF(AND(ISNUMBER($BI$371),$B$294=1),$BI$371,HLOOKUP(INDIRECT(ADDRESS(2,COLUMN())),OFFSET($BN$2,0,0,ROW()-1,60),ROW()-1,FALSE))</f>
        <v>41.234000000000002</v>
      </c>
      <c r="BJ54">
        <f ca="1">IF(AND(ISNUMBER($BJ$371),$B$294=1),$BJ$371,HLOOKUP(INDIRECT(ADDRESS(2,COLUMN())),OFFSET($BN$2,0,0,ROW()-1,60),ROW()-1,FALSE))</f>
        <v>40.052999999999997</v>
      </c>
      <c r="BK54">
        <f ca="1">IF(AND(ISNUMBER($BK$371),$B$294=1),$BK$371,HLOOKUP(INDIRECT(ADDRESS(2,COLUMN())),OFFSET($BN$2,0,0,ROW()-1,60),ROW()-1,FALSE))</f>
        <v>39.137999530000002</v>
      </c>
      <c r="BL54">
        <f ca="1">IF(AND(ISNUMBER($BL$371),$B$294=1),$BL$371,HLOOKUP(INDIRECT(ADDRESS(2,COLUMN())),OFFSET($BN$2,0,0,ROW()-1,60),ROW()-1,FALSE))</f>
        <v>38.408999999999999</v>
      </c>
      <c r="BM54">
        <f ca="1">IF(AND(ISNUMBER($BM$371),$B$294=1),$BM$371,HLOOKUP(INDIRECT(ADDRESS(2,COLUMN())),OFFSET($BN$2,0,0,ROW()-1,60),ROW()-1,FALSE))</f>
        <v>37.380000000000003</v>
      </c>
      <c r="BN54" t="str">
        <f>""</f>
        <v/>
      </c>
      <c r="BO54">
        <f>127.187</f>
        <v>127.187</v>
      </c>
      <c r="BP54">
        <f>128.616</f>
        <v>128.61600000000001</v>
      </c>
      <c r="BQ54">
        <f>126.798</f>
        <v>126.798</v>
      </c>
      <c r="BR54">
        <f>125.097</f>
        <v>125.09699999999999</v>
      </c>
      <c r="BS54">
        <f>122.14</f>
        <v>122.14</v>
      </c>
      <c r="BT54">
        <f>117.485</f>
        <v>117.485</v>
      </c>
      <c r="BU54">
        <f>115.957</f>
        <v>115.95699999999999</v>
      </c>
      <c r="BV54">
        <f>107.333</f>
        <v>107.333</v>
      </c>
      <c r="BW54">
        <f>106.207</f>
        <v>106.20699999999999</v>
      </c>
      <c r="BX54">
        <f>101.558</f>
        <v>101.55800000000001</v>
      </c>
      <c r="BY54">
        <f>105.515</f>
        <v>105.515</v>
      </c>
      <c r="BZ54">
        <f>107.152</f>
        <v>107.152</v>
      </c>
      <c r="CA54">
        <f>102.431</f>
        <v>102.431</v>
      </c>
      <c r="CB54">
        <f>88.987</f>
        <v>88.986999999999995</v>
      </c>
      <c r="CC54">
        <f>87.458</f>
        <v>87.457999999999998</v>
      </c>
      <c r="CD54">
        <f>85.383</f>
        <v>85.382999999999996</v>
      </c>
      <c r="CE54">
        <f>82.676</f>
        <v>82.676000000000002</v>
      </c>
      <c r="CF54">
        <f>77.45</f>
        <v>77.45</v>
      </c>
      <c r="CG54">
        <f>77.665</f>
        <v>77.665000000000006</v>
      </c>
      <c r="CH54">
        <f>77.421</f>
        <v>77.421000000000006</v>
      </c>
      <c r="CI54">
        <f>77.966</f>
        <v>77.965999999999994</v>
      </c>
      <c r="CJ54">
        <f>68.229</f>
        <v>68.228999999999999</v>
      </c>
      <c r="CK54">
        <f>67.895</f>
        <v>67.894999999999996</v>
      </c>
      <c r="CL54">
        <f>66.925</f>
        <v>66.924999999999997</v>
      </c>
      <c r="CM54">
        <f>63.895</f>
        <v>63.895000000000003</v>
      </c>
      <c r="CN54">
        <f>60.073</f>
        <v>60.073</v>
      </c>
      <c r="CO54">
        <f>61.381</f>
        <v>61.381</v>
      </c>
      <c r="CP54">
        <f>57.281</f>
        <v>57.280999999999999</v>
      </c>
      <c r="CQ54">
        <f>55.892</f>
        <v>55.892000000000003</v>
      </c>
      <c r="CR54">
        <f>54.571</f>
        <v>54.570999999999998</v>
      </c>
      <c r="CS54">
        <f>50.126</f>
        <v>50.125999999999998</v>
      </c>
      <c r="CT54">
        <f>48.376</f>
        <v>48.375999999999998</v>
      </c>
      <c r="CU54">
        <f>48.329</f>
        <v>48.329000000000001</v>
      </c>
      <c r="CV54">
        <f>49.055</f>
        <v>49.055</v>
      </c>
      <c r="CW54">
        <f>50.844</f>
        <v>50.844000000000001</v>
      </c>
      <c r="CX54">
        <f>51.862</f>
        <v>51.862000000000002</v>
      </c>
      <c r="CY54">
        <f>52.46</f>
        <v>52.46</v>
      </c>
      <c r="CZ54">
        <f>52.592</f>
        <v>52.591999999999999</v>
      </c>
      <c r="DA54">
        <f>51.916</f>
        <v>51.915999999999997</v>
      </c>
      <c r="DB54">
        <f>53.136</f>
        <v>53.136000000000003</v>
      </c>
      <c r="DC54">
        <f>52.074</f>
        <v>52.073999999999998</v>
      </c>
      <c r="DD54">
        <f>47.927</f>
        <v>47.927</v>
      </c>
      <c r="DE54">
        <f>44.569</f>
        <v>44.569000000000003</v>
      </c>
      <c r="DF54">
        <f>45.407</f>
        <v>45.406999999999996</v>
      </c>
      <c r="DG54">
        <f>44.245</f>
        <v>44.244999999999997</v>
      </c>
      <c r="DH54">
        <f>45.554</f>
        <v>45.554000000000002</v>
      </c>
      <c r="DI54">
        <f>46.478</f>
        <v>46.478000000000002</v>
      </c>
      <c r="DJ54">
        <f>45.832</f>
        <v>45.832000000000001</v>
      </c>
      <c r="DK54">
        <f>44.371</f>
        <v>44.371000000000002</v>
      </c>
      <c r="DL54">
        <f>43.958</f>
        <v>43.957999999999998</v>
      </c>
      <c r="DM54">
        <f>44.946</f>
        <v>44.945999999999998</v>
      </c>
      <c r="DN54">
        <f>45.111</f>
        <v>45.110999999999997</v>
      </c>
      <c r="DO54">
        <f>43.305</f>
        <v>43.305</v>
      </c>
      <c r="DP54">
        <f>41.804</f>
        <v>41.804000000000002</v>
      </c>
      <c r="DQ54">
        <f>41.234</f>
        <v>41.234000000000002</v>
      </c>
      <c r="DR54">
        <f>40.053</f>
        <v>40.052999999999997</v>
      </c>
      <c r="DS54">
        <f>39.13799953</f>
        <v>39.137999530000002</v>
      </c>
      <c r="DT54">
        <f>38.409</f>
        <v>38.408999999999999</v>
      </c>
      <c r="DU54">
        <f>37.38</f>
        <v>37.380000000000003</v>
      </c>
    </row>
    <row r="55" spans="1:125">
      <c r="A55" t="str">
        <f>"    Mack-Cali Realty Corp"</f>
        <v xml:space="preserve">    Mack-Cali Realty Corp</v>
      </c>
      <c r="B55" t="str">
        <f>"CLI US Equity"</f>
        <v>CLI US Equity</v>
      </c>
      <c r="C55" t="str">
        <f t="shared" si="12"/>
        <v>RR502</v>
      </c>
      <c r="D55" t="str">
        <f t="shared" si="13"/>
        <v>NET_OPER_INCOME</v>
      </c>
      <c r="E55" t="str">
        <f t="shared" si="14"/>
        <v>动态</v>
      </c>
      <c r="F55" t="str">
        <f ca="1">IF(AND(ISNUMBER($F$372),$B$294=1),$F$372,HLOOKUP(INDIRECT(ADDRESS(2,COLUMN())),OFFSET($BN$2,0,0,ROW()-1,60),ROW()-1,FALSE))</f>
        <v/>
      </c>
      <c r="G55">
        <f ca="1">IF(AND(ISNUMBER($G$372),$B$294=1),$G$372,HLOOKUP(INDIRECT(ADDRESS(2,COLUMN())),OFFSET($BN$2,0,0,ROW()-1,60),ROW()-1,FALSE))</f>
        <v>80.968000000000004</v>
      </c>
      <c r="H55">
        <f ca="1">IF(AND(ISNUMBER($H$372),$B$294=1),$H$372,HLOOKUP(INDIRECT(ADDRESS(2,COLUMN())),OFFSET($BN$2,0,0,ROW()-1,60),ROW()-1,FALSE))</f>
        <v>91.701999999999998</v>
      </c>
      <c r="I55">
        <f ca="1">IF(AND(ISNUMBER($I$372),$B$294=1),$I$372,HLOOKUP(INDIRECT(ADDRESS(2,COLUMN())),OFFSET($BN$2,0,0,ROW()-1,60),ROW()-1,FALSE))</f>
        <v>95.353999999999999</v>
      </c>
      <c r="J55">
        <f ca="1">IF(AND(ISNUMBER($J$372),$B$294=1),$J$372,HLOOKUP(INDIRECT(ADDRESS(2,COLUMN())),OFFSET($BN$2,0,0,ROW()-1,60),ROW()-1,FALSE))</f>
        <v>81.006</v>
      </c>
      <c r="K55">
        <f ca="1">IF(AND(ISNUMBER($K$372),$B$294=1),$K$372,HLOOKUP(INDIRECT(ADDRESS(2,COLUMN())),OFFSET($BN$2,0,0,ROW()-1,60),ROW()-1,FALSE))</f>
        <v>85.76</v>
      </c>
      <c r="L55">
        <f ca="1">IF(AND(ISNUMBER($L$372),$B$294=1),$L$372,HLOOKUP(INDIRECT(ADDRESS(2,COLUMN())),OFFSET($BN$2,0,0,ROW()-1,60),ROW()-1,FALSE))</f>
        <v>88.856999999999999</v>
      </c>
      <c r="M55">
        <f ca="1">IF(AND(ISNUMBER($M$372),$B$294=1),$M$372,HLOOKUP(INDIRECT(ADDRESS(2,COLUMN())),OFFSET($BN$2,0,0,ROW()-1,60),ROW()-1,FALSE))</f>
        <v>84.47</v>
      </c>
      <c r="N55">
        <f ca="1">IF(AND(ISNUMBER($N$372),$B$294=1),$N$372,HLOOKUP(INDIRECT(ADDRESS(2,COLUMN())),OFFSET($BN$2,0,0,ROW()-1,60),ROW()-1,FALSE))</f>
        <v>80.968000000000004</v>
      </c>
      <c r="O55">
        <f ca="1">IF(AND(ISNUMBER($O$372),$B$294=1),$O$372,HLOOKUP(INDIRECT(ADDRESS(2,COLUMN())),OFFSET($BN$2,0,0,ROW()-1,60),ROW()-1,FALSE))</f>
        <v>77.622</v>
      </c>
      <c r="P55">
        <f ca="1">IF(AND(ISNUMBER($P$372),$B$294=1),$P$372,HLOOKUP(INDIRECT(ADDRESS(2,COLUMN())),OFFSET($BN$2,0,0,ROW()-1,60),ROW()-1,FALSE))</f>
        <v>80.656000000000006</v>
      </c>
      <c r="Q55">
        <f ca="1">IF(AND(ISNUMBER($Q$372),$B$294=1),$Q$372,HLOOKUP(INDIRECT(ADDRESS(2,COLUMN())),OFFSET($BN$2,0,0,ROW()-1,60),ROW()-1,FALSE))</f>
        <v>79.284999999999997</v>
      </c>
      <c r="R55">
        <f ca="1">IF(AND(ISNUMBER($R$372),$B$294=1),$R$372,HLOOKUP(INDIRECT(ADDRESS(2,COLUMN())),OFFSET($BN$2,0,0,ROW()-1,60),ROW()-1,FALSE))</f>
        <v>76.478999999999999</v>
      </c>
      <c r="S55">
        <f ca="1">IF(AND(ISNUMBER($S$372),$B$294=1),$S$372,HLOOKUP(INDIRECT(ADDRESS(2,COLUMN())),OFFSET($BN$2,0,0,ROW()-1,60),ROW()-1,FALSE))</f>
        <v>78.816000000000003</v>
      </c>
      <c r="T55">
        <f ca="1">IF(AND(ISNUMBER($T$372),$B$294=1),$T$372,HLOOKUP(INDIRECT(ADDRESS(2,COLUMN())),OFFSET($BN$2,0,0,ROW()-1,60),ROW()-1,FALSE))</f>
        <v>82.846000000000004</v>
      </c>
      <c r="U55">
        <f ca="1">IF(AND(ISNUMBER($U$372),$B$294=1),$U$372,HLOOKUP(INDIRECT(ADDRESS(2,COLUMN())),OFFSET($BN$2,0,0,ROW()-1,60),ROW()-1,FALSE))</f>
        <v>86.653999999999996</v>
      </c>
      <c r="V55">
        <f ca="1">IF(AND(ISNUMBER($V$372),$B$294=1),$V$372,HLOOKUP(INDIRECT(ADDRESS(2,COLUMN())),OFFSET($BN$2,0,0,ROW()-1,60),ROW()-1,FALSE))</f>
        <v>79.879000000000005</v>
      </c>
      <c r="W55">
        <f ca="1">IF(AND(ISNUMBER($W$372),$B$294=1),$W$372,HLOOKUP(INDIRECT(ADDRESS(2,COLUMN())),OFFSET($BN$2,0,0,ROW()-1,60),ROW()-1,FALSE))</f>
        <v>89.21</v>
      </c>
      <c r="X55">
        <f ca="1">IF(AND(ISNUMBER($X$372),$B$294=1),$X$372,HLOOKUP(INDIRECT(ADDRESS(2,COLUMN())),OFFSET($BN$2,0,0,ROW()-1,60),ROW()-1,FALSE))</f>
        <v>89.23</v>
      </c>
      <c r="Y55">
        <f ca="1">IF(AND(ISNUMBER($Y$372),$B$294=1),$Y$372,HLOOKUP(INDIRECT(ADDRESS(2,COLUMN())),OFFSET($BN$2,0,0,ROW()-1,60),ROW()-1,FALSE))</f>
        <v>95.590999999999994</v>
      </c>
      <c r="Z55">
        <f ca="1">IF(AND(ISNUMBER($Z$372),$B$294=1),$Z$372,HLOOKUP(INDIRECT(ADDRESS(2,COLUMN())),OFFSET($BN$2,0,0,ROW()-1,60),ROW()-1,FALSE))</f>
        <v>91.257999999999996</v>
      </c>
      <c r="AA55">
        <f ca="1">IF(AND(ISNUMBER($AA$372),$B$294=1),$AA$372,HLOOKUP(INDIRECT(ADDRESS(2,COLUMN())),OFFSET($BN$2,0,0,ROW()-1,60),ROW()-1,FALSE))</f>
        <v>95.974999999999994</v>
      </c>
      <c r="AB55">
        <f ca="1">IF(AND(ISNUMBER($AB$372),$B$294=1),$AB$372,HLOOKUP(INDIRECT(ADDRESS(2,COLUMN())),OFFSET($BN$2,0,0,ROW()-1,60),ROW()-1,FALSE))</f>
        <v>92.152000000000001</v>
      </c>
      <c r="AC55">
        <f ca="1">IF(AND(ISNUMBER($AC$372),$B$294=1),$AC$372,HLOOKUP(INDIRECT(ADDRESS(2,COLUMN())),OFFSET($BN$2,0,0,ROW()-1,60),ROW()-1,FALSE))</f>
        <v>99.977000000000004</v>
      </c>
      <c r="AD55">
        <f ca="1">IF(AND(ISNUMBER($AD$372),$B$294=1),$AD$372,HLOOKUP(INDIRECT(ADDRESS(2,COLUMN())),OFFSET($BN$2,0,0,ROW()-1,60),ROW()-1,FALSE))</f>
        <v>101.348</v>
      </c>
      <c r="AE55">
        <f ca="1">IF(AND(ISNUMBER($AE$372),$B$294=1),$AE$372,HLOOKUP(INDIRECT(ADDRESS(2,COLUMN())),OFFSET($BN$2,0,0,ROW()-1,60),ROW()-1,FALSE))</f>
        <v>99.6</v>
      </c>
      <c r="AF55">
        <f ca="1">IF(AND(ISNUMBER($AF$372),$B$294=1),$AF$372,HLOOKUP(INDIRECT(ADDRESS(2,COLUMN())),OFFSET($BN$2,0,0,ROW()-1,60),ROW()-1,FALSE))</f>
        <v>107.881</v>
      </c>
      <c r="AG55">
        <f ca="1">IF(AND(ISNUMBER($AG$372),$B$294=1),$AG$372,HLOOKUP(INDIRECT(ADDRESS(2,COLUMN())),OFFSET($BN$2,0,0,ROW()-1,60),ROW()-1,FALSE))</f>
        <v>102.68300000000001</v>
      </c>
      <c r="AH55">
        <f ca="1">IF(AND(ISNUMBER($AH$372),$B$294=1),$AH$372,HLOOKUP(INDIRECT(ADDRESS(2,COLUMN())),OFFSET($BN$2,0,0,ROW()-1,60),ROW()-1,FALSE))</f>
        <v>100.008</v>
      </c>
      <c r="AI55">
        <f ca="1">IF(AND(ISNUMBER($AI$372),$B$294=1),$AI$372,HLOOKUP(INDIRECT(ADDRESS(2,COLUMN())),OFFSET($BN$2,0,0,ROW()-1,60),ROW()-1,FALSE))</f>
        <v>105.318</v>
      </c>
      <c r="AJ55">
        <f ca="1">IF(AND(ISNUMBER($AJ$372),$B$294=1),$AJ$372,HLOOKUP(INDIRECT(ADDRESS(2,COLUMN())),OFFSET($BN$2,0,0,ROW()-1,60),ROW()-1,FALSE))</f>
        <v>103.395</v>
      </c>
      <c r="AK55">
        <f ca="1">IF(AND(ISNUMBER($AK$372),$B$294=1),$AK$372,HLOOKUP(INDIRECT(ADDRESS(2,COLUMN())),OFFSET($BN$2,0,0,ROW()-1,60),ROW()-1,FALSE))</f>
        <v>105.13500000000001</v>
      </c>
      <c r="AL55">
        <f ca="1">IF(AND(ISNUMBER($AL$372),$B$294=1),$AL$372,HLOOKUP(INDIRECT(ADDRESS(2,COLUMN())),OFFSET($BN$2,0,0,ROW()-1,60),ROW()-1,FALSE))</f>
        <v>108.14400000000001</v>
      </c>
      <c r="AM55">
        <f ca="1">IF(AND(ISNUMBER($AM$372),$B$294=1),$AM$372,HLOOKUP(INDIRECT(ADDRESS(2,COLUMN())),OFFSET($BN$2,0,0,ROW()-1,60),ROW()-1,FALSE))</f>
        <v>110.004</v>
      </c>
      <c r="AN55">
        <f ca="1">IF(AND(ISNUMBER($AN$372),$B$294=1),$AN$372,HLOOKUP(INDIRECT(ADDRESS(2,COLUMN())),OFFSET($BN$2,0,0,ROW()-1,60),ROW()-1,FALSE))</f>
        <v>113.065</v>
      </c>
      <c r="AO55">
        <f ca="1">IF(AND(ISNUMBER($AO$372),$B$294=1),$AO$372,HLOOKUP(INDIRECT(ADDRESS(2,COLUMN())),OFFSET($BN$2,0,0,ROW()-1,60),ROW()-1,FALSE))</f>
        <v>111.646</v>
      </c>
      <c r="AP55">
        <f ca="1">IF(AND(ISNUMBER($AP$372),$B$294=1),$AP$372,HLOOKUP(INDIRECT(ADDRESS(2,COLUMN())),OFFSET($BN$2,0,0,ROW()-1,60),ROW()-1,FALSE))</f>
        <v>104.985</v>
      </c>
      <c r="AQ55">
        <f ca="1">IF(AND(ISNUMBER($AQ$372),$B$294=1),$AQ$372,HLOOKUP(INDIRECT(ADDRESS(2,COLUMN())),OFFSET($BN$2,0,0,ROW()-1,60),ROW()-1,FALSE))</f>
        <v>113.57599999999999</v>
      </c>
      <c r="AR55">
        <f ca="1">IF(AND(ISNUMBER($AR$372),$B$294=1),$AR$372,HLOOKUP(INDIRECT(ADDRESS(2,COLUMN())),OFFSET($BN$2,0,0,ROW()-1,60),ROW()-1,FALSE))</f>
        <v>103.542</v>
      </c>
      <c r="AS55">
        <f ca="1">IF(AND(ISNUMBER($AS$372),$B$294=1),$AS$372,HLOOKUP(INDIRECT(ADDRESS(2,COLUMN())),OFFSET($BN$2,0,0,ROW()-1,60),ROW()-1,FALSE))</f>
        <v>103.736</v>
      </c>
      <c r="AT55">
        <f ca="1">IF(AND(ISNUMBER($AT$372),$B$294=1),$AT$372,HLOOKUP(INDIRECT(ADDRESS(2,COLUMN())),OFFSET($BN$2,0,0,ROW()-1,60),ROW()-1,FALSE))</f>
        <v>102.89</v>
      </c>
      <c r="AU55">
        <f ca="1">IF(AND(ISNUMBER($AU$372),$B$294=1),$AU$372,HLOOKUP(INDIRECT(ADDRESS(2,COLUMN())),OFFSET($BN$2,0,0,ROW()-1,60),ROW()-1,FALSE))</f>
        <v>105.91200000000001</v>
      </c>
      <c r="AV55">
        <f ca="1">IF(AND(ISNUMBER($AV$372),$B$294=1),$AV$372,HLOOKUP(INDIRECT(ADDRESS(2,COLUMN())),OFFSET($BN$2,0,0,ROW()-1,60),ROW()-1,FALSE))</f>
        <v>101.56399999999999</v>
      </c>
      <c r="AW55">
        <f ca="1">IF(AND(ISNUMBER($AW$372),$B$294=1),$AW$372,HLOOKUP(INDIRECT(ADDRESS(2,COLUMN())),OFFSET($BN$2,0,0,ROW()-1,60),ROW()-1,FALSE))</f>
        <v>101.71899999999999</v>
      </c>
      <c r="AX55">
        <f ca="1">IF(AND(ISNUMBER($AX$372),$B$294=1),$AX$372,HLOOKUP(INDIRECT(ADDRESS(2,COLUMN())),OFFSET($BN$2,0,0,ROW()-1,60),ROW()-1,FALSE))</f>
        <v>100.136</v>
      </c>
      <c r="AY55">
        <f ca="1">IF(AND(ISNUMBER($AY$372),$B$294=1),$AY$372,HLOOKUP(INDIRECT(ADDRESS(2,COLUMN())),OFFSET($BN$2,0,0,ROW()-1,60),ROW()-1,FALSE))</f>
        <v>98.97</v>
      </c>
      <c r="AZ55">
        <f ca="1">IF(AND(ISNUMBER($AZ$372),$B$294=1),$AZ$372,HLOOKUP(INDIRECT(ADDRESS(2,COLUMN())),OFFSET($BN$2,0,0,ROW()-1,60),ROW()-1,FALSE))</f>
        <v>100.449</v>
      </c>
      <c r="BA55">
        <f ca="1">IF(AND(ISNUMBER($BA$372),$B$294=1),$BA$372,HLOOKUP(INDIRECT(ADDRESS(2,COLUMN())),OFFSET($BN$2,0,0,ROW()-1,60),ROW()-1,FALSE))</f>
        <v>96.349000000000004</v>
      </c>
      <c r="BB55">
        <f ca="1">IF(AND(ISNUMBER($BB$372),$B$294=1),$BB$372,HLOOKUP(INDIRECT(ADDRESS(2,COLUMN())),OFFSET($BN$2,0,0,ROW()-1,60),ROW()-1,FALSE))</f>
        <v>93.433999999999997</v>
      </c>
      <c r="BC55">
        <f ca="1">IF(AND(ISNUMBER($BC$372),$B$294=1),$BC$372,HLOOKUP(INDIRECT(ADDRESS(2,COLUMN())),OFFSET($BN$2,0,0,ROW()-1,60),ROW()-1,FALSE))</f>
        <v>83.191999999999993</v>
      </c>
      <c r="BD55">
        <f ca="1">IF(AND(ISNUMBER($BD$372),$B$294=1),$BD$372,HLOOKUP(INDIRECT(ADDRESS(2,COLUMN())),OFFSET($BN$2,0,0,ROW()-1,60),ROW()-1,FALSE))</f>
        <v>93.637</v>
      </c>
      <c r="BE55">
        <f ca="1">IF(AND(ISNUMBER($BE$372),$B$294=1),$BE$372,HLOOKUP(INDIRECT(ADDRESS(2,COLUMN())),OFFSET($BN$2,0,0,ROW()-1,60),ROW()-1,FALSE))</f>
        <v>101.622</v>
      </c>
      <c r="BF55">
        <f ca="1">IF(AND(ISNUMBER($BF$372),$B$294=1),$BF$372,HLOOKUP(INDIRECT(ADDRESS(2,COLUMN())),OFFSET($BN$2,0,0,ROW()-1,60),ROW()-1,FALSE))</f>
        <v>100.12</v>
      </c>
      <c r="BG55">
        <f ca="1">IF(AND(ISNUMBER($BG$372),$B$294=1),$BG$372,HLOOKUP(INDIRECT(ADDRESS(2,COLUMN())),OFFSET($BN$2,0,0,ROW()-1,60),ROW()-1,FALSE))</f>
        <v>99.576999999999998</v>
      </c>
      <c r="BH55">
        <f ca="1">IF(AND(ISNUMBER($BH$372),$B$294=1),$BH$372,HLOOKUP(INDIRECT(ADDRESS(2,COLUMN())),OFFSET($BN$2,0,0,ROW()-1,60),ROW()-1,FALSE))</f>
        <v>100.83499999999999</v>
      </c>
      <c r="BI55">
        <f ca="1">IF(AND(ISNUMBER($BI$372),$B$294=1),$BI$372,HLOOKUP(INDIRECT(ADDRESS(2,COLUMN())),OFFSET($BN$2,0,0,ROW()-1,60),ROW()-1,FALSE))</f>
        <v>100.607006</v>
      </c>
      <c r="BJ55">
        <f ca="1">IF(AND(ISNUMBER($BJ$372),$B$294=1),$BJ$372,HLOOKUP(INDIRECT(ADDRESS(2,COLUMN())),OFFSET($BN$2,0,0,ROW()-1,60),ROW()-1,FALSE))</f>
        <v>95.011005999999995</v>
      </c>
      <c r="BK55">
        <f ca="1">IF(AND(ISNUMBER($BK$372),$B$294=1),$BK$372,HLOOKUP(INDIRECT(ADDRESS(2,COLUMN())),OFFSET($BN$2,0,0,ROW()-1,60),ROW()-1,FALSE))</f>
        <v>98.507991790000005</v>
      </c>
      <c r="BL55">
        <f ca="1">IF(AND(ISNUMBER($BL$372),$B$294=1),$BL$372,HLOOKUP(INDIRECT(ADDRESS(2,COLUMN())),OFFSET($BN$2,0,0,ROW()-1,60),ROW()-1,FALSE))</f>
        <v>99.052002000000002</v>
      </c>
      <c r="BM55">
        <f ca="1">IF(AND(ISNUMBER($BM$372),$B$294=1),$BM$372,HLOOKUP(INDIRECT(ADDRESS(2,COLUMN())),OFFSET($BN$2,0,0,ROW()-1,60),ROW()-1,FALSE))</f>
        <v>100.476006</v>
      </c>
      <c r="BN55" t="str">
        <f>""</f>
        <v/>
      </c>
      <c r="BO55">
        <f>80.968</f>
        <v>80.968000000000004</v>
      </c>
      <c r="BP55">
        <f>91.702</f>
        <v>91.701999999999998</v>
      </c>
      <c r="BQ55">
        <f>95.354</f>
        <v>95.353999999999999</v>
      </c>
      <c r="BR55">
        <f>81.006</f>
        <v>81.006</v>
      </c>
      <c r="BS55">
        <f>85.76</f>
        <v>85.76</v>
      </c>
      <c r="BT55">
        <f>88.857</f>
        <v>88.856999999999999</v>
      </c>
      <c r="BU55">
        <f>84.47</f>
        <v>84.47</v>
      </c>
      <c r="BV55">
        <f>80.968</f>
        <v>80.968000000000004</v>
      </c>
      <c r="BW55">
        <f>77.622</f>
        <v>77.622</v>
      </c>
      <c r="BX55">
        <f>80.656</f>
        <v>80.656000000000006</v>
      </c>
      <c r="BY55">
        <f>79.285</f>
        <v>79.284999999999997</v>
      </c>
      <c r="BZ55">
        <f>76.479</f>
        <v>76.478999999999999</v>
      </c>
      <c r="CA55">
        <f>78.816</f>
        <v>78.816000000000003</v>
      </c>
      <c r="CB55">
        <f>82.846</f>
        <v>82.846000000000004</v>
      </c>
      <c r="CC55">
        <f>86.654</f>
        <v>86.653999999999996</v>
      </c>
      <c r="CD55">
        <f>79.879</f>
        <v>79.879000000000005</v>
      </c>
      <c r="CE55">
        <f>89.21</f>
        <v>89.21</v>
      </c>
      <c r="CF55">
        <f>89.23</f>
        <v>89.23</v>
      </c>
      <c r="CG55">
        <f>95.591</f>
        <v>95.590999999999994</v>
      </c>
      <c r="CH55">
        <f>91.258</f>
        <v>91.257999999999996</v>
      </c>
      <c r="CI55">
        <f>95.975</f>
        <v>95.974999999999994</v>
      </c>
      <c r="CJ55">
        <f>92.152</f>
        <v>92.152000000000001</v>
      </c>
      <c r="CK55">
        <f>99.977</f>
        <v>99.977000000000004</v>
      </c>
      <c r="CL55">
        <f>101.348</f>
        <v>101.348</v>
      </c>
      <c r="CM55">
        <f>99.6</f>
        <v>99.6</v>
      </c>
      <c r="CN55">
        <f>107.881</f>
        <v>107.881</v>
      </c>
      <c r="CO55">
        <f>102.683</f>
        <v>102.68300000000001</v>
      </c>
      <c r="CP55">
        <f>100.008</f>
        <v>100.008</v>
      </c>
      <c r="CQ55">
        <f>105.318</f>
        <v>105.318</v>
      </c>
      <c r="CR55">
        <f>103.395</f>
        <v>103.395</v>
      </c>
      <c r="CS55">
        <f>105.135</f>
        <v>105.13500000000001</v>
      </c>
      <c r="CT55">
        <f>108.144</f>
        <v>108.14400000000001</v>
      </c>
      <c r="CU55">
        <f>110.004</f>
        <v>110.004</v>
      </c>
      <c r="CV55">
        <f>113.065</f>
        <v>113.065</v>
      </c>
      <c r="CW55">
        <f>111.646</f>
        <v>111.646</v>
      </c>
      <c r="CX55">
        <f>104.985</f>
        <v>104.985</v>
      </c>
      <c r="CY55">
        <f>113.576</f>
        <v>113.57599999999999</v>
      </c>
      <c r="CZ55">
        <f>103.542</f>
        <v>103.542</v>
      </c>
      <c r="DA55">
        <f>103.736</f>
        <v>103.736</v>
      </c>
      <c r="DB55">
        <f>102.89</f>
        <v>102.89</v>
      </c>
      <c r="DC55">
        <f>105.912</f>
        <v>105.91200000000001</v>
      </c>
      <c r="DD55">
        <f>101.564</f>
        <v>101.56399999999999</v>
      </c>
      <c r="DE55">
        <f>101.719</f>
        <v>101.71899999999999</v>
      </c>
      <c r="DF55">
        <f>100.136</f>
        <v>100.136</v>
      </c>
      <c r="DG55">
        <f>98.97</f>
        <v>98.97</v>
      </c>
      <c r="DH55">
        <f>100.449</f>
        <v>100.449</v>
      </c>
      <c r="DI55">
        <f>96.349</f>
        <v>96.349000000000004</v>
      </c>
      <c r="DJ55">
        <f>93.434</f>
        <v>93.433999999999997</v>
      </c>
      <c r="DK55">
        <f>83.192</f>
        <v>83.191999999999993</v>
      </c>
      <c r="DL55">
        <f>93.637</f>
        <v>93.637</v>
      </c>
      <c r="DM55">
        <f>101.622</f>
        <v>101.622</v>
      </c>
      <c r="DN55">
        <f>100.12</f>
        <v>100.12</v>
      </c>
      <c r="DO55">
        <f>99.577</f>
        <v>99.576999999999998</v>
      </c>
      <c r="DP55">
        <f>100.835</f>
        <v>100.83499999999999</v>
      </c>
      <c r="DQ55">
        <f>100.607006</f>
        <v>100.607006</v>
      </c>
      <c r="DR55">
        <f>95.011006</f>
        <v>95.011005999999995</v>
      </c>
      <c r="DS55">
        <f>98.50799179</f>
        <v>98.507991790000005</v>
      </c>
      <c r="DT55">
        <f>99.052002</f>
        <v>99.052002000000002</v>
      </c>
      <c r="DU55">
        <f>100.476006</f>
        <v>100.476006</v>
      </c>
    </row>
    <row r="56" spans="1:125">
      <c r="A56" t="str">
        <f>"    Piedmont Office Realty Trust I"</f>
        <v xml:space="preserve">    Piedmont Office Realty Trust I</v>
      </c>
      <c r="B56" t="str">
        <f>"PDM US Equity"</f>
        <v>PDM US Equity</v>
      </c>
      <c r="C56" t="str">
        <f t="shared" si="12"/>
        <v>RR502</v>
      </c>
      <c r="D56" t="str">
        <f t="shared" si="13"/>
        <v>NET_OPER_INCOME</v>
      </c>
      <c r="E56" t="str">
        <f t="shared" si="14"/>
        <v>动态</v>
      </c>
      <c r="F56" t="str">
        <f ca="1">IF(AND(ISNUMBER($F$373),$B$294=1),$F$373,HLOOKUP(INDIRECT(ADDRESS(2,COLUMN())),OFFSET($BN$2,0,0,ROW()-1,60),ROW()-1,FALSE))</f>
        <v/>
      </c>
      <c r="G56">
        <f ca="1">IF(AND(ISNUMBER($G$373),$B$294=1),$G$373,HLOOKUP(INDIRECT(ADDRESS(2,COLUMN())),OFFSET($BN$2,0,0,ROW()-1,60),ROW()-1,FALSE))</f>
        <v>84.066999999999993</v>
      </c>
      <c r="H56">
        <f ca="1">IF(AND(ISNUMBER($H$373),$B$294=1),$H$373,HLOOKUP(INDIRECT(ADDRESS(2,COLUMN())),OFFSET($BN$2,0,0,ROW()-1,60),ROW()-1,FALSE))</f>
        <v>83.497</v>
      </c>
      <c r="I56">
        <f ca="1">IF(AND(ISNUMBER($I$373),$B$294=1),$I$373,HLOOKUP(INDIRECT(ADDRESS(2,COLUMN())),OFFSET($BN$2,0,0,ROW()-1,60),ROW()-1,FALSE))</f>
        <v>92.9</v>
      </c>
      <c r="J56">
        <f ca="1">IF(AND(ISNUMBER($J$373),$B$294=1),$J$373,HLOOKUP(INDIRECT(ADDRESS(2,COLUMN())),OFFSET($BN$2,0,0,ROW()-1,60),ROW()-1,FALSE))</f>
        <v>93.078999999999994</v>
      </c>
      <c r="K56">
        <f ca="1">IF(AND(ISNUMBER($K$373),$B$294=1),$K$373,HLOOKUP(INDIRECT(ADDRESS(2,COLUMN())),OFFSET($BN$2,0,0,ROW()-1,60),ROW()-1,FALSE))</f>
        <v>86.415000000000006</v>
      </c>
      <c r="L56">
        <f ca="1">IF(AND(ISNUMBER($L$373),$B$294=1),$L$373,HLOOKUP(INDIRECT(ADDRESS(2,COLUMN())),OFFSET($BN$2,0,0,ROW()-1,60),ROW()-1,FALSE))</f>
        <v>83.617999999999995</v>
      </c>
      <c r="M56">
        <f ca="1">IF(AND(ISNUMBER($M$373),$B$294=1),$M$373,HLOOKUP(INDIRECT(ADDRESS(2,COLUMN())),OFFSET($BN$2,0,0,ROW()-1,60),ROW()-1,FALSE))</f>
        <v>83.015000000000001</v>
      </c>
      <c r="N56">
        <f ca="1">IF(AND(ISNUMBER($N$373),$B$294=1),$N$373,HLOOKUP(INDIRECT(ADDRESS(2,COLUMN())),OFFSET($BN$2,0,0,ROW()-1,60),ROW()-1,FALSE))</f>
        <v>83.823999999999998</v>
      </c>
      <c r="O56">
        <f ca="1">IF(AND(ISNUMBER($O$373),$B$294=1),$O$373,HLOOKUP(INDIRECT(ADDRESS(2,COLUMN())),OFFSET($BN$2,0,0,ROW()-1,60),ROW()-1,FALSE))</f>
        <v>84.852999999999994</v>
      </c>
      <c r="P56">
        <f ca="1">IF(AND(ISNUMBER($P$373),$B$294=1),$P$373,HLOOKUP(INDIRECT(ADDRESS(2,COLUMN())),OFFSET($BN$2,0,0,ROW()-1,60),ROW()-1,FALSE))</f>
        <v>87.138000000000005</v>
      </c>
      <c r="Q56">
        <f ca="1">IF(AND(ISNUMBER($Q$373),$B$294=1),$Q$373,HLOOKUP(INDIRECT(ADDRESS(2,COLUMN())),OFFSET($BN$2,0,0,ROW()-1,60),ROW()-1,FALSE))</f>
        <v>85.254999999999995</v>
      </c>
      <c r="R56">
        <f ca="1">IF(AND(ISNUMBER($R$373),$B$294=1),$R$373,HLOOKUP(INDIRECT(ADDRESS(2,COLUMN())),OFFSET($BN$2,0,0,ROW()-1,60),ROW()-1,FALSE))</f>
        <v>85.522999999999996</v>
      </c>
      <c r="S56">
        <f ca="1">IF(AND(ISNUMBER($S$373),$B$294=1),$S$373,HLOOKUP(INDIRECT(ADDRESS(2,COLUMN())),OFFSET($BN$2,0,0,ROW()-1,60),ROW()-1,FALSE))</f>
        <v>84.709000000000003</v>
      </c>
      <c r="T56">
        <f ca="1">IF(AND(ISNUMBER($T$373),$B$294=1),$T$373,HLOOKUP(INDIRECT(ADDRESS(2,COLUMN())),OFFSET($BN$2,0,0,ROW()-1,60),ROW()-1,FALSE))</f>
        <v>82.614000000000004</v>
      </c>
      <c r="U56">
        <f ca="1">IF(AND(ISNUMBER($U$373),$B$294=1),$U$373,HLOOKUP(INDIRECT(ADDRESS(2,COLUMN())),OFFSET($BN$2,0,0,ROW()-1,60),ROW()-1,FALSE))</f>
        <v>81.444000000000003</v>
      </c>
      <c r="V56">
        <f ca="1">IF(AND(ISNUMBER($V$373),$B$294=1),$V$373,HLOOKUP(INDIRECT(ADDRESS(2,COLUMN())),OFFSET($BN$2,0,0,ROW()-1,60),ROW()-1,FALSE))</f>
        <v>78.049000000000007</v>
      </c>
      <c r="W56">
        <f ca="1">IF(AND(ISNUMBER($W$373),$B$294=1),$W$373,HLOOKUP(INDIRECT(ADDRESS(2,COLUMN())),OFFSET($BN$2,0,0,ROW()-1,60),ROW()-1,FALSE))</f>
        <v>83.241</v>
      </c>
      <c r="X56">
        <f ca="1">IF(AND(ISNUMBER($X$373),$B$294=1),$X$373,HLOOKUP(INDIRECT(ADDRESS(2,COLUMN())),OFFSET($BN$2,0,0,ROW()-1,60),ROW()-1,FALSE))</f>
        <v>85.251999999999995</v>
      </c>
      <c r="Y56">
        <f ca="1">IF(AND(ISNUMBER($Y$373),$B$294=1),$Y$373,HLOOKUP(INDIRECT(ADDRESS(2,COLUMN())),OFFSET($BN$2,0,0,ROW()-1,60),ROW()-1,FALSE))</f>
        <v>80.341999999999999</v>
      </c>
      <c r="Z56">
        <f ca="1">IF(AND(ISNUMBER($Z$373),$B$294=1),$Z$373,HLOOKUP(INDIRECT(ADDRESS(2,COLUMN())),OFFSET($BN$2,0,0,ROW()-1,60),ROW()-1,FALSE))</f>
        <v>79.995999999999995</v>
      </c>
      <c r="AA56">
        <f ca="1">IF(AND(ISNUMBER($AA$373),$B$294=1),$AA$373,HLOOKUP(INDIRECT(ADDRESS(2,COLUMN())),OFFSET($BN$2,0,0,ROW()-1,60),ROW()-1,FALSE))</f>
        <v>78.358999999999995</v>
      </c>
      <c r="AB56">
        <f ca="1">IF(AND(ISNUMBER($AB$373),$B$294=1),$AB$373,HLOOKUP(INDIRECT(ADDRESS(2,COLUMN())),OFFSET($BN$2,0,0,ROW()-1,60),ROW()-1,FALSE))</f>
        <v>82.117000000000004</v>
      </c>
      <c r="AC56">
        <f ca="1">IF(AND(ISNUMBER($AC$373),$B$294=1),$AC$373,HLOOKUP(INDIRECT(ADDRESS(2,COLUMN())),OFFSET($BN$2,0,0,ROW()-1,60),ROW()-1,FALSE))</f>
        <v>79.103999999999999</v>
      </c>
      <c r="AD56">
        <f ca="1">IF(AND(ISNUMBER($AD$373),$B$294=1),$AD$373,HLOOKUP(INDIRECT(ADDRESS(2,COLUMN())),OFFSET($BN$2,0,0,ROW()-1,60),ROW()-1,FALSE))</f>
        <v>79.394999999999996</v>
      </c>
      <c r="AE56">
        <f ca="1">IF(AND(ISNUMBER($AE$373),$B$294=1),$AE$373,HLOOKUP(INDIRECT(ADDRESS(2,COLUMN())),OFFSET($BN$2,0,0,ROW()-1,60),ROW()-1,FALSE))</f>
        <v>80.631</v>
      </c>
      <c r="AF56">
        <f ca="1">IF(AND(ISNUMBER($AF$373),$B$294=1),$AF$373,HLOOKUP(INDIRECT(ADDRESS(2,COLUMN())),OFFSET($BN$2,0,0,ROW()-1,60),ROW()-1,FALSE))</f>
        <v>81.771000000000001</v>
      </c>
      <c r="AG56">
        <f ca="1">IF(AND(ISNUMBER($AG$373),$B$294=1),$AG$373,HLOOKUP(INDIRECT(ADDRESS(2,COLUMN())),OFFSET($BN$2,0,0,ROW()-1,60),ROW()-1,FALSE))</f>
        <v>82.605000000000004</v>
      </c>
      <c r="AH56">
        <f ca="1">IF(AND(ISNUMBER($AH$373),$B$294=1),$AH$373,HLOOKUP(INDIRECT(ADDRESS(2,COLUMN())),OFFSET($BN$2,0,0,ROW()-1,60),ROW()-1,FALSE))</f>
        <v>82.632999999999996</v>
      </c>
      <c r="AI56">
        <f ca="1">IF(AND(ISNUMBER($AI$373),$B$294=1),$AI$373,HLOOKUP(INDIRECT(ADDRESS(2,COLUMN())),OFFSET($BN$2,0,0,ROW()-1,60),ROW()-1,FALSE))</f>
        <v>81.775000000000006</v>
      </c>
      <c r="AJ56">
        <f ca="1">IF(AND(ISNUMBER($AJ$373),$B$294=1),$AJ$373,HLOOKUP(INDIRECT(ADDRESS(2,COLUMN())),OFFSET($BN$2,0,0,ROW()-1,60),ROW()-1,FALSE))</f>
        <v>89.698999999999998</v>
      </c>
      <c r="AK56">
        <f ca="1">IF(AND(ISNUMBER($AK$373),$B$294=1),$AK$373,HLOOKUP(INDIRECT(ADDRESS(2,COLUMN())),OFFSET($BN$2,0,0,ROW()-1,60),ROW()-1,FALSE))</f>
        <v>88.978999999999999</v>
      </c>
      <c r="AL56">
        <f ca="1">IF(AND(ISNUMBER($AL$373),$B$294=1),$AL$373,HLOOKUP(INDIRECT(ADDRESS(2,COLUMN())),OFFSET($BN$2,0,0,ROW()-1,60),ROW()-1,FALSE))</f>
        <v>91.483000000000004</v>
      </c>
      <c r="AM56">
        <f ca="1">IF(AND(ISNUMBER($AM$373),$B$294=1),$AM$373,HLOOKUP(INDIRECT(ADDRESS(2,COLUMN())),OFFSET($BN$2,0,0,ROW()-1,60),ROW()-1,FALSE))</f>
        <v>92.141999999999996</v>
      </c>
      <c r="AN56">
        <f ca="1">IF(AND(ISNUMBER($AN$373),$B$294=1),$AN$373,HLOOKUP(INDIRECT(ADDRESS(2,COLUMN())),OFFSET($BN$2,0,0,ROW()-1,60),ROW()-1,FALSE))</f>
        <v>91.352000000000004</v>
      </c>
      <c r="AO56">
        <f ca="1">IF(AND(ISNUMBER($AO$373),$B$294=1),$AO$373,HLOOKUP(INDIRECT(ADDRESS(2,COLUMN())),OFFSET($BN$2,0,0,ROW()-1,60),ROW()-1,FALSE))</f>
        <v>92.358999999999995</v>
      </c>
      <c r="AP56">
        <f ca="1">IF(AND(ISNUMBER($AP$373),$B$294=1),$AP$373,HLOOKUP(INDIRECT(ADDRESS(2,COLUMN())),OFFSET($BN$2,0,0,ROW()-1,60),ROW()-1,FALSE))</f>
        <v>94.084000000000003</v>
      </c>
      <c r="AQ56">
        <f ca="1">IF(AND(ISNUMBER($AQ$373),$B$294=1),$AQ$373,HLOOKUP(INDIRECT(ADDRESS(2,COLUMN())),OFFSET($BN$2,0,0,ROW()-1,60),ROW()-1,FALSE))</f>
        <v>100.01900000000001</v>
      </c>
      <c r="AR56">
        <f ca="1">IF(AND(ISNUMBER($AR$373),$B$294=1),$AR$373,HLOOKUP(INDIRECT(ADDRESS(2,COLUMN())),OFFSET($BN$2,0,0,ROW()-1,60),ROW()-1,FALSE))</f>
        <v>101.03400000000001</v>
      </c>
      <c r="AS56">
        <f ca="1">IF(AND(ISNUMBER($AS$373),$B$294=1),$AS$373,HLOOKUP(INDIRECT(ADDRESS(2,COLUMN())),OFFSET($BN$2,0,0,ROW()-1,60),ROW()-1,FALSE))</f>
        <v>96.305000000000007</v>
      </c>
      <c r="AT56">
        <f ca="1">IF(AND(ISNUMBER($AT$373),$B$294=1),$AT$373,HLOOKUP(INDIRECT(ADDRESS(2,COLUMN())),OFFSET($BN$2,0,0,ROW()-1,60),ROW()-1,FALSE))</f>
        <v>101.30200000000001</v>
      </c>
      <c r="AU56">
        <f ca="1">IF(AND(ISNUMBER($AU$373),$B$294=1),$AU$373,HLOOKUP(INDIRECT(ADDRESS(2,COLUMN())),OFFSET($BN$2,0,0,ROW()-1,60),ROW()-1,FALSE))</f>
        <v>96.963999999999999</v>
      </c>
      <c r="AV56">
        <f ca="1">IF(AND(ISNUMBER($AV$373),$B$294=1),$AV$373,HLOOKUP(INDIRECT(ADDRESS(2,COLUMN())),OFFSET($BN$2,0,0,ROW()-1,60),ROW()-1,FALSE))</f>
        <v>93.313000000000002</v>
      </c>
      <c r="AW56">
        <f ca="1">IF(AND(ISNUMBER($AW$373),$B$294=1),$AW$373,HLOOKUP(INDIRECT(ADDRESS(2,COLUMN())),OFFSET($BN$2,0,0,ROW()-1,60),ROW()-1,FALSE))</f>
        <v>91.206000000000003</v>
      </c>
      <c r="AX56">
        <f ca="1">IF(AND(ISNUMBER($AX$373),$B$294=1),$AX$373,HLOOKUP(INDIRECT(ADDRESS(2,COLUMN())),OFFSET($BN$2,0,0,ROW()-1,60),ROW()-1,FALSE))</f>
        <v>86.498999999999995</v>
      </c>
      <c r="AY56">
        <f ca="1">IF(AND(ISNUMBER($AY$373),$B$294=1),$AY$373,HLOOKUP(INDIRECT(ADDRESS(2,COLUMN())),OFFSET($BN$2,0,0,ROW()-1,60),ROW()-1,FALSE))</f>
        <v>80.58</v>
      </c>
      <c r="AZ56">
        <f ca="1">IF(AND(ISNUMBER($AZ$373),$B$294=1),$AZ$373,HLOOKUP(INDIRECT(ADDRESS(2,COLUMN())),OFFSET($BN$2,0,0,ROW()-1,60),ROW()-1,FALSE))</f>
        <v>93.96</v>
      </c>
      <c r="BA56">
        <f ca="1">IF(AND(ISNUMBER($BA$373),$B$294=1),$BA$373,HLOOKUP(INDIRECT(ADDRESS(2,COLUMN())),OFFSET($BN$2,0,0,ROW()-1,60),ROW()-1,FALSE))</f>
        <v>85.022000000000006</v>
      </c>
      <c r="BB56">
        <f ca="1">IF(AND(ISNUMBER($BB$373),$B$294=1),$BB$373,HLOOKUP(INDIRECT(ADDRESS(2,COLUMN())),OFFSET($BN$2,0,0,ROW()-1,60),ROW()-1,FALSE))</f>
        <v>84.888999999999996</v>
      </c>
      <c r="BC56">
        <f ca="1">IF(AND(ISNUMBER($BC$373),$B$294=1),$BC$373,HLOOKUP(INDIRECT(ADDRESS(2,COLUMN())),OFFSET($BN$2,0,0,ROW()-1,60),ROW()-1,FALSE))</f>
        <v>84.721000000000004</v>
      </c>
      <c r="BD56">
        <f ca="1">IF(AND(ISNUMBER($BD$373),$B$294=1),$BD$373,HLOOKUP(INDIRECT(ADDRESS(2,COLUMN())),OFFSET($BN$2,0,0,ROW()-1,60),ROW()-1,FALSE))</f>
        <v>86.399000000000001</v>
      </c>
      <c r="BE56">
        <f ca="1">IF(AND(ISNUMBER($BE$373),$B$294=1),$BE$373,HLOOKUP(INDIRECT(ADDRESS(2,COLUMN())),OFFSET($BN$2,0,0,ROW()-1,60),ROW()-1,FALSE))</f>
        <v>92.72</v>
      </c>
      <c r="BF56">
        <f ca="1">IF(AND(ISNUMBER($BF$373),$B$294=1),$BF$373,HLOOKUP(INDIRECT(ADDRESS(2,COLUMN())),OFFSET($BN$2,0,0,ROW()-1,60),ROW()-1,FALSE))</f>
        <v>91.149000000000001</v>
      </c>
      <c r="BG56">
        <f ca="1">IF(AND(ISNUMBER($BG$373),$B$294=1),$BG$373,HLOOKUP(INDIRECT(ADDRESS(2,COLUMN())),OFFSET($BN$2,0,0,ROW()-1,60),ROW()-1,FALSE))</f>
        <v>90.338999999999999</v>
      </c>
      <c r="BH56">
        <f ca="1">IF(AND(ISNUMBER($BH$373),$B$294=1),$BH$373,HLOOKUP(INDIRECT(ADDRESS(2,COLUMN())),OFFSET($BN$2,0,0,ROW()-1,60),ROW()-1,FALSE))</f>
        <v>84.718000000000004</v>
      </c>
      <c r="BI56">
        <f ca="1">IF(AND(ISNUMBER($BI$373),$B$294=1),$BI$373,HLOOKUP(INDIRECT(ADDRESS(2,COLUMN())),OFFSET($BN$2,0,0,ROW()-1,60),ROW()-1,FALSE))</f>
        <v>95.977005000000005</v>
      </c>
      <c r="BJ56">
        <f ca="1">IF(AND(ISNUMBER($BJ$373),$B$294=1),$BJ$373,HLOOKUP(INDIRECT(ADDRESS(2,COLUMN())),OFFSET($BN$2,0,0,ROW()-1,60),ROW()-1,FALSE))</f>
        <v>87.242000579999996</v>
      </c>
      <c r="BK56">
        <f ca="1">IF(AND(ISNUMBER($BK$373),$B$294=1),$BK$373,HLOOKUP(INDIRECT(ADDRESS(2,COLUMN())),OFFSET($BN$2,0,0,ROW()-1,60),ROW()-1,FALSE))</f>
        <v>81.134002690000003</v>
      </c>
      <c r="BL56">
        <f ca="1">IF(AND(ISNUMBER($BL$373),$B$294=1),$BL$373,HLOOKUP(INDIRECT(ADDRESS(2,COLUMN())),OFFSET($BN$2,0,0,ROW()-1,60),ROW()-1,FALSE))</f>
        <v>68.578998569999996</v>
      </c>
      <c r="BM56">
        <f ca="1">IF(AND(ISNUMBER($BM$373),$B$294=1),$BM$373,HLOOKUP(INDIRECT(ADDRESS(2,COLUMN())),OFFSET($BN$2,0,0,ROW()-1,60),ROW()-1,FALSE))</f>
        <v>57.333000179999999</v>
      </c>
      <c r="BN56" t="str">
        <f>""</f>
        <v/>
      </c>
      <c r="BO56">
        <f>84.067</f>
        <v>84.066999999999993</v>
      </c>
      <c r="BP56">
        <f>83.497</f>
        <v>83.497</v>
      </c>
      <c r="BQ56">
        <f>92.9</f>
        <v>92.9</v>
      </c>
      <c r="BR56">
        <f>93.079</f>
        <v>93.078999999999994</v>
      </c>
      <c r="BS56">
        <f>86.415</f>
        <v>86.415000000000006</v>
      </c>
      <c r="BT56">
        <f>83.618</f>
        <v>83.617999999999995</v>
      </c>
      <c r="BU56">
        <f>83.015</f>
        <v>83.015000000000001</v>
      </c>
      <c r="BV56">
        <f>83.824</f>
        <v>83.823999999999998</v>
      </c>
      <c r="BW56">
        <f>84.853</f>
        <v>84.852999999999994</v>
      </c>
      <c r="BX56">
        <f>87.138</f>
        <v>87.138000000000005</v>
      </c>
      <c r="BY56">
        <f>85.255</f>
        <v>85.254999999999995</v>
      </c>
      <c r="BZ56">
        <f>85.523</f>
        <v>85.522999999999996</v>
      </c>
      <c r="CA56">
        <f>84.709</f>
        <v>84.709000000000003</v>
      </c>
      <c r="CB56">
        <f>82.614</f>
        <v>82.614000000000004</v>
      </c>
      <c r="CC56">
        <f>81.444</f>
        <v>81.444000000000003</v>
      </c>
      <c r="CD56">
        <f>78.049</f>
        <v>78.049000000000007</v>
      </c>
      <c r="CE56">
        <f>83.241</f>
        <v>83.241</v>
      </c>
      <c r="CF56">
        <f>85.252</f>
        <v>85.251999999999995</v>
      </c>
      <c r="CG56">
        <f>80.342</f>
        <v>80.341999999999999</v>
      </c>
      <c r="CH56">
        <f>79.996</f>
        <v>79.995999999999995</v>
      </c>
      <c r="CI56">
        <f>78.359</f>
        <v>78.358999999999995</v>
      </c>
      <c r="CJ56">
        <f>82.117</f>
        <v>82.117000000000004</v>
      </c>
      <c r="CK56">
        <f>79.104</f>
        <v>79.103999999999999</v>
      </c>
      <c r="CL56">
        <f>79.395</f>
        <v>79.394999999999996</v>
      </c>
      <c r="CM56">
        <f>80.631</f>
        <v>80.631</v>
      </c>
      <c r="CN56">
        <f>81.771</f>
        <v>81.771000000000001</v>
      </c>
      <c r="CO56">
        <f>82.605</f>
        <v>82.605000000000004</v>
      </c>
      <c r="CP56">
        <f>82.633</f>
        <v>82.632999999999996</v>
      </c>
      <c r="CQ56">
        <f>81.775</f>
        <v>81.775000000000006</v>
      </c>
      <c r="CR56">
        <f>89.699</f>
        <v>89.698999999999998</v>
      </c>
      <c r="CS56">
        <f>88.979</f>
        <v>88.978999999999999</v>
      </c>
      <c r="CT56">
        <f>91.483</f>
        <v>91.483000000000004</v>
      </c>
      <c r="CU56">
        <f>92.142</f>
        <v>92.141999999999996</v>
      </c>
      <c r="CV56">
        <f>91.352</f>
        <v>91.352000000000004</v>
      </c>
      <c r="CW56">
        <f>92.359</f>
        <v>92.358999999999995</v>
      </c>
      <c r="CX56">
        <f>94.084</f>
        <v>94.084000000000003</v>
      </c>
      <c r="CY56">
        <f>100.019</f>
        <v>100.01900000000001</v>
      </c>
      <c r="CZ56">
        <f>101.034</f>
        <v>101.03400000000001</v>
      </c>
      <c r="DA56">
        <f>96.305</f>
        <v>96.305000000000007</v>
      </c>
      <c r="DB56">
        <f>101.302</f>
        <v>101.30200000000001</v>
      </c>
      <c r="DC56">
        <f>96.964</f>
        <v>96.963999999999999</v>
      </c>
      <c r="DD56">
        <f>93.313</f>
        <v>93.313000000000002</v>
      </c>
      <c r="DE56">
        <f>91.206</f>
        <v>91.206000000000003</v>
      </c>
      <c r="DF56">
        <f>86.499</f>
        <v>86.498999999999995</v>
      </c>
      <c r="DG56">
        <f>80.58</f>
        <v>80.58</v>
      </c>
      <c r="DH56">
        <f>93.96</f>
        <v>93.96</v>
      </c>
      <c r="DI56">
        <f>85.022</f>
        <v>85.022000000000006</v>
      </c>
      <c r="DJ56">
        <f>84.889</f>
        <v>84.888999999999996</v>
      </c>
      <c r="DK56">
        <f>84.721</f>
        <v>84.721000000000004</v>
      </c>
      <c r="DL56">
        <f>86.399</f>
        <v>86.399000000000001</v>
      </c>
      <c r="DM56">
        <f>92.72</f>
        <v>92.72</v>
      </c>
      <c r="DN56">
        <f>91.149</f>
        <v>91.149000000000001</v>
      </c>
      <c r="DO56">
        <f>90.339</f>
        <v>90.338999999999999</v>
      </c>
      <c r="DP56">
        <f>84.718</f>
        <v>84.718000000000004</v>
      </c>
      <c r="DQ56">
        <f>95.977005</f>
        <v>95.977005000000005</v>
      </c>
      <c r="DR56">
        <f>87.24200058</f>
        <v>87.242000579999996</v>
      </c>
      <c r="DS56">
        <f>81.13400269</f>
        <v>81.134002690000003</v>
      </c>
      <c r="DT56">
        <f>68.57899857</f>
        <v>68.578998569999996</v>
      </c>
      <c r="DU56">
        <f>57.33300018</f>
        <v>57.333000179999999</v>
      </c>
    </row>
    <row r="57" spans="1:125">
      <c r="A57" t="str">
        <f>"    SL Green Realty Corp"</f>
        <v xml:space="preserve">    SL Green Realty Corp</v>
      </c>
      <c r="B57" t="str">
        <f>"SLG US Equity"</f>
        <v>SLG US Equity</v>
      </c>
      <c r="C57" t="str">
        <f t="shared" si="12"/>
        <v>RR502</v>
      </c>
      <c r="D57" t="str">
        <f t="shared" si="13"/>
        <v>NET_OPER_INCOME</v>
      </c>
      <c r="E57" t="str">
        <f t="shared" si="14"/>
        <v>动态</v>
      </c>
      <c r="F57" t="str">
        <f ca="1">IF(AND(ISNUMBER($F$374),$B$294=1),$F$374,HLOOKUP(INDIRECT(ADDRESS(2,COLUMN())),OFFSET($BN$2,0,0,ROW()-1,60),ROW()-1,FALSE))</f>
        <v/>
      </c>
      <c r="G57">
        <f ca="1">IF(AND(ISNUMBER($G$374),$B$294=1),$G$374,HLOOKUP(INDIRECT(ADDRESS(2,COLUMN())),OFFSET($BN$2,0,0,ROW()-1,60),ROW()-1,FALSE))</f>
        <v>168.333</v>
      </c>
      <c r="H57">
        <f ca="1">IF(AND(ISNUMBER($H$374),$B$294=1),$H$374,HLOOKUP(INDIRECT(ADDRESS(2,COLUMN())),OFFSET($BN$2,0,0,ROW()-1,60),ROW()-1,FALSE))</f>
        <v>171.12</v>
      </c>
      <c r="I57">
        <f ca="1">IF(AND(ISNUMBER($I$374),$B$294=1),$I$374,HLOOKUP(INDIRECT(ADDRESS(2,COLUMN())),OFFSET($BN$2,0,0,ROW()-1,60),ROW()-1,FALSE))</f>
        <v>181.922</v>
      </c>
      <c r="J57">
        <f ca="1">IF(AND(ISNUMBER($J$374),$B$294=1),$J$374,HLOOKUP(INDIRECT(ADDRESS(2,COLUMN())),OFFSET($BN$2,0,0,ROW()-1,60),ROW()-1,FALSE))</f>
        <v>181.63900000000001</v>
      </c>
      <c r="K57">
        <f ca="1">IF(AND(ISNUMBER($K$374),$B$294=1),$K$374,HLOOKUP(INDIRECT(ADDRESS(2,COLUMN())),OFFSET($BN$2,0,0,ROW()-1,60),ROW()-1,FALSE))</f>
        <v>182.01499999999999</v>
      </c>
      <c r="L57">
        <f ca="1">IF(AND(ISNUMBER($L$374),$B$294=1),$L$374,HLOOKUP(INDIRECT(ADDRESS(2,COLUMN())),OFFSET($BN$2,0,0,ROW()-1,60),ROW()-1,FALSE))</f>
        <v>182.71600000000001</v>
      </c>
      <c r="M57">
        <f ca="1">IF(AND(ISNUMBER($M$374),$B$294=1),$M$374,HLOOKUP(INDIRECT(ADDRESS(2,COLUMN())),OFFSET($BN$2,0,0,ROW()-1,60),ROW()-1,FALSE))</f>
        <v>319.67</v>
      </c>
      <c r="N57">
        <f ca="1">IF(AND(ISNUMBER($N$374),$B$294=1),$N$374,HLOOKUP(INDIRECT(ADDRESS(2,COLUMN())),OFFSET($BN$2,0,0,ROW()-1,60),ROW()-1,FALSE))</f>
        <v>241.71600000000001</v>
      </c>
      <c r="O57">
        <f ca="1">IF(AND(ISNUMBER($O$374),$B$294=1),$O$374,HLOOKUP(INDIRECT(ADDRESS(2,COLUMN())),OFFSET($BN$2,0,0,ROW()-1,60),ROW()-1,FALSE))</f>
        <v>223.76599999999999</v>
      </c>
      <c r="P57">
        <f ca="1">IF(AND(ISNUMBER($P$374),$B$294=1),$P$374,HLOOKUP(INDIRECT(ADDRESS(2,COLUMN())),OFFSET($BN$2,0,0,ROW()-1,60),ROW()-1,FALSE))</f>
        <v>218.81</v>
      </c>
      <c r="Q57">
        <f ca="1">IF(AND(ISNUMBER($Q$374),$B$294=1),$Q$374,HLOOKUP(INDIRECT(ADDRESS(2,COLUMN())),OFFSET($BN$2,0,0,ROW()-1,60),ROW()-1,FALSE))</f>
        <v>211.14699999999999</v>
      </c>
      <c r="R57">
        <f ca="1">IF(AND(ISNUMBER($R$374),$B$294=1),$R$374,HLOOKUP(INDIRECT(ADDRESS(2,COLUMN())),OFFSET($BN$2,0,0,ROW()-1,60),ROW()-1,FALSE))</f>
        <v>203.61</v>
      </c>
      <c r="S57">
        <f ca="1">IF(AND(ISNUMBER($S$374),$B$294=1),$S$374,HLOOKUP(INDIRECT(ADDRESS(2,COLUMN())),OFFSET($BN$2,0,0,ROW()-1,60),ROW()-1,FALSE))</f>
        <v>200.904</v>
      </c>
      <c r="T57">
        <f ca="1">IF(AND(ISNUMBER($T$374),$B$294=1),$T$374,HLOOKUP(INDIRECT(ADDRESS(2,COLUMN())),OFFSET($BN$2,0,0,ROW()-1,60),ROW()-1,FALSE))</f>
        <v>199.37200000000001</v>
      </c>
      <c r="U57">
        <f ca="1">IF(AND(ISNUMBER($U$374),$B$294=1),$U$374,HLOOKUP(INDIRECT(ADDRESS(2,COLUMN())),OFFSET($BN$2,0,0,ROW()-1,60),ROW()-1,FALSE))</f>
        <v>189.24199999999999</v>
      </c>
      <c r="V57">
        <f ca="1">IF(AND(ISNUMBER($V$374),$B$294=1),$V$374,HLOOKUP(INDIRECT(ADDRESS(2,COLUMN())),OFFSET($BN$2,0,0,ROW()-1,60),ROW()-1,FALSE))</f>
        <v>163.49100000000001</v>
      </c>
      <c r="W57">
        <f ca="1">IF(AND(ISNUMBER($W$374),$B$294=1),$W$374,HLOOKUP(INDIRECT(ADDRESS(2,COLUMN())),OFFSET($BN$2,0,0,ROW()-1,60),ROW()-1,FALSE))</f>
        <v>165.02600000000001</v>
      </c>
      <c r="X57">
        <f ca="1">IF(AND(ISNUMBER($X$374),$B$294=1),$X$374,HLOOKUP(INDIRECT(ADDRESS(2,COLUMN())),OFFSET($BN$2,0,0,ROW()-1,60),ROW()-1,FALSE))</f>
        <v>152.22200000000001</v>
      </c>
      <c r="Y57">
        <f ca="1">IF(AND(ISNUMBER($Y$374),$B$294=1),$Y$374,HLOOKUP(INDIRECT(ADDRESS(2,COLUMN())),OFFSET($BN$2,0,0,ROW()-1,60),ROW()-1,FALSE))</f>
        <v>173.2</v>
      </c>
      <c r="Z57">
        <f ca="1">IF(AND(ISNUMBER($Z$374),$B$294=1),$Z$374,HLOOKUP(INDIRECT(ADDRESS(2,COLUMN())),OFFSET($BN$2,0,0,ROW()-1,60),ROW()-1,FALSE))</f>
        <v>169.73699999999999</v>
      </c>
      <c r="AA57">
        <f ca="1">IF(AND(ISNUMBER($AA$374),$B$294=1),$AA$374,HLOOKUP(INDIRECT(ADDRESS(2,COLUMN())),OFFSET($BN$2,0,0,ROW()-1,60),ROW()-1,FALSE))</f>
        <v>170.68799999999999</v>
      </c>
      <c r="AB57">
        <f ca="1">IF(AND(ISNUMBER($AB$374),$B$294=1),$AB$374,HLOOKUP(INDIRECT(ADDRESS(2,COLUMN())),OFFSET($BN$2,0,0,ROW()-1,60),ROW()-1,FALSE))</f>
        <v>175.352</v>
      </c>
      <c r="AC57">
        <f ca="1">IF(AND(ISNUMBER($AC$374),$B$294=1),$AC$374,HLOOKUP(INDIRECT(ADDRESS(2,COLUMN())),OFFSET($BN$2,0,0,ROW()-1,60),ROW()-1,FALSE))</f>
        <v>176.22499999999999</v>
      </c>
      <c r="AD57">
        <f ca="1">IF(AND(ISNUMBER($AD$374),$B$294=1),$AD$374,HLOOKUP(INDIRECT(ADDRESS(2,COLUMN())),OFFSET($BN$2,0,0,ROW()-1,60),ROW()-1,FALSE))</f>
        <v>168.87799999999999</v>
      </c>
      <c r="AE57">
        <f ca="1">IF(AND(ISNUMBER($AE$374),$B$294=1),$AE$374,HLOOKUP(INDIRECT(ADDRESS(2,COLUMN())),OFFSET($BN$2,0,0,ROW()-1,60),ROW()-1,FALSE))</f>
        <v>168.27199999999999</v>
      </c>
      <c r="AF57">
        <f ca="1">IF(AND(ISNUMBER($AF$374),$B$294=1),$AF$374,HLOOKUP(INDIRECT(ADDRESS(2,COLUMN())),OFFSET($BN$2,0,0,ROW()-1,60),ROW()-1,FALSE))</f>
        <v>159.643</v>
      </c>
      <c r="AG57">
        <f ca="1">IF(AND(ISNUMBER($AG$374),$B$294=1),$AG$374,HLOOKUP(INDIRECT(ADDRESS(2,COLUMN())),OFFSET($BN$2,0,0,ROW()-1,60),ROW()-1,FALSE))</f>
        <v>159.446</v>
      </c>
      <c r="AH57">
        <f ca="1">IF(AND(ISNUMBER($AH$374),$B$294=1),$AH$374,HLOOKUP(INDIRECT(ADDRESS(2,COLUMN())),OFFSET($BN$2,0,0,ROW()-1,60),ROW()-1,FALSE))</f>
        <v>149.096</v>
      </c>
      <c r="AI57">
        <f ca="1">IF(AND(ISNUMBER($AI$374),$B$294=1),$AI$374,HLOOKUP(INDIRECT(ADDRESS(2,COLUMN())),OFFSET($BN$2,0,0,ROW()-1,60),ROW()-1,FALSE))</f>
        <v>129.04</v>
      </c>
      <c r="AJ57">
        <f ca="1">IF(AND(ISNUMBER($AJ$374),$B$294=1),$AJ$374,HLOOKUP(INDIRECT(ADDRESS(2,COLUMN())),OFFSET($BN$2,0,0,ROW()-1,60),ROW()-1,FALSE))</f>
        <v>124.97499999999999</v>
      </c>
      <c r="AK57">
        <f ca="1">IF(AND(ISNUMBER($AK$374),$B$294=1),$AK$374,HLOOKUP(INDIRECT(ADDRESS(2,COLUMN())),OFFSET($BN$2,0,0,ROW()-1,60),ROW()-1,FALSE))</f>
        <v>124.286</v>
      </c>
      <c r="AL57">
        <f ca="1">IF(AND(ISNUMBER($AL$374),$B$294=1),$AL$374,HLOOKUP(INDIRECT(ADDRESS(2,COLUMN())),OFFSET($BN$2,0,0,ROW()-1,60),ROW()-1,FALSE))</f>
        <v>120.724</v>
      </c>
      <c r="AM57">
        <f ca="1">IF(AND(ISNUMBER($AM$374),$B$294=1),$AM$374,HLOOKUP(INDIRECT(ADDRESS(2,COLUMN())),OFFSET($BN$2,0,0,ROW()-1,60),ROW()-1,FALSE))</f>
        <v>123.941</v>
      </c>
      <c r="AN57">
        <f ca="1">IF(AND(ISNUMBER($AN$374),$B$294=1),$AN$374,HLOOKUP(INDIRECT(ADDRESS(2,COLUMN())),OFFSET($BN$2,0,0,ROW()-1,60),ROW()-1,FALSE))</f>
        <v>122.068</v>
      </c>
      <c r="AO57">
        <f ca="1">IF(AND(ISNUMBER($AO$374),$B$294=1),$AO$374,HLOOKUP(INDIRECT(ADDRESS(2,COLUMN())),OFFSET($BN$2,0,0,ROW()-1,60),ROW()-1,FALSE))</f>
        <v>126.63200000000001</v>
      </c>
      <c r="AP57">
        <f ca="1">IF(AND(ISNUMBER($AP$374),$B$294=1),$AP$374,HLOOKUP(INDIRECT(ADDRESS(2,COLUMN())),OFFSET($BN$2,0,0,ROW()-1,60),ROW()-1,FALSE))</f>
        <v>129.37</v>
      </c>
      <c r="AQ57">
        <f ca="1">IF(AND(ISNUMBER($AQ$374),$B$294=1),$AQ$374,HLOOKUP(INDIRECT(ADDRESS(2,COLUMN())),OFFSET($BN$2,0,0,ROW()-1,60),ROW()-1,FALSE))</f>
        <v>126.1</v>
      </c>
      <c r="AR57">
        <f ca="1">IF(AND(ISNUMBER($AR$374),$B$294=1),$AR$374,HLOOKUP(INDIRECT(ADDRESS(2,COLUMN())),OFFSET($BN$2,0,0,ROW()-1,60),ROW()-1,FALSE))</f>
        <v>129.11799999999999</v>
      </c>
      <c r="AS57">
        <f ca="1">IF(AND(ISNUMBER($AS$374),$B$294=1),$AS$374,HLOOKUP(INDIRECT(ADDRESS(2,COLUMN())),OFFSET($BN$2,0,0,ROW()-1,60),ROW()-1,FALSE))</f>
        <v>127.252</v>
      </c>
      <c r="AT57">
        <f ca="1">IF(AND(ISNUMBER($AT$374),$B$294=1),$AT$374,HLOOKUP(INDIRECT(ADDRESS(2,COLUMN())),OFFSET($BN$2,0,0,ROW()-1,60),ROW()-1,FALSE))</f>
        <v>129.35499999999999</v>
      </c>
      <c r="AU57">
        <f ca="1">IF(AND(ISNUMBER($AU$374),$B$294=1),$AU$374,HLOOKUP(INDIRECT(ADDRESS(2,COLUMN())),OFFSET($BN$2,0,0,ROW()-1,60),ROW()-1,FALSE))</f>
        <v>112.697</v>
      </c>
      <c r="AV57">
        <f ca="1">IF(AND(ISNUMBER($AV$374),$B$294=1),$AV$374,HLOOKUP(INDIRECT(ADDRESS(2,COLUMN())),OFFSET($BN$2,0,0,ROW()-1,60),ROW()-1,FALSE))</f>
        <v>114.116</v>
      </c>
      <c r="AW57">
        <f ca="1">IF(AND(ISNUMBER($AW$374),$B$294=1),$AW$374,HLOOKUP(INDIRECT(ADDRESS(2,COLUMN())),OFFSET($BN$2,0,0,ROW()-1,60),ROW()-1,FALSE))</f>
        <v>106.687</v>
      </c>
      <c r="AX57">
        <f ca="1">IF(AND(ISNUMBER($AX$374),$B$294=1),$AX$374,HLOOKUP(INDIRECT(ADDRESS(2,COLUMN())),OFFSET($BN$2,0,0,ROW()-1,60),ROW()-1,FALSE))</f>
        <v>90.989000000000004</v>
      </c>
      <c r="AY57">
        <f ca="1">IF(AND(ISNUMBER($AY$374),$B$294=1),$AY$374,HLOOKUP(INDIRECT(ADDRESS(2,COLUMN())),OFFSET($BN$2,0,0,ROW()-1,60),ROW()-1,FALSE))</f>
        <v>38.279000000000003</v>
      </c>
      <c r="AZ57">
        <f ca="1">IF(AND(ISNUMBER($AZ$374),$B$294=1),$AZ$374,HLOOKUP(INDIRECT(ADDRESS(2,COLUMN())),OFFSET($BN$2,0,0,ROW()-1,60),ROW()-1,FALSE))</f>
        <v>49.804000000000002</v>
      </c>
      <c r="BA57">
        <f ca="1">IF(AND(ISNUMBER($BA$374),$B$294=1),$BA$374,HLOOKUP(INDIRECT(ADDRESS(2,COLUMN())),OFFSET($BN$2,0,0,ROW()-1,60),ROW()-1,FALSE))</f>
        <v>46.098999999999997</v>
      </c>
      <c r="BB57">
        <f ca="1">IF(AND(ISNUMBER($BB$374),$B$294=1),$BB$374,HLOOKUP(INDIRECT(ADDRESS(2,COLUMN())),OFFSET($BN$2,0,0,ROW()-1,60),ROW()-1,FALSE))</f>
        <v>42.593000000000004</v>
      </c>
      <c r="BC57">
        <f ca="1">IF(AND(ISNUMBER($BC$374),$B$294=1),$BC$374,HLOOKUP(INDIRECT(ADDRESS(2,COLUMN())),OFFSET($BN$2,0,0,ROW()-1,60),ROW()-1,FALSE))</f>
        <v>42.256999999999998</v>
      </c>
      <c r="BD57">
        <f ca="1">IF(AND(ISNUMBER($BD$374),$B$294=1),$BD$374,HLOOKUP(INDIRECT(ADDRESS(2,COLUMN())),OFFSET($BN$2,0,0,ROW()-1,60),ROW()-1,FALSE))</f>
        <v>41.363</v>
      </c>
      <c r="BE57">
        <f ca="1">IF(AND(ISNUMBER($BE$374),$B$294=1),$BE$374,HLOOKUP(INDIRECT(ADDRESS(2,COLUMN())),OFFSET($BN$2,0,0,ROW()-1,60),ROW()-1,FALSE))</f>
        <v>41.326000000000001</v>
      </c>
      <c r="BF57">
        <f ca="1">IF(AND(ISNUMBER($BF$374),$B$294=1),$BF$374,HLOOKUP(INDIRECT(ADDRESS(2,COLUMN())),OFFSET($BN$2,0,0,ROW()-1,60),ROW()-1,FALSE))</f>
        <v>39.36</v>
      </c>
      <c r="BG57">
        <f ca="1">IF(AND(ISNUMBER($BG$374),$B$294=1),$BG$374,HLOOKUP(INDIRECT(ADDRESS(2,COLUMN())),OFFSET($BN$2,0,0,ROW()-1,60),ROW()-1,FALSE))</f>
        <v>40.994999999999997</v>
      </c>
      <c r="BH57">
        <f ca="1">IF(AND(ISNUMBER($BH$374),$B$294=1),$BH$374,HLOOKUP(INDIRECT(ADDRESS(2,COLUMN())),OFFSET($BN$2,0,0,ROW()-1,60),ROW()-1,FALSE))</f>
        <v>28.85</v>
      </c>
      <c r="BI57">
        <f ca="1">IF(AND(ISNUMBER($BI$374),$B$294=1),$BI$374,HLOOKUP(INDIRECT(ADDRESS(2,COLUMN())),OFFSET($BN$2,0,0,ROW()-1,60),ROW()-1,FALSE))</f>
        <v>35.447000000000003</v>
      </c>
      <c r="BJ57">
        <f ca="1">IF(AND(ISNUMBER($BJ$374),$B$294=1),$BJ$374,HLOOKUP(INDIRECT(ADDRESS(2,COLUMN())),OFFSET($BN$2,0,0,ROW()-1,60),ROW()-1,FALSE))</f>
        <v>31.809000000000001</v>
      </c>
      <c r="BK57">
        <f ca="1">IF(AND(ISNUMBER($BK$374),$B$294=1),$BK$374,HLOOKUP(INDIRECT(ADDRESS(2,COLUMN())),OFFSET($BN$2,0,0,ROW()-1,60),ROW()-1,FALSE))</f>
        <v>33.123004909999999</v>
      </c>
      <c r="BL57">
        <f ca="1">IF(AND(ISNUMBER($BL$374),$B$294=1),$BL$374,HLOOKUP(INDIRECT(ADDRESS(2,COLUMN())),OFFSET($BN$2,0,0,ROW()-1,60),ROW()-1,FALSE))</f>
        <v>32.018999999999998</v>
      </c>
      <c r="BM57">
        <f ca="1">IF(AND(ISNUMBER($BM$374),$B$294=1),$BM$374,HLOOKUP(INDIRECT(ADDRESS(2,COLUMN())),OFFSET($BN$2,0,0,ROW()-1,60),ROW()-1,FALSE))</f>
        <v>36.204000000000001</v>
      </c>
      <c r="BN57" t="str">
        <f>""</f>
        <v/>
      </c>
      <c r="BO57">
        <f>168.333</f>
        <v>168.333</v>
      </c>
      <c r="BP57">
        <f>171.12</f>
        <v>171.12</v>
      </c>
      <c r="BQ57">
        <f>181.922</f>
        <v>181.922</v>
      </c>
      <c r="BR57">
        <f>181.639</f>
        <v>181.63900000000001</v>
      </c>
      <c r="BS57">
        <f>182.015</f>
        <v>182.01499999999999</v>
      </c>
      <c r="BT57">
        <f>182.716</f>
        <v>182.71600000000001</v>
      </c>
      <c r="BU57">
        <f>319.67</f>
        <v>319.67</v>
      </c>
      <c r="BV57">
        <f>241.716</f>
        <v>241.71600000000001</v>
      </c>
      <c r="BW57">
        <f>223.766</f>
        <v>223.76599999999999</v>
      </c>
      <c r="BX57">
        <f>218.81</f>
        <v>218.81</v>
      </c>
      <c r="BY57">
        <f>211.147</f>
        <v>211.14699999999999</v>
      </c>
      <c r="BZ57">
        <f>203.61</f>
        <v>203.61</v>
      </c>
      <c r="CA57">
        <f>200.904</f>
        <v>200.904</v>
      </c>
      <c r="CB57">
        <f>199.372</f>
        <v>199.37200000000001</v>
      </c>
      <c r="CC57">
        <f>189.242</f>
        <v>189.24199999999999</v>
      </c>
      <c r="CD57">
        <f>163.491</f>
        <v>163.49100000000001</v>
      </c>
      <c r="CE57">
        <f>165.026</f>
        <v>165.02600000000001</v>
      </c>
      <c r="CF57">
        <f>152.222</f>
        <v>152.22200000000001</v>
      </c>
      <c r="CG57">
        <f>173.2</f>
        <v>173.2</v>
      </c>
      <c r="CH57">
        <f>169.737</f>
        <v>169.73699999999999</v>
      </c>
      <c r="CI57">
        <f>170.688</f>
        <v>170.68799999999999</v>
      </c>
      <c r="CJ57">
        <f>175.352</f>
        <v>175.352</v>
      </c>
      <c r="CK57">
        <f>176.225</f>
        <v>176.22499999999999</v>
      </c>
      <c r="CL57">
        <f>168.878</f>
        <v>168.87799999999999</v>
      </c>
      <c r="CM57">
        <f>168.272</f>
        <v>168.27199999999999</v>
      </c>
      <c r="CN57">
        <f>159.643</f>
        <v>159.643</v>
      </c>
      <c r="CO57">
        <f>159.446</f>
        <v>159.446</v>
      </c>
      <c r="CP57">
        <f>149.096</f>
        <v>149.096</v>
      </c>
      <c r="CQ57">
        <f>129.04</f>
        <v>129.04</v>
      </c>
      <c r="CR57">
        <f>124.975</f>
        <v>124.97499999999999</v>
      </c>
      <c r="CS57">
        <f>124.286</f>
        <v>124.286</v>
      </c>
      <c r="CT57">
        <f>120.724</f>
        <v>120.724</v>
      </c>
      <c r="CU57">
        <f>123.941</f>
        <v>123.941</v>
      </c>
      <c r="CV57">
        <f>122.068</f>
        <v>122.068</v>
      </c>
      <c r="CW57">
        <f>126.632</f>
        <v>126.63200000000001</v>
      </c>
      <c r="CX57">
        <f>129.37</f>
        <v>129.37</v>
      </c>
      <c r="CY57">
        <f>126.1</f>
        <v>126.1</v>
      </c>
      <c r="CZ57">
        <f>129.118</f>
        <v>129.11799999999999</v>
      </c>
      <c r="DA57">
        <f>127.252</f>
        <v>127.252</v>
      </c>
      <c r="DB57">
        <f>129.355</f>
        <v>129.35499999999999</v>
      </c>
      <c r="DC57">
        <f>112.697</f>
        <v>112.697</v>
      </c>
      <c r="DD57">
        <f>114.116</f>
        <v>114.116</v>
      </c>
      <c r="DE57">
        <f>106.687</f>
        <v>106.687</v>
      </c>
      <c r="DF57">
        <f>90.989</f>
        <v>90.989000000000004</v>
      </c>
      <c r="DG57">
        <f>38.279</f>
        <v>38.279000000000003</v>
      </c>
      <c r="DH57">
        <f>49.804</f>
        <v>49.804000000000002</v>
      </c>
      <c r="DI57">
        <f>46.099</f>
        <v>46.098999999999997</v>
      </c>
      <c r="DJ57">
        <f>42.593</f>
        <v>42.593000000000004</v>
      </c>
      <c r="DK57">
        <f>42.257</f>
        <v>42.256999999999998</v>
      </c>
      <c r="DL57">
        <f>41.363</f>
        <v>41.363</v>
      </c>
      <c r="DM57">
        <f>41.326</f>
        <v>41.326000000000001</v>
      </c>
      <c r="DN57">
        <f>39.36</f>
        <v>39.36</v>
      </c>
      <c r="DO57">
        <f>40.995</f>
        <v>40.994999999999997</v>
      </c>
      <c r="DP57">
        <f>28.85</f>
        <v>28.85</v>
      </c>
      <c r="DQ57">
        <f>35.447</f>
        <v>35.447000000000003</v>
      </c>
      <c r="DR57">
        <f>31.809</f>
        <v>31.809000000000001</v>
      </c>
      <c r="DS57">
        <f>33.12300491</f>
        <v>33.123004909999999</v>
      </c>
      <c r="DT57">
        <f>32.019</f>
        <v>32.018999999999998</v>
      </c>
      <c r="DU57">
        <f>36.204</f>
        <v>36.204000000000001</v>
      </c>
    </row>
    <row r="58" spans="1:125">
      <c r="A58" t="str">
        <f>"    Vornado Realty Trust"</f>
        <v xml:space="preserve">    Vornado Realty Trust</v>
      </c>
      <c r="B58" t="str">
        <f>"VNO US Equity"</f>
        <v>VNO US Equity</v>
      </c>
      <c r="C58" t="str">
        <f t="shared" si="12"/>
        <v>RR502</v>
      </c>
      <c r="D58" t="str">
        <f t="shared" si="13"/>
        <v>NET_OPER_INCOME</v>
      </c>
      <c r="E58" t="str">
        <f t="shared" si="14"/>
        <v>动态</v>
      </c>
      <c r="F58" t="str">
        <f ca="1">IF(AND(ISNUMBER($F$375),$B$294=1),$F$375,HLOOKUP(INDIRECT(ADDRESS(2,COLUMN())),OFFSET($BN$2,0,0,ROW()-1,60),ROW()-1,FALSE))</f>
        <v/>
      </c>
      <c r="G58">
        <f ca="1">IF(AND(ISNUMBER($G$375),$B$294=1),$G$375,HLOOKUP(INDIRECT(ADDRESS(2,COLUMN())),OFFSET($BN$2,0,0,ROW()-1,60),ROW()-1,FALSE))</f>
        <v>311.21499999999997</v>
      </c>
      <c r="H58">
        <f ca="1">IF(AND(ISNUMBER($H$375),$B$294=1),$H$375,HLOOKUP(INDIRECT(ADDRESS(2,COLUMN())),OFFSET($BN$2,0,0,ROW()-1,60),ROW()-1,FALSE))</f>
        <v>303.529</v>
      </c>
      <c r="I58">
        <f ca="1">IF(AND(ISNUMBER($I$375),$B$294=1),$I$375,HLOOKUP(INDIRECT(ADDRESS(2,COLUMN())),OFFSET($BN$2,0,0,ROW()-1,60),ROW()-1,FALSE))</f>
        <v>369.35199999999998</v>
      </c>
      <c r="J58">
        <f ca="1">IF(AND(ISNUMBER($J$375),$B$294=1),$J$375,HLOOKUP(INDIRECT(ADDRESS(2,COLUMN())),OFFSET($BN$2,0,0,ROW()-1,60),ROW()-1,FALSE))</f>
        <v>359.94099999999997</v>
      </c>
      <c r="K58">
        <f ca="1">IF(AND(ISNUMBER($K$375),$B$294=1),$K$375,HLOOKUP(INDIRECT(ADDRESS(2,COLUMN())),OFFSET($BN$2,0,0,ROW()-1,60),ROW()-1,FALSE))</f>
        <v>376.23700000000002</v>
      </c>
      <c r="L58">
        <f ca="1">IF(AND(ISNUMBER($L$375),$B$294=1),$L$375,HLOOKUP(INDIRECT(ADDRESS(2,COLUMN())),OFFSET($BN$2,0,0,ROW()-1,60),ROW()-1,FALSE))</f>
        <v>372.37099999999998</v>
      </c>
      <c r="M58">
        <f ca="1">IF(AND(ISNUMBER($M$375),$B$294=1),$M$375,HLOOKUP(INDIRECT(ADDRESS(2,COLUMN())),OFFSET($BN$2,0,0,ROW()-1,60),ROW()-1,FALSE))</f>
        <v>376.57</v>
      </c>
      <c r="N58">
        <f ca="1">IF(AND(ISNUMBER($N$375),$B$294=1),$N$375,HLOOKUP(INDIRECT(ADDRESS(2,COLUMN())),OFFSET($BN$2,0,0,ROW()-1,60),ROW()-1,FALSE))</f>
        <v>356.68799999999999</v>
      </c>
      <c r="O58">
        <f ca="1">IF(AND(ISNUMBER($O$375),$B$294=1),$O$375,HLOOKUP(INDIRECT(ADDRESS(2,COLUMN())),OFFSET($BN$2,0,0,ROW()-1,60),ROW()-1,FALSE))</f>
        <v>394.07600000000002</v>
      </c>
      <c r="P58">
        <f ca="1">IF(AND(ISNUMBER($P$375),$B$294=1),$P$375,HLOOKUP(INDIRECT(ADDRESS(2,COLUMN())),OFFSET($BN$2,0,0,ROW()-1,60),ROW()-1,FALSE))</f>
        <v>371.03500000000003</v>
      </c>
      <c r="Q58">
        <f ca="1">IF(AND(ISNUMBER($Q$375),$B$294=1),$Q$375,HLOOKUP(INDIRECT(ADDRESS(2,COLUMN())),OFFSET($BN$2,0,0,ROW()-1,60),ROW()-1,FALSE))</f>
        <v>373.59800000000001</v>
      </c>
      <c r="R58">
        <f ca="1">IF(AND(ISNUMBER($R$375),$B$294=1),$R$375,HLOOKUP(INDIRECT(ADDRESS(2,COLUMN())),OFFSET($BN$2,0,0,ROW()-1,60),ROW()-1,FALSE))</f>
        <v>352.30900000000003</v>
      </c>
      <c r="S58">
        <f ca="1">IF(AND(ISNUMBER($S$375),$B$294=1),$S$375,HLOOKUP(INDIRECT(ADDRESS(2,COLUMN())),OFFSET($BN$2,0,0,ROW()-1,60),ROW()-1,FALSE))</f>
        <v>350.44600000000003</v>
      </c>
      <c r="T58">
        <f ca="1">IF(AND(ISNUMBER($T$375),$B$294=1),$T$375,HLOOKUP(INDIRECT(ADDRESS(2,COLUMN())),OFFSET($BN$2,0,0,ROW()-1,60),ROW()-1,FALSE))</f>
        <v>338.62200000000001</v>
      </c>
      <c r="U58">
        <f ca="1">IF(AND(ISNUMBER($U$375),$B$294=1),$U$375,HLOOKUP(INDIRECT(ADDRESS(2,COLUMN())),OFFSET($BN$2,0,0,ROW()-1,60),ROW()-1,FALSE))</f>
        <v>344.01299999999998</v>
      </c>
      <c r="V58">
        <f ca="1">IF(AND(ISNUMBER($V$375),$B$294=1),$V$375,HLOOKUP(INDIRECT(ADDRESS(2,COLUMN())),OFFSET($BN$2,0,0,ROW()-1,60),ROW()-1,FALSE))</f>
        <v>325.82</v>
      </c>
      <c r="W58">
        <f ca="1">IF(AND(ISNUMBER($W$375),$B$294=1),$W$375,HLOOKUP(INDIRECT(ADDRESS(2,COLUMN())),OFFSET($BN$2,0,0,ROW()-1,60),ROW()-1,FALSE))</f>
        <v>389.21800000000002</v>
      </c>
      <c r="X58">
        <f ca="1">IF(AND(ISNUMBER($X$375),$B$294=1),$X$375,HLOOKUP(INDIRECT(ADDRESS(2,COLUMN())),OFFSET($BN$2,0,0,ROW()-1,60),ROW()-1,FALSE))</f>
        <v>403.97399999999999</v>
      </c>
      <c r="Y58">
        <f ca="1">IF(AND(ISNUMBER($Y$375),$B$294=1),$Y$375,HLOOKUP(INDIRECT(ADDRESS(2,COLUMN())),OFFSET($BN$2,0,0,ROW()-1,60),ROW()-1,FALSE))</f>
        <v>396.89699999999999</v>
      </c>
      <c r="Z58">
        <f ca="1">IF(AND(ISNUMBER($Z$375),$B$294=1),$Z$375,HLOOKUP(INDIRECT(ADDRESS(2,COLUMN())),OFFSET($BN$2,0,0,ROW()-1,60),ROW()-1,FALSE))</f>
        <v>441.59199999999998</v>
      </c>
      <c r="AA58">
        <f ca="1">IF(AND(ISNUMBER($AA$375),$B$294=1),$AA$375,HLOOKUP(INDIRECT(ADDRESS(2,COLUMN())),OFFSET($BN$2,0,0,ROW()-1,60),ROW()-1,FALSE))</f>
        <v>377.48200000000003</v>
      </c>
      <c r="AB58">
        <f ca="1">IF(AND(ISNUMBER($AB$375),$B$294=1),$AB$375,HLOOKUP(INDIRECT(ADDRESS(2,COLUMN())),OFFSET($BN$2,0,0,ROW()-1,60),ROW()-1,FALSE))</f>
        <v>371.10899999999998</v>
      </c>
      <c r="AC58">
        <f ca="1">IF(AND(ISNUMBER($AC$375),$B$294=1),$AC$375,HLOOKUP(INDIRECT(ADDRESS(2,COLUMN())),OFFSET($BN$2,0,0,ROW()-1,60),ROW()-1,FALSE))</f>
        <v>380.56299999999999</v>
      </c>
      <c r="AD58">
        <f ca="1">IF(AND(ISNUMBER($AD$375),$B$294=1),$AD$375,HLOOKUP(INDIRECT(ADDRESS(2,COLUMN())),OFFSET($BN$2,0,0,ROW()-1,60),ROW()-1,FALSE))</f>
        <v>369.73399999999998</v>
      </c>
      <c r="AE58">
        <f ca="1">IF(AND(ISNUMBER($AE$375),$B$294=1),$AE$375,HLOOKUP(INDIRECT(ADDRESS(2,COLUMN())),OFFSET($BN$2,0,0,ROW()-1,60),ROW()-1,FALSE))</f>
        <v>418.887</v>
      </c>
      <c r="AF58">
        <f ca="1">IF(AND(ISNUMBER($AF$375),$B$294=1),$AF$375,HLOOKUP(INDIRECT(ADDRESS(2,COLUMN())),OFFSET($BN$2,0,0,ROW()-1,60),ROW()-1,FALSE))</f>
        <v>391.60399999999998</v>
      </c>
      <c r="AG58">
        <f ca="1">IF(AND(ISNUMBER($AG$375),$B$294=1),$AG$375,HLOOKUP(INDIRECT(ADDRESS(2,COLUMN())),OFFSET($BN$2,0,0,ROW()-1,60),ROW()-1,FALSE))</f>
        <v>408.87</v>
      </c>
      <c r="AH58">
        <f ca="1">IF(AND(ISNUMBER($AH$375),$B$294=1),$AH$375,HLOOKUP(INDIRECT(ADDRESS(2,COLUMN())),OFFSET($BN$2,0,0,ROW()-1,60),ROW()-1,FALSE))</f>
        <v>402.24299999999999</v>
      </c>
      <c r="AI58">
        <f ca="1">IF(AND(ISNUMBER($AI$375),$B$294=1),$AI$375,HLOOKUP(INDIRECT(ADDRESS(2,COLUMN())),OFFSET($BN$2,0,0,ROW()-1,60),ROW()-1,FALSE))</f>
        <v>413.024</v>
      </c>
      <c r="AJ58">
        <f ca="1">IF(AND(ISNUMBER($AJ$375),$B$294=1),$AJ$375,HLOOKUP(INDIRECT(ADDRESS(2,COLUMN())),OFFSET($BN$2,0,0,ROW()-1,60),ROW()-1,FALSE))</f>
        <v>412.048</v>
      </c>
      <c r="AK58">
        <f ca="1">IF(AND(ISNUMBER($AK$375),$B$294=1),$AK$375,HLOOKUP(INDIRECT(ADDRESS(2,COLUMN())),OFFSET($BN$2,0,0,ROW()-1,60),ROW()-1,FALSE))</f>
        <v>422.14400000000001</v>
      </c>
      <c r="AL58">
        <f ca="1">IF(AND(ISNUMBER($AL$375),$B$294=1),$AL$375,HLOOKUP(INDIRECT(ADDRESS(2,COLUMN())),OFFSET($BN$2,0,0,ROW()-1,60),ROW()-1,FALSE))</f>
        <v>410.62099999999998</v>
      </c>
      <c r="AM58">
        <f ca="1">IF(AND(ISNUMBER($AM$375),$B$294=1),$AM$375,HLOOKUP(INDIRECT(ADDRESS(2,COLUMN())),OFFSET($BN$2,0,0,ROW()-1,60),ROW()-1,FALSE))</f>
        <v>438.88</v>
      </c>
      <c r="AN58">
        <f ca="1">IF(AND(ISNUMBER($AN$375),$B$294=1),$AN$375,HLOOKUP(INDIRECT(ADDRESS(2,COLUMN())),OFFSET($BN$2,0,0,ROW()-1,60),ROW()-1,FALSE))</f>
        <v>405.267</v>
      </c>
      <c r="AO58">
        <f ca="1">IF(AND(ISNUMBER($AO$375),$B$294=1),$AO$375,HLOOKUP(INDIRECT(ADDRESS(2,COLUMN())),OFFSET($BN$2,0,0,ROW()-1,60),ROW()-1,FALSE))</f>
        <v>404.07900000000001</v>
      </c>
      <c r="AP58">
        <f ca="1">IF(AND(ISNUMBER($AP$375),$B$294=1),$AP$375,HLOOKUP(INDIRECT(ADDRESS(2,COLUMN())),OFFSET($BN$2,0,0,ROW()-1,60),ROW()-1,FALSE))</f>
        <v>399.66800000000001</v>
      </c>
      <c r="AQ58">
        <f ca="1">IF(AND(ISNUMBER($AQ$375),$B$294=1),$AQ$375,HLOOKUP(INDIRECT(ADDRESS(2,COLUMN())),OFFSET($BN$2,0,0,ROW()-1,60),ROW()-1,FALSE))</f>
        <v>419.09899999999999</v>
      </c>
      <c r="AR58">
        <f ca="1">IF(AND(ISNUMBER($AR$375),$B$294=1),$AR$375,HLOOKUP(INDIRECT(ADDRESS(2,COLUMN())),OFFSET($BN$2,0,0,ROW()-1,60),ROW()-1,FALSE))</f>
        <v>399.95299999999997</v>
      </c>
      <c r="AS58">
        <f ca="1">IF(AND(ISNUMBER($AS$375),$B$294=1),$AS$375,HLOOKUP(INDIRECT(ADDRESS(2,COLUMN())),OFFSET($BN$2,0,0,ROW()-1,60),ROW()-1,FALSE))</f>
        <v>418.00700000000001</v>
      </c>
      <c r="AT58">
        <f ca="1">IF(AND(ISNUMBER($AT$375),$B$294=1),$AT$375,HLOOKUP(INDIRECT(ADDRESS(2,COLUMN())),OFFSET($BN$2,0,0,ROW()-1,60),ROW()-1,FALSE))</f>
        <v>388.03100000000001</v>
      </c>
      <c r="AU58">
        <f ca="1">IF(AND(ISNUMBER($AU$375),$B$294=1),$AU$375,HLOOKUP(INDIRECT(ADDRESS(2,COLUMN())),OFFSET($BN$2,0,0,ROW()-1,60),ROW()-1,FALSE))</f>
        <v>403.54500000000002</v>
      </c>
      <c r="AV58">
        <f ca="1">IF(AND(ISNUMBER($AV$375),$B$294=1),$AV$375,HLOOKUP(INDIRECT(ADDRESS(2,COLUMN())),OFFSET($BN$2,0,0,ROW()-1,60),ROW()-1,FALSE))</f>
        <v>378.07799999999997</v>
      </c>
      <c r="AW58">
        <f ca="1">IF(AND(ISNUMBER($AW$375),$B$294=1),$AW$375,HLOOKUP(INDIRECT(ADDRESS(2,COLUMN())),OFFSET($BN$2,0,0,ROW()-1,60),ROW()-1,FALSE))</f>
        <v>356.00799999999998</v>
      </c>
      <c r="AX58">
        <f ca="1">IF(AND(ISNUMBER($AX$375),$B$294=1),$AX$375,HLOOKUP(INDIRECT(ADDRESS(2,COLUMN())),OFFSET($BN$2,0,0,ROW()-1,60),ROW()-1,FALSE))</f>
        <v>323.44200000000001</v>
      </c>
      <c r="AY58">
        <f ca="1">IF(AND(ISNUMBER($AY$375),$B$294=1),$AY$375,HLOOKUP(INDIRECT(ADDRESS(2,COLUMN())),OFFSET($BN$2,0,0,ROW()-1,60),ROW()-1,FALSE))</f>
        <v>356.24200000000002</v>
      </c>
      <c r="AZ58">
        <f ca="1">IF(AND(ISNUMBER($AZ$375),$B$294=1),$AZ$375,HLOOKUP(INDIRECT(ADDRESS(2,COLUMN())),OFFSET($BN$2,0,0,ROW()-1,60),ROW()-1,FALSE))</f>
        <v>329.36599999999999</v>
      </c>
      <c r="BA58">
        <f ca="1">IF(AND(ISNUMBER($BA$375),$B$294=1),$BA$375,HLOOKUP(INDIRECT(ADDRESS(2,COLUMN())),OFFSET($BN$2,0,0,ROW()-1,60),ROW()-1,FALSE))</f>
        <v>343.18099999999998</v>
      </c>
      <c r="BB58">
        <f ca="1">IF(AND(ISNUMBER($BB$375),$B$294=1),$BB$375,HLOOKUP(INDIRECT(ADDRESS(2,COLUMN())),OFFSET($BN$2,0,0,ROW()-1,60),ROW()-1,FALSE))</f>
        <v>315.42200000000003</v>
      </c>
      <c r="BC58">
        <f ca="1">IF(AND(ISNUMBER($BC$375),$B$294=1),$BC$375,HLOOKUP(INDIRECT(ADDRESS(2,COLUMN())),OFFSET($BN$2,0,0,ROW()-1,60),ROW()-1,FALSE))</f>
        <v>325.13299999999998</v>
      </c>
      <c r="BD58">
        <f ca="1">IF(AND(ISNUMBER($BD$375),$B$294=1),$BD$375,HLOOKUP(INDIRECT(ADDRESS(2,COLUMN())),OFFSET($BN$2,0,0,ROW()-1,60),ROW()-1,FALSE))</f>
        <v>301.47500000000002</v>
      </c>
      <c r="BE58">
        <f ca="1">IF(AND(ISNUMBER($BE$375),$B$294=1),$BE$375,HLOOKUP(INDIRECT(ADDRESS(2,COLUMN())),OFFSET($BN$2,0,0,ROW()-1,60),ROW()-1,FALSE))</f>
        <v>309.04500000000002</v>
      </c>
      <c r="BF58">
        <f ca="1">IF(AND(ISNUMBER($BF$375),$B$294=1),$BF$375,HLOOKUP(INDIRECT(ADDRESS(2,COLUMN())),OFFSET($BN$2,0,0,ROW()-1,60),ROW()-1,FALSE))</f>
        <v>300.101</v>
      </c>
      <c r="BG58">
        <f ca="1">IF(AND(ISNUMBER($BG$375),$B$294=1),$BG$375,HLOOKUP(INDIRECT(ADDRESS(2,COLUMN())),OFFSET($BN$2,0,0,ROW()-1,60),ROW()-1,FALSE))</f>
        <v>281.13900000000001</v>
      </c>
      <c r="BH58">
        <f ca="1">IF(AND(ISNUMBER($BH$375),$B$294=1),$BH$375,HLOOKUP(INDIRECT(ADDRESS(2,COLUMN())),OFFSET($BN$2,0,0,ROW()-1,60),ROW()-1,FALSE))</f>
        <v>254.86500000000001</v>
      </c>
      <c r="BI58">
        <f ca="1">IF(AND(ISNUMBER($BI$375),$B$294=1),$BI$375,HLOOKUP(INDIRECT(ADDRESS(2,COLUMN())),OFFSET($BN$2,0,0,ROW()-1,60),ROW()-1,FALSE))</f>
        <v>255.56701100000001</v>
      </c>
      <c r="BJ58">
        <f ca="1">IF(AND(ISNUMBER($BJ$375),$B$294=1),$BJ$375,HLOOKUP(INDIRECT(ADDRESS(2,COLUMN())),OFFSET($BN$2,0,0,ROW()-1,60),ROW()-1,FALSE))</f>
        <v>238.68400800000001</v>
      </c>
      <c r="BK58">
        <f ca="1">IF(AND(ISNUMBER($BK$375),$B$294=1),$BK$375,HLOOKUP(INDIRECT(ADDRESS(2,COLUMN())),OFFSET($BN$2,0,0,ROW()-1,60),ROW()-1,FALSE))</f>
        <v>232.529989</v>
      </c>
      <c r="BL58">
        <f ca="1">IF(AND(ISNUMBER($BL$375),$B$294=1),$BL$375,HLOOKUP(INDIRECT(ADDRESS(2,COLUMN())),OFFSET($BN$2,0,0,ROW()-1,60),ROW()-1,FALSE))</f>
        <v>231.32500400000001</v>
      </c>
      <c r="BM58">
        <f ca="1">IF(AND(ISNUMBER($BM$375),$B$294=1),$BM$375,HLOOKUP(INDIRECT(ADDRESS(2,COLUMN())),OFFSET($BN$2,0,0,ROW()-1,60),ROW()-1,FALSE))</f>
        <v>231.491984</v>
      </c>
      <c r="BN58" t="str">
        <f>""</f>
        <v/>
      </c>
      <c r="BO58">
        <f>311.215</f>
        <v>311.21499999999997</v>
      </c>
      <c r="BP58">
        <f>303.529</f>
        <v>303.529</v>
      </c>
      <c r="BQ58">
        <f>369.352</f>
        <v>369.35199999999998</v>
      </c>
      <c r="BR58">
        <f>359.941</f>
        <v>359.94099999999997</v>
      </c>
      <c r="BS58">
        <f>376.237</f>
        <v>376.23700000000002</v>
      </c>
      <c r="BT58">
        <f>372.371</f>
        <v>372.37099999999998</v>
      </c>
      <c r="BU58">
        <f>376.57</f>
        <v>376.57</v>
      </c>
      <c r="BV58">
        <f>356.688</f>
        <v>356.68799999999999</v>
      </c>
      <c r="BW58">
        <f>394.076</f>
        <v>394.07600000000002</v>
      </c>
      <c r="BX58">
        <f>371.035</f>
        <v>371.03500000000003</v>
      </c>
      <c r="BY58">
        <f>373.598</f>
        <v>373.59800000000001</v>
      </c>
      <c r="BZ58">
        <f>352.309</f>
        <v>352.30900000000003</v>
      </c>
      <c r="CA58">
        <f>350.446</f>
        <v>350.44600000000003</v>
      </c>
      <c r="CB58">
        <f>338.622</f>
        <v>338.62200000000001</v>
      </c>
      <c r="CC58">
        <f>344.013</f>
        <v>344.01299999999998</v>
      </c>
      <c r="CD58">
        <f>325.82</f>
        <v>325.82</v>
      </c>
      <c r="CE58">
        <f>389.218</f>
        <v>389.21800000000002</v>
      </c>
      <c r="CF58">
        <f>403.974</f>
        <v>403.97399999999999</v>
      </c>
      <c r="CG58">
        <f>396.897</f>
        <v>396.89699999999999</v>
      </c>
      <c r="CH58">
        <f>441.592</f>
        <v>441.59199999999998</v>
      </c>
      <c r="CI58">
        <f>377.482</f>
        <v>377.48200000000003</v>
      </c>
      <c r="CJ58">
        <f>371.109</f>
        <v>371.10899999999998</v>
      </c>
      <c r="CK58">
        <f>380.563</f>
        <v>380.56299999999999</v>
      </c>
      <c r="CL58">
        <f>369.734</f>
        <v>369.73399999999998</v>
      </c>
      <c r="CM58">
        <f>418.887</f>
        <v>418.887</v>
      </c>
      <c r="CN58">
        <f>391.604</f>
        <v>391.60399999999998</v>
      </c>
      <c r="CO58">
        <f>408.87</f>
        <v>408.87</v>
      </c>
      <c r="CP58">
        <f>402.243</f>
        <v>402.24299999999999</v>
      </c>
      <c r="CQ58">
        <f>413.024</f>
        <v>413.024</v>
      </c>
      <c r="CR58">
        <f>412.048</f>
        <v>412.048</v>
      </c>
      <c r="CS58">
        <f>422.144</f>
        <v>422.14400000000001</v>
      </c>
      <c r="CT58">
        <f>410.621</f>
        <v>410.62099999999998</v>
      </c>
      <c r="CU58">
        <f>438.88</f>
        <v>438.88</v>
      </c>
      <c r="CV58">
        <f>405.267</f>
        <v>405.267</v>
      </c>
      <c r="CW58">
        <f>404.079</f>
        <v>404.07900000000001</v>
      </c>
      <c r="CX58">
        <f>399.668</f>
        <v>399.66800000000001</v>
      </c>
      <c r="CY58">
        <f>419.099</f>
        <v>419.09899999999999</v>
      </c>
      <c r="CZ58">
        <f>399.953</f>
        <v>399.95299999999997</v>
      </c>
      <c r="DA58">
        <f>418.007</f>
        <v>418.00700000000001</v>
      </c>
      <c r="DB58">
        <f>388.031</f>
        <v>388.03100000000001</v>
      </c>
      <c r="DC58">
        <f>403.545</f>
        <v>403.54500000000002</v>
      </c>
      <c r="DD58">
        <f>378.078</f>
        <v>378.07799999999997</v>
      </c>
      <c r="DE58">
        <f>356.008</f>
        <v>356.00799999999998</v>
      </c>
      <c r="DF58">
        <f>323.442</f>
        <v>323.44200000000001</v>
      </c>
      <c r="DG58">
        <f>356.242</f>
        <v>356.24200000000002</v>
      </c>
      <c r="DH58">
        <f>329.366</f>
        <v>329.36599999999999</v>
      </c>
      <c r="DI58">
        <f>343.181</f>
        <v>343.18099999999998</v>
      </c>
      <c r="DJ58">
        <f>315.422</f>
        <v>315.42200000000003</v>
      </c>
      <c r="DK58">
        <f>325.133</f>
        <v>325.13299999999998</v>
      </c>
      <c r="DL58">
        <f>301.475</f>
        <v>301.47500000000002</v>
      </c>
      <c r="DM58">
        <f>309.045</f>
        <v>309.04500000000002</v>
      </c>
      <c r="DN58">
        <f>300.101</f>
        <v>300.101</v>
      </c>
      <c r="DO58">
        <f>281.139</f>
        <v>281.13900000000001</v>
      </c>
      <c r="DP58">
        <f>254.865</f>
        <v>254.86500000000001</v>
      </c>
      <c r="DQ58">
        <f>255.567011</f>
        <v>255.56701100000001</v>
      </c>
      <c r="DR58">
        <f>238.684008</f>
        <v>238.68400800000001</v>
      </c>
      <c r="DS58">
        <f>232.529989</f>
        <v>232.529989</v>
      </c>
      <c r="DT58">
        <f>231.325004</f>
        <v>231.32500400000001</v>
      </c>
      <c r="DU58">
        <f>231.491984</f>
        <v>231.491984</v>
      </c>
    </row>
    <row r="59" spans="1:125">
      <c r="A59" t="str">
        <f>"EBITDA"</f>
        <v>EBITDA</v>
      </c>
      <c r="B59" t="str">
        <f>""</f>
        <v/>
      </c>
      <c r="E59" t="str">
        <f>"Median"</f>
        <v>Median</v>
      </c>
      <c r="F59" t="str">
        <f ca="1">IF(ISERROR(IF(MEDIAN($F$60:$F$69) = 0, "", MEDIAN($F$60:$F$69))), "", (IF(MEDIAN($F$60:$F$69) = 0, "", MEDIAN($F$60:$F$69))))</f>
        <v/>
      </c>
      <c r="G59">
        <f ca="1">IF(ISERROR(IF(MEDIAN($G$60:$G$69) = 0, "", MEDIAN($G$60:$G$69))), "", (IF(MEDIAN($G$60:$G$69) = 0, "", MEDIAN($G$60:$G$69))))</f>
        <v>89.404499999999999</v>
      </c>
      <c r="H59">
        <f ca="1">IF(ISERROR(IF(MEDIAN($H$60:$H$69) = 0, "", MEDIAN($H$60:$H$69))), "", (IF(MEDIAN($H$60:$H$69) = 0, "", MEDIAN($H$60:$H$69))))</f>
        <v>94.657499999999999</v>
      </c>
      <c r="I59">
        <f ca="1">IF(ISERROR(IF(MEDIAN($I$60:$I$69) = 0, "", MEDIAN($I$60:$I$69))), "", (IF(MEDIAN($I$60:$I$69) = 0, "", MEDIAN($I$60:$I$69))))</f>
        <v>97.276499999999999</v>
      </c>
      <c r="J59">
        <f ca="1">IF(ISERROR(IF(MEDIAN($J$60:$J$69) = 0, "", MEDIAN($J$60:$J$69))), "", (IF(MEDIAN($J$60:$J$69) = 0, "", MEDIAN($J$60:$J$69))))</f>
        <v>92.359499999999997</v>
      </c>
      <c r="K59">
        <f ca="1">IF(ISERROR(IF(MEDIAN($K$60:$K$69) = 0, "", MEDIAN($K$60:$K$69))), "", (IF(MEDIAN($K$60:$K$69) = 0, "", MEDIAN($K$60:$K$69))))</f>
        <v>90.957999999999998</v>
      </c>
      <c r="L59">
        <f ca="1">IF(ISERROR(IF(MEDIAN($L$60:$L$69) = 0, "", MEDIAN($L$60:$L$69))), "", (IF(MEDIAN($L$60:$L$69) = 0, "", MEDIAN($L$60:$L$69))))</f>
        <v>87.269499999999994</v>
      </c>
      <c r="M59">
        <f ca="1">IF(ISERROR(IF(MEDIAN($M$60:$M$69) = 0, "", MEDIAN($M$60:$M$69))), "", (IF(MEDIAN($M$60:$M$69) = 0, "", MEDIAN($M$60:$M$69))))</f>
        <v>86.968999999999994</v>
      </c>
      <c r="N59">
        <f ca="1">IF(ISERROR(IF(MEDIAN($N$60:$N$69) = 0, "", MEDIAN($N$60:$N$69))), "", (IF(MEDIAN($N$60:$N$69) = 0, "", MEDIAN($N$60:$N$69))))</f>
        <v>84.97999999999999</v>
      </c>
      <c r="O59">
        <f ca="1">IF(ISERROR(IF(MEDIAN($O$60:$O$69) = 0, "", MEDIAN($O$60:$O$69))), "", (IF(MEDIAN($O$60:$O$69) = 0, "", MEDIAN($O$60:$O$69))))</f>
        <v>85.670500000000004</v>
      </c>
      <c r="P59">
        <f ca="1">IF(ISERROR(IF(MEDIAN($P$60:$P$69) = 0, "", MEDIAN($P$60:$P$69))), "", (IF(MEDIAN($P$60:$P$69) = 0, "", MEDIAN($P$60:$P$69))))</f>
        <v>87.413499999999999</v>
      </c>
      <c r="Q59">
        <f ca="1">IF(ISERROR(IF(MEDIAN($Q$60:$Q$69) = 0, "", MEDIAN($Q$60:$Q$69))), "", (IF(MEDIAN($Q$60:$Q$69) = 0, "", MEDIAN($Q$60:$Q$69))))</f>
        <v>87.960499999999996</v>
      </c>
      <c r="R59">
        <f ca="1">IF(ISERROR(IF(MEDIAN($R$60:$R$69) = 0, "", MEDIAN($R$60:$R$69))), "", (IF(MEDIAN($R$60:$R$69) = 0, "", MEDIAN($R$60:$R$69))))</f>
        <v>84.19</v>
      </c>
      <c r="S59">
        <f ca="1">IF(ISERROR(IF(MEDIAN($S$60:$S$69) = 0, "", MEDIAN($S$60:$S$69))), "", (IF(MEDIAN($S$60:$S$69) = 0, "", MEDIAN($S$60:$S$69))))</f>
        <v>81.225500000000011</v>
      </c>
      <c r="T59">
        <f ca="1">IF(ISERROR(IF(MEDIAN($T$60:$T$69) = 0, "", MEDIAN($T$60:$T$69))), "", (IF(MEDIAN($T$60:$T$69) = 0, "", MEDIAN($T$60:$T$69))))</f>
        <v>81.387499999999989</v>
      </c>
      <c r="U59">
        <f ca="1">IF(ISERROR(IF(MEDIAN($U$60:$U$69) = 0, "", MEDIAN($U$60:$U$69))), "", (IF(MEDIAN($U$60:$U$69) = 0, "", MEDIAN($U$60:$U$69))))</f>
        <v>82.582999999999998</v>
      </c>
      <c r="V59">
        <f ca="1">IF(ISERROR(IF(MEDIAN($V$60:$V$69) = 0, "", MEDIAN($V$60:$V$69))), "", (IF(MEDIAN($V$60:$V$69) = 0, "", MEDIAN($V$60:$V$69))))</f>
        <v>78.6905</v>
      </c>
      <c r="W59">
        <f ca="1">IF(ISERROR(IF(MEDIAN($W$60:$W$69) = 0, "", MEDIAN($W$60:$W$69))), "", (IF(MEDIAN($W$60:$W$69) = 0, "", MEDIAN($W$60:$W$69))))</f>
        <v>78.295000000000002</v>
      </c>
      <c r="X59">
        <f ca="1">IF(ISERROR(IF(MEDIAN($X$60:$X$69) = 0, "", MEDIAN($X$60:$X$69))), "", (IF(MEDIAN($X$60:$X$69) = 0, "", MEDIAN($X$60:$X$69))))</f>
        <v>81.273499999999999</v>
      </c>
      <c r="Y59">
        <f ca="1">IF(ISERROR(IF(MEDIAN($Y$60:$Y$69) = 0, "", MEDIAN($Y$60:$Y$69))), "", (IF(MEDIAN($Y$60:$Y$69) = 0, "", MEDIAN($Y$60:$Y$69))))</f>
        <v>82.358999999999995</v>
      </c>
      <c r="Z59">
        <f ca="1">IF(ISERROR(IF(MEDIAN($Z$60:$Z$69) = 0, "", MEDIAN($Z$60:$Z$69))), "", (IF(MEDIAN($Z$60:$Z$69) = 0, "", MEDIAN($Z$60:$Z$69))))</f>
        <v>76.626499999999993</v>
      </c>
      <c r="AA59">
        <f ca="1">IF(ISERROR(IF(MEDIAN($AA$60:$AA$69) = 0, "", MEDIAN($AA$60:$AA$69))), "", (IF(MEDIAN($AA$60:$AA$69) = 0, "", MEDIAN($AA$60:$AA$69))))</f>
        <v>73.17949999999999</v>
      </c>
      <c r="AB59">
        <f ca="1">IF(ISERROR(IF(MEDIAN($AB$60:$AB$69) = 0, "", MEDIAN($AB$60:$AB$69))), "", (IF(MEDIAN($AB$60:$AB$69) = 0, "", MEDIAN($AB$60:$AB$69))))</f>
        <v>80.304000000000002</v>
      </c>
      <c r="AC59">
        <f ca="1">IF(ISERROR(IF(MEDIAN($AC$60:$AC$69) = 0, "", MEDIAN($AC$60:$AC$69))), "", (IF(MEDIAN($AC$60:$AC$69) = 0, "", MEDIAN($AC$60:$AC$69))))</f>
        <v>78.917000000000002</v>
      </c>
      <c r="AD59">
        <f ca="1">IF(ISERROR(IF(MEDIAN($AD$60:$AD$69) = 0, "", MEDIAN($AD$60:$AD$69))), "", (IF(MEDIAN($AD$60:$AD$69) = 0, "", MEDIAN($AD$60:$AD$69))))</f>
        <v>81.23</v>
      </c>
      <c r="AE59">
        <f ca="1">IF(ISERROR(IF(MEDIAN($AE$60:$AE$69) = 0, "", MEDIAN($AE$60:$AE$69))), "", (IF(MEDIAN($AE$60:$AE$69) = 0, "", MEDIAN($AE$60:$AE$69))))</f>
        <v>76.085499999999996</v>
      </c>
      <c r="AF59">
        <f ca="1">IF(ISERROR(IF(MEDIAN($AF$60:$AF$69) = 0, "", MEDIAN($AF$60:$AF$69))), "", (IF(MEDIAN($AF$60:$AF$69) = 0, "", MEDIAN($AF$60:$AF$69))))</f>
        <v>86.126499999999993</v>
      </c>
      <c r="AG59">
        <f ca="1">IF(ISERROR(IF(MEDIAN($AG$60:$AG$69) = 0, "", MEDIAN($AG$60:$AG$69))), "", (IF(MEDIAN($AG$60:$AG$69) = 0, "", MEDIAN($AG$60:$AG$69))))</f>
        <v>84.014499999999998</v>
      </c>
      <c r="AH59">
        <f ca="1">IF(ISERROR(IF(MEDIAN($AH$60:$AH$69) = 0, "", MEDIAN($AH$60:$AH$69))), "", (IF(MEDIAN($AH$60:$AH$69) = 0, "", MEDIAN($AH$60:$AH$69))))</f>
        <v>78.688999999999993</v>
      </c>
      <c r="AI59">
        <f ca="1">IF(ISERROR(IF(MEDIAN($AI$60:$AI$69) = 0, "", MEDIAN($AI$60:$AI$69))), "", (IF(MEDIAN($AI$60:$AI$69) = 0, "", MEDIAN($AI$60:$AI$69))))</f>
        <v>80.516999999999996</v>
      </c>
      <c r="AJ59">
        <f ca="1">IF(ISERROR(IF(MEDIAN($AJ$60:$AJ$69) = 0, "", MEDIAN($AJ$60:$AJ$69))), "", (IF(MEDIAN($AJ$60:$AJ$69) = 0, "", MEDIAN($AJ$60:$AJ$69))))</f>
        <v>83.954499999999996</v>
      </c>
      <c r="AK59">
        <f ca="1">IF(ISERROR(IF(MEDIAN($AK$60:$AK$69) = 0, "", MEDIAN($AK$60:$AK$69))), "", (IF(MEDIAN($AK$60:$AK$69) = 0, "", MEDIAN($AK$60:$AK$69))))</f>
        <v>78.488</v>
      </c>
      <c r="AL59">
        <f ca="1">IF(ISERROR(IF(MEDIAN($AL$60:$AL$69) = 0, "", MEDIAN($AL$60:$AL$69))), "", (IF(MEDIAN($AL$60:$AL$69) = 0, "", MEDIAN($AL$60:$AL$69))))</f>
        <v>80.272999999999996</v>
      </c>
      <c r="AM59">
        <f ca="1">IF(ISERROR(IF(MEDIAN($AM$60:$AM$69) = 0, "", MEDIAN($AM$60:$AM$69))), "", (IF(MEDIAN($AM$60:$AM$69) = 0, "", MEDIAN($AM$60:$AM$69))))</f>
        <v>87.068999999999988</v>
      </c>
      <c r="AN59">
        <f ca="1">IF(ISERROR(IF(MEDIAN($AN$60:$AN$69) = 0, "", MEDIAN($AN$60:$AN$69))), "", (IF(MEDIAN($AN$60:$AN$69) = 0, "", MEDIAN($AN$60:$AN$69))))</f>
        <v>82.478000000000009</v>
      </c>
      <c r="AO59">
        <f ca="1">IF(ISERROR(IF(MEDIAN($AO$60:$AO$69) = 0, "", MEDIAN($AO$60:$AO$69))), "", (IF(MEDIAN($AO$60:$AO$69) = 0, "", MEDIAN($AO$60:$AO$69))))</f>
        <v>81.881</v>
      </c>
      <c r="AP59">
        <f ca="1">IF(ISERROR(IF(MEDIAN($AP$60:$AP$69) = 0, "", MEDIAN($AP$60:$AP$69))), "", (IF(MEDIAN($AP$60:$AP$69) = 0, "", MEDIAN($AP$60:$AP$69))))</f>
        <v>80.829499999999996</v>
      </c>
      <c r="AQ59">
        <f ca="1">IF(ISERROR(IF(MEDIAN($AQ$60:$AQ$69) = 0, "", MEDIAN($AQ$60:$AQ$69))), "", (IF(MEDIAN($AQ$60:$AQ$69) = 0, "", MEDIAN($AQ$60:$AQ$69))))</f>
        <v>64.906999999999996</v>
      </c>
      <c r="AR59">
        <f ca="1">IF(ISERROR(IF(MEDIAN($AR$60:$AR$69) = 0, "", MEDIAN($AR$60:$AR$69))), "", (IF(MEDIAN($AR$60:$AR$69) = 0, "", MEDIAN($AR$60:$AR$69))))</f>
        <v>94.094999999999999</v>
      </c>
      <c r="AS59">
        <f ca="1">IF(ISERROR(IF(MEDIAN($AS$60:$AS$69) = 0, "", MEDIAN($AS$60:$AS$69))), "", (IF(MEDIAN($AS$60:$AS$69) = 0, "", MEDIAN($AS$60:$AS$69))))</f>
        <v>87.135000000000005</v>
      </c>
      <c r="AT59">
        <f ca="1">IF(ISERROR(IF(MEDIAN($AT$60:$AT$69) = 0, "", MEDIAN($AT$60:$AT$69))), "", (IF(MEDIAN($AT$60:$AT$69) = 0, "", MEDIAN($AT$60:$AT$69))))</f>
        <v>94.212000000000003</v>
      </c>
      <c r="AU59">
        <f ca="1">IF(ISERROR(IF(MEDIAN($AU$60:$AU$69) = 0, "", MEDIAN($AU$60:$AU$69))), "", (IF(MEDIAN($AU$60:$AU$69) = 0, "", MEDIAN($AU$60:$AU$69))))</f>
        <v>89.102999999999994</v>
      </c>
      <c r="AV59">
        <f ca="1">IF(ISERROR(IF(MEDIAN($AV$60:$AV$69) = 0, "", MEDIAN($AV$60:$AV$69))), "", (IF(MEDIAN($AV$60:$AV$69) = 0, "", MEDIAN($AV$60:$AV$69))))</f>
        <v>92.417000000000002</v>
      </c>
      <c r="AW59">
        <f ca="1">IF(ISERROR(IF(MEDIAN($AW$60:$AW$69) = 0, "", MEDIAN($AW$60:$AW$69))), "", (IF(MEDIAN($AW$60:$AW$69) = 0, "", MEDIAN($AW$60:$AW$69))))</f>
        <v>84.34</v>
      </c>
      <c r="AX59">
        <f ca="1">IF(ISERROR(IF(MEDIAN($AX$60:$AX$69) = 0, "", MEDIAN($AX$60:$AX$69))), "", (IF(MEDIAN($AX$60:$AX$69) = 0, "", MEDIAN($AX$60:$AX$69))))</f>
        <v>92.093999999999994</v>
      </c>
      <c r="AY59">
        <f ca="1">IF(ISERROR(IF(MEDIAN($AY$60:$AY$69) = 0, "", MEDIAN($AY$60:$AY$69))), "", (IF(MEDIAN($AY$60:$AY$69) = 0, "", MEDIAN($AY$60:$AY$69))))</f>
        <v>77.442999999999998</v>
      </c>
      <c r="AZ59">
        <f ca="1">IF(ISERROR(IF(MEDIAN($AZ$60:$AZ$69) = 0, "", MEDIAN($AZ$60:$AZ$69))), "", (IF(MEDIAN($AZ$60:$AZ$69) = 0, "", MEDIAN($AZ$60:$AZ$69))))</f>
        <v>88.823999999999998</v>
      </c>
      <c r="BA59">
        <f ca="1">IF(ISERROR(IF(MEDIAN($BA$60:$BA$69) = 0, "", MEDIAN($BA$60:$BA$69))), "", (IF(MEDIAN($BA$60:$BA$69) = 0, "", MEDIAN($BA$60:$BA$69))))</f>
        <v>80.356999999999999</v>
      </c>
      <c r="BB59">
        <f ca="1">IF(ISERROR(IF(MEDIAN($BB$60:$BB$69) = 0, "", MEDIAN($BB$60:$BB$69))), "", (IF(MEDIAN($BB$60:$BB$69) = 0, "", MEDIAN($BB$60:$BB$69))))</f>
        <v>82.78</v>
      </c>
      <c r="BC59">
        <f ca="1">IF(ISERROR(IF(MEDIAN($BC$60:$BC$69) = 0, "", MEDIAN($BC$60:$BC$69))), "", (IF(MEDIAN($BC$60:$BC$69) = 0, "", MEDIAN($BC$60:$BC$69))))</f>
        <v>51.725000000000001</v>
      </c>
      <c r="BD59">
        <f ca="1">IF(ISERROR(IF(MEDIAN($BD$60:$BD$69) = 0, "", MEDIAN($BD$60:$BD$69))), "", (IF(MEDIAN($BD$60:$BD$69) = 0, "", MEDIAN($BD$60:$BD$69))))</f>
        <v>60.493000000000002</v>
      </c>
      <c r="BE59">
        <f ca="1">IF(ISERROR(IF(MEDIAN($BE$60:$BE$69) = 0, "", MEDIAN($BE$60:$BE$69))), "", (IF(MEDIAN($BE$60:$BE$69) = 0, "", MEDIAN($BE$60:$BE$69))))</f>
        <v>65.438999999999993</v>
      </c>
      <c r="BF59">
        <f ca="1">IF(ISERROR(IF(MEDIAN($BF$60:$BF$69) = 0, "", MEDIAN($BF$60:$BF$69))), "", (IF(MEDIAN($BF$60:$BF$69) = 0, "", MEDIAN($BF$60:$BF$69))))</f>
        <v>66.965999999999994</v>
      </c>
      <c r="BG59">
        <f ca="1">IF(ISERROR(IF(MEDIAN($BG$60:$BG$69) = 0, "", MEDIAN($BG$60:$BG$69))), "", (IF(MEDIAN($BG$60:$BG$69) = 0, "", MEDIAN($BG$60:$BG$69))))</f>
        <v>56.823999999999998</v>
      </c>
      <c r="BH59">
        <f ca="1">IF(ISERROR(IF(MEDIAN($BH$60:$BH$69) = 0, "", MEDIAN($BH$60:$BH$69))), "", (IF(MEDIAN($BH$60:$BH$69) = 0, "", MEDIAN($BH$60:$BH$69))))</f>
        <v>60.436</v>
      </c>
      <c r="BI59">
        <f ca="1">IF(ISERROR(IF(MEDIAN($BI$60:$BI$69) = 0, "", MEDIAN($BI$60:$BI$69))), "", (IF(MEDIAN($BI$60:$BI$69) = 0, "", MEDIAN($BI$60:$BI$69))))</f>
        <v>67.480999999999995</v>
      </c>
      <c r="BJ59">
        <f ca="1">IF(ISERROR(IF(MEDIAN($BJ$60:$BJ$69) = 0, "", MEDIAN($BJ$60:$BJ$69))), "", (IF(MEDIAN($BJ$60:$BJ$69) = 0, "", MEDIAN($BJ$60:$BJ$69))))</f>
        <v>66.695999999999998</v>
      </c>
      <c r="BK59">
        <f ca="1">IF(ISERROR(IF(MEDIAN($BK$60:$BK$69) = 0, "", MEDIAN($BK$60:$BK$69))), "", (IF(MEDIAN($BK$60:$BK$69) = 0, "", MEDIAN($BK$60:$BK$69))))</f>
        <v>72.940001010000003</v>
      </c>
      <c r="BL59">
        <f ca="1">IF(ISERROR(IF(MEDIAN($BL$60:$BL$69) = 0, "", MEDIAN($BL$60:$BL$69))), "", (IF(MEDIAN($BL$60:$BL$69) = 0, "", MEDIAN($BL$60:$BL$69))))</f>
        <v>65.222000600000001</v>
      </c>
      <c r="BM59">
        <f ca="1">IF(ISERROR(IF(MEDIAN($BM$60:$BM$69) = 0, "", MEDIAN($BM$60:$BM$69))), "", (IF(MEDIAN($BM$60:$BM$69) = 0, "", MEDIAN($BM$60:$BM$69))))</f>
        <v>56.414999010000002</v>
      </c>
      <c r="BN59" t="str">
        <f>""</f>
        <v/>
      </c>
      <c r="BO59">
        <f>89.4045</f>
        <v>89.404499999999999</v>
      </c>
      <c r="BP59">
        <f>94.6575</f>
        <v>94.657499999999999</v>
      </c>
      <c r="BQ59">
        <f>97.2765</f>
        <v>97.276499999999999</v>
      </c>
      <c r="BR59">
        <f>92.3595</f>
        <v>92.359499999999997</v>
      </c>
      <c r="BS59">
        <f>90.958</f>
        <v>90.957999999999998</v>
      </c>
      <c r="BT59">
        <f>87.2695</f>
        <v>87.269499999999994</v>
      </c>
      <c r="BU59">
        <f>86.969</f>
        <v>86.968999999999994</v>
      </c>
      <c r="BV59">
        <f>84.98</f>
        <v>84.98</v>
      </c>
      <c r="BW59">
        <f>85.6705</f>
        <v>85.670500000000004</v>
      </c>
      <c r="BX59">
        <f>87.4135</f>
        <v>87.413499999999999</v>
      </c>
      <c r="BY59">
        <f>87.9605</f>
        <v>87.960499999999996</v>
      </c>
      <c r="BZ59">
        <f>84.19</f>
        <v>84.19</v>
      </c>
      <c r="CA59">
        <f>81.2255</f>
        <v>81.225499999999997</v>
      </c>
      <c r="CB59">
        <f>81.3875</f>
        <v>81.387500000000003</v>
      </c>
      <c r="CC59">
        <f>82.583</f>
        <v>82.582999999999998</v>
      </c>
      <c r="CD59">
        <f>78.6905</f>
        <v>78.6905</v>
      </c>
      <c r="CE59">
        <f>78.295</f>
        <v>78.295000000000002</v>
      </c>
      <c r="CF59">
        <f>81.2735</f>
        <v>81.273499999999999</v>
      </c>
      <c r="CG59">
        <f>82.359</f>
        <v>82.358999999999995</v>
      </c>
      <c r="CH59">
        <f>76.6265</f>
        <v>76.626499999999993</v>
      </c>
      <c r="CI59">
        <f>73.1795</f>
        <v>73.179500000000004</v>
      </c>
      <c r="CJ59">
        <f>80.304</f>
        <v>80.304000000000002</v>
      </c>
      <c r="CK59">
        <f>78.917</f>
        <v>78.917000000000002</v>
      </c>
      <c r="CL59">
        <f>81.23</f>
        <v>81.23</v>
      </c>
      <c r="CM59">
        <f>76.0855</f>
        <v>76.085499999999996</v>
      </c>
      <c r="CN59">
        <f>86.1265</f>
        <v>86.126499999999993</v>
      </c>
      <c r="CO59">
        <f>84.0145</f>
        <v>84.014499999999998</v>
      </c>
      <c r="CP59">
        <f>78.689</f>
        <v>78.688999999999993</v>
      </c>
      <c r="CQ59">
        <f>80.517</f>
        <v>80.516999999999996</v>
      </c>
      <c r="CR59">
        <f>83.9545</f>
        <v>83.954499999999996</v>
      </c>
      <c r="CS59">
        <f>78.488</f>
        <v>78.488</v>
      </c>
      <c r="CT59">
        <f>80.273</f>
        <v>80.272999999999996</v>
      </c>
      <c r="CU59">
        <f>87.069</f>
        <v>87.069000000000003</v>
      </c>
      <c r="CV59">
        <f>82.478</f>
        <v>82.477999999999994</v>
      </c>
      <c r="CW59">
        <f>81.881</f>
        <v>81.881</v>
      </c>
      <c r="CX59">
        <f>80.8295</f>
        <v>80.829499999999996</v>
      </c>
      <c r="CY59">
        <f>64.907</f>
        <v>64.906999999999996</v>
      </c>
      <c r="CZ59">
        <f>94.095</f>
        <v>94.094999999999999</v>
      </c>
      <c r="DA59">
        <f>87.135</f>
        <v>87.135000000000005</v>
      </c>
      <c r="DB59">
        <f>94.212</f>
        <v>94.212000000000003</v>
      </c>
      <c r="DC59">
        <f>89.103</f>
        <v>89.102999999999994</v>
      </c>
      <c r="DD59">
        <f>92.417</f>
        <v>92.417000000000002</v>
      </c>
      <c r="DE59">
        <f>84.34</f>
        <v>84.34</v>
      </c>
      <c r="DF59">
        <f>92.094</f>
        <v>92.093999999999994</v>
      </c>
      <c r="DG59">
        <f>77.443</f>
        <v>77.442999999999998</v>
      </c>
      <c r="DH59">
        <f>88.824</f>
        <v>88.823999999999998</v>
      </c>
      <c r="DI59">
        <f>80.357</f>
        <v>80.356999999999999</v>
      </c>
      <c r="DJ59">
        <f>82.78</f>
        <v>82.78</v>
      </c>
      <c r="DK59">
        <f>51.725</f>
        <v>51.725000000000001</v>
      </c>
      <c r="DL59">
        <f>60.493</f>
        <v>60.493000000000002</v>
      </c>
      <c r="DM59">
        <f>65.439</f>
        <v>65.438999999999993</v>
      </c>
      <c r="DN59">
        <f>66.966</f>
        <v>66.965999999999994</v>
      </c>
      <c r="DO59">
        <f>56.824</f>
        <v>56.823999999999998</v>
      </c>
      <c r="DP59">
        <f>60.436</f>
        <v>60.436</v>
      </c>
      <c r="DQ59">
        <f>67.481</f>
        <v>67.480999999999995</v>
      </c>
      <c r="DR59">
        <f>66.696</f>
        <v>66.695999999999998</v>
      </c>
      <c r="DS59">
        <f>72.94000101</f>
        <v>72.940001010000003</v>
      </c>
      <c r="DT59">
        <f>65.2220006</f>
        <v>65.222000600000001</v>
      </c>
      <c r="DU59">
        <f>56.41499901</f>
        <v>56.414999010000002</v>
      </c>
    </row>
    <row r="60" spans="1:125">
      <c r="A60" t="str">
        <f>"    Boston Properties Inc"</f>
        <v xml:space="preserve">    Boston Properties Inc</v>
      </c>
      <c r="B60" t="str">
        <f>"BXP US Equity"</f>
        <v>BXP US Equity</v>
      </c>
      <c r="C60" t="str">
        <f t="shared" ref="C60:C69" si="15">"RR009"</f>
        <v>RR009</v>
      </c>
      <c r="D60" t="str">
        <f t="shared" ref="D60:D69" si="16">"EBITDA"</f>
        <v>EBITDA</v>
      </c>
      <c r="E60" t="str">
        <f t="shared" ref="E60:E69" si="17">"动态"</f>
        <v>动态</v>
      </c>
      <c r="F60" t="str">
        <f ca="1">IF(AND(ISNUMBER($F$376),$B$294=1),$F$376,HLOOKUP(INDIRECT(ADDRESS(2,COLUMN())),OFFSET($BN$2,0,0,ROW()-1,60),ROW()-1,FALSE))</f>
        <v/>
      </c>
      <c r="G60">
        <f ca="1">IF(AND(ISNUMBER($G$376),$B$294=1),$G$376,HLOOKUP(INDIRECT(ADDRESS(2,COLUMN())),OFFSET($BN$2,0,0,ROW()-1,60),ROW()-1,FALSE))</f>
        <v>383.72500000000002</v>
      </c>
      <c r="H60">
        <f ca="1">IF(AND(ISNUMBER($H$376),$B$294=1),$H$376,HLOOKUP(INDIRECT(ADDRESS(2,COLUMN())),OFFSET($BN$2,0,0,ROW()-1,60),ROW()-1,FALSE))</f>
        <v>385.89299999999997</v>
      </c>
      <c r="I60">
        <f ca="1">IF(AND(ISNUMBER($I$376),$B$294=1),$I$376,HLOOKUP(INDIRECT(ADDRESS(2,COLUMN())),OFFSET($BN$2,0,0,ROW()-1,60),ROW()-1,FALSE))</f>
        <v>390.60899999999998</v>
      </c>
      <c r="J60">
        <f ca="1">IF(AND(ISNUMBER($J$376),$B$294=1),$J$376,HLOOKUP(INDIRECT(ADDRESS(2,COLUMN())),OFFSET($BN$2,0,0,ROW()-1,60),ROW()-1,FALSE))</f>
        <v>365.43</v>
      </c>
      <c r="K60">
        <f ca="1">IF(AND(ISNUMBER($K$376),$B$294=1),$K$376,HLOOKUP(INDIRECT(ADDRESS(2,COLUMN())),OFFSET($BN$2,0,0,ROW()-1,60),ROW()-1,FALSE))</f>
        <v>375.858</v>
      </c>
      <c r="L60">
        <f ca="1">IF(AND(ISNUMBER($L$376),$B$294=1),$L$376,HLOOKUP(INDIRECT(ADDRESS(2,COLUMN())),OFFSET($BN$2,0,0,ROW()-1,60),ROW()-1,FALSE))</f>
        <v>361.35300000000001</v>
      </c>
      <c r="M60">
        <f ca="1">IF(AND(ISNUMBER($M$376),$B$294=1),$M$376,HLOOKUP(INDIRECT(ADDRESS(2,COLUMN())),OFFSET($BN$2,0,0,ROW()-1,60),ROW()-1,FALSE))</f>
        <v>371.29899999999998</v>
      </c>
      <c r="N60">
        <f ca="1">IF(AND(ISNUMBER($N$376),$B$294=1),$N$376,HLOOKUP(INDIRECT(ADDRESS(2,COLUMN())),OFFSET($BN$2,0,0,ROW()-1,60),ROW()-1,FALSE))</f>
        <v>409.80099999999999</v>
      </c>
      <c r="O60">
        <f ca="1">IF(AND(ISNUMBER($O$376),$B$294=1),$O$376,HLOOKUP(INDIRECT(ADDRESS(2,COLUMN())),OFFSET($BN$2,0,0,ROW()-1,60),ROW()-1,FALSE))</f>
        <v>374.94</v>
      </c>
      <c r="P60">
        <f ca="1">IF(AND(ISNUMBER($P$376),$B$294=1),$P$376,HLOOKUP(INDIRECT(ADDRESS(2,COLUMN())),OFFSET($BN$2,0,0,ROW()-1,60),ROW()-1,FALSE))</f>
        <v>380.76499999999999</v>
      </c>
      <c r="Q60">
        <f ca="1">IF(AND(ISNUMBER($Q$376),$B$294=1),$Q$376,HLOOKUP(INDIRECT(ADDRESS(2,COLUMN())),OFFSET($BN$2,0,0,ROW()-1,60),ROW()-1,FALSE))</f>
        <v>372.77</v>
      </c>
      <c r="R60">
        <f ca="1">IF(AND(ISNUMBER($R$376),$B$294=1),$R$376,HLOOKUP(INDIRECT(ADDRESS(2,COLUMN())),OFFSET($BN$2,0,0,ROW()-1,60),ROW()-1,FALSE))</f>
        <v>360.43200000000002</v>
      </c>
      <c r="S60">
        <f ca="1">IF(AND(ISNUMBER($S$376),$B$294=1),$S$376,HLOOKUP(INDIRECT(ADDRESS(2,COLUMN())),OFFSET($BN$2,0,0,ROW()-1,60),ROW()-1,FALSE))</f>
        <v>371.279</v>
      </c>
      <c r="T60">
        <f ca="1">IF(AND(ISNUMBER($T$376),$B$294=1),$T$376,HLOOKUP(INDIRECT(ADDRESS(2,COLUMN())),OFFSET($BN$2,0,0,ROW()-1,60),ROW()-1,FALSE))</f>
        <v>372.048</v>
      </c>
      <c r="U60">
        <f ca="1">IF(AND(ISNUMBER($U$376),$B$294=1),$U$376,HLOOKUP(INDIRECT(ADDRESS(2,COLUMN())),OFFSET($BN$2,0,0,ROW()-1,60),ROW()-1,FALSE))</f>
        <v>355.90100000000001</v>
      </c>
      <c r="V60">
        <f ca="1">IF(AND(ISNUMBER($V$376),$B$294=1),$V$376,HLOOKUP(INDIRECT(ADDRESS(2,COLUMN())),OFFSET($BN$2,0,0,ROW()-1,60),ROW()-1,FALSE))</f>
        <v>331.16699999999997</v>
      </c>
      <c r="W60">
        <f ca="1">IF(AND(ISNUMBER($W$376),$B$294=1),$W$376,HLOOKUP(INDIRECT(ADDRESS(2,COLUMN())),OFFSET($BN$2,0,0,ROW()-1,60),ROW()-1,FALSE))</f>
        <v>350.40100000000001</v>
      </c>
      <c r="X60">
        <f ca="1">IF(AND(ISNUMBER($X$376),$B$294=1),$X$376,HLOOKUP(INDIRECT(ADDRESS(2,COLUMN())),OFFSET($BN$2,0,0,ROW()-1,60),ROW()-1,FALSE))</f>
        <v>340.94600000000003</v>
      </c>
      <c r="Y60">
        <f ca="1">IF(AND(ISNUMBER($Y$376),$B$294=1),$Y$376,HLOOKUP(INDIRECT(ADDRESS(2,COLUMN())),OFFSET($BN$2,0,0,ROW()-1,60),ROW()-1,FALSE))</f>
        <v>302.97699999999998</v>
      </c>
      <c r="Z60">
        <f ca="1">IF(AND(ISNUMBER($Z$376),$B$294=1),$Z$376,HLOOKUP(INDIRECT(ADDRESS(2,COLUMN())),OFFSET($BN$2,0,0,ROW()-1,60),ROW()-1,FALSE))</f>
        <v>249.19300000000001</v>
      </c>
      <c r="AA60">
        <f ca="1">IF(AND(ISNUMBER($AA$376),$B$294=1),$AA$376,HLOOKUP(INDIRECT(ADDRESS(2,COLUMN())),OFFSET($BN$2,0,0,ROW()-1,60),ROW()-1,FALSE))</f>
        <v>288.40499999999997</v>
      </c>
      <c r="AB60">
        <f ca="1">IF(AND(ISNUMBER($AB$376),$B$294=1),$AB$376,HLOOKUP(INDIRECT(ADDRESS(2,COLUMN())),OFFSET($BN$2,0,0,ROW()-1,60),ROW()-1,FALSE))</f>
        <v>274.18200000000002</v>
      </c>
      <c r="AC60">
        <f ca="1">IF(AND(ISNUMBER($AC$376),$B$294=1),$AC$376,HLOOKUP(INDIRECT(ADDRESS(2,COLUMN())),OFFSET($BN$2,0,0,ROW()-1,60),ROW()-1,FALSE))</f>
        <v>285.39400000000001</v>
      </c>
      <c r="AD60">
        <f ca="1">IF(AND(ISNUMBER($AD$376),$B$294=1),$AD$376,HLOOKUP(INDIRECT(ADDRESS(2,COLUMN())),OFFSET($BN$2,0,0,ROW()-1,60),ROW()-1,FALSE))</f>
        <v>253.43199999999999</v>
      </c>
      <c r="AE60">
        <f ca="1">IF(AND(ISNUMBER($AE$376),$B$294=1),$AE$376,HLOOKUP(INDIRECT(ADDRESS(2,COLUMN())),OFFSET($BN$2,0,0,ROW()-1,60),ROW()-1,FALSE))</f>
        <v>270.71899999999999</v>
      </c>
      <c r="AF60">
        <f ca="1">IF(AND(ISNUMBER($AF$376),$B$294=1),$AF$376,HLOOKUP(INDIRECT(ADDRESS(2,COLUMN())),OFFSET($BN$2,0,0,ROW()-1,60),ROW()-1,FALSE))</f>
        <v>273.32499999999999</v>
      </c>
      <c r="AG60">
        <f ca="1">IF(AND(ISNUMBER($AG$376),$B$294=1),$AG$376,HLOOKUP(INDIRECT(ADDRESS(2,COLUMN())),OFFSET($BN$2,0,0,ROW()-1,60),ROW()-1,FALSE))</f>
        <v>264.69200000000001</v>
      </c>
      <c r="AH60">
        <f ca="1">IF(AND(ISNUMBER($AH$376),$B$294=1),$AH$376,HLOOKUP(INDIRECT(ADDRESS(2,COLUMN())),OFFSET($BN$2,0,0,ROW()-1,60),ROW()-1,FALSE))</f>
        <v>247.321</v>
      </c>
      <c r="AI60">
        <f ca="1">IF(AND(ISNUMBER($AI$376),$B$294=1),$AI$376,HLOOKUP(INDIRECT(ADDRESS(2,COLUMN())),OFFSET($BN$2,0,0,ROW()-1,60),ROW()-1,FALSE))</f>
        <v>241.654</v>
      </c>
      <c r="AJ60">
        <f ca="1">IF(AND(ISNUMBER($AJ$376),$B$294=1),$AJ$376,HLOOKUP(INDIRECT(ADDRESS(2,COLUMN())),OFFSET($BN$2,0,0,ROW()-1,60),ROW()-1,FALSE))</f>
        <v>234.029</v>
      </c>
      <c r="AK60">
        <f ca="1">IF(AND(ISNUMBER($AK$376),$B$294=1),$AK$376,HLOOKUP(INDIRECT(ADDRESS(2,COLUMN())),OFFSET($BN$2,0,0,ROW()-1,60),ROW()-1,FALSE))</f>
        <v>248.93700000000001</v>
      </c>
      <c r="AL60">
        <f ca="1">IF(AND(ISNUMBER($AL$376),$B$294=1),$AL$376,HLOOKUP(INDIRECT(ADDRESS(2,COLUMN())),OFFSET($BN$2,0,0,ROW()-1,60),ROW()-1,FALSE))</f>
        <v>220.99600000000001</v>
      </c>
      <c r="AM60">
        <f ca="1">IF(AND(ISNUMBER($AM$376),$B$294=1),$AM$376,HLOOKUP(INDIRECT(ADDRESS(2,COLUMN())),OFFSET($BN$2,0,0,ROW()-1,60),ROW()-1,FALSE))</f>
        <v>226.501</v>
      </c>
      <c r="AN60">
        <f ca="1">IF(AND(ISNUMBER($AN$376),$B$294=1),$AN$376,HLOOKUP(INDIRECT(ADDRESS(2,COLUMN())),OFFSET($BN$2,0,0,ROW()-1,60),ROW()-1,FALSE))</f>
        <v>222.876</v>
      </c>
      <c r="AO60">
        <f ca="1">IF(AND(ISNUMBER($AO$376),$B$294=1),$AO$376,HLOOKUP(INDIRECT(ADDRESS(2,COLUMN())),OFFSET($BN$2,0,0,ROW()-1,60),ROW()-1,FALSE))</f>
        <v>240.869</v>
      </c>
      <c r="AP60">
        <f ca="1">IF(AND(ISNUMBER($AP$376),$B$294=1),$AP$376,HLOOKUP(INDIRECT(ADDRESS(2,COLUMN())),OFFSET($BN$2,0,0,ROW()-1,60),ROW()-1,FALSE))</f>
        <v>203.02500000000001</v>
      </c>
      <c r="AQ60">
        <f ca="1">IF(AND(ISNUMBER($AQ$376),$B$294=1),$AQ$376,HLOOKUP(INDIRECT(ADDRESS(2,COLUMN())),OFFSET($BN$2,0,0,ROW()-1,60),ROW()-1,FALSE))</f>
        <v>241.423</v>
      </c>
      <c r="AR60">
        <f ca="1">IF(AND(ISNUMBER($AR$376),$B$294=1),$AR$376,HLOOKUP(INDIRECT(ADDRESS(2,COLUMN())),OFFSET($BN$2,0,0,ROW()-1,60),ROW()-1,FALSE))</f>
        <v>205.197</v>
      </c>
      <c r="AS60">
        <f ca="1">IF(AND(ISNUMBER($AS$376),$B$294=1),$AS$376,HLOOKUP(INDIRECT(ADDRESS(2,COLUMN())),OFFSET($BN$2,0,0,ROW()-1,60),ROW()-1,FALSE))</f>
        <v>225.661</v>
      </c>
      <c r="AT60">
        <f ca="1">IF(AND(ISNUMBER($AT$376),$B$294=1),$AT$376,HLOOKUP(INDIRECT(ADDRESS(2,COLUMN())),OFFSET($BN$2,0,0,ROW()-1,60),ROW()-1,FALSE))</f>
        <v>228.214</v>
      </c>
      <c r="AU60">
        <f ca="1">IF(AND(ISNUMBER($AU$376),$B$294=1),$AU$376,HLOOKUP(INDIRECT(ADDRESS(2,COLUMN())),OFFSET($BN$2,0,0,ROW()-1,60),ROW()-1,FALSE))</f>
        <v>238.90600000000001</v>
      </c>
      <c r="AV60">
        <f ca="1">IF(AND(ISNUMBER($AV$376),$B$294=1),$AV$376,HLOOKUP(INDIRECT(ADDRESS(2,COLUMN())),OFFSET($BN$2,0,0,ROW()-1,60),ROW()-1,FALSE))</f>
        <v>229.31399999999999</v>
      </c>
      <c r="AW60">
        <f ca="1">IF(AND(ISNUMBER($AW$376),$B$294=1),$AW$376,HLOOKUP(INDIRECT(ADDRESS(2,COLUMN())),OFFSET($BN$2,0,0,ROW()-1,60),ROW()-1,FALSE))</f>
        <v>237.20699999999999</v>
      </c>
      <c r="AX60">
        <f ca="1">IF(AND(ISNUMBER($AX$376),$B$294=1),$AX$376,HLOOKUP(INDIRECT(ADDRESS(2,COLUMN())),OFFSET($BN$2,0,0,ROW()-1,60),ROW()-1,FALSE))</f>
        <v>226.32400000000001</v>
      </c>
      <c r="AY60">
        <f ca="1">IF(AND(ISNUMBER($AY$376),$B$294=1),$AY$376,HLOOKUP(INDIRECT(ADDRESS(2,COLUMN())),OFFSET($BN$2,0,0,ROW()-1,60),ROW()-1,FALSE))</f>
        <v>227.20599999999999</v>
      </c>
      <c r="AZ60">
        <f ca="1">IF(AND(ISNUMBER($AZ$376),$B$294=1),$AZ$376,HLOOKUP(INDIRECT(ADDRESS(2,COLUMN())),OFFSET($BN$2,0,0,ROW()-1,60),ROW()-1,FALSE))</f>
        <v>230.233</v>
      </c>
      <c r="BA60">
        <f ca="1">IF(AND(ISNUMBER($BA$376),$B$294=1),$BA$376,HLOOKUP(INDIRECT(ADDRESS(2,COLUMN())),OFFSET($BN$2,0,0,ROW()-1,60),ROW()-1,FALSE))</f>
        <v>227.70400000000001</v>
      </c>
      <c r="BB60">
        <f ca="1">IF(AND(ISNUMBER($BB$376),$B$294=1),$BB$376,HLOOKUP(INDIRECT(ADDRESS(2,COLUMN())),OFFSET($BN$2,0,0,ROW()-1,60),ROW()-1,FALSE))</f>
        <v>216.63499999999999</v>
      </c>
      <c r="BC60">
        <f ca="1">IF(AND(ISNUMBER($BC$376),$B$294=1),$BC$376,HLOOKUP(INDIRECT(ADDRESS(2,COLUMN())),OFFSET($BN$2,0,0,ROW()-1,60),ROW()-1,FALSE))</f>
        <v>224.851</v>
      </c>
      <c r="BD60">
        <f ca="1">IF(AND(ISNUMBER($BD$376),$B$294=1),$BD$376,HLOOKUP(INDIRECT(ADDRESS(2,COLUMN())),OFFSET($BN$2,0,0,ROW()-1,60),ROW()-1,FALSE))</f>
        <v>222.642</v>
      </c>
      <c r="BE60">
        <f ca="1">IF(AND(ISNUMBER($BE$376),$B$294=1),$BE$376,HLOOKUP(INDIRECT(ADDRESS(2,COLUMN())),OFFSET($BN$2,0,0,ROW()-1,60),ROW()-1,FALSE))</f>
        <v>224.92599999999999</v>
      </c>
      <c r="BF60">
        <f ca="1">IF(AND(ISNUMBER($BF$376),$B$294=1),$BF$376,HLOOKUP(INDIRECT(ADDRESS(2,COLUMN())),OFFSET($BN$2,0,0,ROW()-1,60),ROW()-1,FALSE))</f>
        <v>220.53299999999999</v>
      </c>
      <c r="BG60">
        <f ca="1">IF(AND(ISNUMBER($BG$376),$B$294=1),$BG$376,HLOOKUP(INDIRECT(ADDRESS(2,COLUMN())),OFFSET($BN$2,0,0,ROW()-1,60),ROW()-1,FALSE))</f>
        <v>222.55500000000001</v>
      </c>
      <c r="BH60">
        <f ca="1">IF(AND(ISNUMBER($BH$376),$B$294=1),$BH$376,HLOOKUP(INDIRECT(ADDRESS(2,COLUMN())),OFFSET($BN$2,0,0,ROW()-1,60),ROW()-1,FALSE))</f>
        <v>224.75200000000001</v>
      </c>
      <c r="BI60">
        <f ca="1">IF(AND(ISNUMBER($BI$376),$B$294=1),$BI$376,HLOOKUP(INDIRECT(ADDRESS(2,COLUMN())),OFFSET($BN$2,0,0,ROW()-1,60),ROW()-1,FALSE))</f>
        <v>217.51600099999999</v>
      </c>
      <c r="BJ60">
        <f ca="1">IF(AND(ISNUMBER($BJ$376),$B$294=1),$BJ$376,HLOOKUP(INDIRECT(ADDRESS(2,COLUMN())),OFFSET($BN$2,0,0,ROW()-1,60),ROW()-1,FALSE))</f>
        <v>208.659999</v>
      </c>
      <c r="BK60">
        <f ca="1">IF(AND(ISNUMBER($BK$376),$B$294=1),$BK$376,HLOOKUP(INDIRECT(ADDRESS(2,COLUMN())),OFFSET($BN$2,0,0,ROW()-1,60),ROW()-1,FALSE))</f>
        <v>208.41699600000001</v>
      </c>
      <c r="BL60">
        <f ca="1">IF(AND(ISNUMBER($BL$376),$B$294=1),$BL$376,HLOOKUP(INDIRECT(ADDRESS(2,COLUMN())),OFFSET($BN$2,0,0,ROW()-1,60),ROW()-1,FALSE))</f>
        <v>198.53500399999999</v>
      </c>
      <c r="BM60">
        <f ca="1">IF(AND(ISNUMBER($BM$376),$B$294=1),$BM$376,HLOOKUP(INDIRECT(ADDRESS(2,COLUMN())),OFFSET($BN$2,0,0,ROW()-1,60),ROW()-1,FALSE))</f>
        <v>127.791</v>
      </c>
      <c r="BN60" t="str">
        <f>""</f>
        <v/>
      </c>
      <c r="BO60">
        <f>383.725</f>
        <v>383.72500000000002</v>
      </c>
      <c r="BP60">
        <f>385.893</f>
        <v>385.89299999999997</v>
      </c>
      <c r="BQ60">
        <f>390.609</f>
        <v>390.60899999999998</v>
      </c>
      <c r="BR60">
        <f>365.43</f>
        <v>365.43</v>
      </c>
      <c r="BS60">
        <f>375.858</f>
        <v>375.858</v>
      </c>
      <c r="BT60">
        <f>361.353</f>
        <v>361.35300000000001</v>
      </c>
      <c r="BU60">
        <f>371.299</f>
        <v>371.29899999999998</v>
      </c>
      <c r="BV60">
        <f>409.801</f>
        <v>409.80099999999999</v>
      </c>
      <c r="BW60">
        <f>374.94</f>
        <v>374.94</v>
      </c>
      <c r="BX60">
        <f>380.765</f>
        <v>380.76499999999999</v>
      </c>
      <c r="BY60">
        <f>372.77</f>
        <v>372.77</v>
      </c>
      <c r="BZ60">
        <f>360.432</f>
        <v>360.43200000000002</v>
      </c>
      <c r="CA60">
        <f>371.279</f>
        <v>371.279</v>
      </c>
      <c r="CB60">
        <f>372.048</f>
        <v>372.048</v>
      </c>
      <c r="CC60">
        <f>355.901</f>
        <v>355.90100000000001</v>
      </c>
      <c r="CD60">
        <f>331.167</f>
        <v>331.16699999999997</v>
      </c>
      <c r="CE60">
        <f>350.401</f>
        <v>350.40100000000001</v>
      </c>
      <c r="CF60">
        <f>340.946</f>
        <v>340.94600000000003</v>
      </c>
      <c r="CG60">
        <f>302.977</f>
        <v>302.97699999999998</v>
      </c>
      <c r="CH60">
        <f>249.193</f>
        <v>249.19300000000001</v>
      </c>
      <c r="CI60">
        <f>288.405</f>
        <v>288.40499999999997</v>
      </c>
      <c r="CJ60">
        <f>274.182</f>
        <v>274.18200000000002</v>
      </c>
      <c r="CK60">
        <f>285.394</f>
        <v>285.39400000000001</v>
      </c>
      <c r="CL60">
        <f>253.432</f>
        <v>253.43199999999999</v>
      </c>
      <c r="CM60">
        <f>270.719</f>
        <v>270.71899999999999</v>
      </c>
      <c r="CN60">
        <f>273.325</f>
        <v>273.32499999999999</v>
      </c>
      <c r="CO60">
        <f>264.692</f>
        <v>264.69200000000001</v>
      </c>
      <c r="CP60">
        <f>247.321</f>
        <v>247.321</v>
      </c>
      <c r="CQ60">
        <f>241.654</f>
        <v>241.654</v>
      </c>
      <c r="CR60">
        <f>234.029</f>
        <v>234.029</v>
      </c>
      <c r="CS60">
        <f>248.937</f>
        <v>248.93700000000001</v>
      </c>
      <c r="CT60">
        <f>220.996</f>
        <v>220.99600000000001</v>
      </c>
      <c r="CU60">
        <f>226.501</f>
        <v>226.501</v>
      </c>
      <c r="CV60">
        <f>222.876</f>
        <v>222.876</v>
      </c>
      <c r="CW60">
        <f>240.869</f>
        <v>240.869</v>
      </c>
      <c r="CX60">
        <f>203.025</f>
        <v>203.02500000000001</v>
      </c>
      <c r="CY60">
        <f>241.423</f>
        <v>241.423</v>
      </c>
      <c r="CZ60">
        <f>205.197</f>
        <v>205.197</v>
      </c>
      <c r="DA60">
        <f>225.661</f>
        <v>225.661</v>
      </c>
      <c r="DB60">
        <f>228.214</f>
        <v>228.214</v>
      </c>
      <c r="DC60">
        <f>238.906</f>
        <v>238.90600000000001</v>
      </c>
      <c r="DD60">
        <f>229.314</f>
        <v>229.31399999999999</v>
      </c>
      <c r="DE60">
        <f>237.207</f>
        <v>237.20699999999999</v>
      </c>
      <c r="DF60">
        <f>226.324</f>
        <v>226.32400000000001</v>
      </c>
      <c r="DG60">
        <f>227.206</f>
        <v>227.20599999999999</v>
      </c>
      <c r="DH60">
        <f>230.233</f>
        <v>230.233</v>
      </c>
      <c r="DI60">
        <f>227.704</f>
        <v>227.70400000000001</v>
      </c>
      <c r="DJ60">
        <f>216.635</f>
        <v>216.63499999999999</v>
      </c>
      <c r="DK60">
        <f>224.851</f>
        <v>224.851</v>
      </c>
      <c r="DL60">
        <f>222.642</f>
        <v>222.642</v>
      </c>
      <c r="DM60">
        <f>224.926</f>
        <v>224.92599999999999</v>
      </c>
      <c r="DN60">
        <f>220.533</f>
        <v>220.53299999999999</v>
      </c>
      <c r="DO60">
        <f>222.555</f>
        <v>222.55500000000001</v>
      </c>
      <c r="DP60">
        <f>224.752</f>
        <v>224.75200000000001</v>
      </c>
      <c r="DQ60">
        <f>217.516001</f>
        <v>217.51600099999999</v>
      </c>
      <c r="DR60">
        <f>208.659999</f>
        <v>208.659999</v>
      </c>
      <c r="DS60">
        <f>208.416996</f>
        <v>208.41699600000001</v>
      </c>
      <c r="DT60">
        <f>198.535004</f>
        <v>198.53500399999999</v>
      </c>
      <c r="DU60">
        <f>127.791</f>
        <v>127.791</v>
      </c>
    </row>
    <row r="61" spans="1:125">
      <c r="A61" t="str">
        <f>"    Brandywine Realty Trust"</f>
        <v xml:space="preserve">    Brandywine Realty Trust</v>
      </c>
      <c r="B61" t="str">
        <f>"BDN US Equity"</f>
        <v>BDN US Equity</v>
      </c>
      <c r="C61" t="str">
        <f t="shared" si="15"/>
        <v>RR009</v>
      </c>
      <c r="D61" t="str">
        <f t="shared" si="16"/>
        <v>EBITDA</v>
      </c>
      <c r="E61" t="str">
        <f t="shared" si="17"/>
        <v>动态</v>
      </c>
      <c r="F61" t="str">
        <f ca="1">IF(AND(ISNUMBER($F$377),$B$294=1),$F$377,HLOOKUP(INDIRECT(ADDRESS(2,COLUMN())),OFFSET($BN$2,0,0,ROW()-1,60),ROW()-1,FALSE))</f>
        <v/>
      </c>
      <c r="G61">
        <f ca="1">IF(AND(ISNUMBER($G$377),$B$294=1),$G$377,HLOOKUP(INDIRECT(ADDRESS(2,COLUMN())),OFFSET($BN$2,0,0,ROW()-1,60),ROW()-1,FALSE))</f>
        <v>72.212999999999994</v>
      </c>
      <c r="H61">
        <f ca="1">IF(AND(ISNUMBER($H$377),$B$294=1),$H$377,HLOOKUP(INDIRECT(ADDRESS(2,COLUMN())),OFFSET($BN$2,0,0,ROW()-1,60),ROW()-1,FALSE))</f>
        <v>71.412000000000006</v>
      </c>
      <c r="I61">
        <f ca="1">IF(AND(ISNUMBER($I$377),$B$294=1),$I$377,HLOOKUP(INDIRECT(ADDRESS(2,COLUMN())),OFFSET($BN$2,0,0,ROW()-1,60),ROW()-1,FALSE))</f>
        <v>70.096000000000004</v>
      </c>
      <c r="J61">
        <f ca="1">IF(AND(ISNUMBER($J$377),$B$294=1),$J$377,HLOOKUP(INDIRECT(ADDRESS(2,COLUMN())),OFFSET($BN$2,0,0,ROW()-1,60),ROW()-1,FALSE))</f>
        <v>66.346000000000004</v>
      </c>
      <c r="K61">
        <f ca="1">IF(AND(ISNUMBER($K$377),$B$294=1),$K$377,HLOOKUP(INDIRECT(ADDRESS(2,COLUMN())),OFFSET($BN$2,0,0,ROW()-1,60),ROW()-1,FALSE))</f>
        <v>44.179000000000002</v>
      </c>
      <c r="L61">
        <f ca="1">IF(AND(ISNUMBER($L$377),$B$294=1),$L$377,HLOOKUP(INDIRECT(ADDRESS(2,COLUMN())),OFFSET($BN$2,0,0,ROW()-1,60),ROW()-1,FALSE))</f>
        <v>71.356999999999999</v>
      </c>
      <c r="M61">
        <f ca="1">IF(AND(ISNUMBER($M$377),$B$294=1),$M$377,HLOOKUP(INDIRECT(ADDRESS(2,COLUMN())),OFFSET($BN$2,0,0,ROW()-1,60),ROW()-1,FALSE))</f>
        <v>63.851999999999997</v>
      </c>
      <c r="N61">
        <f ca="1">IF(AND(ISNUMBER($N$377),$B$294=1),$N$377,HLOOKUP(INDIRECT(ADDRESS(2,COLUMN())),OFFSET($BN$2,0,0,ROW()-1,60),ROW()-1,FALSE))</f>
        <v>62.984999999999999</v>
      </c>
      <c r="O61">
        <f ca="1">IF(AND(ISNUMBER($O$377),$B$294=1),$O$377,HLOOKUP(INDIRECT(ADDRESS(2,COLUMN())),OFFSET($BN$2,0,0,ROW()-1,60),ROW()-1,FALSE))</f>
        <v>2.8210000000000002</v>
      </c>
      <c r="P61">
        <f ca="1">IF(AND(ISNUMBER($P$377),$B$294=1),$P$377,HLOOKUP(INDIRECT(ADDRESS(2,COLUMN())),OFFSET($BN$2,0,0,ROW()-1,60),ROW()-1,FALSE))</f>
        <v>83.71</v>
      </c>
      <c r="Q61">
        <f ca="1">IF(AND(ISNUMBER($Q$377),$B$294=1),$Q$377,HLOOKUP(INDIRECT(ADDRESS(2,COLUMN())),OFFSET($BN$2,0,0,ROW()-1,60),ROW()-1,FALSE))</f>
        <v>81.165000000000006</v>
      </c>
      <c r="R61">
        <f ca="1">IF(AND(ISNUMBER($R$377),$B$294=1),$R$377,HLOOKUP(INDIRECT(ADDRESS(2,COLUMN())),OFFSET($BN$2,0,0,ROW()-1,60),ROW()-1,FALSE))</f>
        <v>78.055999999999997</v>
      </c>
      <c r="S61">
        <f ca="1">IF(AND(ISNUMBER($S$377),$B$294=1),$S$377,HLOOKUP(INDIRECT(ADDRESS(2,COLUMN())),OFFSET($BN$2,0,0,ROW()-1,60),ROW()-1,FALSE))</f>
        <v>77.271000000000001</v>
      </c>
      <c r="T61">
        <f ca="1">IF(AND(ISNUMBER($T$377),$B$294=1),$T$377,HLOOKUP(INDIRECT(ADDRESS(2,COLUMN())),OFFSET($BN$2,0,0,ROW()-1,60),ROW()-1,FALSE))</f>
        <v>81.918999999999997</v>
      </c>
      <c r="U61">
        <f ca="1">IF(AND(ISNUMBER($U$377),$B$294=1),$U$377,HLOOKUP(INDIRECT(ADDRESS(2,COLUMN())),OFFSET($BN$2,0,0,ROW()-1,60),ROW()-1,FALSE))</f>
        <v>85.046999999999997</v>
      </c>
      <c r="V61">
        <f ca="1">IF(AND(ISNUMBER($V$377),$B$294=1),$V$377,HLOOKUP(INDIRECT(ADDRESS(2,COLUMN())),OFFSET($BN$2,0,0,ROW()-1,60),ROW()-1,FALSE))</f>
        <v>80.001999999999995</v>
      </c>
      <c r="W61">
        <f ca="1">IF(AND(ISNUMBER($W$377),$B$294=1),$W$377,HLOOKUP(INDIRECT(ADDRESS(2,COLUMN())),OFFSET($BN$2,0,0,ROW()-1,60),ROW()-1,FALSE))</f>
        <v>68.385000000000005</v>
      </c>
      <c r="X61">
        <f ca="1">IF(AND(ISNUMBER($X$377),$B$294=1),$X$377,HLOOKUP(INDIRECT(ADDRESS(2,COLUMN())),OFFSET($BN$2,0,0,ROW()-1,60),ROW()-1,FALSE))</f>
        <v>79.003</v>
      </c>
      <c r="Y61">
        <f ca="1">IF(AND(ISNUMBER($Y$377),$B$294=1),$Y$377,HLOOKUP(INDIRECT(ADDRESS(2,COLUMN())),OFFSET($BN$2,0,0,ROW()-1,60),ROW()-1,FALSE))</f>
        <v>77.463999999999999</v>
      </c>
      <c r="Z61">
        <f ca="1">IF(AND(ISNUMBER($Z$377),$B$294=1),$Z$377,HLOOKUP(INDIRECT(ADDRESS(2,COLUMN())),OFFSET($BN$2,0,0,ROW()-1,60),ROW()-1,FALSE))</f>
        <v>76.991</v>
      </c>
      <c r="AA61">
        <f ca="1">IF(AND(ISNUMBER($AA$377),$B$294=1),$AA$377,HLOOKUP(INDIRECT(ADDRESS(2,COLUMN())),OFFSET($BN$2,0,0,ROW()-1,60),ROW()-1,FALSE))</f>
        <v>-73.111999999999995</v>
      </c>
      <c r="AB61">
        <f ca="1">IF(AND(ISNUMBER($AB$377),$B$294=1),$AB$377,HLOOKUP(INDIRECT(ADDRESS(2,COLUMN())),OFFSET($BN$2,0,0,ROW()-1,60),ROW()-1,FALSE))</f>
        <v>75.11</v>
      </c>
      <c r="AC61">
        <f ca="1">IF(AND(ISNUMBER($AC$377),$B$294=1),$AC$377,HLOOKUP(INDIRECT(ADDRESS(2,COLUMN())),OFFSET($BN$2,0,0,ROW()-1,60),ROW()-1,FALSE))</f>
        <v>75.781000000000006</v>
      </c>
      <c r="AD61">
        <f ca="1">IF(AND(ISNUMBER($AD$377),$B$294=1),$AD$377,HLOOKUP(INDIRECT(ADDRESS(2,COLUMN())),OFFSET($BN$2,0,0,ROW()-1,60),ROW()-1,FALSE))</f>
        <v>77.533000000000001</v>
      </c>
      <c r="AE61">
        <f ca="1">IF(AND(ISNUMBER($AE$377),$B$294=1),$AE$377,HLOOKUP(INDIRECT(ADDRESS(2,COLUMN())),OFFSET($BN$2,0,0,ROW()-1,60),ROW()-1,FALSE))</f>
        <v>78.02</v>
      </c>
      <c r="AF61">
        <f ca="1">IF(AND(ISNUMBER($AF$377),$B$294=1),$AF$377,HLOOKUP(INDIRECT(ADDRESS(2,COLUMN())),OFFSET($BN$2,0,0,ROW()-1,60),ROW()-1,FALSE))</f>
        <v>78.774000000000001</v>
      </c>
      <c r="AG61">
        <f ca="1">IF(AND(ISNUMBER($AG$377),$B$294=1),$AG$377,HLOOKUP(INDIRECT(ADDRESS(2,COLUMN())),OFFSET($BN$2,0,0,ROW()-1,60),ROW()-1,FALSE))</f>
        <v>79.897999999999996</v>
      </c>
      <c r="AH61">
        <f ca="1">IF(AND(ISNUMBER($AH$377),$B$294=1),$AH$377,HLOOKUP(INDIRECT(ADDRESS(2,COLUMN())),OFFSET($BN$2,0,0,ROW()-1,60),ROW()-1,FALSE))</f>
        <v>77.772000000000006</v>
      </c>
      <c r="AI61">
        <f ca="1">IF(AND(ISNUMBER($AI$377),$B$294=1),$AI$377,HLOOKUP(INDIRECT(ADDRESS(2,COLUMN())),OFFSET($BN$2,0,0,ROW()-1,60),ROW()-1,FALSE))</f>
        <v>79.644000000000005</v>
      </c>
      <c r="AJ61">
        <f ca="1">IF(AND(ISNUMBER($AJ$377),$B$294=1),$AJ$377,HLOOKUP(INDIRECT(ADDRESS(2,COLUMN())),OFFSET($BN$2,0,0,ROW()-1,60),ROW()-1,FALSE))</f>
        <v>78.263999999999996</v>
      </c>
      <c r="AK61">
        <f ca="1">IF(AND(ISNUMBER($AK$377),$B$294=1),$AK$377,HLOOKUP(INDIRECT(ADDRESS(2,COLUMN())),OFFSET($BN$2,0,0,ROW()-1,60),ROW()-1,FALSE))</f>
        <v>73.728999999999999</v>
      </c>
      <c r="AL61">
        <f ca="1">IF(AND(ISNUMBER($AL$377),$B$294=1),$AL$377,HLOOKUP(INDIRECT(ADDRESS(2,COLUMN())),OFFSET($BN$2,0,0,ROW()-1,60),ROW()-1,FALSE))</f>
        <v>75.570999999999998</v>
      </c>
      <c r="AM61">
        <f ca="1">IF(AND(ISNUMBER($AM$377),$B$294=1),$AM$377,HLOOKUP(INDIRECT(ADDRESS(2,COLUMN())),OFFSET($BN$2,0,0,ROW()-1,60),ROW()-1,FALSE))</f>
        <v>67.945999999999998</v>
      </c>
      <c r="AN61">
        <f ca="1">IF(AND(ISNUMBER($AN$377),$B$294=1),$AN$377,HLOOKUP(INDIRECT(ADDRESS(2,COLUMN())),OFFSET($BN$2,0,0,ROW()-1,60),ROW()-1,FALSE))</f>
        <v>76.305999999999997</v>
      </c>
      <c r="AO61">
        <f ca="1">IF(AND(ISNUMBER($AO$377),$B$294=1),$AO$377,HLOOKUP(INDIRECT(ADDRESS(2,COLUMN())),OFFSET($BN$2,0,0,ROW()-1,60),ROW()-1,FALSE))</f>
        <v>79.239999999999995</v>
      </c>
      <c r="AP61">
        <f ca="1">IF(AND(ISNUMBER($AP$377),$B$294=1),$AP$377,HLOOKUP(INDIRECT(ADDRESS(2,COLUMN())),OFFSET($BN$2,0,0,ROW()-1,60),ROW()-1,FALSE))</f>
        <v>76.58</v>
      </c>
      <c r="AQ61">
        <f ca="1">IF(AND(ISNUMBER($AQ$377),$B$294=1),$AQ$377,HLOOKUP(INDIRECT(ADDRESS(2,COLUMN())),OFFSET($BN$2,0,0,ROW()-1,60),ROW()-1,FALSE))</f>
        <v>64.906999999999996</v>
      </c>
      <c r="AR61">
        <f ca="1">IF(AND(ISNUMBER($AR$377),$B$294=1),$AR$377,HLOOKUP(INDIRECT(ADDRESS(2,COLUMN())),OFFSET($BN$2,0,0,ROW()-1,60),ROW()-1,FALSE))</f>
        <v>78.766999999999996</v>
      </c>
      <c r="AS61">
        <f ca="1">IF(AND(ISNUMBER($AS$377),$B$294=1),$AS$377,HLOOKUP(INDIRECT(ADDRESS(2,COLUMN())),OFFSET($BN$2,0,0,ROW()-1,60),ROW()-1,FALSE))</f>
        <v>86.801000000000002</v>
      </c>
      <c r="AT61">
        <f ca="1">IF(AND(ISNUMBER($AT$377),$B$294=1),$AT$377,HLOOKUP(INDIRECT(ADDRESS(2,COLUMN())),OFFSET($BN$2,0,0,ROW()-1,60),ROW()-1,FALSE))</f>
        <v>86.87</v>
      </c>
      <c r="AU61">
        <f ca="1">IF(AND(ISNUMBER($AU$377),$B$294=1),$AU$377,HLOOKUP(INDIRECT(ADDRESS(2,COLUMN())),OFFSET($BN$2,0,0,ROW()-1,60),ROW()-1,FALSE))</f>
        <v>89.025000000000006</v>
      </c>
      <c r="AV61">
        <f ca="1">IF(AND(ISNUMBER($AV$377),$B$294=1),$AV$377,HLOOKUP(INDIRECT(ADDRESS(2,COLUMN())),OFFSET($BN$2,0,0,ROW()-1,60),ROW()-1,FALSE))</f>
        <v>92.417000000000002</v>
      </c>
      <c r="AW61">
        <f ca="1">IF(AND(ISNUMBER($AW$377),$B$294=1),$AW$377,HLOOKUP(INDIRECT(ADDRESS(2,COLUMN())),OFFSET($BN$2,0,0,ROW()-1,60),ROW()-1,FALSE))</f>
        <v>84.34</v>
      </c>
      <c r="AX61">
        <f ca="1">IF(AND(ISNUMBER($AX$377),$B$294=1),$AX$377,HLOOKUP(INDIRECT(ADDRESS(2,COLUMN())),OFFSET($BN$2,0,0,ROW()-1,60),ROW()-1,FALSE))</f>
        <v>92.093999999999994</v>
      </c>
      <c r="AY61">
        <f ca="1">IF(AND(ISNUMBER($AY$377),$B$294=1),$AY$377,HLOOKUP(INDIRECT(ADDRESS(2,COLUMN())),OFFSET($BN$2,0,0,ROW()-1,60),ROW()-1,FALSE))</f>
        <v>97.727000000000004</v>
      </c>
      <c r="AZ61">
        <f ca="1">IF(AND(ISNUMBER($AZ$377),$B$294=1),$AZ$377,HLOOKUP(INDIRECT(ADDRESS(2,COLUMN())),OFFSET($BN$2,0,0,ROW()-1,60),ROW()-1,FALSE))</f>
        <v>99.471999999999994</v>
      </c>
      <c r="BA61">
        <f ca="1">IF(AND(ISNUMBER($BA$377),$B$294=1),$BA$377,HLOOKUP(INDIRECT(ADDRESS(2,COLUMN())),OFFSET($BN$2,0,0,ROW()-1,60),ROW()-1,FALSE))</f>
        <v>94.138999999999996</v>
      </c>
      <c r="BB61">
        <f ca="1">IF(AND(ISNUMBER($BB$377),$B$294=1),$BB$377,HLOOKUP(INDIRECT(ADDRESS(2,COLUMN())),OFFSET($BN$2,0,0,ROW()-1,60),ROW()-1,FALSE))</f>
        <v>87.631</v>
      </c>
      <c r="BC61">
        <f ca="1">IF(AND(ISNUMBER($BC$377),$B$294=1),$BC$377,HLOOKUP(INDIRECT(ADDRESS(2,COLUMN())),OFFSET($BN$2,0,0,ROW()-1,60),ROW()-1,FALSE))</f>
        <v>26.623000000000001</v>
      </c>
      <c r="BD61">
        <f ca="1">IF(AND(ISNUMBER($BD$377),$B$294=1),$BD$377,HLOOKUP(INDIRECT(ADDRESS(2,COLUMN())),OFFSET($BN$2,0,0,ROW()-1,60),ROW()-1,FALSE))</f>
        <v>53.426000000000002</v>
      </c>
      <c r="BE61">
        <f ca="1">IF(AND(ISNUMBER($BE$377),$B$294=1),$BE$377,HLOOKUP(INDIRECT(ADDRESS(2,COLUMN())),OFFSET($BN$2,0,0,ROW()-1,60),ROW()-1,FALSE))</f>
        <v>52.616</v>
      </c>
      <c r="BF61">
        <f ca="1">IF(AND(ISNUMBER($BF$377),$B$294=1),$BF$377,HLOOKUP(INDIRECT(ADDRESS(2,COLUMN())),OFFSET($BN$2,0,0,ROW()-1,60),ROW()-1,FALSE))</f>
        <v>53.652000000000001</v>
      </c>
      <c r="BG61">
        <f ca="1">IF(AND(ISNUMBER($BG$377),$B$294=1),$BG$377,HLOOKUP(INDIRECT(ADDRESS(2,COLUMN())),OFFSET($BN$2,0,0,ROW()-1,60),ROW()-1,FALSE))</f>
        <v>56.823999999999998</v>
      </c>
      <c r="BH61">
        <f ca="1">IF(AND(ISNUMBER($BH$377),$B$294=1),$BH$377,HLOOKUP(INDIRECT(ADDRESS(2,COLUMN())),OFFSET($BN$2,0,0,ROW()-1,60),ROW()-1,FALSE))</f>
        <v>15.515000000000001</v>
      </c>
      <c r="BI61">
        <f ca="1">IF(AND(ISNUMBER($BI$377),$B$294=1),$BI$377,HLOOKUP(INDIRECT(ADDRESS(2,COLUMN())),OFFSET($BN$2,0,0,ROW()-1,60),ROW()-1,FALSE))</f>
        <v>45.2</v>
      </c>
      <c r="BJ61">
        <f ca="1">IF(AND(ISNUMBER($BJ$377),$B$294=1),$BJ$377,HLOOKUP(INDIRECT(ADDRESS(2,COLUMN())),OFFSET($BN$2,0,0,ROW()-1,60),ROW()-1,FALSE))</f>
        <v>39.170999999999999</v>
      </c>
      <c r="BK61" t="str">
        <f ca="1">IF(AND(ISNUMBER($BK$377),$B$294=1),$BK$377,HLOOKUP(INDIRECT(ADDRESS(2,COLUMN())),OFFSET($BN$2,0,0,ROW()-1,60),ROW()-1,FALSE))</f>
        <v/>
      </c>
      <c r="BL61">
        <f ca="1">IF(AND(ISNUMBER($BL$377),$B$294=1),$BL$377,HLOOKUP(INDIRECT(ADDRESS(2,COLUMN())),OFFSET($BN$2,0,0,ROW()-1,60),ROW()-1,FALSE))</f>
        <v>45.283000000000001</v>
      </c>
      <c r="BM61">
        <f ca="1">IF(AND(ISNUMBER($BM$377),$B$294=1),$BM$377,HLOOKUP(INDIRECT(ADDRESS(2,COLUMN())),OFFSET($BN$2,0,0,ROW()-1,60),ROW()-1,FALSE))</f>
        <v>43.323</v>
      </c>
      <c r="BN61" t="str">
        <f>""</f>
        <v/>
      </c>
      <c r="BO61">
        <f>72.213</f>
        <v>72.212999999999994</v>
      </c>
      <c r="BP61">
        <f>71.412</f>
        <v>71.412000000000006</v>
      </c>
      <c r="BQ61">
        <f>70.096</f>
        <v>70.096000000000004</v>
      </c>
      <c r="BR61">
        <f>66.346</f>
        <v>66.346000000000004</v>
      </c>
      <c r="BS61">
        <f>44.179</f>
        <v>44.179000000000002</v>
      </c>
      <c r="BT61">
        <f>71.357</f>
        <v>71.356999999999999</v>
      </c>
      <c r="BU61">
        <f>63.852</f>
        <v>63.851999999999997</v>
      </c>
      <c r="BV61">
        <f>62.985</f>
        <v>62.984999999999999</v>
      </c>
      <c r="BW61">
        <f>2.821</f>
        <v>2.8210000000000002</v>
      </c>
      <c r="BX61">
        <f>83.71</f>
        <v>83.71</v>
      </c>
      <c r="BY61">
        <f>81.165</f>
        <v>81.165000000000006</v>
      </c>
      <c r="BZ61">
        <f>78.056</f>
        <v>78.055999999999997</v>
      </c>
      <c r="CA61">
        <f>77.271</f>
        <v>77.271000000000001</v>
      </c>
      <c r="CB61">
        <f>81.919</f>
        <v>81.918999999999997</v>
      </c>
      <c r="CC61">
        <f>85.047</f>
        <v>85.046999999999997</v>
      </c>
      <c r="CD61">
        <f>80.002</f>
        <v>80.001999999999995</v>
      </c>
      <c r="CE61">
        <f>68.385</f>
        <v>68.385000000000005</v>
      </c>
      <c r="CF61">
        <f>79.003</f>
        <v>79.003</v>
      </c>
      <c r="CG61">
        <f>77.464</f>
        <v>77.463999999999999</v>
      </c>
      <c r="CH61">
        <f>76.991</f>
        <v>76.991</v>
      </c>
      <c r="CI61">
        <f>-73.112</f>
        <v>-73.111999999999995</v>
      </c>
      <c r="CJ61">
        <f>75.11</f>
        <v>75.11</v>
      </c>
      <c r="CK61">
        <f>75.781</f>
        <v>75.781000000000006</v>
      </c>
      <c r="CL61">
        <f>77.533</f>
        <v>77.533000000000001</v>
      </c>
      <c r="CM61">
        <f>78.02</f>
        <v>78.02</v>
      </c>
      <c r="CN61">
        <f>78.774</f>
        <v>78.774000000000001</v>
      </c>
      <c r="CO61">
        <f>79.898</f>
        <v>79.897999999999996</v>
      </c>
      <c r="CP61">
        <f>77.772</f>
        <v>77.772000000000006</v>
      </c>
      <c r="CQ61">
        <f>79.644</f>
        <v>79.644000000000005</v>
      </c>
      <c r="CR61">
        <f>78.264</f>
        <v>78.263999999999996</v>
      </c>
      <c r="CS61">
        <f>73.729</f>
        <v>73.728999999999999</v>
      </c>
      <c r="CT61">
        <f>75.571</f>
        <v>75.570999999999998</v>
      </c>
      <c r="CU61">
        <f>67.946</f>
        <v>67.945999999999998</v>
      </c>
      <c r="CV61">
        <f>76.306</f>
        <v>76.305999999999997</v>
      </c>
      <c r="CW61">
        <f>79.24</f>
        <v>79.239999999999995</v>
      </c>
      <c r="CX61">
        <f>76.58</f>
        <v>76.58</v>
      </c>
      <c r="CY61">
        <f>64.907</f>
        <v>64.906999999999996</v>
      </c>
      <c r="CZ61">
        <f>78.767</f>
        <v>78.766999999999996</v>
      </c>
      <c r="DA61">
        <f>86.801</f>
        <v>86.801000000000002</v>
      </c>
      <c r="DB61">
        <f>86.87</f>
        <v>86.87</v>
      </c>
      <c r="DC61">
        <f>89.025</f>
        <v>89.025000000000006</v>
      </c>
      <c r="DD61">
        <f>92.417</f>
        <v>92.417000000000002</v>
      </c>
      <c r="DE61">
        <f>84.34</f>
        <v>84.34</v>
      </c>
      <c r="DF61">
        <f>92.094</f>
        <v>92.093999999999994</v>
      </c>
      <c r="DG61">
        <f>97.727</f>
        <v>97.727000000000004</v>
      </c>
      <c r="DH61">
        <f>99.472</f>
        <v>99.471999999999994</v>
      </c>
      <c r="DI61">
        <f>94.139</f>
        <v>94.138999999999996</v>
      </c>
      <c r="DJ61">
        <f>87.631</f>
        <v>87.631</v>
      </c>
      <c r="DK61">
        <f>26.623</f>
        <v>26.623000000000001</v>
      </c>
      <c r="DL61">
        <f>53.426</f>
        <v>53.426000000000002</v>
      </c>
      <c r="DM61">
        <f>52.616</f>
        <v>52.616</v>
      </c>
      <c r="DN61">
        <f>53.652</f>
        <v>53.652000000000001</v>
      </c>
      <c r="DO61">
        <f>56.824</f>
        <v>56.823999999999998</v>
      </c>
      <c r="DP61">
        <f>15.515</f>
        <v>15.515000000000001</v>
      </c>
      <c r="DQ61">
        <f>45.2</f>
        <v>45.2</v>
      </c>
      <c r="DR61">
        <f>39.171</f>
        <v>39.170999999999999</v>
      </c>
      <c r="DS61" t="str">
        <f>""</f>
        <v/>
      </c>
      <c r="DT61">
        <f>45.283</f>
        <v>45.283000000000001</v>
      </c>
      <c r="DU61">
        <f>43.323</f>
        <v>43.323</v>
      </c>
    </row>
    <row r="62" spans="1:125">
      <c r="A62" t="str">
        <f>"    Columbia Property Trust Inc"</f>
        <v xml:space="preserve">    Columbia Property Trust Inc</v>
      </c>
      <c r="B62" t="str">
        <f>"CXP US Equity"</f>
        <v>CXP US Equity</v>
      </c>
      <c r="C62" t="str">
        <f t="shared" si="15"/>
        <v>RR009</v>
      </c>
      <c r="D62" t="str">
        <f t="shared" si="16"/>
        <v>EBITDA</v>
      </c>
      <c r="E62" t="str">
        <f t="shared" si="17"/>
        <v>动态</v>
      </c>
      <c r="F62" t="str">
        <f ca="1">IF(AND(ISNUMBER($F$378),$B$294=1),$F$378,HLOOKUP(INDIRECT(ADDRESS(2,COLUMN())),OFFSET($BN$2,0,0,ROW()-1,60),ROW()-1,FALSE))</f>
        <v/>
      </c>
      <c r="G62">
        <f ca="1">IF(AND(ISNUMBER($G$378),$B$294=1),$G$378,HLOOKUP(INDIRECT(ADDRESS(2,COLUMN())),OFFSET($BN$2,0,0,ROW()-1,60),ROW()-1,FALSE))</f>
        <v>37.320999999999998</v>
      </c>
      <c r="H62">
        <f ca="1">IF(AND(ISNUMBER($H$378),$B$294=1),$H$378,HLOOKUP(INDIRECT(ADDRESS(2,COLUMN())),OFFSET($BN$2,0,0,ROW()-1,60),ROW()-1,FALSE))</f>
        <v>34.316000000000003</v>
      </c>
      <c r="I62">
        <f ca="1">IF(AND(ISNUMBER($I$378),$B$294=1),$I$378,HLOOKUP(INDIRECT(ADDRESS(2,COLUMN())),OFFSET($BN$2,0,0,ROW()-1,60),ROW()-1,FALSE))</f>
        <v>43.284999999999997</v>
      </c>
      <c r="J62">
        <f ca="1">IF(AND(ISNUMBER($J$378),$B$294=1),$J$378,HLOOKUP(INDIRECT(ADDRESS(2,COLUMN())),OFFSET($BN$2,0,0,ROW()-1,60),ROW()-1,FALSE))</f>
        <v>46.35</v>
      </c>
      <c r="K62">
        <f ca="1">IF(AND(ISNUMBER($K$378),$B$294=1),$K$378,HLOOKUP(INDIRECT(ADDRESS(2,COLUMN())),OFFSET($BN$2,0,0,ROW()-1,60),ROW()-1,FALSE))</f>
        <v>57.978999999999999</v>
      </c>
      <c r="L62">
        <f ca="1">IF(AND(ISNUMBER($L$378),$B$294=1),$L$378,HLOOKUP(INDIRECT(ADDRESS(2,COLUMN())),OFFSET($BN$2,0,0,ROW()-1,60),ROW()-1,FALSE))</f>
        <v>60.683999999999997</v>
      </c>
      <c r="M62">
        <f ca="1">IF(AND(ISNUMBER($M$378),$B$294=1),$M$378,HLOOKUP(INDIRECT(ADDRESS(2,COLUMN())),OFFSET($BN$2,0,0,ROW()-1,60),ROW()-1,FALSE))</f>
        <v>72.92</v>
      </c>
      <c r="N62">
        <f ca="1">IF(AND(ISNUMBER($N$378),$B$294=1),$N$378,HLOOKUP(INDIRECT(ADDRESS(2,COLUMN())),OFFSET($BN$2,0,0,ROW()-1,60),ROW()-1,FALSE))</f>
        <v>68.77</v>
      </c>
      <c r="O62">
        <f ca="1">IF(AND(ISNUMBER($O$378),$B$294=1),$O$378,HLOOKUP(INDIRECT(ADDRESS(2,COLUMN())),OFFSET($BN$2,0,0,ROW()-1,60),ROW()-1,FALSE))</f>
        <v>74.448999999999998</v>
      </c>
      <c r="P62">
        <f ca="1">IF(AND(ISNUMBER($P$378),$B$294=1),$P$378,HLOOKUP(INDIRECT(ADDRESS(2,COLUMN())),OFFSET($BN$2,0,0,ROW()-1,60),ROW()-1,FALSE))</f>
        <v>74.5</v>
      </c>
      <c r="Q62">
        <f ca="1">IF(AND(ISNUMBER($Q$378),$B$294=1),$Q$378,HLOOKUP(INDIRECT(ADDRESS(2,COLUMN())),OFFSET($BN$2,0,0,ROW()-1,60),ROW()-1,FALSE))</f>
        <v>85.100999999999999</v>
      </c>
      <c r="R62">
        <f ca="1">IF(AND(ISNUMBER($R$378),$B$294=1),$R$378,HLOOKUP(INDIRECT(ADDRESS(2,COLUMN())),OFFSET($BN$2,0,0,ROW()-1,60),ROW()-1,FALSE))</f>
        <v>80.02</v>
      </c>
      <c r="S62">
        <f ca="1">IF(AND(ISNUMBER($S$378),$B$294=1),$S$378,HLOOKUP(INDIRECT(ADDRESS(2,COLUMN())),OFFSET($BN$2,0,0,ROW()-1,60),ROW()-1,FALSE))</f>
        <v>66.816999999999993</v>
      </c>
      <c r="T62">
        <f ca="1">IF(AND(ISNUMBER($T$378),$B$294=1),$T$378,HLOOKUP(INDIRECT(ADDRESS(2,COLUMN())),OFFSET($BN$2,0,0,ROW()-1,60),ROW()-1,FALSE))</f>
        <v>73.352999999999994</v>
      </c>
      <c r="U62">
        <f ca="1">IF(AND(ISNUMBER($U$378),$B$294=1),$U$378,HLOOKUP(INDIRECT(ADDRESS(2,COLUMN())),OFFSET($BN$2,0,0,ROW()-1,60),ROW()-1,FALSE))</f>
        <v>75.691000000000003</v>
      </c>
      <c r="V62">
        <f ca="1">IF(AND(ISNUMBER($V$378),$B$294=1),$V$378,HLOOKUP(INDIRECT(ADDRESS(2,COLUMN())),OFFSET($BN$2,0,0,ROW()-1,60),ROW()-1,FALSE))</f>
        <v>64.986000000000004</v>
      </c>
      <c r="W62">
        <f ca="1">IF(AND(ISNUMBER($W$378),$B$294=1),$W$378,HLOOKUP(INDIRECT(ADDRESS(2,COLUMN())),OFFSET($BN$2,0,0,ROW()-1,60),ROW()-1,FALSE))</f>
        <v>78.091999999999999</v>
      </c>
      <c r="X62">
        <f ca="1">IF(AND(ISNUMBER($X$378),$B$294=1),$X$378,HLOOKUP(INDIRECT(ADDRESS(2,COLUMN())),OFFSET($BN$2,0,0,ROW()-1,60),ROW()-1,FALSE))</f>
        <v>84.817999999999998</v>
      </c>
      <c r="Y62">
        <f ca="1">IF(AND(ISNUMBER($Y$378),$B$294=1),$Y$378,HLOOKUP(INDIRECT(ADDRESS(2,COLUMN())),OFFSET($BN$2,0,0,ROW()-1,60),ROW()-1,FALSE))</f>
        <v>85.962999999999994</v>
      </c>
      <c r="Z62">
        <f ca="1">IF(AND(ISNUMBER($Z$378),$B$294=1),$Z$378,HLOOKUP(INDIRECT(ADDRESS(2,COLUMN())),OFFSET($BN$2,0,0,ROW()-1,60),ROW()-1,FALSE))</f>
        <v>50.165999999999997</v>
      </c>
      <c r="AA62">
        <f ca="1">IF(AND(ISNUMBER($AA$378),$B$294=1),$AA$378,HLOOKUP(INDIRECT(ADDRESS(2,COLUMN())),OFFSET($BN$2,0,0,ROW()-1,60),ROW()-1,FALSE))</f>
        <v>72.911000000000001</v>
      </c>
      <c r="AB62">
        <f ca="1">IF(AND(ISNUMBER($AB$378),$B$294=1),$AB$378,HLOOKUP(INDIRECT(ADDRESS(2,COLUMN())),OFFSET($BN$2,0,0,ROW()-1,60),ROW()-1,FALSE))</f>
        <v>83.114999999999995</v>
      </c>
      <c r="AC62">
        <f ca="1">IF(AND(ISNUMBER($AC$378),$B$294=1),$AC$378,HLOOKUP(INDIRECT(ADDRESS(2,COLUMN())),OFFSET($BN$2,0,0,ROW()-1,60),ROW()-1,FALSE))</f>
        <v>82.052999999999997</v>
      </c>
      <c r="AD62">
        <f ca="1">IF(AND(ISNUMBER($AD$378),$B$294=1),$AD$378,HLOOKUP(INDIRECT(ADDRESS(2,COLUMN())),OFFSET($BN$2,0,0,ROW()-1,60),ROW()-1,FALSE))</f>
        <v>84.927000000000007</v>
      </c>
      <c r="AE62">
        <f ca="1">IF(AND(ISNUMBER($AE$378),$B$294=1),$AE$378,HLOOKUP(INDIRECT(ADDRESS(2,COLUMN())),OFFSET($BN$2,0,0,ROW()-1,60),ROW()-1,FALSE))</f>
        <v>59.994999999999997</v>
      </c>
      <c r="AF62">
        <f ca="1">IF(AND(ISNUMBER($AF$378),$B$294=1),$AF$378,HLOOKUP(INDIRECT(ADDRESS(2,COLUMN())),OFFSET($BN$2,0,0,ROW()-1,60),ROW()-1,FALSE))</f>
        <v>92.054000000000002</v>
      </c>
      <c r="AG62">
        <f ca="1">IF(AND(ISNUMBER($AG$378),$B$294=1),$AG$378,HLOOKUP(INDIRECT(ADDRESS(2,COLUMN())),OFFSET($BN$2,0,0,ROW()-1,60),ROW()-1,FALSE))</f>
        <v>88.131</v>
      </c>
      <c r="AH62">
        <f ca="1">IF(AND(ISNUMBER($AH$378),$B$294=1),$AH$378,HLOOKUP(INDIRECT(ADDRESS(2,COLUMN())),OFFSET($BN$2,0,0,ROW()-1,60),ROW()-1,FALSE))</f>
        <v>74.647999999999996</v>
      </c>
      <c r="AI62">
        <f ca="1">IF(AND(ISNUMBER($AI$378),$B$294=1),$AI$378,HLOOKUP(INDIRECT(ADDRESS(2,COLUMN())),OFFSET($BN$2,0,0,ROW()-1,60),ROW()-1,FALSE))</f>
        <v>81.39</v>
      </c>
      <c r="AJ62">
        <f ca="1">IF(AND(ISNUMBER($AJ$378),$B$294=1),$AJ$378,HLOOKUP(INDIRECT(ADDRESS(2,COLUMN())),OFFSET($BN$2,0,0,ROW()-1,60),ROW()-1,FALSE))</f>
        <v>82.299000000000007</v>
      </c>
      <c r="AK62">
        <f ca="1">IF(AND(ISNUMBER($AK$378),$B$294=1),$AK$378,HLOOKUP(INDIRECT(ADDRESS(2,COLUMN())),OFFSET($BN$2,0,0,ROW()-1,60),ROW()-1,FALSE))</f>
        <v>75.774000000000001</v>
      </c>
      <c r="AL62">
        <f ca="1">IF(AND(ISNUMBER($AL$378),$B$294=1),$AL$378,HLOOKUP(INDIRECT(ADDRESS(2,COLUMN())),OFFSET($BN$2,0,0,ROW()-1,60),ROW()-1,FALSE))</f>
        <v>73.671999999999997</v>
      </c>
      <c r="AM62">
        <f ca="1">IF(AND(ISNUMBER($AM$378),$B$294=1),$AM$378,HLOOKUP(INDIRECT(ADDRESS(2,COLUMN())),OFFSET($BN$2,0,0,ROW()-1,60),ROW()-1,FALSE))</f>
        <v>88.35</v>
      </c>
      <c r="AN62">
        <f ca="1">IF(AND(ISNUMBER($AN$378),$B$294=1),$AN$378,HLOOKUP(INDIRECT(ADDRESS(2,COLUMN())),OFFSET($BN$2,0,0,ROW()-1,60),ROW()-1,FALSE))</f>
        <v>74.906999999999996</v>
      </c>
      <c r="AO62">
        <f ca="1">IF(AND(ISNUMBER($AO$378),$B$294=1),$AO$378,HLOOKUP(INDIRECT(ADDRESS(2,COLUMN())),OFFSET($BN$2,0,0,ROW()-1,60),ROW()-1,FALSE))</f>
        <v>72.355000000000004</v>
      </c>
      <c r="AP62">
        <f ca="1">IF(AND(ISNUMBER($AP$378),$B$294=1),$AP$378,HLOOKUP(INDIRECT(ADDRESS(2,COLUMN())),OFFSET($BN$2,0,0,ROW()-1,60),ROW()-1,FALSE))</f>
        <v>67.503</v>
      </c>
      <c r="AQ62" t="str">
        <f ca="1">IF(AND(ISNUMBER($AQ$378),$B$294=1),$AQ$378,HLOOKUP(INDIRECT(ADDRESS(2,COLUMN())),OFFSET($BN$2,0,0,ROW()-1,60),ROW()-1,FALSE))</f>
        <v/>
      </c>
      <c r="AR62" t="str">
        <f ca="1">IF(AND(ISNUMBER($AR$378),$B$294=1),$AR$378,HLOOKUP(INDIRECT(ADDRESS(2,COLUMN())),OFFSET($BN$2,0,0,ROW()-1,60),ROW()-1,FALSE))</f>
        <v/>
      </c>
      <c r="AS62" t="str">
        <f ca="1">IF(AND(ISNUMBER($AS$378),$B$294=1),$AS$378,HLOOKUP(INDIRECT(ADDRESS(2,COLUMN())),OFFSET($BN$2,0,0,ROW()-1,60),ROW()-1,FALSE))</f>
        <v/>
      </c>
      <c r="AT62" t="str">
        <f ca="1">IF(AND(ISNUMBER($AT$378),$B$294=1),$AT$378,HLOOKUP(INDIRECT(ADDRESS(2,COLUMN())),OFFSET($BN$2,0,0,ROW()-1,60),ROW()-1,FALSE))</f>
        <v/>
      </c>
      <c r="AU62" t="str">
        <f ca="1">IF(AND(ISNUMBER($AU$378),$B$294=1),$AU$378,HLOOKUP(INDIRECT(ADDRESS(2,COLUMN())),OFFSET($BN$2,0,0,ROW()-1,60),ROW()-1,FALSE))</f>
        <v/>
      </c>
      <c r="AV62" t="str">
        <f ca="1">IF(AND(ISNUMBER($AV$378),$B$294=1),$AV$378,HLOOKUP(INDIRECT(ADDRESS(2,COLUMN())),OFFSET($BN$2,0,0,ROW()-1,60),ROW()-1,FALSE))</f>
        <v/>
      </c>
      <c r="AW62" t="str">
        <f ca="1">IF(AND(ISNUMBER($AW$378),$B$294=1),$AW$378,HLOOKUP(INDIRECT(ADDRESS(2,COLUMN())),OFFSET($BN$2,0,0,ROW()-1,60),ROW()-1,FALSE))</f>
        <v/>
      </c>
      <c r="AX62" t="str">
        <f ca="1">IF(AND(ISNUMBER($AX$378),$B$294=1),$AX$378,HLOOKUP(INDIRECT(ADDRESS(2,COLUMN())),OFFSET($BN$2,0,0,ROW()-1,60),ROW()-1,FALSE))</f>
        <v/>
      </c>
      <c r="AY62" t="str">
        <f ca="1">IF(AND(ISNUMBER($AY$378),$B$294=1),$AY$378,HLOOKUP(INDIRECT(ADDRESS(2,COLUMN())),OFFSET($BN$2,0,0,ROW()-1,60),ROW()-1,FALSE))</f>
        <v/>
      </c>
      <c r="AZ62" t="str">
        <f ca="1">IF(AND(ISNUMBER($AZ$378),$B$294=1),$AZ$378,HLOOKUP(INDIRECT(ADDRESS(2,COLUMN())),OFFSET($BN$2,0,0,ROW()-1,60),ROW()-1,FALSE))</f>
        <v/>
      </c>
      <c r="BA62" t="str">
        <f ca="1">IF(AND(ISNUMBER($BA$378),$B$294=1),$BA$378,HLOOKUP(INDIRECT(ADDRESS(2,COLUMN())),OFFSET($BN$2,0,0,ROW()-1,60),ROW()-1,FALSE))</f>
        <v/>
      </c>
      <c r="BB62" t="str">
        <f ca="1">IF(AND(ISNUMBER($BB$378),$B$294=1),$BB$378,HLOOKUP(INDIRECT(ADDRESS(2,COLUMN())),OFFSET($BN$2,0,0,ROW()-1,60),ROW()-1,FALSE))</f>
        <v/>
      </c>
      <c r="BC62" t="str">
        <f ca="1">IF(AND(ISNUMBER($BC$378),$B$294=1),$BC$378,HLOOKUP(INDIRECT(ADDRESS(2,COLUMN())),OFFSET($BN$2,0,0,ROW()-1,60),ROW()-1,FALSE))</f>
        <v/>
      </c>
      <c r="BD62" t="str">
        <f ca="1">IF(AND(ISNUMBER($BD$378),$B$294=1),$BD$378,HLOOKUP(INDIRECT(ADDRESS(2,COLUMN())),OFFSET($BN$2,0,0,ROW()-1,60),ROW()-1,FALSE))</f>
        <v/>
      </c>
      <c r="BE62" t="str">
        <f ca="1">IF(AND(ISNUMBER($BE$378),$B$294=1),$BE$378,HLOOKUP(INDIRECT(ADDRESS(2,COLUMN())),OFFSET($BN$2,0,0,ROW()-1,60),ROW()-1,FALSE))</f>
        <v/>
      </c>
      <c r="BF62" t="str">
        <f ca="1">IF(AND(ISNUMBER($BF$378),$B$294=1),$BF$378,HLOOKUP(INDIRECT(ADDRESS(2,COLUMN())),OFFSET($BN$2,0,0,ROW()-1,60),ROW()-1,FALSE))</f>
        <v/>
      </c>
      <c r="BG62" t="str">
        <f ca="1">IF(AND(ISNUMBER($BG$378),$B$294=1),$BG$378,HLOOKUP(INDIRECT(ADDRESS(2,COLUMN())),OFFSET($BN$2,0,0,ROW()-1,60),ROW()-1,FALSE))</f>
        <v/>
      </c>
      <c r="BH62" t="str">
        <f ca="1">IF(AND(ISNUMBER($BH$378),$B$294=1),$BH$378,HLOOKUP(INDIRECT(ADDRESS(2,COLUMN())),OFFSET($BN$2,0,0,ROW()-1,60),ROW()-1,FALSE))</f>
        <v/>
      </c>
      <c r="BI62" t="str">
        <f ca="1">IF(AND(ISNUMBER($BI$378),$B$294=1),$BI$378,HLOOKUP(INDIRECT(ADDRESS(2,COLUMN())),OFFSET($BN$2,0,0,ROW()-1,60),ROW()-1,FALSE))</f>
        <v/>
      </c>
      <c r="BJ62" t="str">
        <f ca="1">IF(AND(ISNUMBER($BJ$378),$B$294=1),$BJ$378,HLOOKUP(INDIRECT(ADDRESS(2,COLUMN())),OFFSET($BN$2,0,0,ROW()-1,60),ROW()-1,FALSE))</f>
        <v/>
      </c>
      <c r="BK62" t="str">
        <f ca="1">IF(AND(ISNUMBER($BK$378),$B$294=1),$BK$378,HLOOKUP(INDIRECT(ADDRESS(2,COLUMN())),OFFSET($BN$2,0,0,ROW()-1,60),ROW()-1,FALSE))</f>
        <v/>
      </c>
      <c r="BL62" t="str">
        <f ca="1">IF(AND(ISNUMBER($BL$378),$B$294=1),$BL$378,HLOOKUP(INDIRECT(ADDRESS(2,COLUMN())),OFFSET($BN$2,0,0,ROW()-1,60),ROW()-1,FALSE))</f>
        <v/>
      </c>
      <c r="BM62" t="str">
        <f ca="1">IF(AND(ISNUMBER($BM$378),$B$294=1),$BM$378,HLOOKUP(INDIRECT(ADDRESS(2,COLUMN())),OFFSET($BN$2,0,0,ROW()-1,60),ROW()-1,FALSE))</f>
        <v/>
      </c>
      <c r="BN62" t="str">
        <f>""</f>
        <v/>
      </c>
      <c r="BO62">
        <f>37.321</f>
        <v>37.320999999999998</v>
      </c>
      <c r="BP62">
        <f>34.316</f>
        <v>34.316000000000003</v>
      </c>
      <c r="BQ62">
        <f>43.285</f>
        <v>43.284999999999997</v>
      </c>
      <c r="BR62">
        <f>46.35</f>
        <v>46.35</v>
      </c>
      <c r="BS62">
        <f>57.979</f>
        <v>57.978999999999999</v>
      </c>
      <c r="BT62">
        <f>60.684</f>
        <v>60.683999999999997</v>
      </c>
      <c r="BU62">
        <f>72.92</f>
        <v>72.92</v>
      </c>
      <c r="BV62">
        <f>68.77</f>
        <v>68.77</v>
      </c>
      <c r="BW62">
        <f>74.449</f>
        <v>74.448999999999998</v>
      </c>
      <c r="BX62">
        <f>74.5</f>
        <v>74.5</v>
      </c>
      <c r="BY62">
        <f>85.101</f>
        <v>85.100999999999999</v>
      </c>
      <c r="BZ62">
        <f>80.02</f>
        <v>80.02</v>
      </c>
      <c r="CA62">
        <f>66.817</f>
        <v>66.816999999999993</v>
      </c>
      <c r="CB62">
        <f>73.353</f>
        <v>73.352999999999994</v>
      </c>
      <c r="CC62">
        <f>75.691</f>
        <v>75.691000000000003</v>
      </c>
      <c r="CD62">
        <f>64.986</f>
        <v>64.986000000000004</v>
      </c>
      <c r="CE62">
        <f>78.092</f>
        <v>78.091999999999999</v>
      </c>
      <c r="CF62">
        <f>84.818</f>
        <v>84.817999999999998</v>
      </c>
      <c r="CG62">
        <f>85.963</f>
        <v>85.962999999999994</v>
      </c>
      <c r="CH62">
        <f>50.166</f>
        <v>50.165999999999997</v>
      </c>
      <c r="CI62">
        <f>72.911</f>
        <v>72.911000000000001</v>
      </c>
      <c r="CJ62">
        <f>83.115</f>
        <v>83.114999999999995</v>
      </c>
      <c r="CK62">
        <f>82.053</f>
        <v>82.052999999999997</v>
      </c>
      <c r="CL62">
        <f>84.927</f>
        <v>84.927000000000007</v>
      </c>
      <c r="CM62">
        <f>59.995</f>
        <v>59.994999999999997</v>
      </c>
      <c r="CN62">
        <f>92.054</f>
        <v>92.054000000000002</v>
      </c>
      <c r="CO62">
        <f>88.131</f>
        <v>88.131</v>
      </c>
      <c r="CP62">
        <f>74.648</f>
        <v>74.647999999999996</v>
      </c>
      <c r="CQ62">
        <f>81.39</f>
        <v>81.39</v>
      </c>
      <c r="CR62">
        <f>82.299</f>
        <v>82.299000000000007</v>
      </c>
      <c r="CS62">
        <f>75.774</f>
        <v>75.774000000000001</v>
      </c>
      <c r="CT62">
        <f>73.672</f>
        <v>73.671999999999997</v>
      </c>
      <c r="CU62">
        <f>88.35</f>
        <v>88.35</v>
      </c>
      <c r="CV62">
        <f>74.907</f>
        <v>74.906999999999996</v>
      </c>
      <c r="CW62">
        <f>72.355</f>
        <v>72.355000000000004</v>
      </c>
      <c r="CX62">
        <f>67.503</f>
        <v>67.503</v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 t="str">
        <f>""</f>
        <v/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</row>
    <row r="63" spans="1:125">
      <c r="A63" t="str">
        <f>"    Corporate Office Properties Tr"</f>
        <v xml:space="preserve">    Corporate Office Properties Tr</v>
      </c>
      <c r="B63" t="str">
        <f>"OFC US Equity"</f>
        <v>OFC US Equity</v>
      </c>
      <c r="C63" t="str">
        <f t="shared" si="15"/>
        <v>RR009</v>
      </c>
      <c r="D63" t="str">
        <f t="shared" si="16"/>
        <v>EBITDA</v>
      </c>
      <c r="E63" t="str">
        <f t="shared" si="17"/>
        <v>动态</v>
      </c>
      <c r="F63" t="str">
        <f ca="1">IF(AND(ISNUMBER($F$379),$B$294=1),$F$379,HLOOKUP(INDIRECT(ADDRESS(2,COLUMN())),OFFSET($BN$2,0,0,ROW()-1,60),ROW()-1,FALSE))</f>
        <v/>
      </c>
      <c r="G63">
        <f ca="1">IF(AND(ISNUMBER($G$379),$B$294=1),$G$379,HLOOKUP(INDIRECT(ADDRESS(2,COLUMN())),OFFSET($BN$2,0,0,ROW()-1,60),ROW()-1,FALSE))</f>
        <v>59.384999999999998</v>
      </c>
      <c r="H63">
        <f ca="1">IF(AND(ISNUMBER($H$379),$B$294=1),$H$379,HLOOKUP(INDIRECT(ADDRESS(2,COLUMN())),OFFSET($BN$2,0,0,ROW()-1,60),ROW()-1,FALSE))</f>
        <v>73.953999999999994</v>
      </c>
      <c r="I63">
        <f ca="1">IF(AND(ISNUMBER($I$379),$B$294=1),$I$379,HLOOKUP(INDIRECT(ADDRESS(2,COLUMN())),OFFSET($BN$2,0,0,ROW()-1,60),ROW()-1,FALSE))</f>
        <v>69.995999999999995</v>
      </c>
      <c r="J63">
        <f ca="1">IF(AND(ISNUMBER($J$379),$B$294=1),$J$379,HLOOKUP(INDIRECT(ADDRESS(2,COLUMN())),OFFSET($BN$2,0,0,ROW()-1,60),ROW()-1,FALSE))</f>
        <v>69.003</v>
      </c>
      <c r="K63">
        <f ca="1">IF(AND(ISNUMBER($K$379),$B$294=1),$K$379,HLOOKUP(INDIRECT(ADDRESS(2,COLUMN())),OFFSET($BN$2,0,0,ROW()-1,60),ROW()-1,FALSE))</f>
        <v>70.882999999999996</v>
      </c>
      <c r="L63">
        <f ca="1">IF(AND(ISNUMBER($L$379),$B$294=1),$L$379,HLOOKUP(INDIRECT(ADDRESS(2,COLUMN())),OFFSET($BN$2,0,0,ROW()-1,60),ROW()-1,FALSE))</f>
        <v>44.052999999999997</v>
      </c>
      <c r="M63">
        <f ca="1">IF(AND(ISNUMBER($M$379),$B$294=1),$M$379,HLOOKUP(INDIRECT(ADDRESS(2,COLUMN())),OFFSET($BN$2,0,0,ROW()-1,60),ROW()-1,FALSE))</f>
        <v>6.7510000000000003</v>
      </c>
      <c r="N63">
        <f ca="1">IF(AND(ISNUMBER($N$379),$B$294=1),$N$379,HLOOKUP(INDIRECT(ADDRESS(2,COLUMN())),OFFSET($BN$2,0,0,ROW()-1,60),ROW()-1,FALSE))</f>
        <v>65.593000000000004</v>
      </c>
      <c r="O63">
        <f ca="1">IF(AND(ISNUMBER($O$379),$B$294=1),$O$379,HLOOKUP(INDIRECT(ADDRESS(2,COLUMN())),OFFSET($BN$2,0,0,ROW()-1,60),ROW()-1,FALSE))</f>
        <v>56.889000000000003</v>
      </c>
      <c r="P63">
        <f ca="1">IF(AND(ISNUMBER($P$379),$B$294=1),$P$379,HLOOKUP(INDIRECT(ADDRESS(2,COLUMN())),OFFSET($BN$2,0,0,ROW()-1,60),ROW()-1,FALSE))</f>
        <v>70.986000000000004</v>
      </c>
      <c r="Q63">
        <f ca="1">IF(AND(ISNUMBER($Q$379),$B$294=1),$Q$379,HLOOKUP(INDIRECT(ADDRESS(2,COLUMN())),OFFSET($BN$2,0,0,ROW()-1,60),ROW()-1,FALSE))</f>
        <v>71.784000000000006</v>
      </c>
      <c r="R63">
        <f ca="1">IF(AND(ISNUMBER($R$379),$B$294=1),$R$379,HLOOKUP(INDIRECT(ADDRESS(2,COLUMN())),OFFSET($BN$2,0,0,ROW()-1,60),ROW()-1,FALSE))</f>
        <v>62.665999999999997</v>
      </c>
      <c r="S63">
        <f ca="1">IF(AND(ISNUMBER($S$379),$B$294=1),$S$379,HLOOKUP(INDIRECT(ADDRESS(2,COLUMN())),OFFSET($BN$2,0,0,ROW()-1,60),ROW()-1,FALSE))</f>
        <v>69.019000000000005</v>
      </c>
      <c r="T63">
        <f ca="1">IF(AND(ISNUMBER($T$379),$B$294=1),$T$379,HLOOKUP(INDIRECT(ADDRESS(2,COLUMN())),OFFSET($BN$2,0,0,ROW()-1,60),ROW()-1,FALSE))</f>
        <v>68.201999999999998</v>
      </c>
      <c r="U63">
        <f ca="1">IF(AND(ISNUMBER($U$379),$B$294=1),$U$379,HLOOKUP(INDIRECT(ADDRESS(2,COLUMN())),OFFSET($BN$2,0,0,ROW()-1,60),ROW()-1,FALSE))</f>
        <v>63.573999999999998</v>
      </c>
      <c r="V63">
        <f ca="1">IF(AND(ISNUMBER($V$379),$B$294=1),$V$379,HLOOKUP(INDIRECT(ADDRESS(2,COLUMN())),OFFSET($BN$2,0,0,ROW()-1,60),ROW()-1,FALSE))</f>
        <v>69.307000000000002</v>
      </c>
      <c r="W63">
        <f ca="1">IF(AND(ISNUMBER($W$379),$B$294=1),$W$379,HLOOKUP(INDIRECT(ADDRESS(2,COLUMN())),OFFSET($BN$2,0,0,ROW()-1,60),ROW()-1,FALSE))</f>
        <v>66.66</v>
      </c>
      <c r="X63">
        <f ca="1">IF(AND(ISNUMBER($X$379),$B$294=1),$X$379,HLOOKUP(INDIRECT(ADDRESS(2,COLUMN())),OFFSET($BN$2,0,0,ROW()-1,60),ROW()-1,FALSE))</f>
        <v>60.384999999999998</v>
      </c>
      <c r="Y63">
        <f ca="1">IF(AND(ISNUMBER($Y$379),$B$294=1),$Y$379,HLOOKUP(INDIRECT(ADDRESS(2,COLUMN())),OFFSET($BN$2,0,0,ROW()-1,60),ROW()-1,FALSE))</f>
        <v>69.691000000000003</v>
      </c>
      <c r="Z63">
        <f ca="1">IF(AND(ISNUMBER($Z$379),$B$294=1),$Z$379,HLOOKUP(INDIRECT(ADDRESS(2,COLUMN())),OFFSET($BN$2,0,0,ROW()-1,60),ROW()-1,FALSE))</f>
        <v>64.947000000000003</v>
      </c>
      <c r="AA63">
        <f ca="1">IF(AND(ISNUMBER($AA$379),$B$294=1),$AA$379,HLOOKUP(INDIRECT(ADDRESS(2,COLUMN())),OFFSET($BN$2,0,0,ROW()-1,60),ROW()-1,FALSE))</f>
        <v>62.36</v>
      </c>
      <c r="AB63">
        <f ca="1">IF(AND(ISNUMBER($AB$379),$B$294=1),$AB$379,HLOOKUP(INDIRECT(ADDRESS(2,COLUMN())),OFFSET($BN$2,0,0,ROW()-1,60),ROW()-1,FALSE))</f>
        <v>22.696000000000002</v>
      </c>
      <c r="AC63">
        <f ca="1">IF(AND(ISNUMBER($AC$379),$B$294=1),$AC$379,HLOOKUP(INDIRECT(ADDRESS(2,COLUMN())),OFFSET($BN$2,0,0,ROW()-1,60),ROW()-1,FALSE))</f>
        <v>65.789000000000001</v>
      </c>
      <c r="AD63">
        <f ca="1">IF(AND(ISNUMBER($AD$379),$B$294=1),$AD$379,HLOOKUP(INDIRECT(ADDRESS(2,COLUMN())),OFFSET($BN$2,0,0,ROW()-1,60),ROW()-1,FALSE))</f>
        <v>67.897000000000006</v>
      </c>
      <c r="AE63">
        <f ca="1">IF(AND(ISNUMBER($AE$379),$B$294=1),$AE$379,HLOOKUP(INDIRECT(ADDRESS(2,COLUMN())),OFFSET($BN$2,0,0,ROW()-1,60),ROW()-1,FALSE))</f>
        <v>24.623999999999999</v>
      </c>
      <c r="AF63">
        <f ca="1">IF(AND(ISNUMBER($AF$379),$B$294=1),$AF$379,HLOOKUP(INDIRECT(ADDRESS(2,COLUMN())),OFFSET($BN$2,0,0,ROW()-1,60),ROW()-1,FALSE))</f>
        <v>64.338999999999999</v>
      </c>
      <c r="AG63">
        <f ca="1">IF(AND(ISNUMBER($AG$379),$B$294=1),$AG$379,HLOOKUP(INDIRECT(ADDRESS(2,COLUMN())),OFFSET($BN$2,0,0,ROW()-1,60),ROW()-1,FALSE))</f>
        <v>46.405999999999999</v>
      </c>
      <c r="AH63">
        <f ca="1">IF(AND(ISNUMBER($AH$379),$B$294=1),$AH$379,HLOOKUP(INDIRECT(ADDRESS(2,COLUMN())),OFFSET($BN$2,0,0,ROW()-1,60),ROW()-1,FALSE))</f>
        <v>37.652000000000001</v>
      </c>
      <c r="AI63">
        <f ca="1">IF(AND(ISNUMBER($AI$379),$B$294=1),$AI$379,HLOOKUP(INDIRECT(ADDRESS(2,COLUMN())),OFFSET($BN$2,0,0,ROW()-1,60),ROW()-1,FALSE))</f>
        <v>68.822999999999993</v>
      </c>
      <c r="AJ63">
        <f ca="1">IF(AND(ISNUMBER($AJ$379),$B$294=1),$AJ$379,HLOOKUP(INDIRECT(ADDRESS(2,COLUMN())),OFFSET($BN$2,0,0,ROW()-1,60),ROW()-1,FALSE))</f>
        <v>61.250999999999998</v>
      </c>
      <c r="AK63">
        <f ca="1">IF(AND(ISNUMBER($AK$379),$B$294=1),$AK$379,HLOOKUP(INDIRECT(ADDRESS(2,COLUMN())),OFFSET($BN$2,0,0,ROW()-1,60),ROW()-1,FALSE))</f>
        <v>63.201000000000001</v>
      </c>
      <c r="AL63">
        <f ca="1">IF(AND(ISNUMBER($AL$379),$B$294=1),$AL$379,HLOOKUP(INDIRECT(ADDRESS(2,COLUMN())),OFFSET($BN$2,0,0,ROW()-1,60),ROW()-1,FALSE))</f>
        <v>59.661000000000001</v>
      </c>
      <c r="AM63">
        <f ca="1">IF(AND(ISNUMBER($AM$379),$B$294=1),$AM$379,HLOOKUP(INDIRECT(ADDRESS(2,COLUMN())),OFFSET($BN$2,0,0,ROW()-1,60),ROW()-1,FALSE))</f>
        <v>33.238999999999997</v>
      </c>
      <c r="AN63">
        <f ca="1">IF(AND(ISNUMBER($AN$379),$B$294=1),$AN$379,HLOOKUP(INDIRECT(ADDRESS(2,COLUMN())),OFFSET($BN$2,0,0,ROW()-1,60),ROW()-1,FALSE))</f>
        <v>88.65</v>
      </c>
      <c r="AO63">
        <f ca="1">IF(AND(ISNUMBER($AO$379),$B$294=1),$AO$379,HLOOKUP(INDIRECT(ADDRESS(2,COLUMN())),OFFSET($BN$2,0,0,ROW()-1,60),ROW()-1,FALSE))</f>
        <v>64.578000000000003</v>
      </c>
      <c r="AP63">
        <f ca="1">IF(AND(ISNUMBER($AP$379),$B$294=1),$AP$379,HLOOKUP(INDIRECT(ADDRESS(2,COLUMN())),OFFSET($BN$2,0,0,ROW()-1,60),ROW()-1,FALSE))</f>
        <v>63.274000000000001</v>
      </c>
      <c r="AQ63">
        <f ca="1">IF(AND(ISNUMBER($AQ$379),$B$294=1),$AQ$379,HLOOKUP(INDIRECT(ADDRESS(2,COLUMN())),OFFSET($BN$2,0,0,ROW()-1,60),ROW()-1,FALSE))</f>
        <v>61.445999999999998</v>
      </c>
      <c r="AR63">
        <f ca="1">IF(AND(ISNUMBER($AR$379),$B$294=1),$AR$379,HLOOKUP(INDIRECT(ADDRESS(2,COLUMN())),OFFSET($BN$2,0,0,ROW()-1,60),ROW()-1,FALSE))</f>
        <v>61.874000000000002</v>
      </c>
      <c r="AS63">
        <f ca="1">IF(AND(ISNUMBER($AS$379),$B$294=1),$AS$379,HLOOKUP(INDIRECT(ADDRESS(2,COLUMN())),OFFSET($BN$2,0,0,ROW()-1,60),ROW()-1,FALSE))</f>
        <v>58.844000000000001</v>
      </c>
      <c r="AT63">
        <f ca="1">IF(AND(ISNUMBER($AT$379),$B$294=1),$AT$379,HLOOKUP(INDIRECT(ADDRESS(2,COLUMN())),OFFSET($BN$2,0,0,ROW()-1,60),ROW()-1,FALSE))</f>
        <v>57.07</v>
      </c>
      <c r="AU63">
        <f ca="1">IF(AND(ISNUMBER($AU$379),$B$294=1),$AU$379,HLOOKUP(INDIRECT(ADDRESS(2,COLUMN())),OFFSET($BN$2,0,0,ROW()-1,60),ROW()-1,FALSE))</f>
        <v>56.738999999999997</v>
      </c>
      <c r="AV63">
        <f ca="1">IF(AND(ISNUMBER($AV$379),$B$294=1),$AV$379,HLOOKUP(INDIRECT(ADDRESS(2,COLUMN())),OFFSET($BN$2,0,0,ROW()-1,60),ROW()-1,FALSE))</f>
        <v>58.161000000000001</v>
      </c>
      <c r="AW63">
        <f ca="1">IF(AND(ISNUMBER($AW$379),$B$294=1),$AW$379,HLOOKUP(INDIRECT(ADDRESS(2,COLUMN())),OFFSET($BN$2,0,0,ROW()-1,60),ROW()-1,FALSE))</f>
        <v>57.042000000000002</v>
      </c>
      <c r="AX63">
        <f ca="1">IF(AND(ISNUMBER($AX$379),$B$294=1),$AX$379,HLOOKUP(INDIRECT(ADDRESS(2,COLUMN())),OFFSET($BN$2,0,0,ROW()-1,60),ROW()-1,FALSE))</f>
        <v>53.366999999999997</v>
      </c>
      <c r="AY63">
        <f ca="1">IF(AND(ISNUMBER($AY$379),$B$294=1),$AY$379,HLOOKUP(INDIRECT(ADDRESS(2,COLUMN())),OFFSET($BN$2,0,0,ROW()-1,60),ROW()-1,FALSE))</f>
        <v>47.381</v>
      </c>
      <c r="AZ63">
        <f ca="1">IF(AND(ISNUMBER($AZ$379),$B$294=1),$AZ$379,HLOOKUP(INDIRECT(ADDRESS(2,COLUMN())),OFFSET($BN$2,0,0,ROW()-1,60),ROW()-1,FALSE))</f>
        <v>48.887</v>
      </c>
      <c r="BA63">
        <f ca="1">IF(AND(ISNUMBER($BA$379),$B$294=1),$BA$379,HLOOKUP(INDIRECT(ADDRESS(2,COLUMN())),OFFSET($BN$2,0,0,ROW()-1,60),ROW()-1,FALSE))</f>
        <v>46.758000000000003</v>
      </c>
      <c r="BB63">
        <f ca="1">IF(AND(ISNUMBER($BB$379),$B$294=1),$BB$379,HLOOKUP(INDIRECT(ADDRESS(2,COLUMN())),OFFSET($BN$2,0,0,ROW()-1,60),ROW()-1,FALSE))</f>
        <v>45.468000000000004</v>
      </c>
      <c r="BC63">
        <f ca="1">IF(AND(ISNUMBER($BC$379),$B$294=1),$BC$379,HLOOKUP(INDIRECT(ADDRESS(2,COLUMN())),OFFSET($BN$2,0,0,ROW()-1,60),ROW()-1,FALSE))</f>
        <v>41.930999999999997</v>
      </c>
      <c r="BD63">
        <f ca="1">IF(AND(ISNUMBER($BD$379),$B$294=1),$BD$379,HLOOKUP(INDIRECT(ADDRESS(2,COLUMN())),OFFSET($BN$2,0,0,ROW()-1,60),ROW()-1,FALSE))</f>
        <v>40.381</v>
      </c>
      <c r="BE63">
        <f ca="1">IF(AND(ISNUMBER($BE$379),$B$294=1),$BE$379,HLOOKUP(INDIRECT(ADDRESS(2,COLUMN())),OFFSET($BN$2,0,0,ROW()-1,60),ROW()-1,FALSE))</f>
        <v>39.537999999999997</v>
      </c>
      <c r="BF63">
        <f ca="1">IF(AND(ISNUMBER($BF$379),$B$294=1),$BF$379,HLOOKUP(INDIRECT(ADDRESS(2,COLUMN())),OFFSET($BN$2,0,0,ROW()-1,60),ROW()-1,FALSE))</f>
        <v>38.889000000000003</v>
      </c>
      <c r="BG63">
        <f ca="1">IF(AND(ISNUMBER($BG$379),$B$294=1),$BG$379,HLOOKUP(INDIRECT(ADDRESS(2,COLUMN())),OFFSET($BN$2,0,0,ROW()-1,60),ROW()-1,FALSE))</f>
        <v>37.950000000000003</v>
      </c>
      <c r="BH63">
        <f ca="1">IF(AND(ISNUMBER($BH$379),$B$294=1),$BH$379,HLOOKUP(INDIRECT(ADDRESS(2,COLUMN())),OFFSET($BN$2,0,0,ROW()-1,60),ROW()-1,FALSE))</f>
        <v>34.46</v>
      </c>
      <c r="BI63">
        <f ca="1">IF(AND(ISNUMBER($BI$379),$B$294=1),$BI$379,HLOOKUP(INDIRECT(ADDRESS(2,COLUMN())),OFFSET($BN$2,0,0,ROW()-1,60),ROW()-1,FALSE))</f>
        <v>36.966000000000001</v>
      </c>
      <c r="BJ63">
        <f ca="1">IF(AND(ISNUMBER($BJ$379),$B$294=1),$BJ$379,HLOOKUP(INDIRECT(ADDRESS(2,COLUMN())),OFFSET($BN$2,0,0,ROW()-1,60),ROW()-1,FALSE))</f>
        <v>32.188000000000002</v>
      </c>
      <c r="BK63">
        <f ca="1">IF(AND(ISNUMBER($BK$379),$B$294=1),$BK$379,HLOOKUP(INDIRECT(ADDRESS(2,COLUMN())),OFFSET($BN$2,0,0,ROW()-1,60),ROW()-1,FALSE))</f>
        <v>29.96299934</v>
      </c>
      <c r="BL63">
        <f ca="1">IF(AND(ISNUMBER($BL$379),$B$294=1),$BL$379,HLOOKUP(INDIRECT(ADDRESS(2,COLUMN())),OFFSET($BN$2,0,0,ROW()-1,60),ROW()-1,FALSE))</f>
        <v>31.178999999999998</v>
      </c>
      <c r="BM63">
        <f ca="1">IF(AND(ISNUMBER($BM$379),$B$294=1),$BM$379,HLOOKUP(INDIRECT(ADDRESS(2,COLUMN())),OFFSET($BN$2,0,0,ROW()-1,60),ROW()-1,FALSE))</f>
        <v>27.928999999999998</v>
      </c>
      <c r="BN63" t="str">
        <f>""</f>
        <v/>
      </c>
      <c r="BO63">
        <f>59.385</f>
        <v>59.384999999999998</v>
      </c>
      <c r="BP63">
        <f>73.954</f>
        <v>73.953999999999994</v>
      </c>
      <c r="BQ63">
        <f>69.996</f>
        <v>69.995999999999995</v>
      </c>
      <c r="BR63">
        <f>69.003</f>
        <v>69.003</v>
      </c>
      <c r="BS63">
        <f>70.883</f>
        <v>70.882999999999996</v>
      </c>
      <c r="BT63">
        <f>44.053</f>
        <v>44.052999999999997</v>
      </c>
      <c r="BU63">
        <f>6.751</f>
        <v>6.7510000000000003</v>
      </c>
      <c r="BV63">
        <f>65.593</f>
        <v>65.593000000000004</v>
      </c>
      <c r="BW63">
        <f>56.889</f>
        <v>56.889000000000003</v>
      </c>
      <c r="BX63">
        <f>70.986</f>
        <v>70.986000000000004</v>
      </c>
      <c r="BY63">
        <f>71.784</f>
        <v>71.784000000000006</v>
      </c>
      <c r="BZ63">
        <f>62.666</f>
        <v>62.665999999999997</v>
      </c>
      <c r="CA63">
        <f>69.019</f>
        <v>69.019000000000005</v>
      </c>
      <c r="CB63">
        <f>68.202</f>
        <v>68.201999999999998</v>
      </c>
      <c r="CC63">
        <f>63.574</f>
        <v>63.573999999999998</v>
      </c>
      <c r="CD63">
        <f>69.307</f>
        <v>69.307000000000002</v>
      </c>
      <c r="CE63">
        <f>66.66</f>
        <v>66.66</v>
      </c>
      <c r="CF63">
        <f>60.385</f>
        <v>60.384999999999998</v>
      </c>
      <c r="CG63">
        <f>69.691</f>
        <v>69.691000000000003</v>
      </c>
      <c r="CH63">
        <f>64.947</f>
        <v>64.947000000000003</v>
      </c>
      <c r="CI63">
        <f>62.36</f>
        <v>62.36</v>
      </c>
      <c r="CJ63">
        <f>22.696</f>
        <v>22.696000000000002</v>
      </c>
      <c r="CK63">
        <f>65.789</f>
        <v>65.789000000000001</v>
      </c>
      <c r="CL63">
        <f>67.897</f>
        <v>67.897000000000006</v>
      </c>
      <c r="CM63">
        <f>24.624</f>
        <v>24.623999999999999</v>
      </c>
      <c r="CN63">
        <f>64.339</f>
        <v>64.338999999999999</v>
      </c>
      <c r="CO63">
        <f>46.406</f>
        <v>46.405999999999999</v>
      </c>
      <c r="CP63">
        <f>37.652</f>
        <v>37.652000000000001</v>
      </c>
      <c r="CQ63">
        <f>68.823</f>
        <v>68.822999999999993</v>
      </c>
      <c r="CR63">
        <f>61.251</f>
        <v>61.250999999999998</v>
      </c>
      <c r="CS63">
        <f>63.201</f>
        <v>63.201000000000001</v>
      </c>
      <c r="CT63">
        <f>59.661</f>
        <v>59.661000000000001</v>
      </c>
      <c r="CU63">
        <f>33.239</f>
        <v>33.238999999999997</v>
      </c>
      <c r="CV63">
        <f>88.65</f>
        <v>88.65</v>
      </c>
      <c r="CW63">
        <f>64.578</f>
        <v>64.578000000000003</v>
      </c>
      <c r="CX63">
        <f>63.274</f>
        <v>63.274000000000001</v>
      </c>
      <c r="CY63">
        <f>61.446</f>
        <v>61.445999999999998</v>
      </c>
      <c r="CZ63">
        <f>61.874</f>
        <v>61.874000000000002</v>
      </c>
      <c r="DA63">
        <f>58.844</f>
        <v>58.844000000000001</v>
      </c>
      <c r="DB63">
        <f>57.07</f>
        <v>57.07</v>
      </c>
      <c r="DC63">
        <f>56.739</f>
        <v>56.738999999999997</v>
      </c>
      <c r="DD63">
        <f>58.161</f>
        <v>58.161000000000001</v>
      </c>
      <c r="DE63">
        <f>57.042</f>
        <v>57.042000000000002</v>
      </c>
      <c r="DF63">
        <f>53.367</f>
        <v>53.366999999999997</v>
      </c>
      <c r="DG63">
        <f>47.381</f>
        <v>47.381</v>
      </c>
      <c r="DH63">
        <f>48.887</f>
        <v>48.887</v>
      </c>
      <c r="DI63">
        <f>46.758</f>
        <v>46.758000000000003</v>
      </c>
      <c r="DJ63">
        <f>45.468</f>
        <v>45.468000000000004</v>
      </c>
      <c r="DK63">
        <f>41.931</f>
        <v>41.930999999999997</v>
      </c>
      <c r="DL63">
        <f>40.381</f>
        <v>40.381</v>
      </c>
      <c r="DM63">
        <f>39.538</f>
        <v>39.537999999999997</v>
      </c>
      <c r="DN63">
        <f>38.889</f>
        <v>38.889000000000003</v>
      </c>
      <c r="DO63">
        <f>37.95</f>
        <v>37.950000000000003</v>
      </c>
      <c r="DP63">
        <f>34.46</f>
        <v>34.46</v>
      </c>
      <c r="DQ63">
        <f>36.966</f>
        <v>36.966000000000001</v>
      </c>
      <c r="DR63">
        <f>32.188</f>
        <v>32.188000000000002</v>
      </c>
      <c r="DS63">
        <f>29.96299934</f>
        <v>29.96299934</v>
      </c>
      <c r="DT63">
        <f>31.179</f>
        <v>31.178999999999998</v>
      </c>
      <c r="DU63">
        <f>27.929</f>
        <v>27.928999999999998</v>
      </c>
    </row>
    <row r="64" spans="1:125">
      <c r="A64" t="str">
        <f>"    Highwoods Properties Inc"</f>
        <v xml:space="preserve">    Highwoods Properties Inc</v>
      </c>
      <c r="B64" t="str">
        <f>"HIW US Equity"</f>
        <v>HIW US Equity</v>
      </c>
      <c r="C64" t="str">
        <f t="shared" si="15"/>
        <v>RR009</v>
      </c>
      <c r="D64" t="str">
        <f t="shared" si="16"/>
        <v>EBITDA</v>
      </c>
      <c r="E64" t="str">
        <f t="shared" si="17"/>
        <v>动态</v>
      </c>
      <c r="F64" t="str">
        <f ca="1">IF(AND(ISNUMBER($F$380),$B$294=1),$F$380,HLOOKUP(INDIRECT(ADDRESS(2,COLUMN())),OFFSET($BN$2,0,0,ROW()-1,60),ROW()-1,FALSE))</f>
        <v/>
      </c>
      <c r="G64">
        <f ca="1">IF(AND(ISNUMBER($G$380),$B$294=1),$G$380,HLOOKUP(INDIRECT(ADDRESS(2,COLUMN())),OFFSET($BN$2,0,0,ROW()-1,60),ROW()-1,FALSE))</f>
        <v>106.596</v>
      </c>
      <c r="H64">
        <f ca="1">IF(AND(ISNUMBER($H$380),$B$294=1),$H$380,HLOOKUP(INDIRECT(ADDRESS(2,COLUMN())),OFFSET($BN$2,0,0,ROW()-1,60),ROW()-1,FALSE))</f>
        <v>108.259</v>
      </c>
      <c r="I64">
        <f ca="1">IF(AND(ISNUMBER($I$380),$B$294=1),$I$380,HLOOKUP(INDIRECT(ADDRESS(2,COLUMN())),OFFSET($BN$2,0,0,ROW()-1,60),ROW()-1,FALSE))</f>
        <v>109.379</v>
      </c>
      <c r="J64">
        <f ca="1">IF(AND(ISNUMBER($J$380),$B$294=1),$J$380,HLOOKUP(INDIRECT(ADDRESS(2,COLUMN())),OFFSET($BN$2,0,0,ROW()-1,60),ROW()-1,FALSE))</f>
        <v>100.52200000000001</v>
      </c>
      <c r="K64">
        <f ca="1">IF(AND(ISNUMBER($K$380),$B$294=1),$K$380,HLOOKUP(INDIRECT(ADDRESS(2,COLUMN())),OFFSET($BN$2,0,0,ROW()-1,60),ROW()-1,FALSE))</f>
        <v>101.45</v>
      </c>
      <c r="L64">
        <f ca="1">IF(AND(ISNUMBER($L$380),$B$294=1),$L$380,HLOOKUP(INDIRECT(ADDRESS(2,COLUMN())),OFFSET($BN$2,0,0,ROW()-1,60),ROW()-1,FALSE))</f>
        <v>97.786000000000001</v>
      </c>
      <c r="M64">
        <f ca="1">IF(AND(ISNUMBER($M$380),$B$294=1),$M$380,HLOOKUP(INDIRECT(ADDRESS(2,COLUMN())),OFFSET($BN$2,0,0,ROW()-1,60),ROW()-1,FALSE))</f>
        <v>101.018</v>
      </c>
      <c r="N64">
        <f ca="1">IF(AND(ISNUMBER($N$380),$B$294=1),$N$380,HLOOKUP(INDIRECT(ADDRESS(2,COLUMN())),OFFSET($BN$2,0,0,ROW()-1,60),ROW()-1,FALSE))</f>
        <v>96.141999999999996</v>
      </c>
      <c r="O64">
        <f ca="1">IF(AND(ISNUMBER($O$380),$B$294=1),$O$380,HLOOKUP(INDIRECT(ADDRESS(2,COLUMN())),OFFSET($BN$2,0,0,ROW()-1,60),ROW()-1,FALSE))</f>
        <v>98.352000000000004</v>
      </c>
      <c r="P64">
        <f ca="1">IF(AND(ISNUMBER($P$380),$B$294=1),$P$380,HLOOKUP(INDIRECT(ADDRESS(2,COLUMN())),OFFSET($BN$2,0,0,ROW()-1,60),ROW()-1,FALSE))</f>
        <v>94.796000000000006</v>
      </c>
      <c r="Q64">
        <f ca="1">IF(AND(ISNUMBER($Q$380),$B$294=1),$Q$380,HLOOKUP(INDIRECT(ADDRESS(2,COLUMN())),OFFSET($BN$2,0,0,ROW()-1,60),ROW()-1,FALSE))</f>
        <v>90.82</v>
      </c>
      <c r="R64">
        <f ca="1">IF(AND(ISNUMBER($R$380),$B$294=1),$R$380,HLOOKUP(INDIRECT(ADDRESS(2,COLUMN())),OFFSET($BN$2,0,0,ROW()-1,60),ROW()-1,FALSE))</f>
        <v>88.36</v>
      </c>
      <c r="S64">
        <f ca="1">IF(AND(ISNUMBER($S$380),$B$294=1),$S$380,HLOOKUP(INDIRECT(ADDRESS(2,COLUMN())),OFFSET($BN$2,0,0,ROW()-1,60),ROW()-1,FALSE))</f>
        <v>83.9</v>
      </c>
      <c r="T64">
        <f ca="1">IF(AND(ISNUMBER($T$380),$B$294=1),$T$380,HLOOKUP(INDIRECT(ADDRESS(2,COLUMN())),OFFSET($BN$2,0,0,ROW()-1,60),ROW()-1,FALSE))</f>
        <v>87.72</v>
      </c>
      <c r="U64">
        <f ca="1">IF(AND(ISNUMBER($U$380),$B$294=1),$U$380,HLOOKUP(INDIRECT(ADDRESS(2,COLUMN())),OFFSET($BN$2,0,0,ROW()-1,60),ROW()-1,FALSE))</f>
        <v>88.126000000000005</v>
      </c>
      <c r="V64">
        <f ca="1">IF(AND(ISNUMBER($V$380),$B$294=1),$V$380,HLOOKUP(INDIRECT(ADDRESS(2,COLUMN())),OFFSET($BN$2,0,0,ROW()-1,60),ROW()-1,FALSE))</f>
        <v>81.349000000000004</v>
      </c>
      <c r="W64">
        <f ca="1">IF(AND(ISNUMBER($W$380),$B$294=1),$W$380,HLOOKUP(INDIRECT(ADDRESS(2,COLUMN())),OFFSET($BN$2,0,0,ROW()-1,60),ROW()-1,FALSE))</f>
        <v>84.659000000000006</v>
      </c>
      <c r="X64">
        <f ca="1">IF(AND(ISNUMBER($X$380),$B$294=1),$X$380,HLOOKUP(INDIRECT(ADDRESS(2,COLUMN())),OFFSET($BN$2,0,0,ROW()-1,60),ROW()-1,FALSE))</f>
        <v>83.206999999999994</v>
      </c>
      <c r="Y64">
        <f ca="1">IF(AND(ISNUMBER($Y$380),$B$294=1),$Y$380,HLOOKUP(INDIRECT(ADDRESS(2,COLUMN())),OFFSET($BN$2,0,0,ROW()-1,60),ROW()-1,FALSE))</f>
        <v>78.754999999999995</v>
      </c>
      <c r="Z64">
        <f ca="1">IF(AND(ISNUMBER($Z$380),$B$294=1),$Z$380,HLOOKUP(INDIRECT(ADDRESS(2,COLUMN())),OFFSET($BN$2,0,0,ROW()-1,60),ROW()-1,FALSE))</f>
        <v>75.405000000000001</v>
      </c>
      <c r="AA64">
        <f ca="1">IF(AND(ISNUMBER($AA$380),$B$294=1),$AA$380,HLOOKUP(INDIRECT(ADDRESS(2,COLUMN())),OFFSET($BN$2,0,0,ROW()-1,60),ROW()-1,FALSE))</f>
        <v>73.216999999999999</v>
      </c>
      <c r="AB64">
        <f ca="1">IF(AND(ISNUMBER($AB$380),$B$294=1),$AB$380,HLOOKUP(INDIRECT(ADDRESS(2,COLUMN())),OFFSET($BN$2,0,0,ROW()-1,60),ROW()-1,FALSE))</f>
        <v>69.399000000000001</v>
      </c>
      <c r="AC64">
        <f ca="1">IF(AND(ISNUMBER($AC$380),$B$294=1),$AC$380,HLOOKUP(INDIRECT(ADDRESS(2,COLUMN())),OFFSET($BN$2,0,0,ROW()-1,60),ROW()-1,FALSE))</f>
        <v>73.551000000000002</v>
      </c>
      <c r="AD64">
        <f ca="1">IF(AND(ISNUMBER($AD$380),$B$294=1),$AD$380,HLOOKUP(INDIRECT(ADDRESS(2,COLUMN())),OFFSET($BN$2,0,0,ROW()-1,60),ROW()-1,FALSE))</f>
        <v>72.375</v>
      </c>
      <c r="AE64">
        <f ca="1">IF(AND(ISNUMBER($AE$380),$B$294=1),$AE$380,HLOOKUP(INDIRECT(ADDRESS(2,COLUMN())),OFFSET($BN$2,0,0,ROW()-1,60),ROW()-1,FALSE))</f>
        <v>72.028999999999996</v>
      </c>
      <c r="AF64">
        <f ca="1">IF(AND(ISNUMBER($AF$380),$B$294=1),$AF$380,HLOOKUP(INDIRECT(ADDRESS(2,COLUMN())),OFFSET($BN$2,0,0,ROW()-1,60),ROW()-1,FALSE))</f>
        <v>59.862000000000002</v>
      </c>
      <c r="AG64">
        <f ca="1">IF(AND(ISNUMBER($AG$380),$B$294=1),$AG$380,HLOOKUP(INDIRECT(ADDRESS(2,COLUMN())),OFFSET($BN$2,0,0,ROW()-1,60),ROW()-1,FALSE))</f>
        <v>67.52</v>
      </c>
      <c r="AH64">
        <f ca="1">IF(AND(ISNUMBER($AH$380),$B$294=1),$AH$380,HLOOKUP(INDIRECT(ADDRESS(2,COLUMN())),OFFSET($BN$2,0,0,ROW()-1,60),ROW()-1,FALSE))</f>
        <v>65.88</v>
      </c>
      <c r="AI64">
        <f ca="1">IF(AND(ISNUMBER($AI$380),$B$294=1),$AI$380,HLOOKUP(INDIRECT(ADDRESS(2,COLUMN())),OFFSET($BN$2,0,0,ROW()-1,60),ROW()-1,FALSE))</f>
        <v>43.96</v>
      </c>
      <c r="AJ64">
        <f ca="1">IF(AND(ISNUMBER($AJ$380),$B$294=1),$AJ$380,HLOOKUP(INDIRECT(ADDRESS(2,COLUMN())),OFFSET($BN$2,0,0,ROW()-1,60),ROW()-1,FALSE))</f>
        <v>63.405000000000001</v>
      </c>
      <c r="AK64">
        <f ca="1">IF(AND(ISNUMBER($AK$380),$B$294=1),$AK$380,HLOOKUP(INDIRECT(ADDRESS(2,COLUMN())),OFFSET($BN$2,0,0,ROW()-1,60),ROW()-1,FALSE))</f>
        <v>68.917000000000002</v>
      </c>
      <c r="AL64">
        <f ca="1">IF(AND(ISNUMBER($AL$380),$B$294=1),$AL$380,HLOOKUP(INDIRECT(ADDRESS(2,COLUMN())),OFFSET($BN$2,0,0,ROW()-1,60),ROW()-1,FALSE))</f>
        <v>65.015000000000001</v>
      </c>
      <c r="AM64">
        <f ca="1">IF(AND(ISNUMBER($AM$380),$B$294=1),$AM$380,HLOOKUP(INDIRECT(ADDRESS(2,COLUMN())),OFFSET($BN$2,0,0,ROW()-1,60),ROW()-1,FALSE))</f>
        <v>49.473999999999997</v>
      </c>
      <c r="AN64">
        <f ca="1">IF(AND(ISNUMBER($AN$380),$B$294=1),$AN$380,HLOOKUP(INDIRECT(ADDRESS(2,COLUMN())),OFFSET($BN$2,0,0,ROW()-1,60),ROW()-1,FALSE))</f>
        <v>61.442999999999998</v>
      </c>
      <c r="AO64">
        <f ca="1">IF(AND(ISNUMBER($AO$380),$B$294=1),$AO$380,HLOOKUP(INDIRECT(ADDRESS(2,COLUMN())),OFFSET($BN$2,0,0,ROW()-1,60),ROW()-1,FALSE))</f>
        <v>62.256999999999998</v>
      </c>
      <c r="AP64">
        <f ca="1">IF(AND(ISNUMBER($AP$380),$B$294=1),$AP$380,HLOOKUP(INDIRECT(ADDRESS(2,COLUMN())),OFFSET($BN$2,0,0,ROW()-1,60),ROW()-1,FALSE))</f>
        <v>64.756</v>
      </c>
      <c r="AQ64">
        <f ca="1">IF(AND(ISNUMBER($AQ$380),$B$294=1),$AQ$380,HLOOKUP(INDIRECT(ADDRESS(2,COLUMN())),OFFSET($BN$2,0,0,ROW()-1,60),ROW()-1,FALSE))</f>
        <v>55.594000000000001</v>
      </c>
      <c r="AR64">
        <f ca="1">IF(AND(ISNUMBER($AR$380),$B$294=1),$AR$380,HLOOKUP(INDIRECT(ADDRESS(2,COLUMN())),OFFSET($BN$2,0,0,ROW()-1,60),ROW()-1,FALSE))</f>
        <v>63.734999999999999</v>
      </c>
      <c r="AS64">
        <f ca="1">IF(AND(ISNUMBER($AS$380),$B$294=1),$AS$380,HLOOKUP(INDIRECT(ADDRESS(2,COLUMN())),OFFSET($BN$2,0,0,ROW()-1,60),ROW()-1,FALSE))</f>
        <v>57.429000000000002</v>
      </c>
      <c r="AT64">
        <f ca="1">IF(AND(ISNUMBER($AT$380),$B$294=1),$AT$380,HLOOKUP(INDIRECT(ADDRESS(2,COLUMN())),OFFSET($BN$2,0,0,ROW()-1,60),ROW()-1,FALSE))</f>
        <v>61.753</v>
      </c>
      <c r="AU64">
        <f ca="1">IF(AND(ISNUMBER($AU$380),$B$294=1),$AU$380,HLOOKUP(INDIRECT(ADDRESS(2,COLUMN())),OFFSET($BN$2,0,0,ROW()-1,60),ROW()-1,FALSE))</f>
        <v>60.491</v>
      </c>
      <c r="AV64">
        <f ca="1">IF(AND(ISNUMBER($AV$380),$B$294=1),$AV$380,HLOOKUP(INDIRECT(ADDRESS(2,COLUMN())),OFFSET($BN$2,0,0,ROW()-1,60),ROW()-1,FALSE))</f>
        <v>59.438000000000002</v>
      </c>
      <c r="AW64">
        <f ca="1">IF(AND(ISNUMBER($AW$380),$B$294=1),$AW$380,HLOOKUP(INDIRECT(ADDRESS(2,COLUMN())),OFFSET($BN$2,0,0,ROW()-1,60),ROW()-1,FALSE))</f>
        <v>55.938000000000002</v>
      </c>
      <c r="AX64">
        <f ca="1">IF(AND(ISNUMBER($AX$380),$B$294=1),$AX$380,HLOOKUP(INDIRECT(ADDRESS(2,COLUMN())),OFFSET($BN$2,0,0,ROW()-1,60),ROW()-1,FALSE))</f>
        <v>57.081000000000003</v>
      </c>
      <c r="AY64">
        <f ca="1">IF(AND(ISNUMBER($AY$380),$B$294=1),$AY$380,HLOOKUP(INDIRECT(ADDRESS(2,COLUMN())),OFFSET($BN$2,0,0,ROW()-1,60),ROW()-1,FALSE))</f>
        <v>36.552999999999997</v>
      </c>
      <c r="AZ64">
        <f ca="1">IF(AND(ISNUMBER($AZ$380),$B$294=1),$AZ$380,HLOOKUP(INDIRECT(ADDRESS(2,COLUMN())),OFFSET($BN$2,0,0,ROW()-1,60),ROW()-1,FALSE))</f>
        <v>59.844000000000001</v>
      </c>
      <c r="BA64">
        <f ca="1">IF(AND(ISNUMBER($BA$380),$B$294=1),$BA$380,HLOOKUP(INDIRECT(ADDRESS(2,COLUMN())),OFFSET($BN$2,0,0,ROW()-1,60),ROW()-1,FALSE))</f>
        <v>59.518999999999998</v>
      </c>
      <c r="BB64">
        <f ca="1">IF(AND(ISNUMBER($BB$380),$B$294=1),$BB$380,HLOOKUP(INDIRECT(ADDRESS(2,COLUMN())),OFFSET($BN$2,0,0,ROW()-1,60),ROW()-1,FALSE))</f>
        <v>60.198</v>
      </c>
      <c r="BC64">
        <f ca="1">IF(AND(ISNUMBER($BC$380),$B$294=1),$BC$380,HLOOKUP(INDIRECT(ADDRESS(2,COLUMN())),OFFSET($BN$2,0,0,ROW()-1,60),ROW()-1,FALSE))</f>
        <v>40.223999999999997</v>
      </c>
      <c r="BD64">
        <f ca="1">IF(AND(ISNUMBER($BD$380),$B$294=1),$BD$380,HLOOKUP(INDIRECT(ADDRESS(2,COLUMN())),OFFSET($BN$2,0,0,ROW()-1,60),ROW()-1,FALSE))</f>
        <v>60.493000000000002</v>
      </c>
      <c r="BE64">
        <f ca="1">IF(AND(ISNUMBER($BE$380),$B$294=1),$BE$380,HLOOKUP(INDIRECT(ADDRESS(2,COLUMN())),OFFSET($BN$2,0,0,ROW()-1,60),ROW()-1,FALSE))</f>
        <v>65.438999999999993</v>
      </c>
      <c r="BF64">
        <f ca="1">IF(AND(ISNUMBER($BF$380),$B$294=1),$BF$380,HLOOKUP(INDIRECT(ADDRESS(2,COLUMN())),OFFSET($BN$2,0,0,ROW()-1,60),ROW()-1,FALSE))</f>
        <v>66.965999999999994</v>
      </c>
      <c r="BG64">
        <f ca="1">IF(AND(ISNUMBER($BG$380),$B$294=1),$BG$380,HLOOKUP(INDIRECT(ADDRESS(2,COLUMN())),OFFSET($BN$2,0,0,ROW()-1,60),ROW()-1,FALSE))</f>
        <v>38.892000000000003</v>
      </c>
      <c r="BH64">
        <f ca="1">IF(AND(ISNUMBER($BH$380),$B$294=1),$BH$380,HLOOKUP(INDIRECT(ADDRESS(2,COLUMN())),OFFSET($BN$2,0,0,ROW()-1,60),ROW()-1,FALSE))</f>
        <v>60.436</v>
      </c>
      <c r="BI64">
        <f ca="1">IF(AND(ISNUMBER($BI$380),$B$294=1),$BI$380,HLOOKUP(INDIRECT(ADDRESS(2,COLUMN())),OFFSET($BN$2,0,0,ROW()-1,60),ROW()-1,FALSE))</f>
        <v>67.480999999999995</v>
      </c>
      <c r="BJ64">
        <f ca="1">IF(AND(ISNUMBER($BJ$380),$B$294=1),$BJ$380,HLOOKUP(INDIRECT(ADDRESS(2,COLUMN())),OFFSET($BN$2,0,0,ROW()-1,60),ROW()-1,FALSE))</f>
        <v>66.695999999999998</v>
      </c>
      <c r="BK64" t="str">
        <f ca="1">IF(AND(ISNUMBER($BK$380),$B$294=1),$BK$380,HLOOKUP(INDIRECT(ADDRESS(2,COLUMN())),OFFSET($BN$2,0,0,ROW()-1,60),ROW()-1,FALSE))</f>
        <v/>
      </c>
      <c r="BL64">
        <f ca="1">IF(AND(ISNUMBER($BL$380),$B$294=1),$BL$380,HLOOKUP(INDIRECT(ADDRESS(2,COLUMN())),OFFSET($BN$2,0,0,ROW()-1,60),ROW()-1,FALSE))</f>
        <v>158.44900000000001</v>
      </c>
      <c r="BM64">
        <f ca="1">IF(AND(ISNUMBER($BM$380),$B$294=1),$BM$380,HLOOKUP(INDIRECT(ADDRESS(2,COLUMN())),OFFSET($BN$2,0,0,ROW()-1,60),ROW()-1,FALSE))</f>
        <v>77.903000000000006</v>
      </c>
      <c r="BN64" t="str">
        <f>""</f>
        <v/>
      </c>
      <c r="BO64">
        <f>106.596</f>
        <v>106.596</v>
      </c>
      <c r="BP64">
        <f>108.259</f>
        <v>108.259</v>
      </c>
      <c r="BQ64">
        <f>109.379</f>
        <v>109.379</v>
      </c>
      <c r="BR64">
        <f>100.522</f>
        <v>100.52200000000001</v>
      </c>
      <c r="BS64">
        <f>101.45</f>
        <v>101.45</v>
      </c>
      <c r="BT64">
        <f>97.786</f>
        <v>97.786000000000001</v>
      </c>
      <c r="BU64">
        <f>101.018</f>
        <v>101.018</v>
      </c>
      <c r="BV64">
        <f>96.142</f>
        <v>96.141999999999996</v>
      </c>
      <c r="BW64">
        <f>98.352</f>
        <v>98.352000000000004</v>
      </c>
      <c r="BX64">
        <f>94.796</f>
        <v>94.796000000000006</v>
      </c>
      <c r="BY64">
        <f>90.82</f>
        <v>90.82</v>
      </c>
      <c r="BZ64">
        <f>88.36</f>
        <v>88.36</v>
      </c>
      <c r="CA64">
        <f>83.9</f>
        <v>83.9</v>
      </c>
      <c r="CB64">
        <f>87.72</f>
        <v>87.72</v>
      </c>
      <c r="CC64">
        <f>88.126</f>
        <v>88.126000000000005</v>
      </c>
      <c r="CD64">
        <f>81.349</f>
        <v>81.349000000000004</v>
      </c>
      <c r="CE64">
        <f>84.659</f>
        <v>84.659000000000006</v>
      </c>
      <c r="CF64">
        <f>83.207</f>
        <v>83.206999999999994</v>
      </c>
      <c r="CG64">
        <f>78.755</f>
        <v>78.754999999999995</v>
      </c>
      <c r="CH64">
        <f>75.405</f>
        <v>75.405000000000001</v>
      </c>
      <c r="CI64">
        <f>73.217</f>
        <v>73.216999999999999</v>
      </c>
      <c r="CJ64">
        <f>69.399</f>
        <v>69.399000000000001</v>
      </c>
      <c r="CK64">
        <f>73.551</f>
        <v>73.551000000000002</v>
      </c>
      <c r="CL64">
        <f>72.375</f>
        <v>72.375</v>
      </c>
      <c r="CM64">
        <f>72.029</f>
        <v>72.028999999999996</v>
      </c>
      <c r="CN64">
        <f>59.862</f>
        <v>59.862000000000002</v>
      </c>
      <c r="CO64">
        <f>67.52</f>
        <v>67.52</v>
      </c>
      <c r="CP64">
        <f>65.88</f>
        <v>65.88</v>
      </c>
      <c r="CQ64">
        <f>43.96</f>
        <v>43.96</v>
      </c>
      <c r="CR64">
        <f>63.405</f>
        <v>63.405000000000001</v>
      </c>
      <c r="CS64">
        <f>68.917</f>
        <v>68.917000000000002</v>
      </c>
      <c r="CT64">
        <f>65.015</f>
        <v>65.015000000000001</v>
      </c>
      <c r="CU64">
        <f>49.474</f>
        <v>49.473999999999997</v>
      </c>
      <c r="CV64">
        <f>61.443</f>
        <v>61.442999999999998</v>
      </c>
      <c r="CW64">
        <f>62.257</f>
        <v>62.256999999999998</v>
      </c>
      <c r="CX64">
        <f>64.756</f>
        <v>64.756</v>
      </c>
      <c r="CY64">
        <f>55.594</f>
        <v>55.594000000000001</v>
      </c>
      <c r="CZ64">
        <f>63.735</f>
        <v>63.734999999999999</v>
      </c>
      <c r="DA64">
        <f>57.429</f>
        <v>57.429000000000002</v>
      </c>
      <c r="DB64">
        <f>61.753</f>
        <v>61.753</v>
      </c>
      <c r="DC64">
        <f>60.491</f>
        <v>60.491</v>
      </c>
      <c r="DD64">
        <f>59.438</f>
        <v>59.438000000000002</v>
      </c>
      <c r="DE64">
        <f>55.938</f>
        <v>55.938000000000002</v>
      </c>
      <c r="DF64">
        <f>57.081</f>
        <v>57.081000000000003</v>
      </c>
      <c r="DG64">
        <f>36.553</f>
        <v>36.552999999999997</v>
      </c>
      <c r="DH64">
        <f>59.844</f>
        <v>59.844000000000001</v>
      </c>
      <c r="DI64">
        <f>59.519</f>
        <v>59.518999999999998</v>
      </c>
      <c r="DJ64">
        <f>60.198</f>
        <v>60.198</v>
      </c>
      <c r="DK64">
        <f>40.224</f>
        <v>40.223999999999997</v>
      </c>
      <c r="DL64">
        <f>60.493</f>
        <v>60.493000000000002</v>
      </c>
      <c r="DM64">
        <f>65.439</f>
        <v>65.438999999999993</v>
      </c>
      <c r="DN64">
        <f>66.966</f>
        <v>66.965999999999994</v>
      </c>
      <c r="DO64">
        <f>38.892</f>
        <v>38.892000000000003</v>
      </c>
      <c r="DP64">
        <f>60.436</f>
        <v>60.436</v>
      </c>
      <c r="DQ64">
        <f>67.481</f>
        <v>67.480999999999995</v>
      </c>
      <c r="DR64">
        <f>66.696</f>
        <v>66.695999999999998</v>
      </c>
      <c r="DS64" t="str">
        <f>""</f>
        <v/>
      </c>
      <c r="DT64">
        <f>158.449</f>
        <v>158.44900000000001</v>
      </c>
      <c r="DU64">
        <f>77.903</f>
        <v>77.903000000000006</v>
      </c>
    </row>
    <row r="65" spans="1:125">
      <c r="A65" t="str">
        <f>"    Kilroy Realty Corp"</f>
        <v xml:space="preserve">    Kilroy Realty Corp</v>
      </c>
      <c r="B65" t="str">
        <f>"KRC US Equity"</f>
        <v>KRC US Equity</v>
      </c>
      <c r="C65" t="str">
        <f t="shared" si="15"/>
        <v>RR009</v>
      </c>
      <c r="D65" t="str">
        <f t="shared" si="16"/>
        <v>EBITDA</v>
      </c>
      <c r="E65" t="str">
        <f t="shared" si="17"/>
        <v>动态</v>
      </c>
      <c r="F65" t="str">
        <f ca="1">IF(AND(ISNUMBER($F$381),$B$294=1),$F$381,HLOOKUP(INDIRECT(ADDRESS(2,COLUMN())),OFFSET($BN$2,0,0,ROW()-1,60),ROW()-1,FALSE))</f>
        <v/>
      </c>
      <c r="G65">
        <f ca="1">IF(AND(ISNUMBER($G$381),$B$294=1),$G$381,HLOOKUP(INDIRECT(ADDRESS(2,COLUMN())),OFFSET($BN$2,0,0,ROW()-1,60),ROW()-1,FALSE))</f>
        <v>110.691</v>
      </c>
      <c r="H65">
        <f ca="1">IF(AND(ISNUMBER($H$381),$B$294=1),$H$381,HLOOKUP(INDIRECT(ADDRESS(2,COLUMN())),OFFSET($BN$2,0,0,ROW()-1,60),ROW()-1,FALSE))</f>
        <v>114.98099999999999</v>
      </c>
      <c r="I65">
        <f ca="1">IF(AND(ISNUMBER($I$381),$B$294=1),$I$381,HLOOKUP(INDIRECT(ADDRESS(2,COLUMN())),OFFSET($BN$2,0,0,ROW()-1,60),ROW()-1,FALSE))</f>
        <v>114.492</v>
      </c>
      <c r="J65">
        <f ca="1">IF(AND(ISNUMBER($J$381),$B$294=1),$J$381,HLOOKUP(INDIRECT(ADDRESS(2,COLUMN())),OFFSET($BN$2,0,0,ROW()-1,60),ROW()-1,FALSE))</f>
        <v>112.23</v>
      </c>
      <c r="K65">
        <f ca="1">IF(AND(ISNUMBER($K$381),$B$294=1),$K$381,HLOOKUP(INDIRECT(ADDRESS(2,COLUMN())),OFFSET($BN$2,0,0,ROW()-1,60),ROW()-1,FALSE))</f>
        <v>106.17</v>
      </c>
      <c r="L65">
        <f ca="1">IF(AND(ISNUMBER($L$381),$B$294=1),$L$381,HLOOKUP(INDIRECT(ADDRESS(2,COLUMN())),OFFSET($BN$2,0,0,ROW()-1,60),ROW()-1,FALSE))</f>
        <v>109.167</v>
      </c>
      <c r="M65">
        <f ca="1">IF(AND(ISNUMBER($M$381),$B$294=1),$M$381,HLOOKUP(INDIRECT(ADDRESS(2,COLUMN())),OFFSET($BN$2,0,0,ROW()-1,60),ROW()-1,FALSE))</f>
        <v>101.60599999999999</v>
      </c>
      <c r="N65">
        <f ca="1">IF(AND(ISNUMBER($N$381),$B$294=1),$N$381,HLOOKUP(INDIRECT(ADDRESS(2,COLUMN())),OFFSET($BN$2,0,0,ROW()-1,60),ROW()-1,FALSE))</f>
        <v>94.120999999999995</v>
      </c>
      <c r="O65">
        <f ca="1">IF(AND(ISNUMBER($O$381),$B$294=1),$O$381,HLOOKUP(INDIRECT(ADDRESS(2,COLUMN())),OFFSET($BN$2,0,0,ROW()-1,60),ROW()-1,FALSE))</f>
        <v>94.242000000000004</v>
      </c>
      <c r="P65">
        <f ca="1">IF(AND(ISNUMBER($P$381),$B$294=1),$P$381,HLOOKUP(INDIRECT(ADDRESS(2,COLUMN())),OFFSET($BN$2,0,0,ROW()-1,60),ROW()-1,FALSE))</f>
        <v>91.117000000000004</v>
      </c>
      <c r="Q65">
        <f ca="1">IF(AND(ISNUMBER($Q$381),$B$294=1),$Q$381,HLOOKUP(INDIRECT(ADDRESS(2,COLUMN())),OFFSET($BN$2,0,0,ROW()-1,60),ROW()-1,FALSE))</f>
        <v>93.438000000000002</v>
      </c>
      <c r="R65">
        <f ca="1">IF(AND(ISNUMBER($R$381),$B$294=1),$R$381,HLOOKUP(INDIRECT(ADDRESS(2,COLUMN())),OFFSET($BN$2,0,0,ROW()-1,60),ROW()-1,FALSE))</f>
        <v>94.867000000000004</v>
      </c>
      <c r="S65">
        <f ca="1">IF(AND(ISNUMBER($S$381),$B$294=1),$S$381,HLOOKUP(INDIRECT(ADDRESS(2,COLUMN())),OFFSET($BN$2,0,0,ROW()-1,60),ROW()-1,FALSE))</f>
        <v>91.003</v>
      </c>
      <c r="T65">
        <f ca="1">IF(AND(ISNUMBER($T$381),$B$294=1),$T$381,HLOOKUP(INDIRECT(ADDRESS(2,COLUMN())),OFFSET($BN$2,0,0,ROW()-1,60),ROW()-1,FALSE))</f>
        <v>80.855999999999995</v>
      </c>
      <c r="U65">
        <f ca="1">IF(AND(ISNUMBER($U$381),$B$294=1),$U$381,HLOOKUP(INDIRECT(ADDRESS(2,COLUMN())),OFFSET($BN$2,0,0,ROW()-1,60),ROW()-1,FALSE))</f>
        <v>79.340999999999994</v>
      </c>
      <c r="V65">
        <f ca="1">IF(AND(ISNUMBER($V$381),$B$294=1),$V$381,HLOOKUP(INDIRECT(ADDRESS(2,COLUMN())),OFFSET($BN$2,0,0,ROW()-1,60),ROW()-1,FALSE))</f>
        <v>77.379000000000005</v>
      </c>
      <c r="W65">
        <f ca="1">IF(AND(ISNUMBER($W$381),$B$294=1),$W$381,HLOOKUP(INDIRECT(ADDRESS(2,COLUMN())),OFFSET($BN$2,0,0,ROW()-1,60),ROW()-1,FALSE))</f>
        <v>73.477999999999994</v>
      </c>
      <c r="X65">
        <f ca="1">IF(AND(ISNUMBER($X$381),$B$294=1),$X$381,HLOOKUP(INDIRECT(ADDRESS(2,COLUMN())),OFFSET($BN$2,0,0,ROW()-1,60),ROW()-1,FALSE))</f>
        <v>72.576999999999998</v>
      </c>
      <c r="Y65">
        <f ca="1">IF(AND(ISNUMBER($Y$381),$B$294=1),$Y$381,HLOOKUP(INDIRECT(ADDRESS(2,COLUMN())),OFFSET($BN$2,0,0,ROW()-1,60),ROW()-1,FALSE))</f>
        <v>76.319999999999993</v>
      </c>
      <c r="Z65">
        <f ca="1">IF(AND(ISNUMBER($Z$381),$B$294=1),$Z$381,HLOOKUP(INDIRECT(ADDRESS(2,COLUMN())),OFFSET($BN$2,0,0,ROW()-1,60),ROW()-1,FALSE))</f>
        <v>70.573999999999998</v>
      </c>
      <c r="AA65">
        <f ca="1">IF(AND(ISNUMBER($AA$381),$B$294=1),$AA$381,HLOOKUP(INDIRECT(ADDRESS(2,COLUMN())),OFFSET($BN$2,0,0,ROW()-1,60),ROW()-1,FALSE))</f>
        <v>106.75</v>
      </c>
      <c r="AB65">
        <f ca="1">IF(AND(ISNUMBER($AB$381),$B$294=1),$AB$381,HLOOKUP(INDIRECT(ADDRESS(2,COLUMN())),OFFSET($BN$2,0,0,ROW()-1,60),ROW()-1,FALSE))</f>
        <v>66.311999999999998</v>
      </c>
      <c r="AC65">
        <f ca="1">IF(AND(ISNUMBER($AC$381),$B$294=1),$AC$381,HLOOKUP(INDIRECT(ADDRESS(2,COLUMN())),OFFSET($BN$2,0,0,ROW()-1,60),ROW()-1,FALSE))</f>
        <v>63.87</v>
      </c>
      <c r="AD65">
        <f ca="1">IF(AND(ISNUMBER($AD$381),$B$294=1),$AD$381,HLOOKUP(INDIRECT(ADDRESS(2,COLUMN())),OFFSET($BN$2,0,0,ROW()-1,60),ROW()-1,FALSE))</f>
        <v>61.124000000000002</v>
      </c>
      <c r="AE65">
        <f ca="1">IF(AND(ISNUMBER($AE$381),$B$294=1),$AE$381,HLOOKUP(INDIRECT(ADDRESS(2,COLUMN())),OFFSET($BN$2,0,0,ROW()-1,60),ROW()-1,FALSE))</f>
        <v>63.927999999999997</v>
      </c>
      <c r="AF65">
        <f ca="1">IF(AND(ISNUMBER($AF$381),$B$294=1),$AF$381,HLOOKUP(INDIRECT(ADDRESS(2,COLUMN())),OFFSET($BN$2,0,0,ROW()-1,60),ROW()-1,FALSE))</f>
        <v>58.015000000000001</v>
      </c>
      <c r="AG65">
        <f ca="1">IF(AND(ISNUMBER($AG$381),$B$294=1),$AG$381,HLOOKUP(INDIRECT(ADDRESS(2,COLUMN())),OFFSET($BN$2,0,0,ROW()-1,60),ROW()-1,FALSE))</f>
        <v>56.926000000000002</v>
      </c>
      <c r="AH65">
        <f ca="1">IF(AND(ISNUMBER($AH$381),$B$294=1),$AH$381,HLOOKUP(INDIRECT(ADDRESS(2,COLUMN())),OFFSET($BN$2,0,0,ROW()-1,60),ROW()-1,FALSE))</f>
        <v>52.319000000000003</v>
      </c>
      <c r="AI65">
        <f ca="1">IF(AND(ISNUMBER($AI$381),$B$294=1),$AI$381,HLOOKUP(INDIRECT(ADDRESS(2,COLUMN())),OFFSET($BN$2,0,0,ROW()-1,60),ROW()-1,FALSE))</f>
        <v>71.325000000000003</v>
      </c>
      <c r="AJ65">
        <f ca="1">IF(AND(ISNUMBER($AJ$381),$B$294=1),$AJ$381,HLOOKUP(INDIRECT(ADDRESS(2,COLUMN())),OFFSET($BN$2,0,0,ROW()-1,60),ROW()-1,FALSE))</f>
        <v>28.305</v>
      </c>
      <c r="AK65">
        <f ca="1">IF(AND(ISNUMBER($AK$381),$B$294=1),$AK$381,HLOOKUP(INDIRECT(ADDRESS(2,COLUMN())),OFFSET($BN$2,0,0,ROW()-1,60),ROW()-1,FALSE))</f>
        <v>44.305</v>
      </c>
      <c r="AL65">
        <f ca="1">IF(AND(ISNUMBER($AL$381),$B$294=1),$AL$381,HLOOKUP(INDIRECT(ADDRESS(2,COLUMN())),OFFSET($BN$2,0,0,ROW()-1,60),ROW()-1,FALSE))</f>
        <v>41.7</v>
      </c>
      <c r="AM65">
        <f ca="1">IF(AND(ISNUMBER($AM$381),$B$294=1),$AM$381,HLOOKUP(INDIRECT(ADDRESS(2,COLUMN())),OFFSET($BN$2,0,0,ROW()-1,60),ROW()-1,FALSE))</f>
        <v>52.286000000000001</v>
      </c>
      <c r="AN65">
        <f ca="1">IF(AND(ISNUMBER($AN$381),$B$294=1),$AN$381,HLOOKUP(INDIRECT(ADDRESS(2,COLUMN())),OFFSET($BN$2,0,0,ROW()-1,60),ROW()-1,FALSE))</f>
        <v>43.526000000000003</v>
      </c>
      <c r="AO65">
        <f ca="1">IF(AND(ISNUMBER($AO$381),$B$294=1),$AO$381,HLOOKUP(INDIRECT(ADDRESS(2,COLUMN())),OFFSET($BN$2,0,0,ROW()-1,60),ROW()-1,FALSE))</f>
        <v>45.866999999999997</v>
      </c>
      <c r="AP65">
        <f ca="1">IF(AND(ISNUMBER($AP$381),$B$294=1),$AP$381,HLOOKUP(INDIRECT(ADDRESS(2,COLUMN())),OFFSET($BN$2,0,0,ROW()-1,60),ROW()-1,FALSE))</f>
        <v>45.195</v>
      </c>
      <c r="AQ65">
        <f ca="1">IF(AND(ISNUMBER($AQ$381),$B$294=1),$AQ$381,HLOOKUP(INDIRECT(ADDRESS(2,COLUMN())),OFFSET($BN$2,0,0,ROW()-1,60),ROW()-1,FALSE))</f>
        <v>46.981999999999999</v>
      </c>
      <c r="AR65">
        <f ca="1">IF(AND(ISNUMBER($AR$381),$B$294=1),$AR$381,HLOOKUP(INDIRECT(ADDRESS(2,COLUMN())),OFFSET($BN$2,0,0,ROW()-1,60),ROW()-1,FALSE))</f>
        <v>51.914999999999999</v>
      </c>
      <c r="AS65">
        <f ca="1">IF(AND(ISNUMBER($AS$381),$B$294=1),$AS$381,HLOOKUP(INDIRECT(ADDRESS(2,COLUMN())),OFFSET($BN$2,0,0,ROW()-1,60),ROW()-1,FALSE))</f>
        <v>43.735999999999997</v>
      </c>
      <c r="AT65">
        <f ca="1">IF(AND(ISNUMBER($AT$381),$B$294=1),$AT$381,HLOOKUP(INDIRECT(ADDRESS(2,COLUMN())),OFFSET($BN$2,0,0,ROW()-1,60),ROW()-1,FALSE))</f>
        <v>47.238999999999997</v>
      </c>
      <c r="AU65">
        <f ca="1">IF(AND(ISNUMBER($AU$381),$B$294=1),$AU$381,HLOOKUP(INDIRECT(ADDRESS(2,COLUMN())),OFFSET($BN$2,0,0,ROW()-1,60),ROW()-1,FALSE))</f>
        <v>28.989000000000001</v>
      </c>
      <c r="AV65">
        <f ca="1">IF(AND(ISNUMBER($AV$381),$B$294=1),$AV$381,HLOOKUP(INDIRECT(ADDRESS(2,COLUMN())),OFFSET($BN$2,0,0,ROW()-1,60),ROW()-1,FALSE))</f>
        <v>42.695</v>
      </c>
      <c r="AW65">
        <f ca="1">IF(AND(ISNUMBER($AW$381),$B$294=1),$AW$381,HLOOKUP(INDIRECT(ADDRESS(2,COLUMN())),OFFSET($BN$2,0,0,ROW()-1,60),ROW()-1,FALSE))</f>
        <v>41.365000000000002</v>
      </c>
      <c r="AX65">
        <f ca="1">IF(AND(ISNUMBER($AX$381),$B$294=1),$AX$381,HLOOKUP(INDIRECT(ADDRESS(2,COLUMN())),OFFSET($BN$2,0,0,ROW()-1,60),ROW()-1,FALSE))</f>
        <v>41.500999999999998</v>
      </c>
      <c r="AY65">
        <f ca="1">IF(AND(ISNUMBER($AY$381),$B$294=1),$AY$381,HLOOKUP(INDIRECT(ADDRESS(2,COLUMN())),OFFSET($BN$2,0,0,ROW()-1,60),ROW()-1,FALSE))</f>
        <v>34.091000000000001</v>
      </c>
      <c r="AZ65">
        <f ca="1">IF(AND(ISNUMBER($AZ$381),$B$294=1),$AZ$381,HLOOKUP(INDIRECT(ADDRESS(2,COLUMN())),OFFSET($BN$2,0,0,ROW()-1,60),ROW()-1,FALSE))</f>
        <v>40.231000000000002</v>
      </c>
      <c r="BA65">
        <f ca="1">IF(AND(ISNUMBER($BA$381),$B$294=1),$BA$381,HLOOKUP(INDIRECT(ADDRESS(2,COLUMN())),OFFSET($BN$2,0,0,ROW()-1,60),ROW()-1,FALSE))</f>
        <v>42.881</v>
      </c>
      <c r="BB65">
        <f ca="1">IF(AND(ISNUMBER($BB$381),$B$294=1),$BB$381,HLOOKUP(INDIRECT(ADDRESS(2,COLUMN())),OFFSET($BN$2,0,0,ROW()-1,60),ROW()-1,FALSE))</f>
        <v>42.716999999999999</v>
      </c>
      <c r="BC65">
        <f ca="1">IF(AND(ISNUMBER($BC$381),$B$294=1),$BC$381,HLOOKUP(INDIRECT(ADDRESS(2,COLUMN())),OFFSET($BN$2,0,0,ROW()-1,60),ROW()-1,FALSE))</f>
        <v>19.658999999999999</v>
      </c>
      <c r="BD65">
        <f ca="1">IF(AND(ISNUMBER($BD$381),$B$294=1),$BD$381,HLOOKUP(INDIRECT(ADDRESS(2,COLUMN())),OFFSET($BN$2,0,0,ROW()-1,60),ROW()-1,FALSE))</f>
        <v>25.547000000000001</v>
      </c>
      <c r="BE65">
        <f ca="1">IF(AND(ISNUMBER($BE$381),$B$294=1),$BE$381,HLOOKUP(INDIRECT(ADDRESS(2,COLUMN())),OFFSET($BN$2,0,0,ROW()-1,60),ROW()-1,FALSE))</f>
        <v>29.125</v>
      </c>
      <c r="BF65">
        <f ca="1">IF(AND(ISNUMBER($BF$381),$B$294=1),$BF$381,HLOOKUP(INDIRECT(ADDRESS(2,COLUMN())),OFFSET($BN$2,0,0,ROW()-1,60),ROW()-1,FALSE))</f>
        <v>39.238</v>
      </c>
      <c r="BG65">
        <f ca="1">IF(AND(ISNUMBER($BG$381),$B$294=1),$BG$381,HLOOKUP(INDIRECT(ADDRESS(2,COLUMN())),OFFSET($BN$2,0,0,ROW()-1,60),ROW()-1,FALSE))</f>
        <v>32.557000000000002</v>
      </c>
      <c r="BH65">
        <f ca="1">IF(AND(ISNUMBER($BH$381),$B$294=1),$BH$381,HLOOKUP(INDIRECT(ADDRESS(2,COLUMN())),OFFSET($BN$2,0,0,ROW()-1,60),ROW()-1,FALSE))</f>
        <v>34.402999999999999</v>
      </c>
      <c r="BI65">
        <f ca="1">IF(AND(ISNUMBER($BI$381),$B$294=1),$BI$381,HLOOKUP(INDIRECT(ADDRESS(2,COLUMN())),OFFSET($BN$2,0,0,ROW()-1,60),ROW()-1,FALSE))</f>
        <v>35.911999999999999</v>
      </c>
      <c r="BJ65">
        <f ca="1">IF(AND(ISNUMBER($BJ$381),$B$294=1),$BJ$381,HLOOKUP(INDIRECT(ADDRESS(2,COLUMN())),OFFSET($BN$2,0,0,ROW()-1,60),ROW()-1,FALSE))</f>
        <v>33.816000000000003</v>
      </c>
      <c r="BK65">
        <f ca="1">IF(AND(ISNUMBER($BK$381),$B$294=1),$BK$381,HLOOKUP(INDIRECT(ADDRESS(2,COLUMN())),OFFSET($BN$2,0,0,ROW()-1,60),ROW()-1,FALSE))</f>
        <v>33.138999939999998</v>
      </c>
      <c r="BL65">
        <f ca="1">IF(AND(ISNUMBER($BL$381),$B$294=1),$BL$381,HLOOKUP(INDIRECT(ADDRESS(2,COLUMN())),OFFSET($BN$2,0,0,ROW()-1,60),ROW()-1,FALSE))</f>
        <v>49.314</v>
      </c>
      <c r="BM65">
        <f ca="1">IF(AND(ISNUMBER($BM$381),$B$294=1),$BM$381,HLOOKUP(INDIRECT(ADDRESS(2,COLUMN())),OFFSET($BN$2,0,0,ROW()-1,60),ROW()-1,FALSE))</f>
        <v>35.356000000000002</v>
      </c>
      <c r="BN65" t="str">
        <f>""</f>
        <v/>
      </c>
      <c r="BO65">
        <f>110.691</f>
        <v>110.691</v>
      </c>
      <c r="BP65">
        <f>114.981</f>
        <v>114.98099999999999</v>
      </c>
      <c r="BQ65">
        <f>114.492</f>
        <v>114.492</v>
      </c>
      <c r="BR65">
        <f>112.23</f>
        <v>112.23</v>
      </c>
      <c r="BS65">
        <f>106.17</f>
        <v>106.17</v>
      </c>
      <c r="BT65">
        <f>109.167</f>
        <v>109.167</v>
      </c>
      <c r="BU65">
        <f>101.606</f>
        <v>101.60599999999999</v>
      </c>
      <c r="BV65">
        <f>94.121</f>
        <v>94.120999999999995</v>
      </c>
      <c r="BW65">
        <f>94.242</f>
        <v>94.242000000000004</v>
      </c>
      <c r="BX65">
        <f>91.117</f>
        <v>91.117000000000004</v>
      </c>
      <c r="BY65">
        <f>93.438</f>
        <v>93.438000000000002</v>
      </c>
      <c r="BZ65">
        <f>94.867</f>
        <v>94.867000000000004</v>
      </c>
      <c r="CA65">
        <f>91.003</f>
        <v>91.003</v>
      </c>
      <c r="CB65">
        <f>80.856</f>
        <v>80.855999999999995</v>
      </c>
      <c r="CC65">
        <f>79.341</f>
        <v>79.340999999999994</v>
      </c>
      <c r="CD65">
        <f>77.379</f>
        <v>77.379000000000005</v>
      </c>
      <c r="CE65">
        <f>73.478</f>
        <v>73.477999999999994</v>
      </c>
      <c r="CF65">
        <f>72.577</f>
        <v>72.576999999999998</v>
      </c>
      <c r="CG65">
        <f>76.32</f>
        <v>76.319999999999993</v>
      </c>
      <c r="CH65">
        <f>70.574</f>
        <v>70.573999999999998</v>
      </c>
      <c r="CI65">
        <f>106.75</f>
        <v>106.75</v>
      </c>
      <c r="CJ65">
        <f>66.312</f>
        <v>66.311999999999998</v>
      </c>
      <c r="CK65">
        <f>63.87</f>
        <v>63.87</v>
      </c>
      <c r="CL65">
        <f>61.124</f>
        <v>61.124000000000002</v>
      </c>
      <c r="CM65">
        <f>63.928</f>
        <v>63.927999999999997</v>
      </c>
      <c r="CN65">
        <f>58.015</f>
        <v>58.015000000000001</v>
      </c>
      <c r="CO65">
        <f>56.926</f>
        <v>56.926000000000002</v>
      </c>
      <c r="CP65">
        <f>52.319</f>
        <v>52.319000000000003</v>
      </c>
      <c r="CQ65">
        <f>71.325</f>
        <v>71.325000000000003</v>
      </c>
      <c r="CR65">
        <f>28.305</f>
        <v>28.305</v>
      </c>
      <c r="CS65">
        <f>44.305</f>
        <v>44.305</v>
      </c>
      <c r="CT65">
        <f>41.7</f>
        <v>41.7</v>
      </c>
      <c r="CU65">
        <f>52.286</f>
        <v>52.286000000000001</v>
      </c>
      <c r="CV65">
        <f>43.526</f>
        <v>43.526000000000003</v>
      </c>
      <c r="CW65">
        <f>45.867</f>
        <v>45.866999999999997</v>
      </c>
      <c r="CX65">
        <f>45.195</f>
        <v>45.195</v>
      </c>
      <c r="CY65">
        <f>46.982</f>
        <v>46.981999999999999</v>
      </c>
      <c r="CZ65">
        <f>51.915</f>
        <v>51.914999999999999</v>
      </c>
      <c r="DA65">
        <f>43.736</f>
        <v>43.735999999999997</v>
      </c>
      <c r="DB65">
        <f>47.239</f>
        <v>47.238999999999997</v>
      </c>
      <c r="DC65">
        <f>28.989</f>
        <v>28.989000000000001</v>
      </c>
      <c r="DD65">
        <f>42.695</f>
        <v>42.695</v>
      </c>
      <c r="DE65">
        <f>41.365</f>
        <v>41.365000000000002</v>
      </c>
      <c r="DF65">
        <f>41.501</f>
        <v>41.500999999999998</v>
      </c>
      <c r="DG65">
        <f>34.091</f>
        <v>34.091000000000001</v>
      </c>
      <c r="DH65">
        <f>40.231</f>
        <v>40.231000000000002</v>
      </c>
      <c r="DI65">
        <f>42.881</f>
        <v>42.881</v>
      </c>
      <c r="DJ65">
        <f>42.717</f>
        <v>42.716999999999999</v>
      </c>
      <c r="DK65">
        <f>19.659</f>
        <v>19.658999999999999</v>
      </c>
      <c r="DL65">
        <f>25.547</f>
        <v>25.547000000000001</v>
      </c>
      <c r="DM65">
        <f>29.125</f>
        <v>29.125</v>
      </c>
      <c r="DN65">
        <f>39.238</f>
        <v>39.238</v>
      </c>
      <c r="DO65">
        <f>32.557</f>
        <v>32.557000000000002</v>
      </c>
      <c r="DP65">
        <f>34.403</f>
        <v>34.402999999999999</v>
      </c>
      <c r="DQ65">
        <f>35.912</f>
        <v>35.911999999999999</v>
      </c>
      <c r="DR65">
        <f>33.816</f>
        <v>33.816000000000003</v>
      </c>
      <c r="DS65">
        <f>33.13899994</f>
        <v>33.138999939999998</v>
      </c>
      <c r="DT65">
        <f>49.314</f>
        <v>49.314</v>
      </c>
      <c r="DU65">
        <f>35.356</f>
        <v>35.356000000000002</v>
      </c>
    </row>
    <row r="66" spans="1:125">
      <c r="A66" t="str">
        <f>"    Mack-Cali Realty Corp"</f>
        <v xml:space="preserve">    Mack-Cali Realty Corp</v>
      </c>
      <c r="B66" t="str">
        <f>"CLI US Equity"</f>
        <v>CLI US Equity</v>
      </c>
      <c r="C66" t="str">
        <f t="shared" si="15"/>
        <v>RR009</v>
      </c>
      <c r="D66" t="str">
        <f t="shared" si="16"/>
        <v>EBITDA</v>
      </c>
      <c r="E66" t="str">
        <f t="shared" si="17"/>
        <v>动态</v>
      </c>
      <c r="F66" t="str">
        <f ca="1">IF(AND(ISNUMBER($F$382),$B$294=1),$F$382,HLOOKUP(INDIRECT(ADDRESS(2,COLUMN())),OFFSET($BN$2,0,0,ROW()-1,60),ROW()-1,FALSE))</f>
        <v/>
      </c>
      <c r="G66">
        <f ca="1">IF(AND(ISNUMBER($G$382),$B$294=1),$G$382,HLOOKUP(INDIRECT(ADDRESS(2,COLUMN())),OFFSET($BN$2,0,0,ROW()-1,60),ROW()-1,FALSE))</f>
        <v>70.165000000000006</v>
      </c>
      <c r="H66">
        <f ca="1">IF(AND(ISNUMBER($H$382),$B$294=1),$H$382,HLOOKUP(INDIRECT(ADDRESS(2,COLUMN())),OFFSET($BN$2,0,0,ROW()-1,60),ROW()-1,FALSE))</f>
        <v>81.055999999999997</v>
      </c>
      <c r="I66">
        <f ca="1">IF(AND(ISNUMBER($I$382),$B$294=1),$I$382,HLOOKUP(INDIRECT(ADDRESS(2,COLUMN())),OFFSET($BN$2,0,0,ROW()-1,60),ROW()-1,FALSE))</f>
        <v>85.174000000000007</v>
      </c>
      <c r="J66">
        <f ca="1">IF(AND(ISNUMBER($J$382),$B$294=1),$J$382,HLOOKUP(INDIRECT(ADDRESS(2,COLUMN())),OFFSET($BN$2,0,0,ROW()-1,60),ROW()-1,FALSE))</f>
        <v>72.238</v>
      </c>
      <c r="K66">
        <f ca="1">IF(AND(ISNUMBER($K$382),$B$294=1),$K$382,HLOOKUP(INDIRECT(ADDRESS(2,COLUMN())),OFFSET($BN$2,0,0,ROW()-1,60),ROW()-1,FALSE))</f>
        <v>74.902000000000001</v>
      </c>
      <c r="L66">
        <f ca="1">IF(AND(ISNUMBER($L$382),$B$294=1),$L$382,HLOOKUP(INDIRECT(ADDRESS(2,COLUMN())),OFFSET($BN$2,0,0,ROW()-1,60),ROW()-1,FALSE))</f>
        <v>76.753</v>
      </c>
      <c r="M66">
        <f ca="1">IF(AND(ISNUMBER($M$382),$B$294=1),$M$382,HLOOKUP(INDIRECT(ADDRESS(2,COLUMN())),OFFSET($BN$2,0,0,ROW()-1,60),ROW()-1,FALSE))</f>
        <v>72.302999999999997</v>
      </c>
      <c r="N66">
        <f ca="1">IF(AND(ISNUMBER($N$382),$B$294=1),$N$382,HLOOKUP(INDIRECT(ADDRESS(2,COLUMN())),OFFSET($BN$2,0,0,ROW()-1,60),ROW()-1,FALSE))</f>
        <v>71.811000000000007</v>
      </c>
      <c r="O66">
        <f ca="1">IF(AND(ISNUMBER($O$382),$B$294=1),$O$382,HLOOKUP(INDIRECT(ADDRESS(2,COLUMN())),OFFSET($BN$2,0,0,ROW()-1,60),ROW()-1,FALSE))</f>
        <v>32.302999999999997</v>
      </c>
      <c r="P66">
        <f ca="1">IF(AND(ISNUMBER($P$382),$B$294=1),$P$382,HLOOKUP(INDIRECT(ADDRESS(2,COLUMN())),OFFSET($BN$2,0,0,ROW()-1,60),ROW()-1,FALSE))</f>
        <v>-95.623000000000005</v>
      </c>
      <c r="Q66">
        <f ca="1">IF(AND(ISNUMBER($Q$382),$B$294=1),$Q$382,HLOOKUP(INDIRECT(ADDRESS(2,COLUMN())),OFFSET($BN$2,0,0,ROW()-1,60),ROW()-1,FALSE))</f>
        <v>70.805000000000007</v>
      </c>
      <c r="R66">
        <f ca="1">IF(AND(ISNUMBER($R$382),$B$294=1),$R$382,HLOOKUP(INDIRECT(ADDRESS(2,COLUMN())),OFFSET($BN$2,0,0,ROW()-1,60),ROW()-1,FALSE))</f>
        <v>68.290999999999997</v>
      </c>
      <c r="S66">
        <f ca="1">IF(AND(ISNUMBER($S$382),$B$294=1),$S$382,HLOOKUP(INDIRECT(ADDRESS(2,COLUMN())),OFFSET($BN$2,0,0,ROW()-1,60),ROW()-1,FALSE))</f>
        <v>58.11</v>
      </c>
      <c r="T66">
        <f ca="1">IF(AND(ISNUMBER($T$382),$B$294=1),$T$382,HLOOKUP(INDIRECT(ADDRESS(2,COLUMN())),OFFSET($BN$2,0,0,ROW()-1,60),ROW()-1,FALSE))</f>
        <v>66.209000000000003</v>
      </c>
      <c r="U66">
        <f ca="1">IF(AND(ISNUMBER($U$382),$B$294=1),$U$382,HLOOKUP(INDIRECT(ADDRESS(2,COLUMN())),OFFSET($BN$2,0,0,ROW()-1,60),ROW()-1,FALSE))</f>
        <v>80.119</v>
      </c>
      <c r="V66">
        <f ca="1">IF(AND(ISNUMBER($V$382),$B$294=1),$V$382,HLOOKUP(INDIRECT(ADDRESS(2,COLUMN())),OFFSET($BN$2,0,0,ROW()-1,60),ROW()-1,FALSE))</f>
        <v>58.628</v>
      </c>
      <c r="W66">
        <f ca="1">IF(AND(ISNUMBER($W$382),$B$294=1),$W$382,HLOOKUP(INDIRECT(ADDRESS(2,COLUMN())),OFFSET($BN$2,0,0,ROW()-1,60),ROW()-1,FALSE))</f>
        <v>10.561999999999999</v>
      </c>
      <c r="X66">
        <f ca="1">IF(AND(ISNUMBER($X$382),$B$294=1),$X$382,HLOOKUP(INDIRECT(ADDRESS(2,COLUMN())),OFFSET($BN$2,0,0,ROW()-1,60),ROW()-1,FALSE))</f>
        <v>31.196999999999999</v>
      </c>
      <c r="Y66">
        <f ca="1">IF(AND(ISNUMBER($Y$382),$B$294=1),$Y$382,HLOOKUP(INDIRECT(ADDRESS(2,COLUMN())),OFFSET($BN$2,0,0,ROW()-1,60),ROW()-1,FALSE))</f>
        <v>89.091999999999999</v>
      </c>
      <c r="Z66">
        <f ca="1">IF(AND(ISNUMBER($Z$382),$B$294=1),$Z$382,HLOOKUP(INDIRECT(ADDRESS(2,COLUMN())),OFFSET($BN$2,0,0,ROW()-1,60),ROW()-1,FALSE))</f>
        <v>86.411000000000001</v>
      </c>
      <c r="AA66">
        <f ca="1">IF(AND(ISNUMBER($AA$382),$B$294=1),$AA$382,HLOOKUP(INDIRECT(ADDRESS(2,COLUMN())),OFFSET($BN$2,0,0,ROW()-1,60),ROW()-1,FALSE))</f>
        <v>73.141999999999996</v>
      </c>
      <c r="AB66">
        <f ca="1">IF(AND(ISNUMBER($AB$382),$B$294=1),$AB$382,HLOOKUP(INDIRECT(ADDRESS(2,COLUMN())),OFFSET($BN$2,0,0,ROW()-1,60),ROW()-1,FALSE))</f>
        <v>86.141000000000005</v>
      </c>
      <c r="AC66">
        <f ca="1">IF(AND(ISNUMBER($AC$382),$B$294=1),$AC$382,HLOOKUP(INDIRECT(ADDRESS(2,COLUMN())),OFFSET($BN$2,0,0,ROW()-1,60),ROW()-1,FALSE))</f>
        <v>92.522999999999996</v>
      </c>
      <c r="AD66">
        <f ca="1">IF(AND(ISNUMBER($AD$382),$B$294=1),$AD$382,HLOOKUP(INDIRECT(ADDRESS(2,COLUMN())),OFFSET($BN$2,0,0,ROW()-1,60),ROW()-1,FALSE))</f>
        <v>100.864</v>
      </c>
      <c r="AE66">
        <f ca="1">IF(AND(ISNUMBER($AE$382),$B$294=1),$AE$382,HLOOKUP(INDIRECT(ADDRESS(2,COLUMN())),OFFSET($BN$2,0,0,ROW()-1,60),ROW()-1,FALSE))</f>
        <v>98.399000000000001</v>
      </c>
      <c r="AF66">
        <f ca="1">IF(AND(ISNUMBER($AF$382),$B$294=1),$AF$382,HLOOKUP(INDIRECT(ADDRESS(2,COLUMN())),OFFSET($BN$2,0,0,ROW()-1,60),ROW()-1,FALSE))</f>
        <v>105.402</v>
      </c>
      <c r="AG66">
        <f ca="1">IF(AND(ISNUMBER($AG$382),$B$294=1),$AG$382,HLOOKUP(INDIRECT(ADDRESS(2,COLUMN())),OFFSET($BN$2,0,0,ROW()-1,60),ROW()-1,FALSE))</f>
        <v>98.805999999999997</v>
      </c>
      <c r="AH66">
        <f ca="1">IF(AND(ISNUMBER($AH$382),$B$294=1),$AH$382,HLOOKUP(INDIRECT(ADDRESS(2,COLUMN())),OFFSET($BN$2,0,0,ROW()-1,60),ROW()-1,FALSE))</f>
        <v>97.036000000000001</v>
      </c>
      <c r="AI66">
        <f ca="1">IF(AND(ISNUMBER($AI$382),$B$294=1),$AI$382,HLOOKUP(INDIRECT(ADDRESS(2,COLUMN())),OFFSET($BN$2,0,0,ROW()-1,60),ROW()-1,FALSE))</f>
        <v>93.025999999999996</v>
      </c>
      <c r="AJ66">
        <f ca="1">IF(AND(ISNUMBER($AJ$382),$B$294=1),$AJ$382,HLOOKUP(INDIRECT(ADDRESS(2,COLUMN())),OFFSET($BN$2,0,0,ROW()-1,60),ROW()-1,FALSE))</f>
        <v>99.853999999999999</v>
      </c>
      <c r="AK66">
        <f ca="1">IF(AND(ISNUMBER($AK$382),$B$294=1),$AK$382,HLOOKUP(INDIRECT(ADDRESS(2,COLUMN())),OFFSET($BN$2,0,0,ROW()-1,60),ROW()-1,FALSE))</f>
        <v>101.88</v>
      </c>
      <c r="AL66">
        <f ca="1">IF(AND(ISNUMBER($AL$382),$B$294=1),$AL$382,HLOOKUP(INDIRECT(ADDRESS(2,COLUMN())),OFFSET($BN$2,0,0,ROW()-1,60),ROW()-1,FALSE))</f>
        <v>104.96899999999999</v>
      </c>
      <c r="AM66">
        <f ca="1">IF(AND(ISNUMBER($AM$382),$B$294=1),$AM$382,HLOOKUP(INDIRECT(ADDRESS(2,COLUMN())),OFFSET($BN$2,0,0,ROW()-1,60),ROW()-1,FALSE))</f>
        <v>107.747</v>
      </c>
      <c r="AN66">
        <f ca="1">IF(AND(ISNUMBER($AN$382),$B$294=1),$AN$382,HLOOKUP(INDIRECT(ADDRESS(2,COLUMN())),OFFSET($BN$2,0,0,ROW()-1,60),ROW()-1,FALSE))</f>
        <v>107.24</v>
      </c>
      <c r="AO66">
        <f ca="1">IF(AND(ISNUMBER($AO$382),$B$294=1),$AO$382,HLOOKUP(INDIRECT(ADDRESS(2,COLUMN())),OFFSET($BN$2,0,0,ROW()-1,60),ROW()-1,FALSE))</f>
        <v>106.238</v>
      </c>
      <c r="AP66">
        <f ca="1">IF(AND(ISNUMBER($AP$382),$B$294=1),$AP$382,HLOOKUP(INDIRECT(ADDRESS(2,COLUMN())),OFFSET($BN$2,0,0,ROW()-1,60),ROW()-1,FALSE))</f>
        <v>99.045000000000002</v>
      </c>
      <c r="AQ66">
        <f ca="1">IF(AND(ISNUMBER($AQ$382),$B$294=1),$AQ$382,HLOOKUP(INDIRECT(ADDRESS(2,COLUMN())),OFFSET($BN$2,0,0,ROW()-1,60),ROW()-1,FALSE))</f>
        <v>107.48099999999999</v>
      </c>
      <c r="AR66">
        <f ca="1">IF(AND(ISNUMBER($AR$382),$B$294=1),$AR$382,HLOOKUP(INDIRECT(ADDRESS(2,COLUMN())),OFFSET($BN$2,0,0,ROW()-1,60),ROW()-1,FALSE))</f>
        <v>108.199</v>
      </c>
      <c r="AS66">
        <f ca="1">IF(AND(ISNUMBER($AS$382),$B$294=1),$AS$382,HLOOKUP(INDIRECT(ADDRESS(2,COLUMN())),OFFSET($BN$2,0,0,ROW()-1,60),ROW()-1,FALSE))</f>
        <v>99.744</v>
      </c>
      <c r="AT66">
        <f ca="1">IF(AND(ISNUMBER($AT$382),$B$294=1),$AT$382,HLOOKUP(INDIRECT(ADDRESS(2,COLUMN())),OFFSET($BN$2,0,0,ROW()-1,60),ROW()-1,FALSE))</f>
        <v>99.227999999999994</v>
      </c>
      <c r="AU66">
        <f ca="1">IF(AND(ISNUMBER($AU$382),$B$294=1),$AU$382,HLOOKUP(INDIRECT(ADDRESS(2,COLUMN())),OFFSET($BN$2,0,0,ROW()-1,60),ROW()-1,FALSE))</f>
        <v>97.947000000000003</v>
      </c>
      <c r="AV66">
        <f ca="1">IF(AND(ISNUMBER($AV$382),$B$294=1),$AV$382,HLOOKUP(INDIRECT(ADDRESS(2,COLUMN())),OFFSET($BN$2,0,0,ROW()-1,60),ROW()-1,FALSE))</f>
        <v>106.40300000000001</v>
      </c>
      <c r="AW66">
        <f ca="1">IF(AND(ISNUMBER($AW$382),$B$294=1),$AW$382,HLOOKUP(INDIRECT(ADDRESS(2,COLUMN())),OFFSET($BN$2,0,0,ROW()-1,60),ROW()-1,FALSE))</f>
        <v>100.96</v>
      </c>
      <c r="AX66">
        <f ca="1">IF(AND(ISNUMBER($AX$382),$B$294=1),$AX$382,HLOOKUP(INDIRECT(ADDRESS(2,COLUMN())),OFFSET($BN$2,0,0,ROW()-1,60),ROW()-1,FALSE))</f>
        <v>98.522999999999996</v>
      </c>
      <c r="AY66">
        <f ca="1">IF(AND(ISNUMBER($AY$382),$B$294=1),$AY$382,HLOOKUP(INDIRECT(ADDRESS(2,COLUMN())),OFFSET($BN$2,0,0,ROW()-1,60),ROW()-1,FALSE))</f>
        <v>99.941999999999993</v>
      </c>
      <c r="AZ66">
        <f ca="1">IF(AND(ISNUMBER($AZ$382),$B$294=1),$AZ$382,HLOOKUP(INDIRECT(ADDRESS(2,COLUMN())),OFFSET($BN$2,0,0,ROW()-1,60),ROW()-1,FALSE))</f>
        <v>99.792000000000002</v>
      </c>
      <c r="BA66">
        <f ca="1">IF(AND(ISNUMBER($BA$382),$B$294=1),$BA$382,HLOOKUP(INDIRECT(ADDRESS(2,COLUMN())),OFFSET($BN$2,0,0,ROW()-1,60),ROW()-1,FALSE))</f>
        <v>102.548</v>
      </c>
      <c r="BB66">
        <f ca="1">IF(AND(ISNUMBER($BB$382),$B$294=1),$BB$382,HLOOKUP(INDIRECT(ADDRESS(2,COLUMN())),OFFSET($BN$2,0,0,ROW()-1,60),ROW()-1,FALSE))</f>
        <v>93.138000000000005</v>
      </c>
      <c r="BC66">
        <f ca="1">IF(AND(ISNUMBER($BC$382),$B$294=1),$BC$382,HLOOKUP(INDIRECT(ADDRESS(2,COLUMN())),OFFSET($BN$2,0,0,ROW()-1,60),ROW()-1,FALSE))</f>
        <v>86.254999999999995</v>
      </c>
      <c r="BD66">
        <f ca="1">IF(AND(ISNUMBER($BD$382),$B$294=1),$BD$382,HLOOKUP(INDIRECT(ADDRESS(2,COLUMN())),OFFSET($BN$2,0,0,ROW()-1,60),ROW()-1,FALSE))</f>
        <v>94.852999999999994</v>
      </c>
      <c r="BE66">
        <f ca="1">IF(AND(ISNUMBER($BE$382),$B$294=1),$BE$382,HLOOKUP(INDIRECT(ADDRESS(2,COLUMN())),OFFSET($BN$2,0,0,ROW()-1,60),ROW()-1,FALSE))</f>
        <v>100.60599999999999</v>
      </c>
      <c r="BF66">
        <f ca="1">IF(AND(ISNUMBER($BF$382),$B$294=1),$BF$382,HLOOKUP(INDIRECT(ADDRESS(2,COLUMN())),OFFSET($BN$2,0,0,ROW()-1,60),ROW()-1,FALSE))</f>
        <v>93.525999999999996</v>
      </c>
      <c r="BG66">
        <f ca="1">IF(AND(ISNUMBER($BG$382),$B$294=1),$BG$382,HLOOKUP(INDIRECT(ADDRESS(2,COLUMN())),OFFSET($BN$2,0,0,ROW()-1,60),ROW()-1,FALSE))</f>
        <v>89.930999999999997</v>
      </c>
      <c r="BH66">
        <f ca="1">IF(AND(ISNUMBER($BH$382),$B$294=1),$BH$382,HLOOKUP(INDIRECT(ADDRESS(2,COLUMN())),OFFSET($BN$2,0,0,ROW()-1,60),ROW()-1,FALSE))</f>
        <v>97.846000000000004</v>
      </c>
      <c r="BI66">
        <f ca="1">IF(AND(ISNUMBER($BI$382),$B$294=1),$BI$382,HLOOKUP(INDIRECT(ADDRESS(2,COLUMN())),OFFSET($BN$2,0,0,ROW()-1,60),ROW()-1,FALSE))</f>
        <v>91.701003</v>
      </c>
      <c r="BJ66">
        <f ca="1">IF(AND(ISNUMBER($BJ$382),$B$294=1),$BJ$382,HLOOKUP(INDIRECT(ADDRESS(2,COLUMN())),OFFSET($BN$2,0,0,ROW()-1,60),ROW()-1,FALSE))</f>
        <v>90.742999999999995</v>
      </c>
      <c r="BK66">
        <f ca="1">IF(AND(ISNUMBER($BK$382),$B$294=1),$BK$382,HLOOKUP(INDIRECT(ADDRESS(2,COLUMN())),OFFSET($BN$2,0,0,ROW()-1,60),ROW()-1,FALSE))</f>
        <v>90.271999359999995</v>
      </c>
      <c r="BL66">
        <f ca="1">IF(AND(ISNUMBER($BL$382),$B$294=1),$BL$382,HLOOKUP(INDIRECT(ADDRESS(2,COLUMN())),OFFSET($BN$2,0,0,ROW()-1,60),ROW()-1,FALSE))</f>
        <v>91.603999999999999</v>
      </c>
      <c r="BM66">
        <f ca="1">IF(AND(ISNUMBER($BM$382),$B$294=1),$BM$382,HLOOKUP(INDIRECT(ADDRESS(2,COLUMN())),OFFSET($BN$2,0,0,ROW()-1,60),ROW()-1,FALSE))</f>
        <v>94.529999000000004</v>
      </c>
      <c r="BN66" t="str">
        <f>""</f>
        <v/>
      </c>
      <c r="BO66">
        <f>70.165</f>
        <v>70.165000000000006</v>
      </c>
      <c r="BP66">
        <f>81.056</f>
        <v>81.055999999999997</v>
      </c>
      <c r="BQ66">
        <f>85.174</f>
        <v>85.174000000000007</v>
      </c>
      <c r="BR66">
        <f>72.238</f>
        <v>72.238</v>
      </c>
      <c r="BS66">
        <f>74.902</f>
        <v>74.902000000000001</v>
      </c>
      <c r="BT66">
        <f>76.753</f>
        <v>76.753</v>
      </c>
      <c r="BU66">
        <f>72.303</f>
        <v>72.302999999999997</v>
      </c>
      <c r="BV66">
        <f>71.811</f>
        <v>71.811000000000007</v>
      </c>
      <c r="BW66">
        <f>32.303</f>
        <v>32.302999999999997</v>
      </c>
      <c r="BX66">
        <f>-95.623</f>
        <v>-95.623000000000005</v>
      </c>
      <c r="BY66">
        <f>70.805</f>
        <v>70.805000000000007</v>
      </c>
      <c r="BZ66">
        <f>68.291</f>
        <v>68.290999999999997</v>
      </c>
      <c r="CA66">
        <f>58.11</f>
        <v>58.11</v>
      </c>
      <c r="CB66">
        <f>66.209</f>
        <v>66.209000000000003</v>
      </c>
      <c r="CC66">
        <f>80.119</f>
        <v>80.119</v>
      </c>
      <c r="CD66">
        <f>58.628</f>
        <v>58.628</v>
      </c>
      <c r="CE66">
        <f>10.562</f>
        <v>10.561999999999999</v>
      </c>
      <c r="CF66">
        <f>31.197</f>
        <v>31.196999999999999</v>
      </c>
      <c r="CG66">
        <f>89.092</f>
        <v>89.091999999999999</v>
      </c>
      <c r="CH66">
        <f>86.411</f>
        <v>86.411000000000001</v>
      </c>
      <c r="CI66">
        <f>73.142</f>
        <v>73.141999999999996</v>
      </c>
      <c r="CJ66">
        <f>86.141</f>
        <v>86.141000000000005</v>
      </c>
      <c r="CK66">
        <f>92.523</f>
        <v>92.522999999999996</v>
      </c>
      <c r="CL66">
        <f>100.864</f>
        <v>100.864</v>
      </c>
      <c r="CM66">
        <f>98.399</f>
        <v>98.399000000000001</v>
      </c>
      <c r="CN66">
        <f>105.402</f>
        <v>105.402</v>
      </c>
      <c r="CO66">
        <f>98.806</f>
        <v>98.805999999999997</v>
      </c>
      <c r="CP66">
        <f>97.036</f>
        <v>97.036000000000001</v>
      </c>
      <c r="CQ66">
        <f>93.026</f>
        <v>93.025999999999996</v>
      </c>
      <c r="CR66">
        <f>99.854</f>
        <v>99.853999999999999</v>
      </c>
      <c r="CS66">
        <f>101.88</f>
        <v>101.88</v>
      </c>
      <c r="CT66">
        <f>104.969</f>
        <v>104.96899999999999</v>
      </c>
      <c r="CU66">
        <f>107.747</f>
        <v>107.747</v>
      </c>
      <c r="CV66">
        <f>107.24</f>
        <v>107.24</v>
      </c>
      <c r="CW66">
        <f>106.238</f>
        <v>106.238</v>
      </c>
      <c r="CX66">
        <f>99.045</f>
        <v>99.045000000000002</v>
      </c>
      <c r="CY66">
        <f>107.481</f>
        <v>107.48099999999999</v>
      </c>
      <c r="CZ66">
        <f>108.199</f>
        <v>108.199</v>
      </c>
      <c r="DA66">
        <f>99.744</f>
        <v>99.744</v>
      </c>
      <c r="DB66">
        <f>99.228</f>
        <v>99.227999999999994</v>
      </c>
      <c r="DC66">
        <f>97.947</f>
        <v>97.947000000000003</v>
      </c>
      <c r="DD66">
        <f>106.403</f>
        <v>106.40300000000001</v>
      </c>
      <c r="DE66">
        <f>100.96</f>
        <v>100.96</v>
      </c>
      <c r="DF66">
        <f>98.523</f>
        <v>98.522999999999996</v>
      </c>
      <c r="DG66">
        <f>99.942</f>
        <v>99.941999999999993</v>
      </c>
      <c r="DH66">
        <f>99.792</f>
        <v>99.792000000000002</v>
      </c>
      <c r="DI66">
        <f>102.548</f>
        <v>102.548</v>
      </c>
      <c r="DJ66">
        <f>93.138</f>
        <v>93.138000000000005</v>
      </c>
      <c r="DK66">
        <f>86.255</f>
        <v>86.254999999999995</v>
      </c>
      <c r="DL66">
        <f>94.853</f>
        <v>94.852999999999994</v>
      </c>
      <c r="DM66">
        <f>100.606</f>
        <v>100.60599999999999</v>
      </c>
      <c r="DN66">
        <f>93.526</f>
        <v>93.525999999999996</v>
      </c>
      <c r="DO66">
        <f>89.931</f>
        <v>89.930999999999997</v>
      </c>
      <c r="DP66">
        <f>97.846</f>
        <v>97.846000000000004</v>
      </c>
      <c r="DQ66">
        <f>91.701003</f>
        <v>91.701003</v>
      </c>
      <c r="DR66">
        <f>90.743</f>
        <v>90.742999999999995</v>
      </c>
      <c r="DS66">
        <f>90.27199936</f>
        <v>90.271999359999995</v>
      </c>
      <c r="DT66">
        <f>91.604</f>
        <v>91.603999999999999</v>
      </c>
      <c r="DU66">
        <f>94.529999</f>
        <v>94.529999000000004</v>
      </c>
    </row>
    <row r="67" spans="1:125">
      <c r="A67" t="str">
        <f>"    Piedmont Office Realty Trust I"</f>
        <v xml:space="preserve">    Piedmont Office Realty Trust I</v>
      </c>
      <c r="B67" t="str">
        <f>"PDM US Equity"</f>
        <v>PDM US Equity</v>
      </c>
      <c r="C67" t="str">
        <f t="shared" si="15"/>
        <v>RR009</v>
      </c>
      <c r="D67" t="str">
        <f t="shared" si="16"/>
        <v>EBITDA</v>
      </c>
      <c r="E67" t="str">
        <f t="shared" si="17"/>
        <v>动态</v>
      </c>
      <c r="F67" t="str">
        <f ca="1">IF(AND(ISNUMBER($F$383),$B$294=1),$F$383,HLOOKUP(INDIRECT(ADDRESS(2,COLUMN())),OFFSET($BN$2,0,0,ROW()-1,60),ROW()-1,FALSE))</f>
        <v/>
      </c>
      <c r="G67">
        <f ca="1">IF(AND(ISNUMBER($G$383),$B$294=1),$G$383,HLOOKUP(INDIRECT(ADDRESS(2,COLUMN())),OFFSET($BN$2,0,0,ROW()-1,60),ROW()-1,FALSE))</f>
        <v>29.725999999999999</v>
      </c>
      <c r="H67">
        <f ca="1">IF(AND(ISNUMBER($H$383),$B$294=1),$H$383,HLOOKUP(INDIRECT(ADDRESS(2,COLUMN())),OFFSET($BN$2,0,0,ROW()-1,60),ROW()-1,FALSE))</f>
        <v>76.867999999999995</v>
      </c>
      <c r="I67">
        <f ca="1">IF(AND(ISNUMBER($I$383),$B$294=1),$I$383,HLOOKUP(INDIRECT(ADDRESS(2,COLUMN())),OFFSET($BN$2,0,0,ROW()-1,60),ROW()-1,FALSE))</f>
        <v>84.454999999999998</v>
      </c>
      <c r="J67">
        <f ca="1">IF(AND(ISNUMBER($J$383),$B$294=1),$J$383,HLOOKUP(INDIRECT(ADDRESS(2,COLUMN())),OFFSET($BN$2,0,0,ROW()-1,60),ROW()-1,FALSE))</f>
        <v>84.197000000000003</v>
      </c>
      <c r="K67">
        <f ca="1">IF(AND(ISNUMBER($K$383),$B$294=1),$K$383,HLOOKUP(INDIRECT(ADDRESS(2,COLUMN())),OFFSET($BN$2,0,0,ROW()-1,60),ROW()-1,FALSE))</f>
        <v>80.465999999999994</v>
      </c>
      <c r="L67">
        <f ca="1">IF(AND(ISNUMBER($L$383),$B$294=1),$L$383,HLOOKUP(INDIRECT(ADDRESS(2,COLUMN())),OFFSET($BN$2,0,0,ROW()-1,60),ROW()-1,FALSE))</f>
        <v>53.372</v>
      </c>
      <c r="M67">
        <f ca="1">IF(AND(ISNUMBER($M$383),$B$294=1),$M$383,HLOOKUP(INDIRECT(ADDRESS(2,COLUMN())),OFFSET($BN$2,0,0,ROW()-1,60),ROW()-1,FALSE))</f>
        <v>63.573999999999998</v>
      </c>
      <c r="N67">
        <f ca="1">IF(AND(ISNUMBER($N$383),$B$294=1),$N$383,HLOOKUP(INDIRECT(ADDRESS(2,COLUMN())),OFFSET($BN$2,0,0,ROW()-1,60),ROW()-1,FALSE))</f>
        <v>75.838999999999999</v>
      </c>
      <c r="O67">
        <f ca="1">IF(AND(ISNUMBER($O$383),$B$294=1),$O$383,HLOOKUP(INDIRECT(ADDRESS(2,COLUMN())),OFFSET($BN$2,0,0,ROW()-1,60),ROW()-1,FALSE))</f>
        <v>77.099000000000004</v>
      </c>
      <c r="P67">
        <f ca="1">IF(AND(ISNUMBER($P$383),$B$294=1),$P$383,HLOOKUP(INDIRECT(ADDRESS(2,COLUMN())),OFFSET($BN$2,0,0,ROW()-1,60),ROW()-1,FALSE))</f>
        <v>44.267000000000003</v>
      </c>
      <c r="Q67">
        <f ca="1">IF(AND(ISNUMBER($Q$383),$B$294=1),$Q$383,HLOOKUP(INDIRECT(ADDRESS(2,COLUMN())),OFFSET($BN$2,0,0,ROW()-1,60),ROW()-1,FALSE))</f>
        <v>71.947000000000003</v>
      </c>
      <c r="R67">
        <f ca="1">IF(AND(ISNUMBER($R$383),$B$294=1),$R$383,HLOOKUP(INDIRECT(ADDRESS(2,COLUMN())),OFFSET($BN$2,0,0,ROW()-1,60),ROW()-1,FALSE))</f>
        <v>79.251999999999995</v>
      </c>
      <c r="S67">
        <f ca="1">IF(AND(ISNUMBER($S$383),$B$294=1),$S$383,HLOOKUP(INDIRECT(ADDRESS(2,COLUMN())),OFFSET($BN$2,0,0,ROW()-1,60),ROW()-1,FALSE))</f>
        <v>78.551000000000002</v>
      </c>
      <c r="T67">
        <f ca="1">IF(AND(ISNUMBER($T$383),$B$294=1),$T$383,HLOOKUP(INDIRECT(ADDRESS(2,COLUMN())),OFFSET($BN$2,0,0,ROW()-1,60),ROW()-1,FALSE))</f>
        <v>76.923000000000002</v>
      </c>
      <c r="U67">
        <f ca="1">IF(AND(ISNUMBER($U$383),$B$294=1),$U$383,HLOOKUP(INDIRECT(ADDRESS(2,COLUMN())),OFFSET($BN$2,0,0,ROW()-1,60),ROW()-1,FALSE))</f>
        <v>74.003</v>
      </c>
      <c r="V67">
        <f ca="1">IF(AND(ISNUMBER($V$383),$B$294=1),$V$383,HLOOKUP(INDIRECT(ADDRESS(2,COLUMN())),OFFSET($BN$2,0,0,ROW()-1,60),ROW()-1,FALSE))</f>
        <v>73.349999999999994</v>
      </c>
      <c r="W67">
        <f ca="1">IF(AND(ISNUMBER($W$383),$B$294=1),$W$383,HLOOKUP(INDIRECT(ADDRESS(2,COLUMN())),OFFSET($BN$2,0,0,ROW()-1,60),ROW()-1,FALSE))</f>
        <v>78.498000000000005</v>
      </c>
      <c r="X67">
        <f ca="1">IF(AND(ISNUMBER($X$383),$B$294=1),$X$383,HLOOKUP(INDIRECT(ADDRESS(2,COLUMN())),OFFSET($BN$2,0,0,ROW()-1,60),ROW()-1,FALSE))</f>
        <v>79.34</v>
      </c>
      <c r="Y67">
        <f ca="1">IF(AND(ISNUMBER($Y$383),$B$294=1),$Y$383,HLOOKUP(INDIRECT(ADDRESS(2,COLUMN())),OFFSET($BN$2,0,0,ROW()-1,60),ROW()-1,FALSE))</f>
        <v>74.286000000000001</v>
      </c>
      <c r="Z67">
        <f ca="1">IF(AND(ISNUMBER($Z$383),$B$294=1),$Z$383,HLOOKUP(INDIRECT(ADDRESS(2,COLUMN())),OFFSET($BN$2,0,0,ROW()-1,60),ROW()-1,FALSE))</f>
        <v>76.262</v>
      </c>
      <c r="AA67">
        <f ca="1">IF(AND(ISNUMBER($AA$383),$B$294=1),$AA$383,HLOOKUP(INDIRECT(ADDRESS(2,COLUMN())),OFFSET($BN$2,0,0,ROW()-1,60),ROW()-1,FALSE))</f>
        <v>66.81</v>
      </c>
      <c r="AB67">
        <f ca="1">IF(AND(ISNUMBER($AB$383),$B$294=1),$AB$383,HLOOKUP(INDIRECT(ADDRESS(2,COLUMN())),OFFSET($BN$2,0,0,ROW()-1,60),ROW()-1,FALSE))</f>
        <v>77.492999999999995</v>
      </c>
      <c r="AC67">
        <f ca="1">IF(AND(ISNUMBER($AC$383),$B$294=1),$AC$383,HLOOKUP(INDIRECT(ADDRESS(2,COLUMN())),OFFSET($BN$2,0,0,ROW()-1,60),ROW()-1,FALSE))</f>
        <v>74.628</v>
      </c>
      <c r="AD67">
        <f ca="1">IF(AND(ISNUMBER($AD$383),$B$294=1),$AD$383,HLOOKUP(INDIRECT(ADDRESS(2,COLUMN())),OFFSET($BN$2,0,0,ROW()-1,60),ROW()-1,FALSE))</f>
        <v>74.763000000000005</v>
      </c>
      <c r="AE67">
        <f ca="1">IF(AND(ISNUMBER($AE$383),$B$294=1),$AE$383,HLOOKUP(INDIRECT(ADDRESS(2,COLUMN())),OFFSET($BN$2,0,0,ROW()-1,60),ROW()-1,FALSE))</f>
        <v>74.150999999999996</v>
      </c>
      <c r="AF67">
        <f ca="1">IF(AND(ISNUMBER($AF$383),$B$294=1),$AF$383,HLOOKUP(INDIRECT(ADDRESS(2,COLUMN())),OFFSET($BN$2,0,0,ROW()-1,60),ROW()-1,FALSE))</f>
        <v>80.198999999999998</v>
      </c>
      <c r="AG67">
        <f ca="1">IF(AND(ISNUMBER($AG$383),$B$294=1),$AG$383,HLOOKUP(INDIRECT(ADDRESS(2,COLUMN())),OFFSET($BN$2,0,0,ROW()-1,60),ROW()-1,FALSE))</f>
        <v>78.679000000000002</v>
      </c>
      <c r="AH67">
        <f ca="1">IF(AND(ISNUMBER($AH$383),$B$294=1),$AH$383,HLOOKUP(INDIRECT(ADDRESS(2,COLUMN())),OFFSET($BN$2,0,0,ROW()-1,60),ROW()-1,FALSE))</f>
        <v>79.605999999999995</v>
      </c>
      <c r="AI67">
        <f ca="1">IF(AND(ISNUMBER($AI$383),$B$294=1),$AI$383,HLOOKUP(INDIRECT(ADDRESS(2,COLUMN())),OFFSET($BN$2,0,0,ROW()-1,60),ROW()-1,FALSE))</f>
        <v>77.438999999999993</v>
      </c>
      <c r="AJ67">
        <f ca="1">IF(AND(ISNUMBER($AJ$383),$B$294=1),$AJ$383,HLOOKUP(INDIRECT(ADDRESS(2,COLUMN())),OFFSET($BN$2,0,0,ROW()-1,60),ROW()-1,FALSE))</f>
        <v>85.61</v>
      </c>
      <c r="AK67">
        <f ca="1">IF(AND(ISNUMBER($AK$383),$B$294=1),$AK$383,HLOOKUP(INDIRECT(ADDRESS(2,COLUMN())),OFFSET($BN$2,0,0,ROW()-1,60),ROW()-1,FALSE))</f>
        <v>81.201999999999998</v>
      </c>
      <c r="AL67">
        <f ca="1">IF(AND(ISNUMBER($AL$383),$B$294=1),$AL$383,HLOOKUP(INDIRECT(ADDRESS(2,COLUMN())),OFFSET($BN$2,0,0,ROW()-1,60),ROW()-1,FALSE))</f>
        <v>84.974999999999994</v>
      </c>
      <c r="AM67">
        <f ca="1">IF(AND(ISNUMBER($AM$383),$B$294=1),$AM$383,HLOOKUP(INDIRECT(ADDRESS(2,COLUMN())),OFFSET($BN$2,0,0,ROW()-1,60),ROW()-1,FALSE))</f>
        <v>85.787999999999997</v>
      </c>
      <c r="AN67">
        <f ca="1">IF(AND(ISNUMBER($AN$383),$B$294=1),$AN$383,HLOOKUP(INDIRECT(ADDRESS(2,COLUMN())),OFFSET($BN$2,0,0,ROW()-1,60),ROW()-1,FALSE))</f>
        <v>50.774999999999999</v>
      </c>
      <c r="AO67">
        <f ca="1">IF(AND(ISNUMBER($AO$383),$B$294=1),$AO$383,HLOOKUP(INDIRECT(ADDRESS(2,COLUMN())),OFFSET($BN$2,0,0,ROW()-1,60),ROW()-1,FALSE))</f>
        <v>84.522000000000006</v>
      </c>
      <c r="AP67">
        <f ca="1">IF(AND(ISNUMBER($AP$383),$B$294=1),$AP$383,HLOOKUP(INDIRECT(ADDRESS(2,COLUMN())),OFFSET($BN$2,0,0,ROW()-1,60),ROW()-1,FALSE))</f>
        <v>85.977999999999994</v>
      </c>
      <c r="AQ67">
        <f ca="1">IF(AND(ISNUMBER($AQ$383),$B$294=1),$AQ$383,HLOOKUP(INDIRECT(ADDRESS(2,COLUMN())),OFFSET($BN$2,0,0,ROW()-1,60),ROW()-1,FALSE))</f>
        <v>90.195999999999998</v>
      </c>
      <c r="AR67">
        <f ca="1">IF(AND(ISNUMBER($AR$383),$B$294=1),$AR$383,HLOOKUP(INDIRECT(ADDRESS(2,COLUMN())),OFFSET($BN$2,0,0,ROW()-1,60),ROW()-1,FALSE))</f>
        <v>94.094999999999999</v>
      </c>
      <c r="AS67">
        <f ca="1">IF(AND(ISNUMBER($AS$383),$B$294=1),$AS$383,HLOOKUP(INDIRECT(ADDRESS(2,COLUMN())),OFFSET($BN$2,0,0,ROW()-1,60),ROW()-1,FALSE))</f>
        <v>87.135000000000005</v>
      </c>
      <c r="AT67">
        <f ca="1">IF(AND(ISNUMBER($AT$383),$B$294=1),$AT$383,HLOOKUP(INDIRECT(ADDRESS(2,COLUMN())),OFFSET($BN$2,0,0,ROW()-1,60),ROW()-1,FALSE))</f>
        <v>94.212000000000003</v>
      </c>
      <c r="AU67">
        <f ca="1">IF(AND(ISNUMBER($AU$383),$B$294=1),$AU$383,HLOOKUP(INDIRECT(ADDRESS(2,COLUMN())),OFFSET($BN$2,0,0,ROW()-1,60),ROW()-1,FALSE))</f>
        <v>89.102999999999994</v>
      </c>
      <c r="AV67">
        <f ca="1">IF(AND(ISNUMBER($AV$383),$B$294=1),$AV$383,HLOOKUP(INDIRECT(ADDRESS(2,COLUMN())),OFFSET($BN$2,0,0,ROW()-1,60),ROW()-1,FALSE))</f>
        <v>86.204999999999998</v>
      </c>
      <c r="AW67">
        <f ca="1">IF(AND(ISNUMBER($AW$383),$B$294=1),$AW$383,HLOOKUP(INDIRECT(ADDRESS(2,COLUMN())),OFFSET($BN$2,0,0,ROW()-1,60),ROW()-1,FALSE))</f>
        <v>82.522000000000006</v>
      </c>
      <c r="AX67">
        <f ca="1">IF(AND(ISNUMBER($AX$383),$B$294=1),$AX$383,HLOOKUP(INDIRECT(ADDRESS(2,COLUMN())),OFFSET($BN$2,0,0,ROW()-1,60),ROW()-1,FALSE))</f>
        <v>82.870999999999995</v>
      </c>
      <c r="AY67">
        <f ca="1">IF(AND(ISNUMBER($AY$383),$B$294=1),$AY$383,HLOOKUP(INDIRECT(ADDRESS(2,COLUMN())),OFFSET($BN$2,0,0,ROW()-1,60),ROW()-1,FALSE))</f>
        <v>77.442999999999998</v>
      </c>
      <c r="AZ67">
        <f ca="1">IF(AND(ISNUMBER($AZ$383),$B$294=1),$AZ$383,HLOOKUP(INDIRECT(ADDRESS(2,COLUMN())),OFFSET($BN$2,0,0,ROW()-1,60),ROW()-1,FALSE))</f>
        <v>88.823999999999998</v>
      </c>
      <c r="BA67">
        <f ca="1">IF(AND(ISNUMBER($BA$383),$B$294=1),$BA$383,HLOOKUP(INDIRECT(ADDRESS(2,COLUMN())),OFFSET($BN$2,0,0,ROW()-1,60),ROW()-1,FALSE))</f>
        <v>80.356999999999999</v>
      </c>
      <c r="BB67">
        <f ca="1">IF(AND(ISNUMBER($BB$383),$B$294=1),$BB$383,HLOOKUP(INDIRECT(ADDRESS(2,COLUMN())),OFFSET($BN$2,0,0,ROW()-1,60),ROW()-1,FALSE))</f>
        <v>82.78</v>
      </c>
      <c r="BC67">
        <f ca="1">IF(AND(ISNUMBER($BC$383),$B$294=1),$BC$383,HLOOKUP(INDIRECT(ADDRESS(2,COLUMN())),OFFSET($BN$2,0,0,ROW()-1,60),ROW()-1,FALSE))</f>
        <v>77.39</v>
      </c>
      <c r="BD67">
        <f ca="1">IF(AND(ISNUMBER($BD$383),$B$294=1),$BD$383,HLOOKUP(INDIRECT(ADDRESS(2,COLUMN())),OFFSET($BN$2,0,0,ROW()-1,60),ROW()-1,FALSE))</f>
        <v>83.620999999999995</v>
      </c>
      <c r="BE67">
        <f ca="1">IF(AND(ISNUMBER($BE$383),$B$294=1),$BE$383,HLOOKUP(INDIRECT(ADDRESS(2,COLUMN())),OFFSET($BN$2,0,0,ROW()-1,60),ROW()-1,FALSE))</f>
        <v>108.39100000000001</v>
      </c>
      <c r="BF67">
        <f ca="1">IF(AND(ISNUMBER($BF$383),$B$294=1),$BF$383,HLOOKUP(INDIRECT(ADDRESS(2,COLUMN())),OFFSET($BN$2,0,0,ROW()-1,60),ROW()-1,FALSE))</f>
        <v>73.637</v>
      </c>
      <c r="BG67">
        <f ca="1">IF(AND(ISNUMBER($BG$383),$B$294=1),$BG$383,HLOOKUP(INDIRECT(ADDRESS(2,COLUMN())),OFFSET($BN$2,0,0,ROW()-1,60),ROW()-1,FALSE))</f>
        <v>93.417000000000002</v>
      </c>
      <c r="BH67">
        <f ca="1">IF(AND(ISNUMBER($BH$383),$B$294=1),$BH$383,HLOOKUP(INDIRECT(ADDRESS(2,COLUMN())),OFFSET($BN$2,0,0,ROW()-1,60),ROW()-1,FALSE))</f>
        <v>71.144000000000005</v>
      </c>
      <c r="BI67">
        <f ca="1">IF(AND(ISNUMBER($BI$383),$B$294=1),$BI$383,HLOOKUP(INDIRECT(ADDRESS(2,COLUMN())),OFFSET($BN$2,0,0,ROW()-1,60),ROW()-1,FALSE))</f>
        <v>111.9420013</v>
      </c>
      <c r="BJ67">
        <f ca="1">IF(AND(ISNUMBER($BJ$383),$B$294=1),$BJ$383,HLOOKUP(INDIRECT(ADDRESS(2,COLUMN())),OFFSET($BN$2,0,0,ROW()-1,60),ROW()-1,FALSE))</f>
        <v>84.725002770000003</v>
      </c>
      <c r="BK67">
        <f ca="1">IF(AND(ISNUMBER($BK$383),$B$294=1),$BK$383,HLOOKUP(INDIRECT(ADDRESS(2,COLUMN())),OFFSET($BN$2,0,0,ROW()-1,60),ROW()-1,FALSE))</f>
        <v>72.940001010000003</v>
      </c>
      <c r="BL67">
        <f ca="1">IF(AND(ISNUMBER($BL$383),$B$294=1),$BL$383,HLOOKUP(INDIRECT(ADDRESS(2,COLUMN())),OFFSET($BN$2,0,0,ROW()-1,60),ROW()-1,FALSE))</f>
        <v>65.222000600000001</v>
      </c>
      <c r="BM67">
        <f ca="1">IF(AND(ISNUMBER($BM$383),$B$294=1),$BM$383,HLOOKUP(INDIRECT(ADDRESS(2,COLUMN())),OFFSET($BN$2,0,0,ROW()-1,60),ROW()-1,FALSE))</f>
        <v>56.414999010000002</v>
      </c>
      <c r="BN67" t="str">
        <f>""</f>
        <v/>
      </c>
      <c r="BO67">
        <f>29.726</f>
        <v>29.725999999999999</v>
      </c>
      <c r="BP67">
        <f>76.868</f>
        <v>76.867999999999995</v>
      </c>
      <c r="BQ67">
        <f>84.455</f>
        <v>84.454999999999998</v>
      </c>
      <c r="BR67">
        <f>84.197</f>
        <v>84.197000000000003</v>
      </c>
      <c r="BS67">
        <f>80.466</f>
        <v>80.465999999999994</v>
      </c>
      <c r="BT67">
        <f>53.372</f>
        <v>53.372</v>
      </c>
      <c r="BU67">
        <f>63.574</f>
        <v>63.573999999999998</v>
      </c>
      <c r="BV67">
        <f>75.839</f>
        <v>75.838999999999999</v>
      </c>
      <c r="BW67">
        <f>77.099</f>
        <v>77.099000000000004</v>
      </c>
      <c r="BX67">
        <f>44.267</f>
        <v>44.267000000000003</v>
      </c>
      <c r="BY67">
        <f>71.947</f>
        <v>71.947000000000003</v>
      </c>
      <c r="BZ67">
        <f>79.252</f>
        <v>79.251999999999995</v>
      </c>
      <c r="CA67">
        <f>78.551</f>
        <v>78.551000000000002</v>
      </c>
      <c r="CB67">
        <f>76.923</f>
        <v>76.923000000000002</v>
      </c>
      <c r="CC67">
        <f>74.003</f>
        <v>74.003</v>
      </c>
      <c r="CD67">
        <f>73.35</f>
        <v>73.349999999999994</v>
      </c>
      <c r="CE67">
        <f>78.498</f>
        <v>78.498000000000005</v>
      </c>
      <c r="CF67">
        <f>79.34</f>
        <v>79.34</v>
      </c>
      <c r="CG67">
        <f>74.286</f>
        <v>74.286000000000001</v>
      </c>
      <c r="CH67">
        <f>76.262</f>
        <v>76.262</v>
      </c>
      <c r="CI67">
        <f>66.81</f>
        <v>66.81</v>
      </c>
      <c r="CJ67">
        <f>77.493</f>
        <v>77.492999999999995</v>
      </c>
      <c r="CK67">
        <f>74.628</f>
        <v>74.628</v>
      </c>
      <c r="CL67">
        <f>74.763</f>
        <v>74.763000000000005</v>
      </c>
      <c r="CM67">
        <f>74.151</f>
        <v>74.150999999999996</v>
      </c>
      <c r="CN67">
        <f>80.199</f>
        <v>80.198999999999998</v>
      </c>
      <c r="CO67">
        <f>78.679</f>
        <v>78.679000000000002</v>
      </c>
      <c r="CP67">
        <f>79.606</f>
        <v>79.605999999999995</v>
      </c>
      <c r="CQ67">
        <f>77.439</f>
        <v>77.438999999999993</v>
      </c>
      <c r="CR67">
        <f>85.61</f>
        <v>85.61</v>
      </c>
      <c r="CS67">
        <f>81.202</f>
        <v>81.201999999999998</v>
      </c>
      <c r="CT67">
        <f>84.975</f>
        <v>84.974999999999994</v>
      </c>
      <c r="CU67">
        <f>85.788</f>
        <v>85.787999999999997</v>
      </c>
      <c r="CV67">
        <f>50.775</f>
        <v>50.774999999999999</v>
      </c>
      <c r="CW67">
        <f>84.522</f>
        <v>84.522000000000006</v>
      </c>
      <c r="CX67">
        <f>85.978</f>
        <v>85.977999999999994</v>
      </c>
      <c r="CY67">
        <f>90.196</f>
        <v>90.195999999999998</v>
      </c>
      <c r="CZ67">
        <f>94.095</f>
        <v>94.094999999999999</v>
      </c>
      <c r="DA67">
        <f>87.135</f>
        <v>87.135000000000005</v>
      </c>
      <c r="DB67">
        <f>94.212</f>
        <v>94.212000000000003</v>
      </c>
      <c r="DC67">
        <f>89.103</f>
        <v>89.102999999999994</v>
      </c>
      <c r="DD67">
        <f>86.205</f>
        <v>86.204999999999998</v>
      </c>
      <c r="DE67">
        <f>82.522</f>
        <v>82.522000000000006</v>
      </c>
      <c r="DF67">
        <f>82.871</f>
        <v>82.870999999999995</v>
      </c>
      <c r="DG67">
        <f>77.443</f>
        <v>77.442999999999998</v>
      </c>
      <c r="DH67">
        <f>88.824</f>
        <v>88.823999999999998</v>
      </c>
      <c r="DI67">
        <f>80.357</f>
        <v>80.356999999999999</v>
      </c>
      <c r="DJ67">
        <f>82.78</f>
        <v>82.78</v>
      </c>
      <c r="DK67">
        <f>77.39</f>
        <v>77.39</v>
      </c>
      <c r="DL67">
        <f>83.621</f>
        <v>83.620999999999995</v>
      </c>
      <c r="DM67">
        <f>108.391</f>
        <v>108.39100000000001</v>
      </c>
      <c r="DN67">
        <f>73.637</f>
        <v>73.637</v>
      </c>
      <c r="DO67">
        <f>93.417</f>
        <v>93.417000000000002</v>
      </c>
      <c r="DP67">
        <f>71.144</f>
        <v>71.144000000000005</v>
      </c>
      <c r="DQ67">
        <f>111.9420013</f>
        <v>111.9420013</v>
      </c>
      <c r="DR67">
        <f>84.72500277</f>
        <v>84.725002770000003</v>
      </c>
      <c r="DS67">
        <f>72.94000101</f>
        <v>72.940001010000003</v>
      </c>
      <c r="DT67">
        <f>65.2220006</f>
        <v>65.222000600000001</v>
      </c>
      <c r="DU67">
        <f>56.41499901</f>
        <v>56.414999010000002</v>
      </c>
    </row>
    <row r="68" spans="1:125">
      <c r="A68" t="str">
        <f>"    SL Green Realty Corp"</f>
        <v xml:space="preserve">    SL Green Realty Corp</v>
      </c>
      <c r="B68" t="str">
        <f>"SLG US Equity"</f>
        <v>SLG US Equity</v>
      </c>
      <c r="C68" t="str">
        <f t="shared" si="15"/>
        <v>RR009</v>
      </c>
      <c r="D68" t="str">
        <f t="shared" si="16"/>
        <v>EBITDA</v>
      </c>
      <c r="E68" t="str">
        <f t="shared" si="17"/>
        <v>动态</v>
      </c>
      <c r="F68" t="str">
        <f ca="1">IF(AND(ISNUMBER($F$384),$B$294=1),$F$384,HLOOKUP(INDIRECT(ADDRESS(2,COLUMN())),OFFSET($BN$2,0,0,ROW()-1,60),ROW()-1,FALSE))</f>
        <v/>
      </c>
      <c r="G68">
        <f ca="1">IF(AND(ISNUMBER($G$384),$B$294=1),$G$384,HLOOKUP(INDIRECT(ADDRESS(2,COLUMN())),OFFSET($BN$2,0,0,ROW()-1,60),ROW()-1,FALSE))</f>
        <v>201.16499999999999</v>
      </c>
      <c r="H68">
        <f ca="1">IF(AND(ISNUMBER($H$384),$B$294=1),$H$384,HLOOKUP(INDIRECT(ADDRESS(2,COLUMN())),OFFSET($BN$2,0,0,ROW()-1,60),ROW()-1,FALSE))</f>
        <v>206.065</v>
      </c>
      <c r="I68">
        <f ca="1">IF(AND(ISNUMBER($I$384),$B$294=1),$I$384,HLOOKUP(INDIRECT(ADDRESS(2,COLUMN())),OFFSET($BN$2,0,0,ROW()-1,60),ROW()-1,FALSE))</f>
        <v>237.17500000000001</v>
      </c>
      <c r="J68">
        <f ca="1">IF(AND(ISNUMBER($J$384),$B$294=1),$J$384,HLOOKUP(INDIRECT(ADDRESS(2,COLUMN())),OFFSET($BN$2,0,0,ROW()-1,60),ROW()-1,FALSE))</f>
        <v>213.98400000000001</v>
      </c>
      <c r="K68">
        <f ca="1">IF(AND(ISNUMBER($K$384),$B$294=1),$K$384,HLOOKUP(INDIRECT(ADDRESS(2,COLUMN())),OFFSET($BN$2,0,0,ROW()-1,60),ROW()-1,FALSE))</f>
        <v>203.94499999999999</v>
      </c>
      <c r="L68">
        <f ca="1">IF(AND(ISNUMBER($L$384),$B$294=1),$L$384,HLOOKUP(INDIRECT(ADDRESS(2,COLUMN())),OFFSET($BN$2,0,0,ROW()-1,60),ROW()-1,FALSE))</f>
        <v>241.54900000000001</v>
      </c>
      <c r="M68">
        <f ca="1">IF(AND(ISNUMBER($M$384),$B$294=1),$M$384,HLOOKUP(INDIRECT(ADDRESS(2,COLUMN())),OFFSET($BN$2,0,0,ROW()-1,60),ROW()-1,FALSE))</f>
        <v>452.69299999999998</v>
      </c>
      <c r="N68">
        <f ca="1">IF(AND(ISNUMBER($N$384),$B$294=1),$N$384,HLOOKUP(INDIRECT(ADDRESS(2,COLUMN())),OFFSET($BN$2,0,0,ROW()-1,60),ROW()-1,FALSE))</f>
        <v>288.56299999999999</v>
      </c>
      <c r="O68">
        <f ca="1">IF(AND(ISNUMBER($O$384),$B$294=1),$O$384,HLOOKUP(INDIRECT(ADDRESS(2,COLUMN())),OFFSET($BN$2,0,0,ROW()-1,60),ROW()-1,FALSE))</f>
        <v>264.80900000000003</v>
      </c>
      <c r="P68">
        <f ca="1">IF(AND(ISNUMBER($P$384),$B$294=1),$P$384,HLOOKUP(INDIRECT(ADDRESS(2,COLUMN())),OFFSET($BN$2,0,0,ROW()-1,60),ROW()-1,FALSE))</f>
        <v>262.01299999999998</v>
      </c>
      <c r="Q68">
        <f ca="1">IF(AND(ISNUMBER($Q$384),$B$294=1),$Q$384,HLOOKUP(INDIRECT(ADDRESS(2,COLUMN())),OFFSET($BN$2,0,0,ROW()-1,60),ROW()-1,FALSE))</f>
        <v>254.273</v>
      </c>
      <c r="R68">
        <f ca="1">IF(AND(ISNUMBER($R$384),$B$294=1),$R$384,HLOOKUP(INDIRECT(ADDRESS(2,COLUMN())),OFFSET($BN$2,0,0,ROW()-1,60),ROW()-1,FALSE))</f>
        <v>235.62200000000001</v>
      </c>
      <c r="S68">
        <f ca="1">IF(AND(ISNUMBER($S$384),$B$294=1),$S$384,HLOOKUP(INDIRECT(ADDRESS(2,COLUMN())),OFFSET($BN$2,0,0,ROW()-1,60),ROW()-1,FALSE))</f>
        <v>231.16300000000001</v>
      </c>
      <c r="T68">
        <f ca="1">IF(AND(ISNUMBER($T$384),$B$294=1),$T$384,HLOOKUP(INDIRECT(ADDRESS(2,COLUMN())),OFFSET($BN$2,0,0,ROW()-1,60),ROW()-1,FALSE))</f>
        <v>236.9</v>
      </c>
      <c r="U68">
        <f ca="1">IF(AND(ISNUMBER($U$384),$B$294=1),$U$384,HLOOKUP(INDIRECT(ADDRESS(2,COLUMN())),OFFSET($BN$2,0,0,ROW()-1,60),ROW()-1,FALSE))</f>
        <v>233.09100000000001</v>
      </c>
      <c r="V68">
        <f ca="1">IF(AND(ISNUMBER($V$384),$B$294=1),$V$384,HLOOKUP(INDIRECT(ADDRESS(2,COLUMN())),OFFSET($BN$2,0,0,ROW()-1,60),ROW()-1,FALSE))</f>
        <v>213.58699999999999</v>
      </c>
      <c r="W68">
        <f ca="1">IF(AND(ISNUMBER($W$384),$B$294=1),$W$384,HLOOKUP(INDIRECT(ADDRESS(2,COLUMN())),OFFSET($BN$2,0,0,ROW()-1,60),ROW()-1,FALSE))</f>
        <v>199.56299999999999</v>
      </c>
      <c r="X68">
        <f ca="1">IF(AND(ISNUMBER($X$384),$B$294=1),$X$384,HLOOKUP(INDIRECT(ADDRESS(2,COLUMN())),OFFSET($BN$2,0,0,ROW()-1,60),ROW()-1,FALSE))</f>
        <v>193.31200000000001</v>
      </c>
      <c r="Y68">
        <f ca="1">IF(AND(ISNUMBER($Y$384),$B$294=1),$Y$384,HLOOKUP(INDIRECT(ADDRESS(2,COLUMN())),OFFSET($BN$2,0,0,ROW()-1,60),ROW()-1,FALSE))</f>
        <v>208.74</v>
      </c>
      <c r="Z68">
        <f ca="1">IF(AND(ISNUMBER($Z$384),$B$294=1),$Z$384,HLOOKUP(INDIRECT(ADDRESS(2,COLUMN())),OFFSET($BN$2,0,0,ROW()-1,60),ROW()-1,FALSE))</f>
        <v>212.309</v>
      </c>
      <c r="AA68">
        <f ca="1">IF(AND(ISNUMBER($AA$384),$B$294=1),$AA$384,HLOOKUP(INDIRECT(ADDRESS(2,COLUMN())),OFFSET($BN$2,0,0,ROW()-1,60),ROW()-1,FALSE))</f>
        <v>198.81299999999999</v>
      </c>
      <c r="AB68">
        <f ca="1">IF(AND(ISNUMBER($AB$384),$B$294=1),$AB$384,HLOOKUP(INDIRECT(ADDRESS(2,COLUMN())),OFFSET($BN$2,0,0,ROW()-1,60),ROW()-1,FALSE))</f>
        <v>196.66499999999999</v>
      </c>
      <c r="AC68">
        <f ca="1">IF(AND(ISNUMBER($AC$384),$B$294=1),$AC$384,HLOOKUP(INDIRECT(ADDRESS(2,COLUMN())),OFFSET($BN$2,0,0,ROW()-1,60),ROW()-1,FALSE))</f>
        <v>198.422</v>
      </c>
      <c r="AD68">
        <f ca="1">IF(AND(ISNUMBER($AD$384),$B$294=1),$AD$384,HLOOKUP(INDIRECT(ADDRESS(2,COLUMN())),OFFSET($BN$2,0,0,ROW()-1,60),ROW()-1,FALSE))</f>
        <v>187.37100000000001</v>
      </c>
      <c r="AE68">
        <f ca="1">IF(AND(ISNUMBER($AE$384),$B$294=1),$AE$384,HLOOKUP(INDIRECT(ADDRESS(2,COLUMN())),OFFSET($BN$2,0,0,ROW()-1,60),ROW()-1,FALSE))</f>
        <v>178.39699999999999</v>
      </c>
      <c r="AF68">
        <f ca="1">IF(AND(ISNUMBER($AF$384),$B$294=1),$AF$384,HLOOKUP(INDIRECT(ADDRESS(2,COLUMN())),OFFSET($BN$2,0,0,ROW()-1,60),ROW()-1,FALSE))</f>
        <v>167.928</v>
      </c>
      <c r="AG68">
        <f ca="1">IF(AND(ISNUMBER($AG$384),$B$294=1),$AG$384,HLOOKUP(INDIRECT(ADDRESS(2,COLUMN())),OFFSET($BN$2,0,0,ROW()-1,60),ROW()-1,FALSE))</f>
        <v>162.40799999999999</v>
      </c>
      <c r="AH68">
        <f ca="1">IF(AND(ISNUMBER($AH$384),$B$294=1),$AH$384,HLOOKUP(INDIRECT(ADDRESS(2,COLUMN())),OFFSET($BN$2,0,0,ROW()-1,60),ROW()-1,FALSE))</f>
        <v>203.04900000000001</v>
      </c>
      <c r="AI68">
        <f ca="1">IF(AND(ISNUMBER($AI$384),$B$294=1),$AI$384,HLOOKUP(INDIRECT(ADDRESS(2,COLUMN())),OFFSET($BN$2,0,0,ROW()-1,60),ROW()-1,FALSE))</f>
        <v>136.202</v>
      </c>
      <c r="AJ68">
        <f ca="1">IF(AND(ISNUMBER($AJ$384),$B$294=1),$AJ$384,HLOOKUP(INDIRECT(ADDRESS(2,COLUMN())),OFFSET($BN$2,0,0,ROW()-1,60),ROW()-1,FALSE))</f>
        <v>198.47900000000001</v>
      </c>
      <c r="AK68">
        <f ca="1">IF(AND(ISNUMBER($AK$384),$B$294=1),$AK$384,HLOOKUP(INDIRECT(ADDRESS(2,COLUMN())),OFFSET($BN$2,0,0,ROW()-1,60),ROW()-1,FALSE))</f>
        <v>129.80699999999999</v>
      </c>
      <c r="AL68">
        <f ca="1">IF(AND(ISNUMBER($AL$384),$B$294=1),$AL$384,HLOOKUP(INDIRECT(ADDRESS(2,COLUMN())),OFFSET($BN$2,0,0,ROW()-1,60),ROW()-1,FALSE))</f>
        <v>127.889</v>
      </c>
      <c r="AM68">
        <f ca="1">IF(AND(ISNUMBER($AM$384),$B$294=1),$AM$384,HLOOKUP(INDIRECT(ADDRESS(2,COLUMN())),OFFSET($BN$2,0,0,ROW()-1,60),ROW()-1,FALSE))</f>
        <v>104.244</v>
      </c>
      <c r="AN68">
        <f ca="1">IF(AND(ISNUMBER($AN$384),$B$294=1),$AN$384,HLOOKUP(INDIRECT(ADDRESS(2,COLUMN())),OFFSET($BN$2,0,0,ROW()-1,60),ROW()-1,FALSE))</f>
        <v>118.089</v>
      </c>
      <c r="AO68">
        <f ca="1">IF(AND(ISNUMBER($AO$384),$B$294=1),$AO$384,HLOOKUP(INDIRECT(ADDRESS(2,COLUMN())),OFFSET($BN$2,0,0,ROW()-1,60),ROW()-1,FALSE))</f>
        <v>92.897999999999996</v>
      </c>
      <c r="AP68">
        <f ca="1">IF(AND(ISNUMBER($AP$384),$B$294=1),$AP$384,HLOOKUP(INDIRECT(ADDRESS(2,COLUMN())),OFFSET($BN$2,0,0,ROW()-1,60),ROW()-1,FALSE))</f>
        <v>85.078999999999994</v>
      </c>
      <c r="AQ68">
        <f ca="1">IF(AND(ISNUMBER($AQ$384),$B$294=1),$AQ$384,HLOOKUP(INDIRECT(ADDRESS(2,COLUMN())),OFFSET($BN$2,0,0,ROW()-1,60),ROW()-1,FALSE))</f>
        <v>37.828000000000003</v>
      </c>
      <c r="AR68">
        <f ca="1">IF(AND(ISNUMBER($AR$384),$B$294=1),$AR$384,HLOOKUP(INDIRECT(ADDRESS(2,COLUMN())),OFFSET($BN$2,0,0,ROW()-1,60),ROW()-1,FALSE))</f>
        <v>141.88800000000001</v>
      </c>
      <c r="AS68">
        <f ca="1">IF(AND(ISNUMBER($AS$384),$B$294=1),$AS$384,HLOOKUP(INDIRECT(ADDRESS(2,COLUMN())),OFFSET($BN$2,0,0,ROW()-1,60),ROW()-1,FALSE))</f>
        <v>167.97800000000001</v>
      </c>
      <c r="AT68">
        <f ca="1">IF(AND(ISNUMBER($AT$384),$B$294=1),$AT$384,HLOOKUP(INDIRECT(ADDRESS(2,COLUMN())),OFFSET($BN$2,0,0,ROW()-1,60),ROW()-1,FALSE))</f>
        <v>138.607</v>
      </c>
      <c r="AU68">
        <f ca="1">IF(AND(ISNUMBER($AU$384),$B$294=1),$AU$384,HLOOKUP(INDIRECT(ADDRESS(2,COLUMN())),OFFSET($BN$2,0,0,ROW()-1,60),ROW()-1,FALSE))</f>
        <v>138.98599999999999</v>
      </c>
      <c r="AV68">
        <f ca="1">IF(AND(ISNUMBER($AV$384),$B$294=1),$AV$384,HLOOKUP(INDIRECT(ADDRESS(2,COLUMN())),OFFSET($BN$2,0,0,ROW()-1,60),ROW()-1,FALSE))</f>
        <v>131.24100000000001</v>
      </c>
      <c r="AW68">
        <f ca="1">IF(AND(ISNUMBER($AW$384),$B$294=1),$AW$384,HLOOKUP(INDIRECT(ADDRESS(2,COLUMN())),OFFSET($BN$2,0,0,ROW()-1,60),ROW()-1,FALSE))</f>
        <v>143.881</v>
      </c>
      <c r="AX68">
        <f ca="1">IF(AND(ISNUMBER($AX$384),$B$294=1),$AX$384,HLOOKUP(INDIRECT(ADDRESS(2,COLUMN())),OFFSET($BN$2,0,0,ROW()-1,60),ROW()-1,FALSE))</f>
        <v>174.28</v>
      </c>
      <c r="AY68">
        <f ca="1">IF(AND(ISNUMBER($AY$384),$B$294=1),$AY$384,HLOOKUP(INDIRECT(ADDRESS(2,COLUMN())),OFFSET($BN$2,0,0,ROW()-1,60),ROW()-1,FALSE))</f>
        <v>76.981999999999999</v>
      </c>
      <c r="AZ68">
        <f ca="1">IF(AND(ISNUMBER($AZ$384),$B$294=1),$AZ$384,HLOOKUP(INDIRECT(ADDRESS(2,COLUMN())),OFFSET($BN$2,0,0,ROW()-1,60),ROW()-1,FALSE))</f>
        <v>64.489999999999995</v>
      </c>
      <c r="BA68">
        <f ca="1">IF(AND(ISNUMBER($BA$384),$B$294=1),$BA$384,HLOOKUP(INDIRECT(ADDRESS(2,COLUMN())),OFFSET($BN$2,0,0,ROW()-1,60),ROW()-1,FALSE))</f>
        <v>59.817999999999998</v>
      </c>
      <c r="BB68">
        <f ca="1">IF(AND(ISNUMBER($BB$384),$B$294=1),$BB$384,HLOOKUP(INDIRECT(ADDRESS(2,COLUMN())),OFFSET($BN$2,0,0,ROW()-1,60),ROW()-1,FALSE))</f>
        <v>54.103999999999999</v>
      </c>
      <c r="BC68">
        <f ca="1">IF(AND(ISNUMBER($BC$384),$B$294=1),$BC$384,HLOOKUP(INDIRECT(ADDRESS(2,COLUMN())),OFFSET($BN$2,0,0,ROW()-1,60),ROW()-1,FALSE))</f>
        <v>51.725000000000001</v>
      </c>
      <c r="BD68">
        <f ca="1">IF(AND(ISNUMBER($BD$384),$B$294=1),$BD$384,HLOOKUP(INDIRECT(ADDRESS(2,COLUMN())),OFFSET($BN$2,0,0,ROW()-1,60),ROW()-1,FALSE))</f>
        <v>58.363</v>
      </c>
      <c r="BE68">
        <f ca="1">IF(AND(ISNUMBER($BE$384),$B$294=1),$BE$384,HLOOKUP(INDIRECT(ADDRESS(2,COLUMN())),OFFSET($BN$2,0,0,ROW()-1,60),ROW()-1,FALSE))</f>
        <v>48.265999999999998</v>
      </c>
      <c r="BF68">
        <f ca="1">IF(AND(ISNUMBER($BF$384),$B$294=1),$BF$384,HLOOKUP(INDIRECT(ADDRESS(2,COLUMN())),OFFSET($BN$2,0,0,ROW()-1,60),ROW()-1,FALSE))</f>
        <v>49.838000000000001</v>
      </c>
      <c r="BG68">
        <f ca="1">IF(AND(ISNUMBER($BG$384),$B$294=1),$BG$384,HLOOKUP(INDIRECT(ADDRESS(2,COLUMN())),OFFSET($BN$2,0,0,ROW()-1,60),ROW()-1,FALSE))</f>
        <v>39.725000000000001</v>
      </c>
      <c r="BH68">
        <f ca="1">IF(AND(ISNUMBER($BH$384),$B$294=1),$BH$384,HLOOKUP(INDIRECT(ADDRESS(2,COLUMN())),OFFSET($BN$2,0,0,ROW()-1,60),ROW()-1,FALSE))</f>
        <v>40.505000000000003</v>
      </c>
      <c r="BI68">
        <f ca="1">IF(AND(ISNUMBER($BI$384),$B$294=1),$BI$384,HLOOKUP(INDIRECT(ADDRESS(2,COLUMN())),OFFSET($BN$2,0,0,ROW()-1,60),ROW()-1,FALSE))</f>
        <v>47.115000000000002</v>
      </c>
      <c r="BJ68">
        <f ca="1">IF(AND(ISNUMBER($BJ$384),$B$294=1),$BJ$384,HLOOKUP(INDIRECT(ADDRESS(2,COLUMN())),OFFSET($BN$2,0,0,ROW()-1,60),ROW()-1,FALSE))</f>
        <v>42.125</v>
      </c>
      <c r="BK68">
        <f ca="1">IF(AND(ISNUMBER($BK$384),$B$294=1),$BK$384,HLOOKUP(INDIRECT(ADDRESS(2,COLUMN())),OFFSET($BN$2,0,0,ROW()-1,60),ROW()-1,FALSE))</f>
        <v>39.793999669999998</v>
      </c>
      <c r="BL68">
        <f ca="1">IF(AND(ISNUMBER($BL$384),$B$294=1),$BL$384,HLOOKUP(INDIRECT(ADDRESS(2,COLUMN())),OFFSET($BN$2,0,0,ROW()-1,60),ROW()-1,FALSE))</f>
        <v>38.981999999999999</v>
      </c>
      <c r="BM68">
        <f ca="1">IF(AND(ISNUMBER($BM$384),$B$294=1),$BM$384,HLOOKUP(INDIRECT(ADDRESS(2,COLUMN())),OFFSET($BN$2,0,0,ROW()-1,60),ROW()-1,FALSE))</f>
        <v>38.335999999999999</v>
      </c>
      <c r="BN68" t="str">
        <f>""</f>
        <v/>
      </c>
      <c r="BO68">
        <f>201.165</f>
        <v>201.16499999999999</v>
      </c>
      <c r="BP68">
        <f>206.065</f>
        <v>206.065</v>
      </c>
      <c r="BQ68">
        <f>237.175</f>
        <v>237.17500000000001</v>
      </c>
      <c r="BR68">
        <f>213.984</f>
        <v>213.98400000000001</v>
      </c>
      <c r="BS68">
        <f>203.945</f>
        <v>203.94499999999999</v>
      </c>
      <c r="BT68">
        <f>241.549</f>
        <v>241.54900000000001</v>
      </c>
      <c r="BU68">
        <f>452.693</f>
        <v>452.69299999999998</v>
      </c>
      <c r="BV68">
        <f>288.563</f>
        <v>288.56299999999999</v>
      </c>
      <c r="BW68">
        <f>264.809</f>
        <v>264.80900000000003</v>
      </c>
      <c r="BX68">
        <f>262.013</f>
        <v>262.01299999999998</v>
      </c>
      <c r="BY68">
        <f>254.273</f>
        <v>254.273</v>
      </c>
      <c r="BZ68">
        <f>235.622</f>
        <v>235.62200000000001</v>
      </c>
      <c r="CA68">
        <f>231.163</f>
        <v>231.16300000000001</v>
      </c>
      <c r="CB68">
        <f>236.9</f>
        <v>236.9</v>
      </c>
      <c r="CC68">
        <f>233.091</f>
        <v>233.09100000000001</v>
      </c>
      <c r="CD68">
        <f>213.587</f>
        <v>213.58699999999999</v>
      </c>
      <c r="CE68">
        <f>199.563</f>
        <v>199.56299999999999</v>
      </c>
      <c r="CF68">
        <f>193.312</f>
        <v>193.31200000000001</v>
      </c>
      <c r="CG68">
        <f>208.74</f>
        <v>208.74</v>
      </c>
      <c r="CH68">
        <f>212.309</f>
        <v>212.309</v>
      </c>
      <c r="CI68">
        <f>198.813</f>
        <v>198.81299999999999</v>
      </c>
      <c r="CJ68">
        <f>196.665</f>
        <v>196.66499999999999</v>
      </c>
      <c r="CK68">
        <f>198.422</f>
        <v>198.422</v>
      </c>
      <c r="CL68">
        <f>187.371</f>
        <v>187.37100000000001</v>
      </c>
      <c r="CM68">
        <f>178.397</f>
        <v>178.39699999999999</v>
      </c>
      <c r="CN68">
        <f>167.928</f>
        <v>167.928</v>
      </c>
      <c r="CO68">
        <f>162.408</f>
        <v>162.40799999999999</v>
      </c>
      <c r="CP68">
        <f>203.049</f>
        <v>203.04900000000001</v>
      </c>
      <c r="CQ68">
        <f>136.202</f>
        <v>136.202</v>
      </c>
      <c r="CR68">
        <f>198.479</f>
        <v>198.47900000000001</v>
      </c>
      <c r="CS68">
        <f>129.807</f>
        <v>129.80699999999999</v>
      </c>
      <c r="CT68">
        <f>127.889</f>
        <v>127.889</v>
      </c>
      <c r="CU68">
        <f>104.244</f>
        <v>104.244</v>
      </c>
      <c r="CV68">
        <f>118.089</f>
        <v>118.089</v>
      </c>
      <c r="CW68">
        <f>92.898</f>
        <v>92.897999999999996</v>
      </c>
      <c r="CX68">
        <f>85.079</f>
        <v>85.078999999999994</v>
      </c>
      <c r="CY68">
        <f>37.828</f>
        <v>37.828000000000003</v>
      </c>
      <c r="CZ68">
        <f>141.888</f>
        <v>141.88800000000001</v>
      </c>
      <c r="DA68">
        <f>167.978</f>
        <v>167.97800000000001</v>
      </c>
      <c r="DB68">
        <f>138.607</f>
        <v>138.607</v>
      </c>
      <c r="DC68">
        <f>138.986</f>
        <v>138.98599999999999</v>
      </c>
      <c r="DD68">
        <f>131.241</f>
        <v>131.24100000000001</v>
      </c>
      <c r="DE68">
        <f>143.881</f>
        <v>143.881</v>
      </c>
      <c r="DF68">
        <f>174.28</f>
        <v>174.28</v>
      </c>
      <c r="DG68">
        <f>76.982</f>
        <v>76.981999999999999</v>
      </c>
      <c r="DH68">
        <f>64.49</f>
        <v>64.489999999999995</v>
      </c>
      <c r="DI68">
        <f>59.818</f>
        <v>59.817999999999998</v>
      </c>
      <c r="DJ68">
        <f>54.104</f>
        <v>54.103999999999999</v>
      </c>
      <c r="DK68">
        <f>51.725</f>
        <v>51.725000000000001</v>
      </c>
      <c r="DL68">
        <f>58.363</f>
        <v>58.363</v>
      </c>
      <c r="DM68">
        <f>48.266</f>
        <v>48.265999999999998</v>
      </c>
      <c r="DN68">
        <f>49.838</f>
        <v>49.838000000000001</v>
      </c>
      <c r="DO68">
        <f>39.725</f>
        <v>39.725000000000001</v>
      </c>
      <c r="DP68">
        <f>40.505</f>
        <v>40.505000000000003</v>
      </c>
      <c r="DQ68">
        <f>47.115</f>
        <v>47.115000000000002</v>
      </c>
      <c r="DR68">
        <f>42.125</f>
        <v>42.125</v>
      </c>
      <c r="DS68">
        <f>39.79399967</f>
        <v>39.793999669999998</v>
      </c>
      <c r="DT68">
        <f>38.982</f>
        <v>38.981999999999999</v>
      </c>
      <c r="DU68">
        <f>38.336</f>
        <v>38.335999999999999</v>
      </c>
    </row>
    <row r="69" spans="1:125">
      <c r="A69" t="str">
        <f>"    Vornado Realty Trust"</f>
        <v xml:space="preserve">    Vornado Realty Trust</v>
      </c>
      <c r="B69" t="str">
        <f>"VNO US Equity"</f>
        <v>VNO US Equity</v>
      </c>
      <c r="C69" t="str">
        <f t="shared" si="15"/>
        <v>RR009</v>
      </c>
      <c r="D69" t="str">
        <f t="shared" si="16"/>
        <v>EBITDA</v>
      </c>
      <c r="E69" t="str">
        <f t="shared" si="17"/>
        <v>动态</v>
      </c>
      <c r="F69" t="str">
        <f ca="1">IF(AND(ISNUMBER($F$385),$B$294=1),$F$385,HLOOKUP(INDIRECT(ADDRESS(2,COLUMN())),OFFSET($BN$2,0,0,ROW()-1,60),ROW()-1,FALSE))</f>
        <v/>
      </c>
      <c r="G69">
        <f ca="1">IF(AND(ISNUMBER($G$385),$B$294=1),$G$385,HLOOKUP(INDIRECT(ADDRESS(2,COLUMN())),OFFSET($BN$2,0,0,ROW()-1,60),ROW()-1,FALSE))</f>
        <v>270.45100000000002</v>
      </c>
      <c r="H69">
        <f ca="1">IF(AND(ISNUMBER($H$385),$B$294=1),$H$385,HLOOKUP(INDIRECT(ADDRESS(2,COLUMN())),OFFSET($BN$2,0,0,ROW()-1,60),ROW()-1,FALSE))</f>
        <v>268.82100000000003</v>
      </c>
      <c r="I69">
        <f ca="1">IF(AND(ISNUMBER($I$385),$B$294=1),$I$385,HLOOKUP(INDIRECT(ADDRESS(2,COLUMN())),OFFSET($BN$2,0,0,ROW()-1,60),ROW()-1,FALSE))</f>
        <v>314.476</v>
      </c>
      <c r="J69">
        <f ca="1">IF(AND(ISNUMBER($J$385),$B$294=1),$J$385,HLOOKUP(INDIRECT(ADDRESS(2,COLUMN())),OFFSET($BN$2,0,0,ROW()-1,60),ROW()-1,FALSE))</f>
        <v>290.89400000000001</v>
      </c>
      <c r="K69">
        <f ca="1">IF(AND(ISNUMBER($K$385),$B$294=1),$K$385,HLOOKUP(INDIRECT(ADDRESS(2,COLUMN())),OFFSET($BN$2,0,0,ROW()-1,60),ROW()-1,FALSE))</f>
        <v>312.80799999999999</v>
      </c>
      <c r="L69">
        <f ca="1">IF(AND(ISNUMBER($L$385),$B$294=1),$L$385,HLOOKUP(INDIRECT(ADDRESS(2,COLUMN())),OFFSET($BN$2,0,0,ROW()-1,60),ROW()-1,FALSE))</f>
        <v>323.78699999999998</v>
      </c>
      <c r="M69">
        <f ca="1">IF(AND(ISNUMBER($M$385),$B$294=1),$M$385,HLOOKUP(INDIRECT(ADDRESS(2,COLUMN())),OFFSET($BN$2,0,0,ROW()-1,60),ROW()-1,FALSE))</f>
        <v>323.40300000000002</v>
      </c>
      <c r="N69">
        <f ca="1">IF(AND(ISNUMBER($N$385),$B$294=1),$N$385,HLOOKUP(INDIRECT(ADDRESS(2,COLUMN())),OFFSET($BN$2,0,0,ROW()-1,60),ROW()-1,FALSE))</f>
        <v>132.86099999999999</v>
      </c>
      <c r="O69">
        <f ca="1">IF(AND(ISNUMBER($O$385),$B$294=1),$O$385,HLOOKUP(INDIRECT(ADDRESS(2,COLUMN())),OFFSET($BN$2,0,0,ROW()-1,60),ROW()-1,FALSE))</f>
        <v>320.28100000000001</v>
      </c>
      <c r="P69">
        <f ca="1">IF(AND(ISNUMBER($P$385),$B$294=1),$P$385,HLOOKUP(INDIRECT(ADDRESS(2,COLUMN())),OFFSET($BN$2,0,0,ROW()-1,60),ROW()-1,FALSE))</f>
        <v>319.20600000000002</v>
      </c>
      <c r="Q69">
        <f ca="1">IF(AND(ISNUMBER($Q$385),$B$294=1),$Q$385,HLOOKUP(INDIRECT(ADDRESS(2,COLUMN())),OFFSET($BN$2,0,0,ROW()-1,60),ROW()-1,FALSE))</f>
        <v>321.84300000000002</v>
      </c>
      <c r="R69">
        <f ca="1">IF(AND(ISNUMBER($R$385),$B$294=1),$R$385,HLOOKUP(INDIRECT(ADDRESS(2,COLUMN())),OFFSET($BN$2,0,0,ROW()-1,60),ROW()-1,FALSE))</f>
        <v>286.072</v>
      </c>
      <c r="S69">
        <f ca="1">IF(AND(ISNUMBER($S$385),$B$294=1),$S$385,HLOOKUP(INDIRECT(ADDRESS(2,COLUMN())),OFFSET($BN$2,0,0,ROW()-1,60),ROW()-1,FALSE))</f>
        <v>318.57100000000003</v>
      </c>
      <c r="T69">
        <f ca="1">IF(AND(ISNUMBER($T$385),$B$294=1),$T$385,HLOOKUP(INDIRECT(ADDRESS(2,COLUMN())),OFFSET($BN$2,0,0,ROW()-1,60),ROW()-1,FALSE))</f>
        <v>307.87200000000001</v>
      </c>
      <c r="U69">
        <f ca="1">IF(AND(ISNUMBER($U$385),$B$294=1),$U$385,HLOOKUP(INDIRECT(ADDRESS(2,COLUMN())),OFFSET($BN$2,0,0,ROW()-1,60),ROW()-1,FALSE))</f>
        <v>300.96199999999999</v>
      </c>
      <c r="V69">
        <f ca="1">IF(AND(ISNUMBER($V$385),$B$294=1),$V$385,HLOOKUP(INDIRECT(ADDRESS(2,COLUMN())),OFFSET($BN$2,0,0,ROW()-1,60),ROW()-1,FALSE))</f>
        <v>299.11</v>
      </c>
      <c r="W69">
        <f ca="1">IF(AND(ISNUMBER($W$385),$B$294=1),$W$385,HLOOKUP(INDIRECT(ADDRESS(2,COLUMN())),OFFSET($BN$2,0,0,ROW()-1,60),ROW()-1,FALSE))</f>
        <v>304.17099999999999</v>
      </c>
      <c r="X69">
        <f ca="1">IF(AND(ISNUMBER($X$385),$B$294=1),$X$385,HLOOKUP(INDIRECT(ADDRESS(2,COLUMN())),OFFSET($BN$2,0,0,ROW()-1,60),ROW()-1,FALSE))</f>
        <v>352.62700000000001</v>
      </c>
      <c r="Y69">
        <f ca="1">IF(AND(ISNUMBER($Y$385),$B$294=1),$Y$385,HLOOKUP(INDIRECT(ADDRESS(2,COLUMN())),OFFSET($BN$2,0,0,ROW()-1,60),ROW()-1,FALSE))</f>
        <v>322.27600000000001</v>
      </c>
      <c r="Z69">
        <f ca="1">IF(AND(ISNUMBER($Z$385),$B$294=1),$Z$385,HLOOKUP(INDIRECT(ADDRESS(2,COLUMN())),OFFSET($BN$2,0,0,ROW()-1,60),ROW()-1,FALSE))</f>
        <v>399.21199999999999</v>
      </c>
      <c r="AA69">
        <f ca="1">IF(AND(ISNUMBER($AA$385),$B$294=1),$AA$385,HLOOKUP(INDIRECT(ADDRESS(2,COLUMN())),OFFSET($BN$2,0,0,ROW()-1,60),ROW()-1,FALSE))</f>
        <v>205.32</v>
      </c>
      <c r="AB69">
        <f ca="1">IF(AND(ISNUMBER($AB$385),$B$294=1),$AB$385,HLOOKUP(INDIRECT(ADDRESS(2,COLUMN())),OFFSET($BN$2,0,0,ROW()-1,60),ROW()-1,FALSE))</f>
        <v>319.49599999999998</v>
      </c>
      <c r="AC69">
        <f ca="1">IF(AND(ISNUMBER($AC$385),$B$294=1),$AC$385,HLOOKUP(INDIRECT(ADDRESS(2,COLUMN())),OFFSET($BN$2,0,0,ROW()-1,60),ROW()-1,FALSE))</f>
        <v>330.46899999999999</v>
      </c>
      <c r="AD69">
        <f ca="1">IF(AND(ISNUMBER($AD$385),$B$294=1),$AD$385,HLOOKUP(INDIRECT(ADDRESS(2,COLUMN())),OFFSET($BN$2,0,0,ROW()-1,60),ROW()-1,FALSE))</f>
        <v>313.709</v>
      </c>
      <c r="AE69">
        <f ca="1">IF(AND(ISNUMBER($AE$385),$B$294=1),$AE$385,HLOOKUP(INDIRECT(ADDRESS(2,COLUMN())),OFFSET($BN$2,0,0,ROW()-1,60),ROW()-1,FALSE))</f>
        <v>354.142</v>
      </c>
      <c r="AF69">
        <f ca="1">IF(AND(ISNUMBER($AF$385),$B$294=1),$AF$385,HLOOKUP(INDIRECT(ADDRESS(2,COLUMN())),OFFSET($BN$2,0,0,ROW()-1,60),ROW()-1,FALSE))</f>
        <v>340.988</v>
      </c>
      <c r="AG69">
        <f ca="1">IF(AND(ISNUMBER($AG$385),$B$294=1),$AG$385,HLOOKUP(INDIRECT(ADDRESS(2,COLUMN())),OFFSET($BN$2,0,0,ROW()-1,60),ROW()-1,FALSE))</f>
        <v>351.68400000000003</v>
      </c>
      <c r="AH69">
        <f ca="1">IF(AND(ISNUMBER($AH$385),$B$294=1),$AH$385,HLOOKUP(INDIRECT(ADDRESS(2,COLUMN())),OFFSET($BN$2,0,0,ROW()-1,60),ROW()-1,FALSE))</f>
        <v>315.16199999999998</v>
      </c>
      <c r="AI69">
        <f ca="1">IF(AND(ISNUMBER($AI$385),$B$294=1),$AI$385,HLOOKUP(INDIRECT(ADDRESS(2,COLUMN())),OFFSET($BN$2,0,0,ROW()-1,60),ROW()-1,FALSE))</f>
        <v>211.119</v>
      </c>
      <c r="AJ69">
        <f ca="1">IF(AND(ISNUMBER($AJ$385),$B$294=1),$AJ$385,HLOOKUP(INDIRECT(ADDRESS(2,COLUMN())),OFFSET($BN$2,0,0,ROW()-1,60),ROW()-1,FALSE))</f>
        <v>347.97300000000001</v>
      </c>
      <c r="AK69">
        <f ca="1">IF(AND(ISNUMBER($AK$385),$B$294=1),$AK$385,HLOOKUP(INDIRECT(ADDRESS(2,COLUMN())),OFFSET($BN$2,0,0,ROW()-1,60),ROW()-1,FALSE))</f>
        <v>360.90300000000002</v>
      </c>
      <c r="AL69">
        <f ca="1">IF(AND(ISNUMBER($AL$385),$B$294=1),$AL$385,HLOOKUP(INDIRECT(ADDRESS(2,COLUMN())),OFFSET($BN$2,0,0,ROW()-1,60),ROW()-1,FALSE))</f>
        <v>352.541</v>
      </c>
      <c r="AM69">
        <f ca="1">IF(AND(ISNUMBER($AM$385),$B$294=1),$AM$385,HLOOKUP(INDIRECT(ADDRESS(2,COLUMN())),OFFSET($BN$2,0,0,ROW()-1,60),ROW()-1,FALSE))</f>
        <v>302.33999999999997</v>
      </c>
      <c r="AN69">
        <f ca="1">IF(AND(ISNUMBER($AN$385),$B$294=1),$AN$385,HLOOKUP(INDIRECT(ADDRESS(2,COLUMN())),OFFSET($BN$2,0,0,ROW()-1,60),ROW()-1,FALSE))</f>
        <v>340.24299999999999</v>
      </c>
      <c r="AO69">
        <f ca="1">IF(AND(ISNUMBER($AO$385),$B$294=1),$AO$385,HLOOKUP(INDIRECT(ADDRESS(2,COLUMN())),OFFSET($BN$2,0,0,ROW()-1,60),ROW()-1,FALSE))</f>
        <v>339.82900000000001</v>
      </c>
      <c r="AP69">
        <f ca="1">IF(AND(ISNUMBER($AP$385),$B$294=1),$AP$385,HLOOKUP(INDIRECT(ADDRESS(2,COLUMN())),OFFSET($BN$2,0,0,ROW()-1,60),ROW()-1,FALSE))</f>
        <v>307.14299999999997</v>
      </c>
      <c r="AQ69">
        <f ca="1">IF(AND(ISNUMBER($AQ$385),$B$294=1),$AQ$385,HLOOKUP(INDIRECT(ADDRESS(2,COLUMN())),OFFSET($BN$2,0,0,ROW()-1,60),ROW()-1,FALSE))</f>
        <v>352.47699999999998</v>
      </c>
      <c r="AR69">
        <f ca="1">IF(AND(ISNUMBER($AR$385),$B$294=1),$AR$385,HLOOKUP(INDIRECT(ADDRESS(2,COLUMN())),OFFSET($BN$2,0,0,ROW()-1,60),ROW()-1,FALSE))</f>
        <v>330.26100000000002</v>
      </c>
      <c r="AS69">
        <f ca="1">IF(AND(ISNUMBER($AS$385),$B$294=1),$AS$385,HLOOKUP(INDIRECT(ADDRESS(2,COLUMN())),OFFSET($BN$2,0,0,ROW()-1,60),ROW()-1,FALSE))</f>
        <v>344.91699999999997</v>
      </c>
      <c r="AT69">
        <f ca="1">IF(AND(ISNUMBER($AT$385),$B$294=1),$AT$385,HLOOKUP(INDIRECT(ADDRESS(2,COLUMN())),OFFSET($BN$2,0,0,ROW()-1,60),ROW()-1,FALSE))</f>
        <v>339.44400000000002</v>
      </c>
      <c r="AU69">
        <f ca="1">IF(AND(ISNUMBER($AU$385),$B$294=1),$AU$385,HLOOKUP(INDIRECT(ADDRESS(2,COLUMN())),OFFSET($BN$2,0,0,ROW()-1,60),ROW()-1,FALSE))</f>
        <v>358.16800000000001</v>
      </c>
      <c r="AV69">
        <f ca="1">IF(AND(ISNUMBER($AV$385),$B$294=1),$AV$385,HLOOKUP(INDIRECT(ADDRESS(2,COLUMN())),OFFSET($BN$2,0,0,ROW()-1,60),ROW()-1,FALSE))</f>
        <v>330.02699999999999</v>
      </c>
      <c r="AW69">
        <f ca="1">IF(AND(ISNUMBER($AW$385),$B$294=1),$AW$385,HLOOKUP(INDIRECT(ADDRESS(2,COLUMN())),OFFSET($BN$2,0,0,ROW()-1,60),ROW()-1,FALSE))</f>
        <v>311.43700000000001</v>
      </c>
      <c r="AX69">
        <f ca="1">IF(AND(ISNUMBER($AX$385),$B$294=1),$AX$385,HLOOKUP(INDIRECT(ADDRESS(2,COLUMN())),OFFSET($BN$2,0,0,ROW()-1,60),ROW()-1,FALSE))</f>
        <v>284.161</v>
      </c>
      <c r="AY69">
        <f ca="1">IF(AND(ISNUMBER($AY$385),$B$294=1),$AY$385,HLOOKUP(INDIRECT(ADDRESS(2,COLUMN())),OFFSET($BN$2,0,0,ROW()-1,60),ROW()-1,FALSE))</f>
        <v>282.00299999999999</v>
      </c>
      <c r="AZ69">
        <f ca="1">IF(AND(ISNUMBER($AZ$385),$B$294=1),$AZ$385,HLOOKUP(INDIRECT(ADDRESS(2,COLUMN())),OFFSET($BN$2,0,0,ROW()-1,60),ROW()-1,FALSE))</f>
        <v>270.89999999999998</v>
      </c>
      <c r="BA69">
        <f ca="1">IF(AND(ISNUMBER($BA$385),$B$294=1),$BA$385,HLOOKUP(INDIRECT(ADDRESS(2,COLUMN())),OFFSET($BN$2,0,0,ROW()-1,60),ROW()-1,FALSE))</f>
        <v>294.24700000000001</v>
      </c>
      <c r="BB69">
        <f ca="1">IF(AND(ISNUMBER($BB$385),$B$294=1),$BB$385,HLOOKUP(INDIRECT(ADDRESS(2,COLUMN())),OFFSET($BN$2,0,0,ROW()-1,60),ROW()-1,FALSE))</f>
        <v>291.101</v>
      </c>
      <c r="BC69">
        <f ca="1">IF(AND(ISNUMBER($BC$385),$B$294=1),$BC$385,HLOOKUP(INDIRECT(ADDRESS(2,COLUMN())),OFFSET($BN$2,0,0,ROW()-1,60),ROW()-1,FALSE))</f>
        <v>308.94099999999997</v>
      </c>
      <c r="BD69">
        <f ca="1">IF(AND(ISNUMBER($BD$385),$B$294=1),$BD$385,HLOOKUP(INDIRECT(ADDRESS(2,COLUMN())),OFFSET($BN$2,0,0,ROW()-1,60),ROW()-1,FALSE))</f>
        <v>217.39400000000001</v>
      </c>
      <c r="BE69">
        <f ca="1">IF(AND(ISNUMBER($BE$385),$B$294=1),$BE$385,HLOOKUP(INDIRECT(ADDRESS(2,COLUMN())),OFFSET($BN$2,0,0,ROW()-1,60),ROW()-1,FALSE))</f>
        <v>262.60899999999998</v>
      </c>
      <c r="BF69">
        <f ca="1">IF(AND(ISNUMBER($BF$385),$B$294=1),$BF$385,HLOOKUP(INDIRECT(ADDRESS(2,COLUMN())),OFFSET($BN$2,0,0,ROW()-1,60),ROW()-1,FALSE))</f>
        <v>260.90300000000002</v>
      </c>
      <c r="BG69">
        <f ca="1">IF(AND(ISNUMBER($BG$385),$B$294=1),$BG$385,HLOOKUP(INDIRECT(ADDRESS(2,COLUMN())),OFFSET($BN$2,0,0,ROW()-1,60),ROW()-1,FALSE))</f>
        <v>381.91300000000001</v>
      </c>
      <c r="BH69">
        <f ca="1">IF(AND(ISNUMBER($BH$385),$B$294=1),$BH$385,HLOOKUP(INDIRECT(ADDRESS(2,COLUMN())),OFFSET($BN$2,0,0,ROW()-1,60),ROW()-1,FALSE))</f>
        <v>233.88499999999999</v>
      </c>
      <c r="BI69">
        <f ca="1">IF(AND(ISNUMBER($BI$385),$B$294=1),$BI$385,HLOOKUP(INDIRECT(ADDRESS(2,COLUMN())),OFFSET($BN$2,0,0,ROW()-1,60),ROW()-1,FALSE))</f>
        <v>237.537002</v>
      </c>
      <c r="BJ69">
        <f ca="1">IF(AND(ISNUMBER($BJ$385),$B$294=1),$BJ$385,HLOOKUP(INDIRECT(ADDRESS(2,COLUMN())),OFFSET($BN$2,0,0,ROW()-1,60),ROW()-1,FALSE))</f>
        <v>218.92900499999999</v>
      </c>
      <c r="BK69">
        <f ca="1">IF(AND(ISNUMBER($BK$385),$B$294=1),$BK$385,HLOOKUP(INDIRECT(ADDRESS(2,COLUMN())),OFFSET($BN$2,0,0,ROW()-1,60),ROW()-1,FALSE))</f>
        <v>214.12200200000001</v>
      </c>
      <c r="BL69">
        <f ca="1">IF(AND(ISNUMBER($BL$385),$B$294=1),$BL$385,HLOOKUP(INDIRECT(ADDRESS(2,COLUMN())),OFFSET($BN$2,0,0,ROW()-1,60),ROW()-1,FALSE))</f>
        <v>203.01700700000001</v>
      </c>
      <c r="BM69">
        <f ca="1">IF(AND(ISNUMBER($BM$385),$B$294=1),$BM$385,HLOOKUP(INDIRECT(ADDRESS(2,COLUMN())),OFFSET($BN$2,0,0,ROW()-1,60),ROW()-1,FALSE))</f>
        <v>207.712997</v>
      </c>
      <c r="BN69" t="str">
        <f>""</f>
        <v/>
      </c>
      <c r="BO69">
        <f>270.451</f>
        <v>270.45100000000002</v>
      </c>
      <c r="BP69">
        <f>268.821</f>
        <v>268.82100000000003</v>
      </c>
      <c r="BQ69">
        <f>314.476</f>
        <v>314.476</v>
      </c>
      <c r="BR69">
        <f>290.894</f>
        <v>290.89400000000001</v>
      </c>
      <c r="BS69">
        <f>312.808</f>
        <v>312.80799999999999</v>
      </c>
      <c r="BT69">
        <f>323.787</f>
        <v>323.78699999999998</v>
      </c>
      <c r="BU69">
        <f>323.403</f>
        <v>323.40300000000002</v>
      </c>
      <c r="BV69">
        <f>132.861</f>
        <v>132.86099999999999</v>
      </c>
      <c r="BW69">
        <f>320.281</f>
        <v>320.28100000000001</v>
      </c>
      <c r="BX69">
        <f>319.206</f>
        <v>319.20600000000002</v>
      </c>
      <c r="BY69">
        <f>321.843</f>
        <v>321.84300000000002</v>
      </c>
      <c r="BZ69">
        <f>286.072</f>
        <v>286.072</v>
      </c>
      <c r="CA69">
        <f>318.571</f>
        <v>318.57100000000003</v>
      </c>
      <c r="CB69">
        <f>307.872</f>
        <v>307.87200000000001</v>
      </c>
      <c r="CC69">
        <f>300.962</f>
        <v>300.96199999999999</v>
      </c>
      <c r="CD69">
        <f>299.11</f>
        <v>299.11</v>
      </c>
      <c r="CE69">
        <f>304.171</f>
        <v>304.17099999999999</v>
      </c>
      <c r="CF69">
        <f>352.627</f>
        <v>352.62700000000001</v>
      </c>
      <c r="CG69">
        <f>322.276</f>
        <v>322.27600000000001</v>
      </c>
      <c r="CH69">
        <f>399.212</f>
        <v>399.21199999999999</v>
      </c>
      <c r="CI69">
        <f>205.32</f>
        <v>205.32</v>
      </c>
      <c r="CJ69">
        <f>319.496</f>
        <v>319.49599999999998</v>
      </c>
      <c r="CK69">
        <f>330.469</f>
        <v>330.46899999999999</v>
      </c>
      <c r="CL69">
        <f>313.709</f>
        <v>313.709</v>
      </c>
      <c r="CM69">
        <f>354.142</f>
        <v>354.142</v>
      </c>
      <c r="CN69">
        <f>340.988</f>
        <v>340.988</v>
      </c>
      <c r="CO69">
        <f>351.684</f>
        <v>351.68400000000003</v>
      </c>
      <c r="CP69">
        <f>315.162</f>
        <v>315.16199999999998</v>
      </c>
      <c r="CQ69">
        <f>211.119</f>
        <v>211.119</v>
      </c>
      <c r="CR69">
        <f>347.973</f>
        <v>347.97300000000001</v>
      </c>
      <c r="CS69">
        <f>360.903</f>
        <v>360.90300000000002</v>
      </c>
      <c r="CT69">
        <f>352.541</f>
        <v>352.541</v>
      </c>
      <c r="CU69">
        <f>302.34</f>
        <v>302.33999999999997</v>
      </c>
      <c r="CV69">
        <f>340.243</f>
        <v>340.24299999999999</v>
      </c>
      <c r="CW69">
        <f>339.829</f>
        <v>339.82900000000001</v>
      </c>
      <c r="CX69">
        <f>307.143</f>
        <v>307.14299999999997</v>
      </c>
      <c r="CY69">
        <f>352.477</f>
        <v>352.47699999999998</v>
      </c>
      <c r="CZ69">
        <f>330.261</f>
        <v>330.26100000000002</v>
      </c>
      <c r="DA69">
        <f>344.917</f>
        <v>344.91699999999997</v>
      </c>
      <c r="DB69">
        <f>339.444</f>
        <v>339.44400000000002</v>
      </c>
      <c r="DC69">
        <f>358.168</f>
        <v>358.16800000000001</v>
      </c>
      <c r="DD69">
        <f>330.027</f>
        <v>330.02699999999999</v>
      </c>
      <c r="DE69">
        <f>311.437</f>
        <v>311.43700000000001</v>
      </c>
      <c r="DF69">
        <f>284.161</f>
        <v>284.161</v>
      </c>
      <c r="DG69">
        <f>282.003</f>
        <v>282.00299999999999</v>
      </c>
      <c r="DH69">
        <f>270.9</f>
        <v>270.89999999999998</v>
      </c>
      <c r="DI69">
        <f>294.247</f>
        <v>294.24700000000001</v>
      </c>
      <c r="DJ69">
        <f>291.101</f>
        <v>291.101</v>
      </c>
      <c r="DK69">
        <f>308.941</f>
        <v>308.94099999999997</v>
      </c>
      <c r="DL69">
        <f>217.394</f>
        <v>217.39400000000001</v>
      </c>
      <c r="DM69">
        <f>262.609</f>
        <v>262.60899999999998</v>
      </c>
      <c r="DN69">
        <f>260.903</f>
        <v>260.90300000000002</v>
      </c>
      <c r="DO69">
        <f>381.913</f>
        <v>381.91300000000001</v>
      </c>
      <c r="DP69">
        <f>233.885</f>
        <v>233.88499999999999</v>
      </c>
      <c r="DQ69">
        <f>237.537002</f>
        <v>237.537002</v>
      </c>
      <c r="DR69">
        <f>218.929005</f>
        <v>218.92900499999999</v>
      </c>
      <c r="DS69">
        <f>214.122002</f>
        <v>214.12200200000001</v>
      </c>
      <c r="DT69">
        <f>203.017007</f>
        <v>203.01700700000001</v>
      </c>
      <c r="DU69">
        <f>207.712997</f>
        <v>207.712997</v>
      </c>
    </row>
    <row r="70" spans="1:125">
      <c r="A70" t="str">
        <f>"调整后EBITDA"</f>
        <v>调整后EBITDA</v>
      </c>
      <c r="B70" t="str">
        <f>""</f>
        <v/>
      </c>
      <c r="E70" t="str">
        <f>"Median"</f>
        <v>Median</v>
      </c>
      <c r="F70" t="str">
        <f ca="1">IF(ISERROR(IF(MEDIAN($F$71:$F$80) = 0, "", MEDIAN($F$71:$F$80))), "", (IF(MEDIAN($F$71:$F$80) = 0, "", MEDIAN($F$71:$F$80))))</f>
        <v/>
      </c>
      <c r="G70">
        <f ca="1">IF(ISERROR(IF(MEDIAN($G$71:$G$80) = 0, "", MEDIAN($G$71:$G$80))), "", (IF(MEDIAN($G$71:$G$80) = 0, "", MEDIAN($G$71:$G$80))))</f>
        <v>81.569999999999993</v>
      </c>
      <c r="H70">
        <f ca="1">IF(ISERROR(IF(MEDIAN($H$71:$H$80) = 0, "", MEDIAN($H$71:$H$80))), "", (IF(MEDIAN($H$71:$H$80) = 0, "", MEDIAN($H$71:$H$80))))</f>
        <v>148.084</v>
      </c>
      <c r="I70">
        <f ca="1">IF(ISERROR(IF(MEDIAN($I$71:$I$80) = 0, "", MEDIAN($I$71:$I$80))), "", (IF(MEDIAN($I$71:$I$80) = 0, "", MEDIAN($I$71:$I$80))))</f>
        <v>88.427999999999997</v>
      </c>
      <c r="J70">
        <f ca="1">IF(ISERROR(IF(MEDIAN($J$71:$J$80) = 0, "", MEDIAN($J$71:$J$80))), "", (IF(MEDIAN($J$71:$J$80) = 0, "", MEDIAN($J$71:$J$80))))</f>
        <v>88.602999999999994</v>
      </c>
      <c r="K70">
        <f ca="1">IF(ISERROR(IF(MEDIAN($K$71:$K$80) = 0, "", MEDIAN($K$71:$K$80))), "", (IF(MEDIAN($K$71:$K$80) = 0, "", MEDIAN($K$71:$K$80))))</f>
        <v>88.35</v>
      </c>
      <c r="L70">
        <f ca="1">IF(ISERROR(IF(MEDIAN($L$71:$L$80) = 0, "", MEDIAN($L$71:$L$80))), "", (IF(MEDIAN($L$71:$L$80) = 0, "", MEDIAN($L$71:$L$80))))</f>
        <v>87.616</v>
      </c>
      <c r="M70">
        <f ca="1">IF(ISERROR(IF(MEDIAN($M$71:$M$80) = 0, "", MEDIAN($M$71:$M$80))), "", (IF(MEDIAN($M$71:$M$80) = 0, "", MEDIAN($M$71:$M$80))))</f>
        <v>85.498000000000005</v>
      </c>
      <c r="N70">
        <f ca="1">IF(ISERROR(IF(MEDIAN($N$71:$N$80) = 0, "", MEDIAN($N$71:$N$80))), "", (IF(MEDIAN($N$71:$N$80) = 0, "", MEDIAN($N$71:$N$80))))</f>
        <v>87.757000000000005</v>
      </c>
      <c r="O70">
        <f ca="1">IF(ISERROR(IF(MEDIAN($O$71:$O$80) = 0, "", MEDIAN($O$71:$O$80))), "", (IF(MEDIAN($O$71:$O$80) = 0, "", MEDIAN($O$71:$O$80))))</f>
        <v>96.283000000000001</v>
      </c>
      <c r="P70">
        <f ca="1">IF(ISERROR(IF(MEDIAN($P$71:$P$80) = 0, "", MEDIAN($P$71:$P$80))), "", (IF(MEDIAN($P$71:$P$80) = 0, "", MEDIAN($P$71:$P$80))))</f>
        <v>97.241</v>
      </c>
      <c r="Q70">
        <f ca="1">IF(ISERROR(IF(MEDIAN($Q$71:$Q$80) = 0, "", MEDIAN($Q$71:$Q$80))), "", (IF(MEDIAN($Q$71:$Q$80) = 0, "", MEDIAN($Q$71:$Q$80))))</f>
        <v>93.382000000000005</v>
      </c>
      <c r="R70">
        <f ca="1">IF(ISERROR(IF(MEDIAN($R$71:$R$80) = 0, "", MEDIAN($R$71:$R$80))), "", (IF(MEDIAN($R$71:$R$80) = 0, "", MEDIAN($R$71:$R$80))))</f>
        <v>96.445999999999998</v>
      </c>
      <c r="S70">
        <f ca="1">IF(ISERROR(IF(MEDIAN($S$71:$S$80) = 0, "", MEDIAN($S$71:$S$80))), "", (IF(MEDIAN($S$71:$S$80) = 0, "", MEDIAN($S$71:$S$80))))</f>
        <v>365.74400000000003</v>
      </c>
      <c r="T70">
        <f ca="1">IF(ISERROR(IF(MEDIAN($T$71:$T$80) = 0, "", MEDIAN($T$71:$T$80))), "", (IF(MEDIAN($T$71:$T$80) = 0, "", MEDIAN($T$71:$T$80))))</f>
        <v>93.888999999999996</v>
      </c>
      <c r="U70">
        <f ca="1">IF(ISERROR(IF(MEDIAN($U$71:$U$80) = 0, "", MEDIAN($U$71:$U$80))), "", (IF(MEDIAN($U$71:$U$80) = 0, "", MEDIAN($U$71:$U$80))))</f>
        <v>96.078999999999994</v>
      </c>
      <c r="V70">
        <f ca="1">IF(ISERROR(IF(MEDIAN($V$71:$V$80) = 0, "", MEDIAN($V$71:$V$80))), "", (IF(MEDIAN($V$71:$V$80) = 0, "", MEDIAN($V$71:$V$80))))</f>
        <v>93.123000000000005</v>
      </c>
      <c r="W70">
        <f ca="1">IF(ISERROR(IF(MEDIAN($W$71:$W$80) = 0, "", MEDIAN($W$71:$W$80))), "", (IF(MEDIAN($W$71:$W$80) = 0, "", MEDIAN($W$71:$W$80))))</f>
        <v>86.989000000000004</v>
      </c>
      <c r="X70">
        <f ca="1">IF(ISERROR(IF(MEDIAN($X$71:$X$80) = 0, "", MEDIAN($X$71:$X$80))), "", (IF(MEDIAN($X$71:$X$80) = 0, "", MEDIAN($X$71:$X$80))))</f>
        <v>90.379000000000005</v>
      </c>
      <c r="Y70">
        <f ca="1">IF(ISERROR(IF(MEDIAN($Y$71:$Y$80) = 0, "", MEDIAN($Y$71:$Y$80))), "", (IF(MEDIAN($Y$71:$Y$80) = 0, "", MEDIAN($Y$71:$Y$80))))</f>
        <v>91.929000000000002</v>
      </c>
      <c r="Z70">
        <f ca="1">IF(ISERROR(IF(MEDIAN($Z$71:$Z$80) = 0, "", MEDIAN($Z$71:$Z$80))), "", (IF(MEDIAN($Z$71:$Z$80) = 0, "", MEDIAN($Z$71:$Z$80))))</f>
        <v>90.213999999999999</v>
      </c>
      <c r="AA70">
        <f ca="1">IF(ISERROR(IF(MEDIAN($AA$71:$AA$80) = 0, "", MEDIAN($AA$71:$AA$80))), "", (IF(MEDIAN($AA$71:$AA$80) = 0, "", MEDIAN($AA$71:$AA$80))))</f>
        <v>90.064999999999998</v>
      </c>
      <c r="AB70">
        <f ca="1">IF(ISERROR(IF(MEDIAN($AB$71:$AB$80) = 0, "", MEDIAN($AB$71:$AB$80))), "", (IF(MEDIAN($AB$71:$AB$80) = 0, "", MEDIAN($AB$71:$AB$80))))</f>
        <v>208.52800000000002</v>
      </c>
      <c r="AC70">
        <f ca="1">IF(ISERROR(IF(MEDIAN($AC$71:$AC$80) = 0, "", MEDIAN($AC$71:$AC$80))), "", (IF(MEDIAN($AC$71:$AC$80) = 0, "", MEDIAN($AC$71:$AC$80))))</f>
        <v>215.36149999999998</v>
      </c>
      <c r="AD70">
        <f ca="1">IF(ISERROR(IF(MEDIAN($AD$71:$AD$80) = 0, "", MEDIAN($AD$71:$AD$80))), "", (IF(MEDIAN($AD$71:$AD$80) = 0, "", MEDIAN($AD$71:$AD$80))))</f>
        <v>211.983</v>
      </c>
      <c r="AE70">
        <f ca="1">IF(ISERROR(IF(MEDIAN($AE$71:$AE$80) = 0, "", MEDIAN($AE$71:$AE$80))), "", (IF(MEDIAN($AE$71:$AE$80) = 0, "", MEDIAN($AE$71:$AE$80))))</f>
        <v>209.77850000000001</v>
      </c>
      <c r="AF70">
        <f ca="1">IF(ISERROR(IF(MEDIAN($AF$71:$AF$80) = 0, "", MEDIAN($AF$71:$AF$80))), "", (IF(MEDIAN($AF$71:$AF$80) = 0, "", MEDIAN($AF$71:$AF$80))))</f>
        <v>88.281000000000006</v>
      </c>
      <c r="AG70">
        <f ca="1">IF(ISERROR(IF(MEDIAN($AG$71:$AG$80) = 0, "", MEDIAN($AG$71:$AG$80))), "", (IF(MEDIAN($AG$71:$AG$80) = 0, "", MEDIAN($AG$71:$AG$80))))</f>
        <v>90.093000000000004</v>
      </c>
      <c r="AH70">
        <f ca="1">IF(ISERROR(IF(MEDIAN($AH$71:$AH$80) = 0, "", MEDIAN($AH$71:$AH$80))), "", (IF(MEDIAN($AH$71:$AH$80) = 0, "", MEDIAN($AH$71:$AH$80))))</f>
        <v>87.986999999999995</v>
      </c>
      <c r="AI70">
        <f ca="1">IF(ISERROR(IF(MEDIAN($AI$71:$AI$80) = 0, "", MEDIAN($AI$71:$AI$80))), "", (IF(MEDIAN($AI$71:$AI$80) = 0, "", MEDIAN($AI$71:$AI$80))))</f>
        <v>196.27749999999997</v>
      </c>
      <c r="AJ70">
        <f ca="1">IF(ISERROR(IF(MEDIAN($AJ$71:$AJ$80) = 0, "", MEDIAN($AJ$71:$AJ$80))), "", (IF(MEDIAN($AJ$71:$AJ$80) = 0, "", MEDIAN($AJ$71:$AJ$80))))</f>
        <v>160.71100000000001</v>
      </c>
      <c r="AK70">
        <f ca="1">IF(ISERROR(IF(MEDIAN($AK$71:$AK$80) = 0, "", MEDIAN($AK$71:$AK$80))), "", (IF(MEDIAN($AK$71:$AK$80) = 0, "", MEDIAN($AK$71:$AK$80))))</f>
        <v>191.18650000000002</v>
      </c>
      <c r="AL70">
        <f ca="1">IF(ISERROR(IF(MEDIAN($AL$71:$AL$80) = 0, "", MEDIAN($AL$71:$AL$80))), "", (IF(MEDIAN($AL$71:$AL$80) = 0, "", MEDIAN($AL$71:$AL$80))))</f>
        <v>185.09649999999999</v>
      </c>
      <c r="AM70">
        <f ca="1">IF(ISERROR(IF(MEDIAN($AM$71:$AM$80) = 0, "", MEDIAN($AM$71:$AM$80))), "", (IF(MEDIAN($AM$71:$AM$80) = 0, "", MEDIAN($AM$71:$AM$80))))</f>
        <v>187.21799999999999</v>
      </c>
      <c r="AN70">
        <f ca="1">IF(ISERROR(IF(MEDIAN($AN$71:$AN$80) = 0, "", MEDIAN($AN$71:$AN$80))), "", (IF(MEDIAN($AN$71:$AN$80) = 0, "", MEDIAN($AN$71:$AN$80))))</f>
        <v>188.79450000000003</v>
      </c>
      <c r="AO70">
        <f ca="1">IF(ISERROR(IF(MEDIAN($AO$71:$AO$80) = 0, "", MEDIAN($AO$71:$AO$80))), "", (IF(MEDIAN($AO$71:$AO$80) = 0, "", MEDIAN($AO$71:$AO$80))))</f>
        <v>196.48700000000002</v>
      </c>
      <c r="AP70">
        <f ca="1">IF(ISERROR(IF(MEDIAN($AP$71:$AP$80) = 0, "", MEDIAN($AP$71:$AP$80))), "", (IF(MEDIAN($AP$71:$AP$80) = 0, "", MEDIAN($AP$71:$AP$80))))</f>
        <v>190.40500000000003</v>
      </c>
      <c r="AQ70">
        <f ca="1">IF(ISERROR(IF(MEDIAN($AQ$71:$AQ$80) = 0, "", MEDIAN($AQ$71:$AQ$80))), "", (IF(MEDIAN($AQ$71:$AQ$80) = 0, "", MEDIAN($AQ$71:$AQ$80))))</f>
        <v>368.65600000000001</v>
      </c>
      <c r="AR70">
        <f ca="1">IF(ISERROR(IF(MEDIAN($AR$71:$AR$80) = 0, "", MEDIAN($AR$71:$AR$80))), "", (IF(MEDIAN($AR$71:$AR$80) = 0, "", MEDIAN($AR$71:$AR$80))))</f>
        <v>281.42200000000003</v>
      </c>
      <c r="AS70">
        <f ca="1">IF(ISERROR(IF(MEDIAN($AS$71:$AS$80) = 0, "", MEDIAN($AS$71:$AS$80))), "", (IF(MEDIAN($AS$71:$AS$80) = 0, "", MEDIAN($AS$71:$AS$80))))</f>
        <v>243.5</v>
      </c>
      <c r="AT70">
        <f ca="1">IF(ISERROR(IF(MEDIAN($AT$71:$AT$80) = 0, "", MEDIAN($AT$71:$AT$80))), "", (IF(MEDIAN($AT$71:$AT$80) = 0, "", MEDIAN($AT$71:$AT$80))))</f>
        <v>231.40799999999999</v>
      </c>
      <c r="AU70">
        <f ca="1">IF(ISERROR(IF(MEDIAN($AU$71:$AU$80) = 0, "", MEDIAN($AU$71:$AU$80))), "", (IF(MEDIAN($AU$71:$AU$80) = 0, "", MEDIAN($AU$71:$AU$80))))</f>
        <v>334.57749999999999</v>
      </c>
      <c r="AV70" t="str">
        <f ca="1">IF(ISERROR(IF(MEDIAN($AV$71:$AV$80) = 0, "", MEDIAN($AV$71:$AV$80))), "", (IF(MEDIAN($AV$71:$AV$80) = 0, "", MEDIAN($AV$71:$AV$80))))</f>
        <v/>
      </c>
      <c r="AW70">
        <f ca="1">IF(ISERROR(IF(MEDIAN($AW$71:$AW$80) = 0, "", MEDIAN($AW$71:$AW$80))), "", (IF(MEDIAN($AW$71:$AW$80) = 0, "", MEDIAN($AW$71:$AW$80))))</f>
        <v>244.89699999999999</v>
      </c>
      <c r="AX70">
        <f ca="1">IF(ISERROR(IF(MEDIAN($AX$71:$AX$80) = 0, "", MEDIAN($AX$71:$AX$80))), "", (IF(MEDIAN($AX$71:$AX$80) = 0, "", MEDIAN($AX$71:$AX$80))))</f>
        <v>232.99600000000001</v>
      </c>
      <c r="AY70" t="str">
        <f ca="1">IF(ISERROR(IF(MEDIAN($AY$71:$AY$80) = 0, "", MEDIAN($AY$71:$AY$80))), "", (IF(MEDIAN($AY$71:$AY$80) = 0, "", MEDIAN($AY$71:$AY$80))))</f>
        <v/>
      </c>
      <c r="AZ70" t="str">
        <f ca="1">IF(ISERROR(IF(MEDIAN($AZ$71:$AZ$80) = 0, "", MEDIAN($AZ$71:$AZ$80))), "", (IF(MEDIAN($AZ$71:$AZ$80) = 0, "", MEDIAN($AZ$71:$AZ$80))))</f>
        <v/>
      </c>
      <c r="BA70">
        <f ca="1">IF(ISERROR(IF(MEDIAN($BA$71:$BA$80) = 0, "", MEDIAN($BA$71:$BA$80))), "", (IF(MEDIAN($BA$71:$BA$80) = 0, "", MEDIAN($BA$71:$BA$80))))</f>
        <v>373.01</v>
      </c>
      <c r="BB70" t="str">
        <f ca="1">IF(ISERROR(IF(MEDIAN($BB$71:$BB$80) = 0, "", MEDIAN($BB$71:$BB$80))), "", (IF(MEDIAN($BB$71:$BB$80) = 0, "", MEDIAN($BB$71:$BB$80))))</f>
        <v/>
      </c>
      <c r="BC70" t="str">
        <f ca="1">IF(ISERROR(IF(MEDIAN($BC$71:$BC$80) = 0, "", MEDIAN($BC$71:$BC$80))), "", (IF(MEDIAN($BC$71:$BC$80) = 0, "", MEDIAN($BC$71:$BC$80))))</f>
        <v/>
      </c>
      <c r="BD70" t="str">
        <f ca="1">IF(ISERROR(IF(MEDIAN($BD$71:$BD$80) = 0, "", MEDIAN($BD$71:$BD$80))), "", (IF(MEDIAN($BD$71:$BD$80) = 0, "", MEDIAN($BD$71:$BD$80))))</f>
        <v/>
      </c>
      <c r="BE70" t="str">
        <f ca="1">IF(ISERROR(IF(MEDIAN($BE$71:$BE$80) = 0, "", MEDIAN($BE$71:$BE$80))), "", (IF(MEDIAN($BE$71:$BE$80) = 0, "", MEDIAN($BE$71:$BE$80))))</f>
        <v/>
      </c>
      <c r="BF70" t="str">
        <f ca="1">IF(ISERROR(IF(MEDIAN($BF$71:$BF$80) = 0, "", MEDIAN($BF$71:$BF$80))), "", (IF(MEDIAN($BF$71:$BF$80) = 0, "", MEDIAN($BF$71:$BF$80))))</f>
        <v/>
      </c>
      <c r="BG70" t="str">
        <f ca="1">IF(ISERROR(IF(MEDIAN($BG$71:$BG$80) = 0, "", MEDIAN($BG$71:$BG$80))), "", (IF(MEDIAN($BG$71:$BG$80) = 0, "", MEDIAN($BG$71:$BG$80))))</f>
        <v/>
      </c>
      <c r="BH70" t="str">
        <f ca="1">IF(ISERROR(IF(MEDIAN($BH$71:$BH$80) = 0, "", MEDIAN($BH$71:$BH$80))), "", (IF(MEDIAN($BH$71:$BH$80) = 0, "", MEDIAN($BH$71:$BH$80))))</f>
        <v/>
      </c>
      <c r="BI70" t="str">
        <f ca="1">IF(ISERROR(IF(MEDIAN($BI$71:$BI$80) = 0, "", MEDIAN($BI$71:$BI$80))), "", (IF(MEDIAN($BI$71:$BI$80) = 0, "", MEDIAN($BI$71:$BI$80))))</f>
        <v/>
      </c>
      <c r="BJ70" t="str">
        <f ca="1">IF(ISERROR(IF(MEDIAN($BJ$71:$BJ$80) = 0, "", MEDIAN($BJ$71:$BJ$80))), "", (IF(MEDIAN($BJ$71:$BJ$80) = 0, "", MEDIAN($BJ$71:$BJ$80))))</f>
        <v/>
      </c>
      <c r="BK70" t="str">
        <f ca="1">IF(ISERROR(IF(MEDIAN($BK$71:$BK$80) = 0, "", MEDIAN($BK$71:$BK$80))), "", (IF(MEDIAN($BK$71:$BK$80) = 0, "", MEDIAN($BK$71:$BK$80))))</f>
        <v/>
      </c>
      <c r="BL70" t="str">
        <f ca="1">IF(ISERROR(IF(MEDIAN($BL$71:$BL$80) = 0, "", MEDIAN($BL$71:$BL$80))), "", (IF(MEDIAN($BL$71:$BL$80) = 0, "", MEDIAN($BL$71:$BL$80))))</f>
        <v/>
      </c>
      <c r="BM70" t="str">
        <f ca="1">IF(ISERROR(IF(MEDIAN($BM$71:$BM$80) = 0, "", MEDIAN($BM$71:$BM$80))), "", (IF(MEDIAN($BM$71:$BM$80) = 0, "", MEDIAN($BM$71:$BM$80))))</f>
        <v/>
      </c>
      <c r="BN70" t="str">
        <f>""</f>
        <v/>
      </c>
      <c r="BO70">
        <f>81.57</f>
        <v>81.569999999999993</v>
      </c>
      <c r="BP70">
        <f>148.084</f>
        <v>148.084</v>
      </c>
      <c r="BQ70">
        <f>88.428</f>
        <v>88.427999999999997</v>
      </c>
      <c r="BR70">
        <f>88.603</f>
        <v>88.602999999999994</v>
      </c>
      <c r="BS70">
        <f>88.35</f>
        <v>88.35</v>
      </c>
      <c r="BT70">
        <f>87.616</f>
        <v>87.616</v>
      </c>
      <c r="BU70">
        <f>85.498</f>
        <v>85.498000000000005</v>
      </c>
      <c r="BV70">
        <f>87.757</f>
        <v>87.757000000000005</v>
      </c>
      <c r="BW70">
        <f>96.283</f>
        <v>96.283000000000001</v>
      </c>
      <c r="BX70">
        <f>97.241</f>
        <v>97.241</v>
      </c>
      <c r="BY70">
        <f>93.382</f>
        <v>93.382000000000005</v>
      </c>
      <c r="BZ70">
        <f>96.446</f>
        <v>96.445999999999998</v>
      </c>
      <c r="CA70">
        <f>365.744</f>
        <v>365.74400000000003</v>
      </c>
      <c r="CB70">
        <f>93.889</f>
        <v>93.888999999999996</v>
      </c>
      <c r="CC70">
        <f>96.079</f>
        <v>96.078999999999994</v>
      </c>
      <c r="CD70">
        <f>93.123</f>
        <v>93.123000000000005</v>
      </c>
      <c r="CE70">
        <f>86.989</f>
        <v>86.989000000000004</v>
      </c>
      <c r="CF70">
        <f>90.379</f>
        <v>90.379000000000005</v>
      </c>
      <c r="CG70">
        <f>91.929</f>
        <v>91.929000000000002</v>
      </c>
      <c r="CH70">
        <f>90.214</f>
        <v>90.213999999999999</v>
      </c>
      <c r="CI70">
        <f>90.065</f>
        <v>90.064999999999998</v>
      </c>
      <c r="CJ70">
        <f>208.528</f>
        <v>208.52799999999999</v>
      </c>
      <c r="CK70">
        <f>215.3615</f>
        <v>215.36150000000001</v>
      </c>
      <c r="CL70">
        <f>211.983</f>
        <v>211.983</v>
      </c>
      <c r="CM70">
        <f>209.7785</f>
        <v>209.77850000000001</v>
      </c>
      <c r="CN70">
        <f>88.281</f>
        <v>88.281000000000006</v>
      </c>
      <c r="CO70">
        <f>90.093</f>
        <v>90.093000000000004</v>
      </c>
      <c r="CP70">
        <f>87.987</f>
        <v>87.986999999999995</v>
      </c>
      <c r="CQ70">
        <f>196.2775</f>
        <v>196.2775</v>
      </c>
      <c r="CR70">
        <f>160.711</f>
        <v>160.71100000000001</v>
      </c>
      <c r="CS70">
        <f>191.1865</f>
        <v>191.1865</v>
      </c>
      <c r="CT70">
        <f>185.0965</f>
        <v>185.09649999999999</v>
      </c>
      <c r="CU70">
        <f>187.218</f>
        <v>187.21799999999999</v>
      </c>
      <c r="CV70">
        <f>188.7945</f>
        <v>188.7945</v>
      </c>
      <c r="CW70">
        <f>196.487</f>
        <v>196.48699999999999</v>
      </c>
      <c r="CX70">
        <f>190.405</f>
        <v>190.405</v>
      </c>
      <c r="CY70">
        <f>368.656</f>
        <v>368.65600000000001</v>
      </c>
      <c r="CZ70">
        <f>281.422</f>
        <v>281.42200000000003</v>
      </c>
      <c r="DA70">
        <f>243.5</f>
        <v>243.5</v>
      </c>
      <c r="DB70">
        <f>231.408</f>
        <v>231.40799999999999</v>
      </c>
      <c r="DC70">
        <f>334.5775</f>
        <v>334.57749999999999</v>
      </c>
      <c r="DD70" t="str">
        <f>""</f>
        <v/>
      </c>
      <c r="DE70">
        <f>244.897</f>
        <v>244.89699999999999</v>
      </c>
      <c r="DF70">
        <f>232.996</f>
        <v>232.99600000000001</v>
      </c>
      <c r="DG70" t="str">
        <f>""</f>
        <v/>
      </c>
      <c r="DH70" t="str">
        <f>""</f>
        <v/>
      </c>
      <c r="DI70">
        <f>373.01</f>
        <v>373.01</v>
      </c>
      <c r="DJ70" t="str">
        <f>""</f>
        <v/>
      </c>
      <c r="DK70" t="str">
        <f>""</f>
        <v/>
      </c>
      <c r="DL70" t="str">
        <f>""</f>
        <v/>
      </c>
      <c r="DM70" t="str">
        <f>""</f>
        <v/>
      </c>
      <c r="DN70" t="str">
        <f>""</f>
        <v/>
      </c>
      <c r="DO70" t="str">
        <f>""</f>
        <v/>
      </c>
      <c r="DP70" t="str">
        <f>""</f>
        <v/>
      </c>
      <c r="DQ70" t="str">
        <f>""</f>
        <v/>
      </c>
      <c r="DR70" t="str">
        <f>""</f>
        <v/>
      </c>
      <c r="DS70" t="str">
        <f>""</f>
        <v/>
      </c>
      <c r="DT70" t="str">
        <f>""</f>
        <v/>
      </c>
      <c r="DU70" t="str">
        <f>""</f>
        <v/>
      </c>
    </row>
    <row r="71" spans="1:125">
      <c r="A71" t="str">
        <f>"    Boston Properties Inc"</f>
        <v xml:space="preserve">    Boston Properties Inc</v>
      </c>
      <c r="B71" t="str">
        <f>"BXP US Equity"</f>
        <v>BXP US Equity</v>
      </c>
      <c r="C71" t="str">
        <f t="shared" ref="C71:C80" si="18">"IS972"</f>
        <v>IS972</v>
      </c>
      <c r="D71" t="str">
        <f t="shared" ref="D71:D80" si="19">"IS_ADJUSTED_EBITDA_AS_REPORTED"</f>
        <v>IS_ADJUSTED_EBITDA_AS_REPORTED</v>
      </c>
      <c r="E71" t="str">
        <f t="shared" ref="E71:E80" si="20">"动态"</f>
        <v>动态</v>
      </c>
      <c r="F71" t="str">
        <f ca="1">IF(AND(ISNUMBER($F$386),$B$294=1),$F$386,HLOOKUP(INDIRECT(ADDRESS(2,COLUMN())),OFFSET($BN$2,0,0,ROW()-1,60),ROW()-1,FALSE))</f>
        <v/>
      </c>
      <c r="G71">
        <f ca="1">IF(AND(ISNUMBER($G$386),$B$294=1),$G$386,HLOOKUP(INDIRECT(ADDRESS(2,COLUMN())),OFFSET($BN$2,0,0,ROW()-1,60),ROW()-1,FALSE))</f>
        <v>402.52</v>
      </c>
      <c r="H71">
        <f ca="1">IF(AND(ISNUMBER($H$386),$B$294=1),$H$386,HLOOKUP(INDIRECT(ADDRESS(2,COLUMN())),OFFSET($BN$2,0,0,ROW()-1,60),ROW()-1,FALSE))</f>
        <v>402.85599999999999</v>
      </c>
      <c r="I71">
        <f ca="1">IF(AND(ISNUMBER($I$386),$B$294=1),$I$386,HLOOKUP(INDIRECT(ADDRESS(2,COLUMN())),OFFSET($BN$2,0,0,ROW()-1,60),ROW()-1,FALSE))</f>
        <v>408.40300000000002</v>
      </c>
      <c r="J71">
        <f ca="1">IF(AND(ISNUMBER($J$386),$B$294=1),$J$386,HLOOKUP(INDIRECT(ADDRESS(2,COLUMN())),OFFSET($BN$2,0,0,ROW()-1,60),ROW()-1,FALSE))</f>
        <v>381.82100000000003</v>
      </c>
      <c r="K71">
        <f ca="1">IF(AND(ISNUMBER($K$386),$B$294=1),$K$386,HLOOKUP(INDIRECT(ADDRESS(2,COLUMN())),OFFSET($BN$2,0,0,ROW()-1,60),ROW()-1,FALSE))</f>
        <v>392.62200000000001</v>
      </c>
      <c r="L71">
        <f ca="1">IF(AND(ISNUMBER($L$386),$B$294=1),$L$386,HLOOKUP(INDIRECT(ADDRESS(2,COLUMN())),OFFSET($BN$2,0,0,ROW()-1,60),ROW()-1,FALSE))</f>
        <v>381.2</v>
      </c>
      <c r="M71">
        <f ca="1">IF(AND(ISNUMBER($M$386),$B$294=1),$M$386,HLOOKUP(INDIRECT(ADDRESS(2,COLUMN())),OFFSET($BN$2,0,0,ROW()-1,60),ROW()-1,FALSE))</f>
        <v>383.495</v>
      </c>
      <c r="N71">
        <f ca="1">IF(AND(ISNUMBER($N$386),$B$294=1),$N$386,HLOOKUP(INDIRECT(ADDRESS(2,COLUMN())),OFFSET($BN$2,0,0,ROW()-1,60),ROW()-1,FALSE))</f>
        <v>421.46699999999998</v>
      </c>
      <c r="O71">
        <f ca="1">IF(AND(ISNUMBER($O$386),$B$294=1),$O$386,HLOOKUP(INDIRECT(ADDRESS(2,COLUMN())),OFFSET($BN$2,0,0,ROW()-1,60),ROW()-1,FALSE))</f>
        <v>385.90100000000001</v>
      </c>
      <c r="P71">
        <f ca="1">IF(AND(ISNUMBER($P$386),$B$294=1),$P$386,HLOOKUP(INDIRECT(ADDRESS(2,COLUMN())),OFFSET($BN$2,0,0,ROW()-1,60),ROW()-1,FALSE))</f>
        <v>395.22899999999998</v>
      </c>
      <c r="Q71">
        <f ca="1">IF(AND(ISNUMBER($Q$386),$B$294=1),$Q$386,HLOOKUP(INDIRECT(ADDRESS(2,COLUMN())),OFFSET($BN$2,0,0,ROW()-1,60),ROW()-1,FALSE))</f>
        <v>385.43700000000001</v>
      </c>
      <c r="R71">
        <f ca="1">IF(AND(ISNUMBER($R$386),$B$294=1),$R$386,HLOOKUP(INDIRECT(ADDRESS(2,COLUMN())),OFFSET($BN$2,0,0,ROW()-1,60),ROW()-1,FALSE))</f>
        <v>376.42500000000001</v>
      </c>
      <c r="S71">
        <f ca="1">IF(AND(ISNUMBER($S$386),$B$294=1),$S$386,HLOOKUP(INDIRECT(ADDRESS(2,COLUMN())),OFFSET($BN$2,0,0,ROW()-1,60),ROW()-1,FALSE))</f>
        <v>384.447</v>
      </c>
      <c r="T71">
        <f ca="1">IF(AND(ISNUMBER($T$386),$B$294=1),$T$386,HLOOKUP(INDIRECT(ADDRESS(2,COLUMN())),OFFSET($BN$2,0,0,ROW()-1,60),ROW()-1,FALSE))</f>
        <v>388.48899999999998</v>
      </c>
      <c r="U71">
        <f ca="1">IF(AND(ISNUMBER($U$386),$B$294=1),$U$386,HLOOKUP(INDIRECT(ADDRESS(2,COLUMN())),OFFSET($BN$2,0,0,ROW()-1,60),ROW()-1,FALSE))</f>
        <v>369.13299999999998</v>
      </c>
      <c r="V71">
        <f ca="1">IF(AND(ISNUMBER($V$386),$B$294=1),$V$386,HLOOKUP(INDIRECT(ADDRESS(2,COLUMN())),OFFSET($BN$2,0,0,ROW()-1,60),ROW()-1,FALSE))</f>
        <v>342.20699999999999</v>
      </c>
      <c r="W71">
        <f ca="1">IF(AND(ISNUMBER($W$386),$B$294=1),$W$386,HLOOKUP(INDIRECT(ADDRESS(2,COLUMN())),OFFSET($BN$2,0,0,ROW()-1,60),ROW()-1,FALSE))</f>
        <v>360.85500000000002</v>
      </c>
      <c r="X71">
        <f ca="1">IF(AND(ISNUMBER($X$386),$B$294=1),$X$386,HLOOKUP(INDIRECT(ADDRESS(2,COLUMN())),OFFSET($BN$2,0,0,ROW()-1,60),ROW()-1,FALSE))</f>
        <v>355.40199999999999</v>
      </c>
      <c r="Y71">
        <f ca="1">IF(AND(ISNUMBER($Y$386),$B$294=1),$Y$386,HLOOKUP(INDIRECT(ADDRESS(2,COLUMN())),OFFSET($BN$2,0,0,ROW()-1,60),ROW()-1,FALSE))</f>
        <v>369.13299999999998</v>
      </c>
      <c r="Z71">
        <f ca="1">IF(AND(ISNUMBER($Z$386),$B$294=1),$Z$386,HLOOKUP(INDIRECT(ADDRESS(2,COLUMN())),OFFSET($BN$2,0,0,ROW()-1,60),ROW()-1,FALSE))</f>
        <v>342.20699999999999</v>
      </c>
      <c r="AA71">
        <f ca="1">IF(AND(ISNUMBER($AA$386),$B$294=1),$AA$386,HLOOKUP(INDIRECT(ADDRESS(2,COLUMN())),OFFSET($BN$2,0,0,ROW()-1,60),ROW()-1,FALSE))</f>
        <v>343.36500000000001</v>
      </c>
      <c r="AB71">
        <f ca="1">IF(AND(ISNUMBER($AB$386),$B$294=1),$AB$386,HLOOKUP(INDIRECT(ADDRESS(2,COLUMN())),OFFSET($BN$2,0,0,ROW()-1,60),ROW()-1,FALSE))</f>
        <v>330.13499999999999</v>
      </c>
      <c r="AC71">
        <f ca="1">IF(AND(ISNUMBER($AC$386),$B$294=1),$AC$386,HLOOKUP(INDIRECT(ADDRESS(2,COLUMN())),OFFSET($BN$2,0,0,ROW()-1,60),ROW()-1,FALSE))</f>
        <v>341.358</v>
      </c>
      <c r="AD71">
        <f ca="1">IF(AND(ISNUMBER($AD$386),$B$294=1),$AD$386,HLOOKUP(INDIRECT(ADDRESS(2,COLUMN())),OFFSET($BN$2,0,0,ROW()-1,60),ROW()-1,FALSE))</f>
        <v>334.74099999999999</v>
      </c>
      <c r="AE71">
        <f ca="1">IF(AND(ISNUMBER($AE$386),$B$294=1),$AE$386,HLOOKUP(INDIRECT(ADDRESS(2,COLUMN())),OFFSET($BN$2,0,0,ROW()-1,60),ROW()-1,FALSE))</f>
        <v>330.44299999999998</v>
      </c>
      <c r="AF71">
        <f ca="1">IF(AND(ISNUMBER($AF$386),$B$294=1),$AF$386,HLOOKUP(INDIRECT(ADDRESS(2,COLUMN())),OFFSET($BN$2,0,0,ROW()-1,60),ROW()-1,FALSE))</f>
        <v>334.74099999999999</v>
      </c>
      <c r="AG71">
        <f ca="1">IF(AND(ISNUMBER($AG$386),$B$294=1),$AG$386,HLOOKUP(INDIRECT(ADDRESS(2,COLUMN())),OFFSET($BN$2,0,0,ROW()-1,60),ROW()-1,FALSE))</f>
        <v>325.56200000000001</v>
      </c>
      <c r="AH71">
        <f ca="1">IF(AND(ISNUMBER($AH$386),$B$294=1),$AH$386,HLOOKUP(INDIRECT(ADDRESS(2,COLUMN())),OFFSET($BN$2,0,0,ROW()-1,60),ROW()-1,FALSE))</f>
        <v>306.58800000000002</v>
      </c>
      <c r="AI71">
        <f ca="1">IF(AND(ISNUMBER($AI$386),$B$294=1),$AI$386,HLOOKUP(INDIRECT(ADDRESS(2,COLUMN())),OFFSET($BN$2,0,0,ROW()-1,60),ROW()-1,FALSE))</f>
        <v>301.613</v>
      </c>
      <c r="AJ71">
        <f ca="1">IF(AND(ISNUMBER($AJ$386),$B$294=1),$AJ$386,HLOOKUP(INDIRECT(ADDRESS(2,COLUMN())),OFFSET($BN$2,0,0,ROW()-1,60),ROW()-1,FALSE))</f>
        <v>234.029</v>
      </c>
      <c r="AK71">
        <f ca="1">IF(AND(ISNUMBER($AK$386),$B$294=1),$AK$386,HLOOKUP(INDIRECT(ADDRESS(2,COLUMN())),OFFSET($BN$2,0,0,ROW()-1,60),ROW()-1,FALSE))</f>
        <v>296.572</v>
      </c>
      <c r="AL71">
        <f ca="1">IF(AND(ISNUMBER($AL$386),$B$294=1),$AL$386,HLOOKUP(INDIRECT(ADDRESS(2,COLUMN())),OFFSET($BN$2,0,0,ROW()-1,60),ROW()-1,FALSE))</f>
        <v>284.7</v>
      </c>
      <c r="AM71">
        <f ca="1">IF(AND(ISNUMBER($AM$386),$B$294=1),$AM$386,HLOOKUP(INDIRECT(ADDRESS(2,COLUMN())),OFFSET($BN$2,0,0,ROW()-1,60),ROW()-1,FALSE))</f>
        <v>288.66899999999998</v>
      </c>
      <c r="AN71">
        <f ca="1">IF(AND(ISNUMBER($AN$386),$B$294=1),$AN$386,HLOOKUP(INDIRECT(ADDRESS(2,COLUMN())),OFFSET($BN$2,0,0,ROW()-1,60),ROW()-1,FALSE))</f>
        <v>284.26400000000001</v>
      </c>
      <c r="AO71">
        <f ca="1">IF(AND(ISNUMBER($AO$386),$B$294=1),$AO$386,HLOOKUP(INDIRECT(ADDRESS(2,COLUMN())),OFFSET($BN$2,0,0,ROW()-1,60),ROW()-1,FALSE))</f>
        <v>302.81</v>
      </c>
      <c r="AP71">
        <f ca="1">IF(AND(ISNUMBER($AP$386),$B$294=1),$AP$386,HLOOKUP(INDIRECT(ADDRESS(2,COLUMN())),OFFSET($BN$2,0,0,ROW()-1,60),ROW()-1,FALSE))</f>
        <v>290.74200000000002</v>
      </c>
      <c r="AQ71">
        <f ca="1">IF(AND(ISNUMBER($AQ$386),$B$294=1),$AQ$386,HLOOKUP(INDIRECT(ADDRESS(2,COLUMN())),OFFSET($BN$2,0,0,ROW()-1,60),ROW()-1,FALSE))</f>
        <v>302.30700000000002</v>
      </c>
      <c r="AR71">
        <f ca="1">IF(AND(ISNUMBER($AR$386),$B$294=1),$AR$386,HLOOKUP(INDIRECT(ADDRESS(2,COLUMN())),OFFSET($BN$2,0,0,ROW()-1,60),ROW()-1,FALSE))</f>
        <v>281.42200000000003</v>
      </c>
      <c r="AS71">
        <f ca="1">IF(AND(ISNUMBER($AS$386),$B$294=1),$AS$386,HLOOKUP(INDIRECT(ADDRESS(2,COLUMN())),OFFSET($BN$2,0,0,ROW()-1,60),ROW()-1,FALSE))</f>
        <v>243.5</v>
      </c>
      <c r="AT71">
        <f ca="1">IF(AND(ISNUMBER($AT$386),$B$294=1),$AT$386,HLOOKUP(INDIRECT(ADDRESS(2,COLUMN())),OFFSET($BN$2,0,0,ROW()-1,60),ROW()-1,FALSE))</f>
        <v>231.40799999999999</v>
      </c>
      <c r="AU71">
        <f ca="1">IF(AND(ISNUMBER($AU$386),$B$294=1),$AU$386,HLOOKUP(INDIRECT(ADDRESS(2,COLUMN())),OFFSET($BN$2,0,0,ROW()-1,60),ROW()-1,FALSE))</f>
        <v>244.452</v>
      </c>
      <c r="AV71" t="str">
        <f ca="1">IF(AND(ISNUMBER($AV$386),$B$294=1),$AV$386,HLOOKUP(INDIRECT(ADDRESS(2,COLUMN())),OFFSET($BN$2,0,0,ROW()-1,60),ROW()-1,FALSE))</f>
        <v/>
      </c>
      <c r="AW71">
        <f ca="1">IF(AND(ISNUMBER($AW$386),$B$294=1),$AW$386,HLOOKUP(INDIRECT(ADDRESS(2,COLUMN())),OFFSET($BN$2,0,0,ROW()-1,60),ROW()-1,FALSE))</f>
        <v>244.89699999999999</v>
      </c>
      <c r="AX71">
        <f ca="1">IF(AND(ISNUMBER($AX$386),$B$294=1),$AX$386,HLOOKUP(INDIRECT(ADDRESS(2,COLUMN())),OFFSET($BN$2,0,0,ROW()-1,60),ROW()-1,FALSE))</f>
        <v>232.99600000000001</v>
      </c>
      <c r="AY71" t="str">
        <f ca="1">IF(AND(ISNUMBER($AY$386),$B$294=1),$AY$386,HLOOKUP(INDIRECT(ADDRESS(2,COLUMN())),OFFSET($BN$2,0,0,ROW()-1,60),ROW()-1,FALSE))</f>
        <v/>
      </c>
      <c r="AZ71" t="str">
        <f ca="1">IF(AND(ISNUMBER($AZ$386),$B$294=1),$AZ$386,HLOOKUP(INDIRECT(ADDRESS(2,COLUMN())),OFFSET($BN$2,0,0,ROW()-1,60),ROW()-1,FALSE))</f>
        <v/>
      </c>
      <c r="BA71" t="str">
        <f ca="1">IF(AND(ISNUMBER($BA$386),$B$294=1),$BA$386,HLOOKUP(INDIRECT(ADDRESS(2,COLUMN())),OFFSET($BN$2,0,0,ROW()-1,60),ROW()-1,FALSE))</f>
        <v/>
      </c>
      <c r="BB71" t="str">
        <f ca="1">IF(AND(ISNUMBER($BB$386),$B$294=1),$BB$386,HLOOKUP(INDIRECT(ADDRESS(2,COLUMN())),OFFSET($BN$2,0,0,ROW()-1,60),ROW()-1,FALSE))</f>
        <v/>
      </c>
      <c r="BC71" t="str">
        <f ca="1">IF(AND(ISNUMBER($BC$386),$B$294=1),$BC$386,HLOOKUP(INDIRECT(ADDRESS(2,COLUMN())),OFFSET($BN$2,0,0,ROW()-1,60),ROW()-1,FALSE))</f>
        <v/>
      </c>
      <c r="BD71" t="str">
        <f ca="1">IF(AND(ISNUMBER($BD$386),$B$294=1),$BD$386,HLOOKUP(INDIRECT(ADDRESS(2,COLUMN())),OFFSET($BN$2,0,0,ROW()-1,60),ROW()-1,FALSE))</f>
        <v/>
      </c>
      <c r="BE71" t="str">
        <f ca="1">IF(AND(ISNUMBER($BE$386),$B$294=1),$BE$386,HLOOKUP(INDIRECT(ADDRESS(2,COLUMN())),OFFSET($BN$2,0,0,ROW()-1,60),ROW()-1,FALSE))</f>
        <v/>
      </c>
      <c r="BF71" t="str">
        <f ca="1">IF(AND(ISNUMBER($BF$386),$B$294=1),$BF$386,HLOOKUP(INDIRECT(ADDRESS(2,COLUMN())),OFFSET($BN$2,0,0,ROW()-1,60),ROW()-1,FALSE))</f>
        <v/>
      </c>
      <c r="BG71" t="str">
        <f ca="1">IF(AND(ISNUMBER($BG$386),$B$294=1),$BG$386,HLOOKUP(INDIRECT(ADDRESS(2,COLUMN())),OFFSET($BN$2,0,0,ROW()-1,60),ROW()-1,FALSE))</f>
        <v/>
      </c>
      <c r="BH71" t="str">
        <f ca="1">IF(AND(ISNUMBER($BH$386),$B$294=1),$BH$386,HLOOKUP(INDIRECT(ADDRESS(2,COLUMN())),OFFSET($BN$2,0,0,ROW()-1,60),ROW()-1,FALSE))</f>
        <v/>
      </c>
      <c r="BI71" t="str">
        <f ca="1">IF(AND(ISNUMBER($BI$386),$B$294=1),$BI$386,HLOOKUP(INDIRECT(ADDRESS(2,COLUMN())),OFFSET($BN$2,0,0,ROW()-1,60),ROW()-1,FALSE))</f>
        <v/>
      </c>
      <c r="BJ71" t="str">
        <f ca="1">IF(AND(ISNUMBER($BJ$386),$B$294=1),$BJ$386,HLOOKUP(INDIRECT(ADDRESS(2,COLUMN())),OFFSET($BN$2,0,0,ROW()-1,60),ROW()-1,FALSE))</f>
        <v/>
      </c>
      <c r="BK71" t="str">
        <f ca="1">IF(AND(ISNUMBER($BK$386),$B$294=1),$BK$386,HLOOKUP(INDIRECT(ADDRESS(2,COLUMN())),OFFSET($BN$2,0,0,ROW()-1,60),ROW()-1,FALSE))</f>
        <v/>
      </c>
      <c r="BL71" t="str">
        <f ca="1">IF(AND(ISNUMBER($BL$386),$B$294=1),$BL$386,HLOOKUP(INDIRECT(ADDRESS(2,COLUMN())),OFFSET($BN$2,0,0,ROW()-1,60),ROW()-1,FALSE))</f>
        <v/>
      </c>
      <c r="BM71" t="str">
        <f ca="1">IF(AND(ISNUMBER($BM$386),$B$294=1),$BM$386,HLOOKUP(INDIRECT(ADDRESS(2,COLUMN())),OFFSET($BN$2,0,0,ROW()-1,60),ROW()-1,FALSE))</f>
        <v/>
      </c>
      <c r="BN71" t="str">
        <f>""</f>
        <v/>
      </c>
      <c r="BO71">
        <f>402.52</f>
        <v>402.52</v>
      </c>
      <c r="BP71">
        <f>402.856</f>
        <v>402.85599999999999</v>
      </c>
      <c r="BQ71">
        <f>408.403</f>
        <v>408.40300000000002</v>
      </c>
      <c r="BR71">
        <f>381.821</f>
        <v>381.82100000000003</v>
      </c>
      <c r="BS71">
        <f>392.622</f>
        <v>392.62200000000001</v>
      </c>
      <c r="BT71">
        <f>381.2</f>
        <v>381.2</v>
      </c>
      <c r="BU71">
        <f>383.495</f>
        <v>383.495</v>
      </c>
      <c r="BV71">
        <f>421.467</f>
        <v>421.46699999999998</v>
      </c>
      <c r="BW71">
        <f>385.901</f>
        <v>385.90100000000001</v>
      </c>
      <c r="BX71">
        <f>395.229</f>
        <v>395.22899999999998</v>
      </c>
      <c r="BY71">
        <f>385.437</f>
        <v>385.43700000000001</v>
      </c>
      <c r="BZ71">
        <f>376.425</f>
        <v>376.42500000000001</v>
      </c>
      <c r="CA71">
        <f>384.447</f>
        <v>384.447</v>
      </c>
      <c r="CB71">
        <f>388.489</f>
        <v>388.48899999999998</v>
      </c>
      <c r="CC71">
        <f>369.133</f>
        <v>369.13299999999998</v>
      </c>
      <c r="CD71">
        <f>342.207</f>
        <v>342.20699999999999</v>
      </c>
      <c r="CE71">
        <f>360.855</f>
        <v>360.85500000000002</v>
      </c>
      <c r="CF71">
        <f>355.402</f>
        <v>355.40199999999999</v>
      </c>
      <c r="CG71">
        <f>369.133</f>
        <v>369.13299999999998</v>
      </c>
      <c r="CH71">
        <f>342.207</f>
        <v>342.20699999999999</v>
      </c>
      <c r="CI71">
        <f>343.365</f>
        <v>343.36500000000001</v>
      </c>
      <c r="CJ71">
        <f>330.135</f>
        <v>330.13499999999999</v>
      </c>
      <c r="CK71">
        <f>341.358</f>
        <v>341.358</v>
      </c>
      <c r="CL71">
        <f>334.741</f>
        <v>334.74099999999999</v>
      </c>
      <c r="CM71">
        <f>330.443</f>
        <v>330.44299999999998</v>
      </c>
      <c r="CN71">
        <f>334.741</f>
        <v>334.74099999999999</v>
      </c>
      <c r="CO71">
        <f>325.562</f>
        <v>325.56200000000001</v>
      </c>
      <c r="CP71">
        <f>306.588</f>
        <v>306.58800000000002</v>
      </c>
      <c r="CQ71">
        <f>301.613</f>
        <v>301.613</v>
      </c>
      <c r="CR71">
        <f>234.029</f>
        <v>234.029</v>
      </c>
      <c r="CS71">
        <f>296.572</f>
        <v>296.572</v>
      </c>
      <c r="CT71">
        <f>284.7</f>
        <v>284.7</v>
      </c>
      <c r="CU71">
        <f>288.669</f>
        <v>288.66899999999998</v>
      </c>
      <c r="CV71">
        <f>284.264</f>
        <v>284.26400000000001</v>
      </c>
      <c r="CW71">
        <f>302.81</f>
        <v>302.81</v>
      </c>
      <c r="CX71">
        <f>290.742</f>
        <v>290.74200000000002</v>
      </c>
      <c r="CY71">
        <f>302.307</f>
        <v>302.30700000000002</v>
      </c>
      <c r="CZ71">
        <f>281.422</f>
        <v>281.42200000000003</v>
      </c>
      <c r="DA71">
        <f>243.5</f>
        <v>243.5</v>
      </c>
      <c r="DB71">
        <f>231.408</f>
        <v>231.40799999999999</v>
      </c>
      <c r="DC71">
        <f>244.452</f>
        <v>244.452</v>
      </c>
      <c r="DD71" t="str">
        <f>""</f>
        <v/>
      </c>
      <c r="DE71">
        <f>244.897</f>
        <v>244.89699999999999</v>
      </c>
      <c r="DF71">
        <f>232.996</f>
        <v>232.99600000000001</v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  <c r="DT71" t="str">
        <f>""</f>
        <v/>
      </c>
      <c r="DU71" t="str">
        <f>""</f>
        <v/>
      </c>
    </row>
    <row r="72" spans="1:125">
      <c r="A72" t="str">
        <f>"    Brandywine Realty Trust"</f>
        <v xml:space="preserve">    Brandywine Realty Trust</v>
      </c>
      <c r="B72" t="str">
        <f>"BDN US Equity"</f>
        <v>BDN US Equity</v>
      </c>
      <c r="C72" t="str">
        <f t="shared" si="18"/>
        <v>IS972</v>
      </c>
      <c r="D72" t="str">
        <f t="shared" si="19"/>
        <v>IS_ADJUSTED_EBITDA_AS_REPORTED</v>
      </c>
      <c r="E72" t="str">
        <f t="shared" si="20"/>
        <v>动态</v>
      </c>
      <c r="F72" t="str">
        <f ca="1">IF(AND(ISNUMBER($F$387),$B$294=1),$F$387,HLOOKUP(INDIRECT(ADDRESS(2,COLUMN())),OFFSET($BN$2,0,0,ROW()-1,60),ROW()-1,FALSE))</f>
        <v/>
      </c>
      <c r="G72">
        <f ca="1">IF(AND(ISNUMBER($G$387),$B$294=1),$G$387,HLOOKUP(INDIRECT(ADDRESS(2,COLUMN())),OFFSET($BN$2,0,0,ROW()-1,60),ROW()-1,FALSE))</f>
        <v>86.182000000000002</v>
      </c>
      <c r="H72">
        <f ca="1">IF(AND(ISNUMBER($H$387),$B$294=1),$H$387,HLOOKUP(INDIRECT(ADDRESS(2,COLUMN())),OFFSET($BN$2,0,0,ROW()-1,60),ROW()-1,FALSE))</f>
        <v>87.245999999999995</v>
      </c>
      <c r="I72">
        <f ca="1">IF(AND(ISNUMBER($I$387),$B$294=1),$I$387,HLOOKUP(INDIRECT(ADDRESS(2,COLUMN())),OFFSET($BN$2,0,0,ROW()-1,60),ROW()-1,FALSE))</f>
        <v>88.427999999999997</v>
      </c>
      <c r="J72">
        <f ca="1">IF(AND(ISNUMBER($J$387),$B$294=1),$J$387,HLOOKUP(INDIRECT(ADDRESS(2,COLUMN())),OFFSET($BN$2,0,0,ROW()-1,60),ROW()-1,FALSE))</f>
        <v>88.602999999999994</v>
      </c>
      <c r="K72">
        <f ca="1">IF(AND(ISNUMBER($K$387),$B$294=1),$K$387,HLOOKUP(INDIRECT(ADDRESS(2,COLUMN())),OFFSET($BN$2,0,0,ROW()-1,60),ROW()-1,FALSE))</f>
        <v>88.35</v>
      </c>
      <c r="L72">
        <f ca="1">IF(AND(ISNUMBER($L$387),$B$294=1),$L$387,HLOOKUP(INDIRECT(ADDRESS(2,COLUMN())),OFFSET($BN$2,0,0,ROW()-1,60),ROW()-1,FALSE))</f>
        <v>87.616</v>
      </c>
      <c r="M72">
        <f ca="1">IF(AND(ISNUMBER($M$387),$B$294=1),$M$387,HLOOKUP(INDIRECT(ADDRESS(2,COLUMN())),OFFSET($BN$2,0,0,ROW()-1,60),ROW()-1,FALSE))</f>
        <v>85.498000000000005</v>
      </c>
      <c r="N72">
        <f ca="1">IF(AND(ISNUMBER($N$387),$B$294=1),$N$387,HLOOKUP(INDIRECT(ADDRESS(2,COLUMN())),OFFSET($BN$2,0,0,ROW()-1,60),ROW()-1,FALSE))</f>
        <v>87.757000000000005</v>
      </c>
      <c r="O72">
        <f ca="1">IF(AND(ISNUMBER($O$387),$B$294=1),$O$387,HLOOKUP(INDIRECT(ADDRESS(2,COLUMN())),OFFSET($BN$2,0,0,ROW()-1,60),ROW()-1,FALSE))</f>
        <v>96.283000000000001</v>
      </c>
      <c r="P72">
        <f ca="1">IF(AND(ISNUMBER($P$387),$B$294=1),$P$387,HLOOKUP(INDIRECT(ADDRESS(2,COLUMN())),OFFSET($BN$2,0,0,ROW()-1,60),ROW()-1,FALSE))</f>
        <v>97.241</v>
      </c>
      <c r="Q72">
        <f ca="1">IF(AND(ISNUMBER($Q$387),$B$294=1),$Q$387,HLOOKUP(INDIRECT(ADDRESS(2,COLUMN())),OFFSET($BN$2,0,0,ROW()-1,60),ROW()-1,FALSE))</f>
        <v>93.382000000000005</v>
      </c>
      <c r="R72">
        <f ca="1">IF(AND(ISNUMBER($R$387),$B$294=1),$R$387,HLOOKUP(INDIRECT(ADDRESS(2,COLUMN())),OFFSET($BN$2,0,0,ROW()-1,60),ROW()-1,FALSE))</f>
        <v>96.445999999999998</v>
      </c>
      <c r="S72">
        <f ca="1">IF(AND(ISNUMBER($S$387),$B$294=1),$S$387,HLOOKUP(INDIRECT(ADDRESS(2,COLUMN())),OFFSET($BN$2,0,0,ROW()-1,60),ROW()-1,FALSE))</f>
        <v>379.81099999999998</v>
      </c>
      <c r="T72">
        <f ca="1">IF(AND(ISNUMBER($T$387),$B$294=1),$T$387,HLOOKUP(INDIRECT(ADDRESS(2,COLUMN())),OFFSET($BN$2,0,0,ROW()-1,60),ROW()-1,FALSE))</f>
        <v>93.888999999999996</v>
      </c>
      <c r="U72">
        <f ca="1">IF(AND(ISNUMBER($U$387),$B$294=1),$U$387,HLOOKUP(INDIRECT(ADDRESS(2,COLUMN())),OFFSET($BN$2,0,0,ROW()-1,60),ROW()-1,FALSE))</f>
        <v>96.078999999999994</v>
      </c>
      <c r="V72">
        <f ca="1">IF(AND(ISNUMBER($V$387),$B$294=1),$V$387,HLOOKUP(INDIRECT(ADDRESS(2,COLUMN())),OFFSET($BN$2,0,0,ROW()-1,60),ROW()-1,FALSE))</f>
        <v>93.123000000000005</v>
      </c>
      <c r="W72">
        <f ca="1">IF(AND(ISNUMBER($W$387),$B$294=1),$W$387,HLOOKUP(INDIRECT(ADDRESS(2,COLUMN())),OFFSET($BN$2,0,0,ROW()-1,60),ROW()-1,FALSE))</f>
        <v>86.989000000000004</v>
      </c>
      <c r="X72">
        <f ca="1">IF(AND(ISNUMBER($X$387),$B$294=1),$X$387,HLOOKUP(INDIRECT(ADDRESS(2,COLUMN())),OFFSET($BN$2,0,0,ROW()-1,60),ROW()-1,FALSE))</f>
        <v>89.22</v>
      </c>
      <c r="Y72">
        <f ca="1">IF(AND(ISNUMBER($Y$387),$B$294=1),$Y$387,HLOOKUP(INDIRECT(ADDRESS(2,COLUMN())),OFFSET($BN$2,0,0,ROW()-1,60),ROW()-1,FALSE))</f>
        <v>88.194000000000003</v>
      </c>
      <c r="Z72">
        <f ca="1">IF(AND(ISNUMBER($Z$387),$B$294=1),$Z$387,HLOOKUP(INDIRECT(ADDRESS(2,COLUMN())),OFFSET($BN$2,0,0,ROW()-1,60),ROW()-1,FALSE))</f>
        <v>90.213999999999999</v>
      </c>
      <c r="AA72">
        <f ca="1">IF(AND(ISNUMBER($AA$387),$B$294=1),$AA$387,HLOOKUP(INDIRECT(ADDRESS(2,COLUMN())),OFFSET($BN$2,0,0,ROW()-1,60),ROW()-1,FALSE))</f>
        <v>90.064999999999998</v>
      </c>
      <c r="AB72">
        <f ca="1">IF(AND(ISNUMBER($AB$387),$B$294=1),$AB$387,HLOOKUP(INDIRECT(ADDRESS(2,COLUMN())),OFFSET($BN$2,0,0,ROW()-1,60),ROW()-1,FALSE))</f>
        <v>86.921000000000006</v>
      </c>
      <c r="AC72">
        <f ca="1">IF(AND(ISNUMBER($AC$387),$B$294=1),$AC$387,HLOOKUP(INDIRECT(ADDRESS(2,COLUMN())),OFFSET($BN$2,0,0,ROW()-1,60),ROW()-1,FALSE))</f>
        <v>89.364999999999995</v>
      </c>
      <c r="AD72">
        <f ca="1">IF(AND(ISNUMBER($AD$387),$B$294=1),$AD$387,HLOOKUP(INDIRECT(ADDRESS(2,COLUMN())),OFFSET($BN$2,0,0,ROW()-1,60),ROW()-1,FALSE))</f>
        <v>89.224999999999994</v>
      </c>
      <c r="AE72">
        <f ca="1">IF(AND(ISNUMBER($AE$387),$B$294=1),$AE$387,HLOOKUP(INDIRECT(ADDRESS(2,COLUMN())),OFFSET($BN$2,0,0,ROW()-1,60),ROW()-1,FALSE))</f>
        <v>89.114000000000004</v>
      </c>
      <c r="AF72">
        <f ca="1">IF(AND(ISNUMBER($AF$387),$B$294=1),$AF$387,HLOOKUP(INDIRECT(ADDRESS(2,COLUMN())),OFFSET($BN$2,0,0,ROW()-1,60),ROW()-1,FALSE))</f>
        <v>88.281000000000006</v>
      </c>
      <c r="AG72">
        <f ca="1">IF(AND(ISNUMBER($AG$387),$B$294=1),$AG$387,HLOOKUP(INDIRECT(ADDRESS(2,COLUMN())),OFFSET($BN$2,0,0,ROW()-1,60),ROW()-1,FALSE))</f>
        <v>90.093000000000004</v>
      </c>
      <c r="AH72">
        <f ca="1">IF(AND(ISNUMBER($AH$387),$B$294=1),$AH$387,HLOOKUP(INDIRECT(ADDRESS(2,COLUMN())),OFFSET($BN$2,0,0,ROW()-1,60),ROW()-1,FALSE))</f>
        <v>87.986999999999995</v>
      </c>
      <c r="AI72">
        <f ca="1">IF(AND(ISNUMBER($AI$387),$B$294=1),$AI$387,HLOOKUP(INDIRECT(ADDRESS(2,COLUMN())),OFFSET($BN$2,0,0,ROW()-1,60),ROW()-1,FALSE))</f>
        <v>90.941999999999993</v>
      </c>
      <c r="AJ72">
        <f ca="1">IF(AND(ISNUMBER($AJ$387),$B$294=1),$AJ$387,HLOOKUP(INDIRECT(ADDRESS(2,COLUMN())),OFFSET($BN$2,0,0,ROW()-1,60),ROW()-1,FALSE))</f>
        <v>87.393000000000001</v>
      </c>
      <c r="AK72">
        <f ca="1">IF(AND(ISNUMBER($AK$387),$B$294=1),$AK$387,HLOOKUP(INDIRECT(ADDRESS(2,COLUMN())),OFFSET($BN$2,0,0,ROW()-1,60),ROW()-1,FALSE))</f>
        <v>85.801000000000002</v>
      </c>
      <c r="AL72">
        <f ca="1">IF(AND(ISNUMBER($AL$387),$B$294=1),$AL$387,HLOOKUP(INDIRECT(ADDRESS(2,COLUMN())),OFFSET($BN$2,0,0,ROW()-1,60),ROW()-1,FALSE))</f>
        <v>85.492999999999995</v>
      </c>
      <c r="AM72">
        <f ca="1">IF(AND(ISNUMBER($AM$387),$B$294=1),$AM$387,HLOOKUP(INDIRECT(ADDRESS(2,COLUMN())),OFFSET($BN$2,0,0,ROW()-1,60),ROW()-1,FALSE))</f>
        <v>85.766999999999996</v>
      </c>
      <c r="AN72">
        <f ca="1">IF(AND(ISNUMBER($AN$387),$B$294=1),$AN$387,HLOOKUP(INDIRECT(ADDRESS(2,COLUMN())),OFFSET($BN$2,0,0,ROW()-1,60),ROW()-1,FALSE))</f>
        <v>93.325000000000003</v>
      </c>
      <c r="AO72">
        <f ca="1">IF(AND(ISNUMBER($AO$387),$B$294=1),$AO$387,HLOOKUP(INDIRECT(ADDRESS(2,COLUMN())),OFFSET($BN$2,0,0,ROW()-1,60),ROW()-1,FALSE))</f>
        <v>90.164000000000001</v>
      </c>
      <c r="AP72">
        <f ca="1">IF(AND(ISNUMBER($AP$387),$B$294=1),$AP$387,HLOOKUP(INDIRECT(ADDRESS(2,COLUMN())),OFFSET($BN$2,0,0,ROW()-1,60),ROW()-1,FALSE))</f>
        <v>90.067999999999998</v>
      </c>
      <c r="AQ72" t="str">
        <f ca="1">IF(AND(ISNUMBER($AQ$387),$B$294=1),$AQ$387,HLOOKUP(INDIRECT(ADDRESS(2,COLUMN())),OFFSET($BN$2,0,0,ROW()-1,60),ROW()-1,FALSE))</f>
        <v/>
      </c>
      <c r="AR72" t="str">
        <f ca="1">IF(AND(ISNUMBER($AR$387),$B$294=1),$AR$387,HLOOKUP(INDIRECT(ADDRESS(2,COLUMN())),OFFSET($BN$2,0,0,ROW()-1,60),ROW()-1,FALSE))</f>
        <v/>
      </c>
      <c r="AS72" t="str">
        <f ca="1">IF(AND(ISNUMBER($AS$387),$B$294=1),$AS$387,HLOOKUP(INDIRECT(ADDRESS(2,COLUMN())),OFFSET($BN$2,0,0,ROW()-1,60),ROW()-1,FALSE))</f>
        <v/>
      </c>
      <c r="AT72" t="str">
        <f ca="1">IF(AND(ISNUMBER($AT$387),$B$294=1),$AT$387,HLOOKUP(INDIRECT(ADDRESS(2,COLUMN())),OFFSET($BN$2,0,0,ROW()-1,60),ROW()-1,FALSE))</f>
        <v/>
      </c>
      <c r="AU72" t="str">
        <f ca="1">IF(AND(ISNUMBER($AU$387),$B$294=1),$AU$387,HLOOKUP(INDIRECT(ADDRESS(2,COLUMN())),OFFSET($BN$2,0,0,ROW()-1,60),ROW()-1,FALSE))</f>
        <v/>
      </c>
      <c r="AV72" t="str">
        <f ca="1">IF(AND(ISNUMBER($AV$387),$B$294=1),$AV$387,HLOOKUP(INDIRECT(ADDRESS(2,COLUMN())),OFFSET($BN$2,0,0,ROW()-1,60),ROW()-1,FALSE))</f>
        <v/>
      </c>
      <c r="AW72" t="str">
        <f ca="1">IF(AND(ISNUMBER($AW$387),$B$294=1),$AW$387,HLOOKUP(INDIRECT(ADDRESS(2,COLUMN())),OFFSET($BN$2,0,0,ROW()-1,60),ROW()-1,FALSE))</f>
        <v/>
      </c>
      <c r="AX72" t="str">
        <f ca="1">IF(AND(ISNUMBER($AX$387),$B$294=1),$AX$387,HLOOKUP(INDIRECT(ADDRESS(2,COLUMN())),OFFSET($BN$2,0,0,ROW()-1,60),ROW()-1,FALSE))</f>
        <v/>
      </c>
      <c r="AY72" t="str">
        <f ca="1">IF(AND(ISNUMBER($AY$387),$B$294=1),$AY$387,HLOOKUP(INDIRECT(ADDRESS(2,COLUMN())),OFFSET($BN$2,0,0,ROW()-1,60),ROW()-1,FALSE))</f>
        <v/>
      </c>
      <c r="AZ72" t="str">
        <f ca="1">IF(AND(ISNUMBER($AZ$387),$B$294=1),$AZ$387,HLOOKUP(INDIRECT(ADDRESS(2,COLUMN())),OFFSET($BN$2,0,0,ROW()-1,60),ROW()-1,FALSE))</f>
        <v/>
      </c>
      <c r="BA72" t="str">
        <f ca="1">IF(AND(ISNUMBER($BA$387),$B$294=1),$BA$387,HLOOKUP(INDIRECT(ADDRESS(2,COLUMN())),OFFSET($BN$2,0,0,ROW()-1,60),ROW()-1,FALSE))</f>
        <v/>
      </c>
      <c r="BB72" t="str">
        <f ca="1">IF(AND(ISNUMBER($BB$387),$B$294=1),$BB$387,HLOOKUP(INDIRECT(ADDRESS(2,COLUMN())),OFFSET($BN$2,0,0,ROW()-1,60),ROW()-1,FALSE))</f>
        <v/>
      </c>
      <c r="BC72" t="str">
        <f ca="1">IF(AND(ISNUMBER($BC$387),$B$294=1),$BC$387,HLOOKUP(INDIRECT(ADDRESS(2,COLUMN())),OFFSET($BN$2,0,0,ROW()-1,60),ROW()-1,FALSE))</f>
        <v/>
      </c>
      <c r="BD72" t="str">
        <f ca="1">IF(AND(ISNUMBER($BD$387),$B$294=1),$BD$387,HLOOKUP(INDIRECT(ADDRESS(2,COLUMN())),OFFSET($BN$2,0,0,ROW()-1,60),ROW()-1,FALSE))</f>
        <v/>
      </c>
      <c r="BE72" t="str">
        <f ca="1">IF(AND(ISNUMBER($BE$387),$B$294=1),$BE$387,HLOOKUP(INDIRECT(ADDRESS(2,COLUMN())),OFFSET($BN$2,0,0,ROW()-1,60),ROW()-1,FALSE))</f>
        <v/>
      </c>
      <c r="BF72" t="str">
        <f ca="1">IF(AND(ISNUMBER($BF$387),$B$294=1),$BF$387,HLOOKUP(INDIRECT(ADDRESS(2,COLUMN())),OFFSET($BN$2,0,0,ROW()-1,60),ROW()-1,FALSE))</f>
        <v/>
      </c>
      <c r="BG72" t="str">
        <f ca="1">IF(AND(ISNUMBER($BG$387),$B$294=1),$BG$387,HLOOKUP(INDIRECT(ADDRESS(2,COLUMN())),OFFSET($BN$2,0,0,ROW()-1,60),ROW()-1,FALSE))</f>
        <v/>
      </c>
      <c r="BH72" t="str">
        <f ca="1">IF(AND(ISNUMBER($BH$387),$B$294=1),$BH$387,HLOOKUP(INDIRECT(ADDRESS(2,COLUMN())),OFFSET($BN$2,0,0,ROW()-1,60),ROW()-1,FALSE))</f>
        <v/>
      </c>
      <c r="BI72" t="str">
        <f ca="1">IF(AND(ISNUMBER($BI$387),$B$294=1),$BI$387,HLOOKUP(INDIRECT(ADDRESS(2,COLUMN())),OFFSET($BN$2,0,0,ROW()-1,60),ROW()-1,FALSE))</f>
        <v/>
      </c>
      <c r="BJ72" t="str">
        <f ca="1">IF(AND(ISNUMBER($BJ$387),$B$294=1),$BJ$387,HLOOKUP(INDIRECT(ADDRESS(2,COLUMN())),OFFSET($BN$2,0,0,ROW()-1,60),ROW()-1,FALSE))</f>
        <v/>
      </c>
      <c r="BK72" t="str">
        <f ca="1">IF(AND(ISNUMBER($BK$387),$B$294=1),$BK$387,HLOOKUP(INDIRECT(ADDRESS(2,COLUMN())),OFFSET($BN$2,0,0,ROW()-1,60),ROW()-1,FALSE))</f>
        <v/>
      </c>
      <c r="BL72" t="str">
        <f ca="1">IF(AND(ISNUMBER($BL$387),$B$294=1),$BL$387,HLOOKUP(INDIRECT(ADDRESS(2,COLUMN())),OFFSET($BN$2,0,0,ROW()-1,60),ROW()-1,FALSE))</f>
        <v/>
      </c>
      <c r="BM72" t="str">
        <f ca="1">IF(AND(ISNUMBER($BM$387),$B$294=1),$BM$387,HLOOKUP(INDIRECT(ADDRESS(2,COLUMN())),OFFSET($BN$2,0,0,ROW()-1,60),ROW()-1,FALSE))</f>
        <v/>
      </c>
      <c r="BN72" t="str">
        <f>""</f>
        <v/>
      </c>
      <c r="BO72">
        <f>86.182</f>
        <v>86.182000000000002</v>
      </c>
      <c r="BP72">
        <f>87.246</f>
        <v>87.245999999999995</v>
      </c>
      <c r="BQ72">
        <f>88.428</f>
        <v>88.427999999999997</v>
      </c>
      <c r="BR72">
        <f>88.603</f>
        <v>88.602999999999994</v>
      </c>
      <c r="BS72">
        <f>88.35</f>
        <v>88.35</v>
      </c>
      <c r="BT72">
        <f>87.616</f>
        <v>87.616</v>
      </c>
      <c r="BU72">
        <f>85.498</f>
        <v>85.498000000000005</v>
      </c>
      <c r="BV72">
        <f>87.757</f>
        <v>87.757000000000005</v>
      </c>
      <c r="BW72">
        <f>96.283</f>
        <v>96.283000000000001</v>
      </c>
      <c r="BX72">
        <f>97.241</f>
        <v>97.241</v>
      </c>
      <c r="BY72">
        <f>93.382</f>
        <v>93.382000000000005</v>
      </c>
      <c r="BZ72">
        <f>96.446</f>
        <v>96.445999999999998</v>
      </c>
      <c r="CA72">
        <f>379.811</f>
        <v>379.81099999999998</v>
      </c>
      <c r="CB72">
        <f>93.889</f>
        <v>93.888999999999996</v>
      </c>
      <c r="CC72">
        <f>96.079</f>
        <v>96.078999999999994</v>
      </c>
      <c r="CD72">
        <f>93.123</f>
        <v>93.123000000000005</v>
      </c>
      <c r="CE72">
        <f>86.989</f>
        <v>86.989000000000004</v>
      </c>
      <c r="CF72">
        <f>89.22</f>
        <v>89.22</v>
      </c>
      <c r="CG72">
        <f>88.194</f>
        <v>88.194000000000003</v>
      </c>
      <c r="CH72">
        <f>90.214</f>
        <v>90.213999999999999</v>
      </c>
      <c r="CI72">
        <f>90.065</f>
        <v>90.064999999999998</v>
      </c>
      <c r="CJ72">
        <f>86.921</f>
        <v>86.921000000000006</v>
      </c>
      <c r="CK72">
        <f>89.365</f>
        <v>89.364999999999995</v>
      </c>
      <c r="CL72">
        <f>89.225</f>
        <v>89.224999999999994</v>
      </c>
      <c r="CM72">
        <f>89.114</f>
        <v>89.114000000000004</v>
      </c>
      <c r="CN72">
        <f>88.281</f>
        <v>88.281000000000006</v>
      </c>
      <c r="CO72">
        <f>90.093</f>
        <v>90.093000000000004</v>
      </c>
      <c r="CP72">
        <f>87.987</f>
        <v>87.986999999999995</v>
      </c>
      <c r="CQ72">
        <f>90.942</f>
        <v>90.941999999999993</v>
      </c>
      <c r="CR72">
        <f>87.393</f>
        <v>87.393000000000001</v>
      </c>
      <c r="CS72">
        <f>85.801</f>
        <v>85.801000000000002</v>
      </c>
      <c r="CT72">
        <f>85.493</f>
        <v>85.492999999999995</v>
      </c>
      <c r="CU72">
        <f>85.767</f>
        <v>85.766999999999996</v>
      </c>
      <c r="CV72">
        <f>93.325</f>
        <v>93.325000000000003</v>
      </c>
      <c r="CW72">
        <f>90.164</f>
        <v>90.164000000000001</v>
      </c>
      <c r="CX72">
        <f>90.068</f>
        <v>90.067999999999998</v>
      </c>
      <c r="CY72" t="str">
        <f>""</f>
        <v/>
      </c>
      <c r="CZ72" t="str">
        <f>""</f>
        <v/>
      </c>
      <c r="DA72" t="str">
        <f>""</f>
        <v/>
      </c>
      <c r="DB72" t="str">
        <f>""</f>
        <v/>
      </c>
      <c r="DC72" t="str">
        <f>""</f>
        <v/>
      </c>
      <c r="DD72" t="str">
        <f>""</f>
        <v/>
      </c>
      <c r="DE72" t="str">
        <f>""</f>
        <v/>
      </c>
      <c r="DF72" t="str">
        <f>""</f>
        <v/>
      </c>
      <c r="DG72" t="str">
        <f>""</f>
        <v/>
      </c>
      <c r="DH72" t="str">
        <f>""</f>
        <v/>
      </c>
      <c r="DI72" t="str">
        <f>""</f>
        <v/>
      </c>
      <c r="DJ72" t="str">
        <f>""</f>
        <v/>
      </c>
      <c r="DK72" t="str">
        <f>""</f>
        <v/>
      </c>
      <c r="DL72" t="str">
        <f>""</f>
        <v/>
      </c>
      <c r="DM72" t="str">
        <f>""</f>
        <v/>
      </c>
      <c r="DN72" t="str">
        <f>""</f>
        <v/>
      </c>
      <c r="DO72" t="str">
        <f>""</f>
        <v/>
      </c>
      <c r="DP72" t="str">
        <f>""</f>
        <v/>
      </c>
      <c r="DQ72" t="str">
        <f>""</f>
        <v/>
      </c>
      <c r="DR72" t="str">
        <f>""</f>
        <v/>
      </c>
      <c r="DS72" t="str">
        <f>""</f>
        <v/>
      </c>
      <c r="DT72" t="str">
        <f>""</f>
        <v/>
      </c>
      <c r="DU72" t="str">
        <f>""</f>
        <v/>
      </c>
    </row>
    <row r="73" spans="1:125">
      <c r="A73" t="str">
        <f>"    Columbia Property Trust Inc"</f>
        <v xml:space="preserve">    Columbia Property Trust Inc</v>
      </c>
      <c r="B73" t="str">
        <f>"CXP US Equity"</f>
        <v>CXP US Equity</v>
      </c>
      <c r="C73" t="str">
        <f t="shared" si="18"/>
        <v>IS972</v>
      </c>
      <c r="D73" t="str">
        <f t="shared" si="19"/>
        <v>IS_ADJUSTED_EBITDA_AS_REPORTED</v>
      </c>
      <c r="E73" t="str">
        <f t="shared" si="20"/>
        <v>动态</v>
      </c>
      <c r="F73" t="str">
        <f ca="1">IF(AND(ISNUMBER($F$388),$B$294=1),$F$388,HLOOKUP(INDIRECT(ADDRESS(2,COLUMN())),OFFSET($BN$2,0,0,ROW()-1,60),ROW()-1,FALSE))</f>
        <v/>
      </c>
      <c r="G73">
        <f ca="1">IF(AND(ISNUMBER($G$388),$B$294=1),$G$388,HLOOKUP(INDIRECT(ADDRESS(2,COLUMN())),OFFSET($BN$2,0,0,ROW()-1,60),ROW()-1,FALSE))</f>
        <v>52.912999999999997</v>
      </c>
      <c r="H73">
        <f ca="1">IF(AND(ISNUMBER($H$388),$B$294=1),$H$388,HLOOKUP(INDIRECT(ADDRESS(2,COLUMN())),OFFSET($BN$2,0,0,ROW()-1,60),ROW()-1,FALSE))</f>
        <v>148.084</v>
      </c>
      <c r="I73">
        <f ca="1">IF(AND(ISNUMBER($I$388),$B$294=1),$I$388,HLOOKUP(INDIRECT(ADDRESS(2,COLUMN())),OFFSET($BN$2,0,0,ROW()-1,60),ROW()-1,FALSE))</f>
        <v>45.972000000000001</v>
      </c>
      <c r="J73">
        <f ca="1">IF(AND(ISNUMBER($J$388),$B$294=1),$J$388,HLOOKUP(INDIRECT(ADDRESS(2,COLUMN())),OFFSET($BN$2,0,0,ROW()-1,60),ROW()-1,FALSE))</f>
        <v>49.261000000000003</v>
      </c>
      <c r="K73">
        <f ca="1">IF(AND(ISNUMBER($K$388),$B$294=1),$K$388,HLOOKUP(INDIRECT(ADDRESS(2,COLUMN())),OFFSET($BN$2,0,0,ROW()-1,60),ROW()-1,FALSE))</f>
        <v>60.689</v>
      </c>
      <c r="L73">
        <f ca="1">IF(AND(ISNUMBER($L$388),$B$294=1),$L$388,HLOOKUP(INDIRECT(ADDRESS(2,COLUMN())),OFFSET($BN$2,0,0,ROW()-1,60),ROW()-1,FALSE))</f>
        <v>63.679000000000002</v>
      </c>
      <c r="M73">
        <f ca="1">IF(AND(ISNUMBER($M$388),$B$294=1),$M$388,HLOOKUP(INDIRECT(ADDRESS(2,COLUMN())),OFFSET($BN$2,0,0,ROW()-1,60),ROW()-1,FALSE))</f>
        <v>76.781999999999996</v>
      </c>
      <c r="N73">
        <f ca="1">IF(AND(ISNUMBER($N$388),$B$294=1),$N$388,HLOOKUP(INDIRECT(ADDRESS(2,COLUMN())),OFFSET($BN$2,0,0,ROW()-1,60),ROW()-1,FALSE))</f>
        <v>73.117000000000004</v>
      </c>
      <c r="O73">
        <f ca="1">IF(AND(ISNUMBER($O$388),$B$294=1),$O$388,HLOOKUP(INDIRECT(ADDRESS(2,COLUMN())),OFFSET($BN$2,0,0,ROW()-1,60),ROW()-1,FALSE))</f>
        <v>78.162000000000006</v>
      </c>
      <c r="P73">
        <f ca="1">IF(AND(ISNUMBER($P$388),$B$294=1),$P$388,HLOOKUP(INDIRECT(ADDRESS(2,COLUMN())),OFFSET($BN$2,0,0,ROW()-1,60),ROW()-1,FALSE))</f>
        <v>78.581000000000003</v>
      </c>
      <c r="Q73">
        <f ca="1">IF(AND(ISNUMBER($Q$388),$B$294=1),$Q$388,HLOOKUP(INDIRECT(ADDRESS(2,COLUMN())),OFFSET($BN$2,0,0,ROW()-1,60),ROW()-1,FALSE))</f>
        <v>87.313000000000002</v>
      </c>
      <c r="R73">
        <f ca="1">IF(AND(ISNUMBER($R$388),$B$294=1),$R$388,HLOOKUP(INDIRECT(ADDRESS(2,COLUMN())),OFFSET($BN$2,0,0,ROW()-1,60),ROW()-1,FALSE))</f>
        <v>84.769000000000005</v>
      </c>
      <c r="S73">
        <f ca="1">IF(AND(ISNUMBER($S$388),$B$294=1),$S$388,HLOOKUP(INDIRECT(ADDRESS(2,COLUMN())),OFFSET($BN$2,0,0,ROW()-1,60),ROW()-1,FALSE))</f>
        <v>79.444000000000003</v>
      </c>
      <c r="T73">
        <f ca="1">IF(AND(ISNUMBER($T$388),$B$294=1),$T$388,HLOOKUP(INDIRECT(ADDRESS(2,COLUMN())),OFFSET($BN$2,0,0,ROW()-1,60),ROW()-1,FALSE))</f>
        <v>81.983999999999995</v>
      </c>
      <c r="U73">
        <f ca="1">IF(AND(ISNUMBER($U$388),$B$294=1),$U$388,HLOOKUP(INDIRECT(ADDRESS(2,COLUMN())),OFFSET($BN$2,0,0,ROW()-1,60),ROW()-1,FALSE))</f>
        <v>84.006</v>
      </c>
      <c r="V73">
        <f ca="1">IF(AND(ISNUMBER($V$388),$B$294=1),$V$388,HLOOKUP(INDIRECT(ADDRESS(2,COLUMN())),OFFSET($BN$2,0,0,ROW()-1,60),ROW()-1,FALSE))</f>
        <v>78.869</v>
      </c>
      <c r="W73">
        <f ca="1">IF(AND(ISNUMBER($W$388),$B$294=1),$W$388,HLOOKUP(INDIRECT(ADDRESS(2,COLUMN())),OFFSET($BN$2,0,0,ROW()-1,60),ROW()-1,FALSE))</f>
        <v>84.206999999999994</v>
      </c>
      <c r="X73">
        <f ca="1">IF(AND(ISNUMBER($X$388),$B$294=1),$X$388,HLOOKUP(INDIRECT(ADDRESS(2,COLUMN())),OFFSET($BN$2,0,0,ROW()-1,60),ROW()-1,FALSE))</f>
        <v>90.379000000000005</v>
      </c>
      <c r="Y73">
        <f ca="1">IF(AND(ISNUMBER($Y$388),$B$294=1),$Y$388,HLOOKUP(INDIRECT(ADDRESS(2,COLUMN())),OFFSET($BN$2,0,0,ROW()-1,60),ROW()-1,FALSE))</f>
        <v>91.929000000000002</v>
      </c>
      <c r="Z73">
        <f ca="1">IF(AND(ISNUMBER($Z$388),$B$294=1),$Z$388,HLOOKUP(INDIRECT(ADDRESS(2,COLUMN())),OFFSET($BN$2,0,0,ROW()-1,60),ROW()-1,FALSE))</f>
        <v>84.061999999999998</v>
      </c>
      <c r="AA73">
        <f ca="1">IF(AND(ISNUMBER($AA$388),$B$294=1),$AA$388,HLOOKUP(INDIRECT(ADDRESS(2,COLUMN())),OFFSET($BN$2,0,0,ROW()-1,60),ROW()-1,FALSE))</f>
        <v>81.665999999999997</v>
      </c>
      <c r="AB73" t="str">
        <f ca="1">IF(AND(ISNUMBER($AB$388),$B$294=1),$AB$388,HLOOKUP(INDIRECT(ADDRESS(2,COLUMN())),OFFSET($BN$2,0,0,ROW()-1,60),ROW()-1,FALSE))</f>
        <v/>
      </c>
      <c r="AC73" t="str">
        <f ca="1">IF(AND(ISNUMBER($AC$388),$B$294=1),$AC$388,HLOOKUP(INDIRECT(ADDRESS(2,COLUMN())),OFFSET($BN$2,0,0,ROW()-1,60),ROW()-1,FALSE))</f>
        <v/>
      </c>
      <c r="AD73" t="str">
        <f ca="1">IF(AND(ISNUMBER($AD$388),$B$294=1),$AD$388,HLOOKUP(INDIRECT(ADDRESS(2,COLUMN())),OFFSET($BN$2,0,0,ROW()-1,60),ROW()-1,FALSE))</f>
        <v/>
      </c>
      <c r="AE73" t="str">
        <f ca="1">IF(AND(ISNUMBER($AE$388),$B$294=1),$AE$388,HLOOKUP(INDIRECT(ADDRESS(2,COLUMN())),OFFSET($BN$2,0,0,ROW()-1,60),ROW()-1,FALSE))</f>
        <v/>
      </c>
      <c r="AF73" t="str">
        <f ca="1">IF(AND(ISNUMBER($AF$388),$B$294=1),$AF$388,HLOOKUP(INDIRECT(ADDRESS(2,COLUMN())),OFFSET($BN$2,0,0,ROW()-1,60),ROW()-1,FALSE))</f>
        <v/>
      </c>
      <c r="AG73" t="str">
        <f ca="1">IF(AND(ISNUMBER($AG$388),$B$294=1),$AG$388,HLOOKUP(INDIRECT(ADDRESS(2,COLUMN())),OFFSET($BN$2,0,0,ROW()-1,60),ROW()-1,FALSE))</f>
        <v/>
      </c>
      <c r="AH73" t="str">
        <f ca="1">IF(AND(ISNUMBER($AH$388),$B$294=1),$AH$388,HLOOKUP(INDIRECT(ADDRESS(2,COLUMN())),OFFSET($BN$2,0,0,ROW()-1,60),ROW()-1,FALSE))</f>
        <v/>
      </c>
      <c r="AI73" t="str">
        <f ca="1">IF(AND(ISNUMBER($AI$388),$B$294=1),$AI$388,HLOOKUP(INDIRECT(ADDRESS(2,COLUMN())),OFFSET($BN$2,0,0,ROW()-1,60),ROW()-1,FALSE))</f>
        <v/>
      </c>
      <c r="AJ73" t="str">
        <f ca="1">IF(AND(ISNUMBER($AJ$388),$B$294=1),$AJ$388,HLOOKUP(INDIRECT(ADDRESS(2,COLUMN())),OFFSET($BN$2,0,0,ROW()-1,60),ROW()-1,FALSE))</f>
        <v/>
      </c>
      <c r="AK73" t="str">
        <f ca="1">IF(AND(ISNUMBER($AK$388),$B$294=1),$AK$388,HLOOKUP(INDIRECT(ADDRESS(2,COLUMN())),OFFSET($BN$2,0,0,ROW()-1,60),ROW()-1,FALSE))</f>
        <v/>
      </c>
      <c r="AL73" t="str">
        <f ca="1">IF(AND(ISNUMBER($AL$388),$B$294=1),$AL$388,HLOOKUP(INDIRECT(ADDRESS(2,COLUMN())),OFFSET($BN$2,0,0,ROW()-1,60),ROW()-1,FALSE))</f>
        <v/>
      </c>
      <c r="AM73" t="str">
        <f ca="1">IF(AND(ISNUMBER($AM$388),$B$294=1),$AM$388,HLOOKUP(INDIRECT(ADDRESS(2,COLUMN())),OFFSET($BN$2,0,0,ROW()-1,60),ROW()-1,FALSE))</f>
        <v/>
      </c>
      <c r="AN73" t="str">
        <f ca="1">IF(AND(ISNUMBER($AN$388),$B$294=1),$AN$388,HLOOKUP(INDIRECT(ADDRESS(2,COLUMN())),OFFSET($BN$2,0,0,ROW()-1,60),ROW()-1,FALSE))</f>
        <v/>
      </c>
      <c r="AO73" t="str">
        <f ca="1">IF(AND(ISNUMBER($AO$388),$B$294=1),$AO$388,HLOOKUP(INDIRECT(ADDRESS(2,COLUMN())),OFFSET($BN$2,0,0,ROW()-1,60),ROW()-1,FALSE))</f>
        <v/>
      </c>
      <c r="AP73" t="str">
        <f ca="1">IF(AND(ISNUMBER($AP$388),$B$294=1),$AP$388,HLOOKUP(INDIRECT(ADDRESS(2,COLUMN())),OFFSET($BN$2,0,0,ROW()-1,60),ROW()-1,FALSE))</f>
        <v/>
      </c>
      <c r="AQ73" t="str">
        <f ca="1">IF(AND(ISNUMBER($AQ$388),$B$294=1),$AQ$388,HLOOKUP(INDIRECT(ADDRESS(2,COLUMN())),OFFSET($BN$2,0,0,ROW()-1,60),ROW()-1,FALSE))</f>
        <v/>
      </c>
      <c r="AR73" t="str">
        <f ca="1">IF(AND(ISNUMBER($AR$388),$B$294=1),$AR$388,HLOOKUP(INDIRECT(ADDRESS(2,COLUMN())),OFFSET($BN$2,0,0,ROW()-1,60),ROW()-1,FALSE))</f>
        <v/>
      </c>
      <c r="AS73" t="str">
        <f ca="1">IF(AND(ISNUMBER($AS$388),$B$294=1),$AS$388,HLOOKUP(INDIRECT(ADDRESS(2,COLUMN())),OFFSET($BN$2,0,0,ROW()-1,60),ROW()-1,FALSE))</f>
        <v/>
      </c>
      <c r="AT73" t="str">
        <f ca="1">IF(AND(ISNUMBER($AT$388),$B$294=1),$AT$388,HLOOKUP(INDIRECT(ADDRESS(2,COLUMN())),OFFSET($BN$2,0,0,ROW()-1,60),ROW()-1,FALSE))</f>
        <v/>
      </c>
      <c r="AU73" t="str">
        <f ca="1">IF(AND(ISNUMBER($AU$388),$B$294=1),$AU$388,HLOOKUP(INDIRECT(ADDRESS(2,COLUMN())),OFFSET($BN$2,0,0,ROW()-1,60),ROW()-1,FALSE))</f>
        <v/>
      </c>
      <c r="AV73" t="str">
        <f ca="1">IF(AND(ISNUMBER($AV$388),$B$294=1),$AV$388,HLOOKUP(INDIRECT(ADDRESS(2,COLUMN())),OFFSET($BN$2,0,0,ROW()-1,60),ROW()-1,FALSE))</f>
        <v/>
      </c>
      <c r="AW73" t="str">
        <f ca="1">IF(AND(ISNUMBER($AW$388),$B$294=1),$AW$388,HLOOKUP(INDIRECT(ADDRESS(2,COLUMN())),OFFSET($BN$2,0,0,ROW()-1,60),ROW()-1,FALSE))</f>
        <v/>
      </c>
      <c r="AX73" t="str">
        <f ca="1">IF(AND(ISNUMBER($AX$388),$B$294=1),$AX$388,HLOOKUP(INDIRECT(ADDRESS(2,COLUMN())),OFFSET($BN$2,0,0,ROW()-1,60),ROW()-1,FALSE))</f>
        <v/>
      </c>
      <c r="AY73" t="str">
        <f ca="1">IF(AND(ISNUMBER($AY$388),$B$294=1),$AY$388,HLOOKUP(INDIRECT(ADDRESS(2,COLUMN())),OFFSET($BN$2,0,0,ROW()-1,60),ROW()-1,FALSE))</f>
        <v/>
      </c>
      <c r="AZ73" t="str">
        <f ca="1">IF(AND(ISNUMBER($AZ$388),$B$294=1),$AZ$388,HLOOKUP(INDIRECT(ADDRESS(2,COLUMN())),OFFSET($BN$2,0,0,ROW()-1,60),ROW()-1,FALSE))</f>
        <v/>
      </c>
      <c r="BA73" t="str">
        <f ca="1">IF(AND(ISNUMBER($BA$388),$B$294=1),$BA$388,HLOOKUP(INDIRECT(ADDRESS(2,COLUMN())),OFFSET($BN$2,0,0,ROW()-1,60),ROW()-1,FALSE))</f>
        <v/>
      </c>
      <c r="BB73" t="str">
        <f ca="1">IF(AND(ISNUMBER($BB$388),$B$294=1),$BB$388,HLOOKUP(INDIRECT(ADDRESS(2,COLUMN())),OFFSET($BN$2,0,0,ROW()-1,60),ROW()-1,FALSE))</f>
        <v/>
      </c>
      <c r="BC73" t="str">
        <f ca="1">IF(AND(ISNUMBER($BC$388),$B$294=1),$BC$388,HLOOKUP(INDIRECT(ADDRESS(2,COLUMN())),OFFSET($BN$2,0,0,ROW()-1,60),ROW()-1,FALSE))</f>
        <v/>
      </c>
      <c r="BD73" t="str">
        <f ca="1">IF(AND(ISNUMBER($BD$388),$B$294=1),$BD$388,HLOOKUP(INDIRECT(ADDRESS(2,COLUMN())),OFFSET($BN$2,0,0,ROW()-1,60),ROW()-1,FALSE))</f>
        <v/>
      </c>
      <c r="BE73" t="str">
        <f ca="1">IF(AND(ISNUMBER($BE$388),$B$294=1),$BE$388,HLOOKUP(INDIRECT(ADDRESS(2,COLUMN())),OFFSET($BN$2,0,0,ROW()-1,60),ROW()-1,FALSE))</f>
        <v/>
      </c>
      <c r="BF73" t="str">
        <f ca="1">IF(AND(ISNUMBER($BF$388),$B$294=1),$BF$388,HLOOKUP(INDIRECT(ADDRESS(2,COLUMN())),OFFSET($BN$2,0,0,ROW()-1,60),ROW()-1,FALSE))</f>
        <v/>
      </c>
      <c r="BG73" t="str">
        <f ca="1">IF(AND(ISNUMBER($BG$388),$B$294=1),$BG$388,HLOOKUP(INDIRECT(ADDRESS(2,COLUMN())),OFFSET($BN$2,0,0,ROW()-1,60),ROW()-1,FALSE))</f>
        <v/>
      </c>
      <c r="BH73" t="str">
        <f ca="1">IF(AND(ISNUMBER($BH$388),$B$294=1),$BH$388,HLOOKUP(INDIRECT(ADDRESS(2,COLUMN())),OFFSET($BN$2,0,0,ROW()-1,60),ROW()-1,FALSE))</f>
        <v/>
      </c>
      <c r="BI73" t="str">
        <f ca="1">IF(AND(ISNUMBER($BI$388),$B$294=1),$BI$388,HLOOKUP(INDIRECT(ADDRESS(2,COLUMN())),OFFSET($BN$2,0,0,ROW()-1,60),ROW()-1,FALSE))</f>
        <v/>
      </c>
      <c r="BJ73" t="str">
        <f ca="1">IF(AND(ISNUMBER($BJ$388),$B$294=1),$BJ$388,HLOOKUP(INDIRECT(ADDRESS(2,COLUMN())),OFFSET($BN$2,0,0,ROW()-1,60),ROW()-1,FALSE))</f>
        <v/>
      </c>
      <c r="BK73" t="str">
        <f ca="1">IF(AND(ISNUMBER($BK$388),$B$294=1),$BK$388,HLOOKUP(INDIRECT(ADDRESS(2,COLUMN())),OFFSET($BN$2,0,0,ROW()-1,60),ROW()-1,FALSE))</f>
        <v/>
      </c>
      <c r="BL73" t="str">
        <f ca="1">IF(AND(ISNUMBER($BL$388),$B$294=1),$BL$388,HLOOKUP(INDIRECT(ADDRESS(2,COLUMN())),OFFSET($BN$2,0,0,ROW()-1,60),ROW()-1,FALSE))</f>
        <v/>
      </c>
      <c r="BM73" t="str">
        <f ca="1">IF(AND(ISNUMBER($BM$388),$B$294=1),$BM$388,HLOOKUP(INDIRECT(ADDRESS(2,COLUMN())),OFFSET($BN$2,0,0,ROW()-1,60),ROW()-1,FALSE))</f>
        <v/>
      </c>
      <c r="BN73" t="str">
        <f>""</f>
        <v/>
      </c>
      <c r="BO73">
        <f>52.913</f>
        <v>52.912999999999997</v>
      </c>
      <c r="BP73">
        <f>148.084</f>
        <v>148.084</v>
      </c>
      <c r="BQ73">
        <f>45.972</f>
        <v>45.972000000000001</v>
      </c>
      <c r="BR73">
        <f>49.261</f>
        <v>49.261000000000003</v>
      </c>
      <c r="BS73">
        <f>60.689</f>
        <v>60.689</v>
      </c>
      <c r="BT73">
        <f>63.679</f>
        <v>63.679000000000002</v>
      </c>
      <c r="BU73">
        <f>76.782</f>
        <v>76.781999999999996</v>
      </c>
      <c r="BV73">
        <f>73.117</f>
        <v>73.117000000000004</v>
      </c>
      <c r="BW73">
        <f>78.162</f>
        <v>78.162000000000006</v>
      </c>
      <c r="BX73">
        <f>78.581</f>
        <v>78.581000000000003</v>
      </c>
      <c r="BY73">
        <f>87.313</f>
        <v>87.313000000000002</v>
      </c>
      <c r="BZ73">
        <f>84.769</f>
        <v>84.769000000000005</v>
      </c>
      <c r="CA73">
        <f>79.444</f>
        <v>79.444000000000003</v>
      </c>
      <c r="CB73">
        <f>81.984</f>
        <v>81.983999999999995</v>
      </c>
      <c r="CC73">
        <f>84.006</f>
        <v>84.006</v>
      </c>
      <c r="CD73">
        <f>78.869</f>
        <v>78.869</v>
      </c>
      <c r="CE73">
        <f>84.207</f>
        <v>84.206999999999994</v>
      </c>
      <c r="CF73">
        <f>90.379</f>
        <v>90.379000000000005</v>
      </c>
      <c r="CG73">
        <f>91.929</f>
        <v>91.929000000000002</v>
      </c>
      <c r="CH73">
        <f>84.062</f>
        <v>84.061999999999998</v>
      </c>
      <c r="CI73">
        <f>81.666</f>
        <v>81.665999999999997</v>
      </c>
      <c r="CJ73" t="str">
        <f>""</f>
        <v/>
      </c>
      <c r="CK73" t="str">
        <f>""</f>
        <v/>
      </c>
      <c r="CL73" t="str">
        <f>""</f>
        <v/>
      </c>
      <c r="CM73" t="str">
        <f>""</f>
        <v/>
      </c>
      <c r="CN73" t="str">
        <f>""</f>
        <v/>
      </c>
      <c r="CO73" t="str">
        <f>""</f>
        <v/>
      </c>
      <c r="CP73" t="str">
        <f>""</f>
        <v/>
      </c>
      <c r="CQ73" t="str">
        <f>""</f>
        <v/>
      </c>
      <c r="CR73" t="str">
        <f>""</f>
        <v/>
      </c>
      <c r="CS73" t="str">
        <f>""</f>
        <v/>
      </c>
      <c r="CT73" t="str">
        <f>""</f>
        <v/>
      </c>
      <c r="CU73" t="str">
        <f>""</f>
        <v/>
      </c>
      <c r="CV73" t="str">
        <f>""</f>
        <v/>
      </c>
      <c r="CW73" t="str">
        <f>""</f>
        <v/>
      </c>
      <c r="CX73" t="str">
        <f>""</f>
        <v/>
      </c>
      <c r="CY73" t="str">
        <f>""</f>
        <v/>
      </c>
      <c r="CZ73" t="str">
        <f>""</f>
        <v/>
      </c>
      <c r="DA73" t="str">
        <f>""</f>
        <v/>
      </c>
      <c r="DB73" t="str">
        <f>""</f>
        <v/>
      </c>
      <c r="DC73" t="str">
        <f>""</f>
        <v/>
      </c>
      <c r="DD73" t="str">
        <f>""</f>
        <v/>
      </c>
      <c r="DE73" t="str">
        <f>""</f>
        <v/>
      </c>
      <c r="DF73" t="str">
        <f>""</f>
        <v/>
      </c>
      <c r="DG73" t="str">
        <f>""</f>
        <v/>
      </c>
      <c r="DH73" t="str">
        <f>""</f>
        <v/>
      </c>
      <c r="DI73" t="str">
        <f>""</f>
        <v/>
      </c>
      <c r="DJ73" t="str">
        <f>""</f>
        <v/>
      </c>
      <c r="DK73" t="str">
        <f>""</f>
        <v/>
      </c>
      <c r="DL73" t="str">
        <f>""</f>
        <v/>
      </c>
      <c r="DM73" t="str">
        <f>""</f>
        <v/>
      </c>
      <c r="DN73" t="str">
        <f>""</f>
        <v/>
      </c>
      <c r="DO73" t="str">
        <f>""</f>
        <v/>
      </c>
      <c r="DP73" t="str">
        <f>""</f>
        <v/>
      </c>
      <c r="DQ73" t="str">
        <f>""</f>
        <v/>
      </c>
      <c r="DR73" t="str">
        <f>""</f>
        <v/>
      </c>
      <c r="DS73" t="str">
        <f>""</f>
        <v/>
      </c>
      <c r="DT73" t="str">
        <f>""</f>
        <v/>
      </c>
      <c r="DU73" t="str">
        <f>""</f>
        <v/>
      </c>
    </row>
    <row r="74" spans="1:125">
      <c r="A74" t="str">
        <f>"    Corporate Office Properties Tr"</f>
        <v xml:space="preserve">    Corporate Office Properties Tr</v>
      </c>
      <c r="B74" t="str">
        <f>"OFC US Equity"</f>
        <v>OFC US Equity</v>
      </c>
      <c r="C74" t="str">
        <f t="shared" si="18"/>
        <v>IS972</v>
      </c>
      <c r="D74" t="str">
        <f t="shared" si="19"/>
        <v>IS_ADJUSTED_EBITDA_AS_REPORTED</v>
      </c>
      <c r="E74" t="str">
        <f t="shared" si="20"/>
        <v>动态</v>
      </c>
      <c r="F74" t="str">
        <f ca="1">IF(AND(ISNUMBER($F$389),$B$294=1),$F$389,HLOOKUP(INDIRECT(ADDRESS(2,COLUMN())),OFFSET($BN$2,0,0,ROW()-1,60),ROW()-1,FALSE))</f>
        <v/>
      </c>
      <c r="G74">
        <f ca="1">IF(AND(ISNUMBER($G$389),$B$294=1),$G$389,HLOOKUP(INDIRECT(ADDRESS(2,COLUMN())),OFFSET($BN$2,0,0,ROW()-1,60),ROW()-1,FALSE))</f>
        <v>76.957999999999998</v>
      </c>
      <c r="H74">
        <f ca="1">IF(AND(ISNUMBER($H$389),$B$294=1),$H$389,HLOOKUP(INDIRECT(ADDRESS(2,COLUMN())),OFFSET($BN$2,0,0,ROW()-1,60),ROW()-1,FALSE))</f>
        <v>77.335999999999999</v>
      </c>
      <c r="I74">
        <f ca="1">IF(AND(ISNUMBER($I$389),$B$294=1),$I$389,HLOOKUP(INDIRECT(ADDRESS(2,COLUMN())),OFFSET($BN$2,0,0,ROW()-1,60),ROW()-1,FALSE))</f>
        <v>75.594999999999999</v>
      </c>
      <c r="J74">
        <f ca="1">IF(AND(ISNUMBER($J$389),$B$294=1),$J$389,HLOOKUP(INDIRECT(ADDRESS(2,COLUMN())),OFFSET($BN$2,0,0,ROW()-1,60),ROW()-1,FALSE))</f>
        <v>73.885000000000005</v>
      </c>
      <c r="K74">
        <f ca="1">IF(AND(ISNUMBER($K$389),$B$294=1),$K$389,HLOOKUP(INDIRECT(ADDRESS(2,COLUMN())),OFFSET($BN$2,0,0,ROW()-1,60),ROW()-1,FALSE))</f>
        <v>76.781000000000006</v>
      </c>
      <c r="L74">
        <f ca="1">IF(AND(ISNUMBER($L$389),$B$294=1),$L$389,HLOOKUP(INDIRECT(ADDRESS(2,COLUMN())),OFFSET($BN$2,0,0,ROW()-1,60),ROW()-1,FALSE))</f>
        <v>76.834000000000003</v>
      </c>
      <c r="M74">
        <f ca="1">IF(AND(ISNUMBER($M$389),$B$294=1),$M$389,HLOOKUP(INDIRECT(ADDRESS(2,COLUMN())),OFFSET($BN$2,0,0,ROW()-1,60),ROW()-1,FALSE))</f>
        <v>79.625</v>
      </c>
      <c r="N74">
        <f ca="1">IF(AND(ISNUMBER($N$389),$B$294=1),$N$389,HLOOKUP(INDIRECT(ADDRESS(2,COLUMN())),OFFSET($BN$2,0,0,ROW()-1,60),ROW()-1,FALSE))</f>
        <v>74.906000000000006</v>
      </c>
      <c r="O74">
        <f ca="1">IF(AND(ISNUMBER($O$389),$B$294=1),$O$389,HLOOKUP(INDIRECT(ADDRESS(2,COLUMN())),OFFSET($BN$2,0,0,ROW()-1,60),ROW()-1,FALSE))</f>
        <v>79.718000000000004</v>
      </c>
      <c r="P74">
        <f ca="1">IF(AND(ISNUMBER($P$389),$B$294=1),$P$389,HLOOKUP(INDIRECT(ADDRESS(2,COLUMN())),OFFSET($BN$2,0,0,ROW()-1,60),ROW()-1,FALSE))</f>
        <v>77.710999999999999</v>
      </c>
      <c r="Q74">
        <f ca="1">IF(AND(ISNUMBER($Q$389),$B$294=1),$Q$389,HLOOKUP(INDIRECT(ADDRESS(2,COLUMN())),OFFSET($BN$2,0,0,ROW()-1,60),ROW()-1,FALSE))</f>
        <v>73.819999999999993</v>
      </c>
      <c r="R74">
        <f ca="1">IF(AND(ISNUMBER($R$389),$B$294=1),$R$389,HLOOKUP(INDIRECT(ADDRESS(2,COLUMN())),OFFSET($BN$2,0,0,ROW()-1,60),ROW()-1,FALSE))</f>
        <v>65.355000000000004</v>
      </c>
      <c r="S74">
        <f ca="1">IF(AND(ISNUMBER($S$389),$B$294=1),$S$389,HLOOKUP(INDIRECT(ADDRESS(2,COLUMN())),OFFSET($BN$2,0,0,ROW()-1,60),ROW()-1,FALSE))</f>
        <v>70.414000000000001</v>
      </c>
      <c r="T74">
        <f ca="1">IF(AND(ISNUMBER($T$389),$B$294=1),$T$389,HLOOKUP(INDIRECT(ADDRESS(2,COLUMN())),OFFSET($BN$2,0,0,ROW()-1,60),ROW()-1,FALSE))</f>
        <v>69.122</v>
      </c>
      <c r="U74">
        <f ca="1">IF(AND(ISNUMBER($U$389),$B$294=1),$U$389,HLOOKUP(INDIRECT(ADDRESS(2,COLUMN())),OFFSET($BN$2,0,0,ROW()-1,60),ROW()-1,FALSE))</f>
        <v>65.8</v>
      </c>
      <c r="V74">
        <f ca="1">IF(AND(ISNUMBER($V$389),$B$294=1),$V$389,HLOOKUP(INDIRECT(ADDRESS(2,COLUMN())),OFFSET($BN$2,0,0,ROW()-1,60),ROW()-1,FALSE))</f>
        <v>70.710999999999999</v>
      </c>
      <c r="W74">
        <f ca="1">IF(AND(ISNUMBER($W$389),$B$294=1),$W$389,HLOOKUP(INDIRECT(ADDRESS(2,COLUMN())),OFFSET($BN$2,0,0,ROW()-1,60),ROW()-1,FALSE))</f>
        <v>73.917000000000002</v>
      </c>
      <c r="X74">
        <f ca="1">IF(AND(ISNUMBER($X$389),$B$294=1),$X$389,HLOOKUP(INDIRECT(ADDRESS(2,COLUMN())),OFFSET($BN$2,0,0,ROW()-1,60),ROW()-1,FALSE))</f>
        <v>72.5</v>
      </c>
      <c r="Y74">
        <f ca="1">IF(AND(ISNUMBER($Y$389),$B$294=1),$Y$389,HLOOKUP(INDIRECT(ADDRESS(2,COLUMN())),OFFSET($BN$2,0,0,ROW()-1,60),ROW()-1,FALSE))</f>
        <v>75.822000000000003</v>
      </c>
      <c r="Z74">
        <f ca="1">IF(AND(ISNUMBER($Z$389),$B$294=1),$Z$389,HLOOKUP(INDIRECT(ADDRESS(2,COLUMN())),OFFSET($BN$2,0,0,ROW()-1,60),ROW()-1,FALSE))</f>
        <v>71.072999999999993</v>
      </c>
      <c r="AA74">
        <f ca="1">IF(AND(ISNUMBER($AA$389),$B$294=1),$AA$389,HLOOKUP(INDIRECT(ADDRESS(2,COLUMN())),OFFSET($BN$2,0,0,ROW()-1,60),ROW()-1,FALSE))</f>
        <v>70.177999999999997</v>
      </c>
      <c r="AB74">
        <f ca="1">IF(AND(ISNUMBER($AB$389),$B$294=1),$AB$389,HLOOKUP(INDIRECT(ADDRESS(2,COLUMN())),OFFSET($BN$2,0,0,ROW()-1,60),ROW()-1,FALSE))</f>
        <v>71.900999999999996</v>
      </c>
      <c r="AC74">
        <f ca="1">IF(AND(ISNUMBER($AC$389),$B$294=1),$AC$389,HLOOKUP(INDIRECT(ADDRESS(2,COLUMN())),OFFSET($BN$2,0,0,ROW()-1,60),ROW()-1,FALSE))</f>
        <v>71.501999999999995</v>
      </c>
      <c r="AD74">
        <f ca="1">IF(AND(ISNUMBER($AD$389),$B$294=1),$AD$389,HLOOKUP(INDIRECT(ADDRESS(2,COLUMN())),OFFSET($BN$2,0,0,ROW()-1,60),ROW()-1,FALSE))</f>
        <v>69.817999999999998</v>
      </c>
      <c r="AE74">
        <f ca="1">IF(AND(ISNUMBER($AE$389),$B$294=1),$AE$389,HLOOKUP(INDIRECT(ADDRESS(2,COLUMN())),OFFSET($BN$2,0,0,ROW()-1,60),ROW()-1,FALSE))</f>
        <v>71.757999999999996</v>
      </c>
      <c r="AF74">
        <f ca="1">IF(AND(ISNUMBER($AF$389),$B$294=1),$AF$389,HLOOKUP(INDIRECT(ADDRESS(2,COLUMN())),OFFSET($BN$2,0,0,ROW()-1,60),ROW()-1,FALSE))</f>
        <v>69.983999999999995</v>
      </c>
      <c r="AG74">
        <f ca="1">IF(AND(ISNUMBER($AG$389),$B$294=1),$AG$389,HLOOKUP(INDIRECT(ADDRESS(2,COLUMN())),OFFSET($BN$2,0,0,ROW()-1,60),ROW()-1,FALSE))</f>
        <v>73.058000000000007</v>
      </c>
      <c r="AH74">
        <f ca="1">IF(AND(ISNUMBER($AH$389),$B$294=1),$AH$389,HLOOKUP(INDIRECT(ADDRESS(2,COLUMN())),OFFSET($BN$2,0,0,ROW()-1,60),ROW()-1,FALSE))</f>
        <v>69.204999999999998</v>
      </c>
      <c r="AI74" t="str">
        <f ca="1">IF(AND(ISNUMBER($AI$389),$B$294=1),$AI$389,HLOOKUP(INDIRECT(ADDRESS(2,COLUMN())),OFFSET($BN$2,0,0,ROW()-1,60),ROW()-1,FALSE))</f>
        <v/>
      </c>
      <c r="AJ74" t="str">
        <f ca="1">IF(AND(ISNUMBER($AJ$389),$B$294=1),$AJ$389,HLOOKUP(INDIRECT(ADDRESS(2,COLUMN())),OFFSET($BN$2,0,0,ROW()-1,60),ROW()-1,FALSE))</f>
        <v/>
      </c>
      <c r="AK74" t="str">
        <f ca="1">IF(AND(ISNUMBER($AK$389),$B$294=1),$AK$389,HLOOKUP(INDIRECT(ADDRESS(2,COLUMN())),OFFSET($BN$2,0,0,ROW()-1,60),ROW()-1,FALSE))</f>
        <v/>
      </c>
      <c r="AL74" t="str">
        <f ca="1">IF(AND(ISNUMBER($AL$389),$B$294=1),$AL$389,HLOOKUP(INDIRECT(ADDRESS(2,COLUMN())),OFFSET($BN$2,0,0,ROW()-1,60),ROW()-1,FALSE))</f>
        <v/>
      </c>
      <c r="AM74" t="str">
        <f ca="1">IF(AND(ISNUMBER($AM$389),$B$294=1),$AM$389,HLOOKUP(INDIRECT(ADDRESS(2,COLUMN())),OFFSET($BN$2,0,0,ROW()-1,60),ROW()-1,FALSE))</f>
        <v/>
      </c>
      <c r="AN74" t="str">
        <f ca="1">IF(AND(ISNUMBER($AN$389),$B$294=1),$AN$389,HLOOKUP(INDIRECT(ADDRESS(2,COLUMN())),OFFSET($BN$2,0,0,ROW()-1,60),ROW()-1,FALSE))</f>
        <v/>
      </c>
      <c r="AO74" t="str">
        <f ca="1">IF(AND(ISNUMBER($AO$389),$B$294=1),$AO$389,HLOOKUP(INDIRECT(ADDRESS(2,COLUMN())),OFFSET($BN$2,0,0,ROW()-1,60),ROW()-1,FALSE))</f>
        <v/>
      </c>
      <c r="AP74" t="str">
        <f ca="1">IF(AND(ISNUMBER($AP$389),$B$294=1),$AP$389,HLOOKUP(INDIRECT(ADDRESS(2,COLUMN())),OFFSET($BN$2,0,0,ROW()-1,60),ROW()-1,FALSE))</f>
        <v/>
      </c>
      <c r="AQ74" t="str">
        <f ca="1">IF(AND(ISNUMBER($AQ$389),$B$294=1),$AQ$389,HLOOKUP(INDIRECT(ADDRESS(2,COLUMN())),OFFSET($BN$2,0,0,ROW()-1,60),ROW()-1,FALSE))</f>
        <v/>
      </c>
      <c r="AR74" t="str">
        <f ca="1">IF(AND(ISNUMBER($AR$389),$B$294=1),$AR$389,HLOOKUP(INDIRECT(ADDRESS(2,COLUMN())),OFFSET($BN$2,0,0,ROW()-1,60),ROW()-1,FALSE))</f>
        <v/>
      </c>
      <c r="AS74" t="str">
        <f ca="1">IF(AND(ISNUMBER($AS$389),$B$294=1),$AS$389,HLOOKUP(INDIRECT(ADDRESS(2,COLUMN())),OFFSET($BN$2,0,0,ROW()-1,60),ROW()-1,FALSE))</f>
        <v/>
      </c>
      <c r="AT74" t="str">
        <f ca="1">IF(AND(ISNUMBER($AT$389),$B$294=1),$AT$389,HLOOKUP(INDIRECT(ADDRESS(2,COLUMN())),OFFSET($BN$2,0,0,ROW()-1,60),ROW()-1,FALSE))</f>
        <v/>
      </c>
      <c r="AU74" t="str">
        <f ca="1">IF(AND(ISNUMBER($AU$389),$B$294=1),$AU$389,HLOOKUP(INDIRECT(ADDRESS(2,COLUMN())),OFFSET($BN$2,0,0,ROW()-1,60),ROW()-1,FALSE))</f>
        <v/>
      </c>
      <c r="AV74" t="str">
        <f ca="1">IF(AND(ISNUMBER($AV$389),$B$294=1),$AV$389,HLOOKUP(INDIRECT(ADDRESS(2,COLUMN())),OFFSET($BN$2,0,0,ROW()-1,60),ROW()-1,FALSE))</f>
        <v/>
      </c>
      <c r="AW74" t="str">
        <f ca="1">IF(AND(ISNUMBER($AW$389),$B$294=1),$AW$389,HLOOKUP(INDIRECT(ADDRESS(2,COLUMN())),OFFSET($BN$2,0,0,ROW()-1,60),ROW()-1,FALSE))</f>
        <v/>
      </c>
      <c r="AX74" t="str">
        <f ca="1">IF(AND(ISNUMBER($AX$389),$B$294=1),$AX$389,HLOOKUP(INDIRECT(ADDRESS(2,COLUMN())),OFFSET($BN$2,0,0,ROW()-1,60),ROW()-1,FALSE))</f>
        <v/>
      </c>
      <c r="AY74" t="str">
        <f ca="1">IF(AND(ISNUMBER($AY$389),$B$294=1),$AY$389,HLOOKUP(INDIRECT(ADDRESS(2,COLUMN())),OFFSET($BN$2,0,0,ROW()-1,60),ROW()-1,FALSE))</f>
        <v/>
      </c>
      <c r="AZ74" t="str">
        <f ca="1">IF(AND(ISNUMBER($AZ$389),$B$294=1),$AZ$389,HLOOKUP(INDIRECT(ADDRESS(2,COLUMN())),OFFSET($BN$2,0,0,ROW()-1,60),ROW()-1,FALSE))</f>
        <v/>
      </c>
      <c r="BA74" t="str">
        <f ca="1">IF(AND(ISNUMBER($BA$389),$B$294=1),$BA$389,HLOOKUP(INDIRECT(ADDRESS(2,COLUMN())),OFFSET($BN$2,0,0,ROW()-1,60),ROW()-1,FALSE))</f>
        <v/>
      </c>
      <c r="BB74" t="str">
        <f ca="1">IF(AND(ISNUMBER($BB$389),$B$294=1),$BB$389,HLOOKUP(INDIRECT(ADDRESS(2,COLUMN())),OFFSET($BN$2,0,0,ROW()-1,60),ROW()-1,FALSE))</f>
        <v/>
      </c>
      <c r="BC74" t="str">
        <f ca="1">IF(AND(ISNUMBER($BC$389),$B$294=1),$BC$389,HLOOKUP(INDIRECT(ADDRESS(2,COLUMN())),OFFSET($BN$2,0,0,ROW()-1,60),ROW()-1,FALSE))</f>
        <v/>
      </c>
      <c r="BD74" t="str">
        <f ca="1">IF(AND(ISNUMBER($BD$389),$B$294=1),$BD$389,HLOOKUP(INDIRECT(ADDRESS(2,COLUMN())),OFFSET($BN$2,0,0,ROW()-1,60),ROW()-1,FALSE))</f>
        <v/>
      </c>
      <c r="BE74" t="str">
        <f ca="1">IF(AND(ISNUMBER($BE$389),$B$294=1),$BE$389,HLOOKUP(INDIRECT(ADDRESS(2,COLUMN())),OFFSET($BN$2,0,0,ROW()-1,60),ROW()-1,FALSE))</f>
        <v/>
      </c>
      <c r="BF74" t="str">
        <f ca="1">IF(AND(ISNUMBER($BF$389),$B$294=1),$BF$389,HLOOKUP(INDIRECT(ADDRESS(2,COLUMN())),OFFSET($BN$2,0,0,ROW()-1,60),ROW()-1,FALSE))</f>
        <v/>
      </c>
      <c r="BG74" t="str">
        <f ca="1">IF(AND(ISNUMBER($BG$389),$B$294=1),$BG$389,HLOOKUP(INDIRECT(ADDRESS(2,COLUMN())),OFFSET($BN$2,0,0,ROW()-1,60),ROW()-1,FALSE))</f>
        <v/>
      </c>
      <c r="BH74" t="str">
        <f ca="1">IF(AND(ISNUMBER($BH$389),$B$294=1),$BH$389,HLOOKUP(INDIRECT(ADDRESS(2,COLUMN())),OFFSET($BN$2,0,0,ROW()-1,60),ROW()-1,FALSE))</f>
        <v/>
      </c>
      <c r="BI74" t="str">
        <f ca="1">IF(AND(ISNUMBER($BI$389),$B$294=1),$BI$389,HLOOKUP(INDIRECT(ADDRESS(2,COLUMN())),OFFSET($BN$2,0,0,ROW()-1,60),ROW()-1,FALSE))</f>
        <v/>
      </c>
      <c r="BJ74" t="str">
        <f ca="1">IF(AND(ISNUMBER($BJ$389),$B$294=1),$BJ$389,HLOOKUP(INDIRECT(ADDRESS(2,COLUMN())),OFFSET($BN$2,0,0,ROW()-1,60),ROW()-1,FALSE))</f>
        <v/>
      </c>
      <c r="BK74" t="str">
        <f ca="1">IF(AND(ISNUMBER($BK$389),$B$294=1),$BK$389,HLOOKUP(INDIRECT(ADDRESS(2,COLUMN())),OFFSET($BN$2,0,0,ROW()-1,60),ROW()-1,FALSE))</f>
        <v/>
      </c>
      <c r="BL74" t="str">
        <f ca="1">IF(AND(ISNUMBER($BL$389),$B$294=1),$BL$389,HLOOKUP(INDIRECT(ADDRESS(2,COLUMN())),OFFSET($BN$2,0,0,ROW()-1,60),ROW()-1,FALSE))</f>
        <v/>
      </c>
      <c r="BM74" t="str">
        <f ca="1">IF(AND(ISNUMBER($BM$389),$B$294=1),$BM$389,HLOOKUP(INDIRECT(ADDRESS(2,COLUMN())),OFFSET($BN$2,0,0,ROW()-1,60),ROW()-1,FALSE))</f>
        <v/>
      </c>
      <c r="BN74" t="str">
        <f>""</f>
        <v/>
      </c>
      <c r="BO74">
        <f>76.958</f>
        <v>76.957999999999998</v>
      </c>
      <c r="BP74">
        <f>77.336</f>
        <v>77.335999999999999</v>
      </c>
      <c r="BQ74">
        <f>75.595</f>
        <v>75.594999999999999</v>
      </c>
      <c r="BR74">
        <f>73.885</f>
        <v>73.885000000000005</v>
      </c>
      <c r="BS74">
        <f>76.781</f>
        <v>76.781000000000006</v>
      </c>
      <c r="BT74">
        <f>76.834</f>
        <v>76.834000000000003</v>
      </c>
      <c r="BU74">
        <f>79.625</f>
        <v>79.625</v>
      </c>
      <c r="BV74">
        <f>74.906</f>
        <v>74.906000000000006</v>
      </c>
      <c r="BW74">
        <f>79.718</f>
        <v>79.718000000000004</v>
      </c>
      <c r="BX74">
        <f>77.711</f>
        <v>77.710999999999999</v>
      </c>
      <c r="BY74">
        <f>73.82</f>
        <v>73.819999999999993</v>
      </c>
      <c r="BZ74">
        <f>65.355</f>
        <v>65.355000000000004</v>
      </c>
      <c r="CA74">
        <f>70.414</f>
        <v>70.414000000000001</v>
      </c>
      <c r="CB74">
        <f>69.122</f>
        <v>69.122</v>
      </c>
      <c r="CC74">
        <f>65.8</f>
        <v>65.8</v>
      </c>
      <c r="CD74">
        <f>70.711</f>
        <v>70.710999999999999</v>
      </c>
      <c r="CE74">
        <f>73.917</f>
        <v>73.917000000000002</v>
      </c>
      <c r="CF74">
        <f>72.5</f>
        <v>72.5</v>
      </c>
      <c r="CG74">
        <f>75.822</f>
        <v>75.822000000000003</v>
      </c>
      <c r="CH74">
        <f>71.073</f>
        <v>71.072999999999993</v>
      </c>
      <c r="CI74">
        <f>70.178</f>
        <v>70.177999999999997</v>
      </c>
      <c r="CJ74">
        <f>71.901</f>
        <v>71.900999999999996</v>
      </c>
      <c r="CK74">
        <f>71.502</f>
        <v>71.501999999999995</v>
      </c>
      <c r="CL74">
        <f>69.818</f>
        <v>69.817999999999998</v>
      </c>
      <c r="CM74">
        <f>71.758</f>
        <v>71.757999999999996</v>
      </c>
      <c r="CN74">
        <f>69.984</f>
        <v>69.983999999999995</v>
      </c>
      <c r="CO74">
        <f>73.058</f>
        <v>73.058000000000007</v>
      </c>
      <c r="CP74">
        <f>69.205</f>
        <v>69.204999999999998</v>
      </c>
      <c r="CQ74" t="str">
        <f>""</f>
        <v/>
      </c>
      <c r="CR74" t="str">
        <f>""</f>
        <v/>
      </c>
      <c r="CS74" t="str">
        <f>""</f>
        <v/>
      </c>
      <c r="CT74" t="str">
        <f>""</f>
        <v/>
      </c>
      <c r="CU74" t="str">
        <f>""</f>
        <v/>
      </c>
      <c r="CV74" t="str">
        <f>""</f>
        <v/>
      </c>
      <c r="CW74" t="str">
        <f>""</f>
        <v/>
      </c>
      <c r="CX74" t="str">
        <f>""</f>
        <v/>
      </c>
      <c r="CY74" t="str">
        <f>""</f>
        <v/>
      </c>
      <c r="CZ74" t="str">
        <f>""</f>
        <v/>
      </c>
      <c r="DA74" t="str">
        <f>""</f>
        <v/>
      </c>
      <c r="DB74" t="str">
        <f>""</f>
        <v/>
      </c>
      <c r="DC74" t="str">
        <f>""</f>
        <v/>
      </c>
      <c r="DD74" t="str">
        <f>""</f>
        <v/>
      </c>
      <c r="DE74" t="str">
        <f>""</f>
        <v/>
      </c>
      <c r="DF74" t="str">
        <f>""</f>
        <v/>
      </c>
      <c r="DG74" t="str">
        <f>""</f>
        <v/>
      </c>
      <c r="DH74" t="str">
        <f>""</f>
        <v/>
      </c>
      <c r="DI74" t="str">
        <f>""</f>
        <v/>
      </c>
      <c r="DJ74" t="str">
        <f>""</f>
        <v/>
      </c>
      <c r="DK74" t="str">
        <f>""</f>
        <v/>
      </c>
      <c r="DL74" t="str">
        <f>""</f>
        <v/>
      </c>
      <c r="DM74" t="str">
        <f>""</f>
        <v/>
      </c>
      <c r="DN74" t="str">
        <f>""</f>
        <v/>
      </c>
      <c r="DO74" t="str">
        <f>""</f>
        <v/>
      </c>
      <c r="DP74" t="str">
        <f>""</f>
        <v/>
      </c>
      <c r="DQ74" t="str">
        <f>""</f>
        <v/>
      </c>
      <c r="DR74" t="str">
        <f>""</f>
        <v/>
      </c>
      <c r="DS74" t="str">
        <f>""</f>
        <v/>
      </c>
      <c r="DT74" t="str">
        <f>""</f>
        <v/>
      </c>
      <c r="DU74" t="str">
        <f>""</f>
        <v/>
      </c>
    </row>
    <row r="75" spans="1:125">
      <c r="A75" t="str">
        <f>"    Highwoods Properties Inc"</f>
        <v xml:space="preserve">    Highwoods Properties Inc</v>
      </c>
      <c r="B75" t="str">
        <f>"HIW US Equity"</f>
        <v>HIW US Equity</v>
      </c>
      <c r="C75" t="str">
        <f t="shared" si="18"/>
        <v>IS972</v>
      </c>
      <c r="D75" t="str">
        <f t="shared" si="19"/>
        <v>IS_ADJUSTED_EBITDA_AS_REPORTED</v>
      </c>
      <c r="E75" t="str">
        <f t="shared" si="20"/>
        <v>动态</v>
      </c>
      <c r="F75" t="str">
        <f ca="1">IF(AND(ISNUMBER($F$390),$B$294=1),$F$390,HLOOKUP(INDIRECT(ADDRESS(2,COLUMN())),OFFSET($BN$2,0,0,ROW()-1,60),ROW()-1,FALSE))</f>
        <v/>
      </c>
      <c r="G75" t="str">
        <f ca="1">IF(AND(ISNUMBER($G$390),$B$294=1),$G$390,HLOOKUP(INDIRECT(ADDRESS(2,COLUMN())),OFFSET($BN$2,0,0,ROW()-1,60),ROW()-1,FALSE))</f>
        <v/>
      </c>
      <c r="H75" t="str">
        <f ca="1">IF(AND(ISNUMBER($H$390),$B$294=1),$H$390,HLOOKUP(INDIRECT(ADDRESS(2,COLUMN())),OFFSET($BN$2,0,0,ROW()-1,60),ROW()-1,FALSE))</f>
        <v/>
      </c>
      <c r="I75" t="str">
        <f ca="1">IF(AND(ISNUMBER($I$390),$B$294=1),$I$390,HLOOKUP(INDIRECT(ADDRESS(2,COLUMN())),OFFSET($BN$2,0,0,ROW()-1,60),ROW()-1,FALSE))</f>
        <v/>
      </c>
      <c r="J75" t="str">
        <f ca="1">IF(AND(ISNUMBER($J$390),$B$294=1),$J$390,HLOOKUP(INDIRECT(ADDRESS(2,COLUMN())),OFFSET($BN$2,0,0,ROW()-1,60),ROW()-1,FALSE))</f>
        <v/>
      </c>
      <c r="K75" t="str">
        <f ca="1">IF(AND(ISNUMBER($K$390),$B$294=1),$K$390,HLOOKUP(INDIRECT(ADDRESS(2,COLUMN())),OFFSET($BN$2,0,0,ROW()-1,60),ROW()-1,FALSE))</f>
        <v/>
      </c>
      <c r="L75" t="str">
        <f ca="1">IF(AND(ISNUMBER($L$390),$B$294=1),$L$390,HLOOKUP(INDIRECT(ADDRESS(2,COLUMN())),OFFSET($BN$2,0,0,ROW()-1,60),ROW()-1,FALSE))</f>
        <v/>
      </c>
      <c r="M75" t="str">
        <f ca="1">IF(AND(ISNUMBER($M$390),$B$294=1),$M$390,HLOOKUP(INDIRECT(ADDRESS(2,COLUMN())),OFFSET($BN$2,0,0,ROW()-1,60),ROW()-1,FALSE))</f>
        <v/>
      </c>
      <c r="N75" t="str">
        <f ca="1">IF(AND(ISNUMBER($N$390),$B$294=1),$N$390,HLOOKUP(INDIRECT(ADDRESS(2,COLUMN())),OFFSET($BN$2,0,0,ROW()-1,60),ROW()-1,FALSE))</f>
        <v/>
      </c>
      <c r="O75" t="str">
        <f ca="1">IF(AND(ISNUMBER($O$390),$B$294=1),$O$390,HLOOKUP(INDIRECT(ADDRESS(2,COLUMN())),OFFSET($BN$2,0,0,ROW()-1,60),ROW()-1,FALSE))</f>
        <v/>
      </c>
      <c r="P75" t="str">
        <f ca="1">IF(AND(ISNUMBER($P$390),$B$294=1),$P$390,HLOOKUP(INDIRECT(ADDRESS(2,COLUMN())),OFFSET($BN$2,0,0,ROW()-1,60),ROW()-1,FALSE))</f>
        <v/>
      </c>
      <c r="Q75" t="str">
        <f ca="1">IF(AND(ISNUMBER($Q$390),$B$294=1),$Q$390,HLOOKUP(INDIRECT(ADDRESS(2,COLUMN())),OFFSET($BN$2,0,0,ROW()-1,60),ROW()-1,FALSE))</f>
        <v/>
      </c>
      <c r="R75" t="str">
        <f ca="1">IF(AND(ISNUMBER($R$390),$B$294=1),$R$390,HLOOKUP(INDIRECT(ADDRESS(2,COLUMN())),OFFSET($BN$2,0,0,ROW()-1,60),ROW()-1,FALSE))</f>
        <v/>
      </c>
      <c r="S75" t="str">
        <f ca="1">IF(AND(ISNUMBER($S$390),$B$294=1),$S$390,HLOOKUP(INDIRECT(ADDRESS(2,COLUMN())),OFFSET($BN$2,0,0,ROW()-1,60),ROW()-1,FALSE))</f>
        <v/>
      </c>
      <c r="T75" t="str">
        <f ca="1">IF(AND(ISNUMBER($T$390),$B$294=1),$T$390,HLOOKUP(INDIRECT(ADDRESS(2,COLUMN())),OFFSET($BN$2,0,0,ROW()-1,60),ROW()-1,FALSE))</f>
        <v/>
      </c>
      <c r="U75" t="str">
        <f ca="1">IF(AND(ISNUMBER($U$390),$B$294=1),$U$390,HLOOKUP(INDIRECT(ADDRESS(2,COLUMN())),OFFSET($BN$2,0,0,ROW()-1,60),ROW()-1,FALSE))</f>
        <v/>
      </c>
      <c r="V75" t="str">
        <f ca="1">IF(AND(ISNUMBER($V$390),$B$294=1),$V$390,HLOOKUP(INDIRECT(ADDRESS(2,COLUMN())),OFFSET($BN$2,0,0,ROW()-1,60),ROW()-1,FALSE))</f>
        <v/>
      </c>
      <c r="W75" t="str">
        <f ca="1">IF(AND(ISNUMBER($W$390),$B$294=1),$W$390,HLOOKUP(INDIRECT(ADDRESS(2,COLUMN())),OFFSET($BN$2,0,0,ROW()-1,60),ROW()-1,FALSE))</f>
        <v/>
      </c>
      <c r="X75" t="str">
        <f ca="1">IF(AND(ISNUMBER($X$390),$B$294=1),$X$390,HLOOKUP(INDIRECT(ADDRESS(2,COLUMN())),OFFSET($BN$2,0,0,ROW()-1,60),ROW()-1,FALSE))</f>
        <v/>
      </c>
      <c r="Y75" t="str">
        <f ca="1">IF(AND(ISNUMBER($Y$390),$B$294=1),$Y$390,HLOOKUP(INDIRECT(ADDRESS(2,COLUMN())),OFFSET($BN$2,0,0,ROW()-1,60),ROW()-1,FALSE))</f>
        <v/>
      </c>
      <c r="Z75" t="str">
        <f ca="1">IF(AND(ISNUMBER($Z$390),$B$294=1),$Z$390,HLOOKUP(INDIRECT(ADDRESS(2,COLUMN())),OFFSET($BN$2,0,0,ROW()-1,60),ROW()-1,FALSE))</f>
        <v/>
      </c>
      <c r="AA75" t="str">
        <f ca="1">IF(AND(ISNUMBER($AA$390),$B$294=1),$AA$390,HLOOKUP(INDIRECT(ADDRESS(2,COLUMN())),OFFSET($BN$2,0,0,ROW()-1,60),ROW()-1,FALSE))</f>
        <v/>
      </c>
      <c r="AB75" t="str">
        <f ca="1">IF(AND(ISNUMBER($AB$390),$B$294=1),$AB$390,HLOOKUP(INDIRECT(ADDRESS(2,COLUMN())),OFFSET($BN$2,0,0,ROW()-1,60),ROW()-1,FALSE))</f>
        <v/>
      </c>
      <c r="AC75" t="str">
        <f ca="1">IF(AND(ISNUMBER($AC$390),$B$294=1),$AC$390,HLOOKUP(INDIRECT(ADDRESS(2,COLUMN())),OFFSET($BN$2,0,0,ROW()-1,60),ROW()-1,FALSE))</f>
        <v/>
      </c>
      <c r="AD75" t="str">
        <f ca="1">IF(AND(ISNUMBER($AD$390),$B$294=1),$AD$390,HLOOKUP(INDIRECT(ADDRESS(2,COLUMN())),OFFSET($BN$2,0,0,ROW()-1,60),ROW()-1,FALSE))</f>
        <v/>
      </c>
      <c r="AE75" t="str">
        <f ca="1">IF(AND(ISNUMBER($AE$390),$B$294=1),$AE$390,HLOOKUP(INDIRECT(ADDRESS(2,COLUMN())),OFFSET($BN$2,0,0,ROW()-1,60),ROW()-1,FALSE))</f>
        <v/>
      </c>
      <c r="AF75" t="str">
        <f ca="1">IF(AND(ISNUMBER($AF$390),$B$294=1),$AF$390,HLOOKUP(INDIRECT(ADDRESS(2,COLUMN())),OFFSET($BN$2,0,0,ROW()-1,60),ROW()-1,FALSE))</f>
        <v/>
      </c>
      <c r="AG75" t="str">
        <f ca="1">IF(AND(ISNUMBER($AG$390),$B$294=1),$AG$390,HLOOKUP(INDIRECT(ADDRESS(2,COLUMN())),OFFSET($BN$2,0,0,ROW()-1,60),ROW()-1,FALSE))</f>
        <v/>
      </c>
      <c r="AH75" t="str">
        <f ca="1">IF(AND(ISNUMBER($AH$390),$B$294=1),$AH$390,HLOOKUP(INDIRECT(ADDRESS(2,COLUMN())),OFFSET($BN$2,0,0,ROW()-1,60),ROW()-1,FALSE))</f>
        <v/>
      </c>
      <c r="AI75" t="str">
        <f ca="1">IF(AND(ISNUMBER($AI$390),$B$294=1),$AI$390,HLOOKUP(INDIRECT(ADDRESS(2,COLUMN())),OFFSET($BN$2,0,0,ROW()-1,60),ROW()-1,FALSE))</f>
        <v/>
      </c>
      <c r="AJ75" t="str">
        <f ca="1">IF(AND(ISNUMBER($AJ$390),$B$294=1),$AJ$390,HLOOKUP(INDIRECT(ADDRESS(2,COLUMN())),OFFSET($BN$2,0,0,ROW()-1,60),ROW()-1,FALSE))</f>
        <v/>
      </c>
      <c r="AK75" t="str">
        <f ca="1">IF(AND(ISNUMBER($AK$390),$B$294=1),$AK$390,HLOOKUP(INDIRECT(ADDRESS(2,COLUMN())),OFFSET($BN$2,0,0,ROW()-1,60),ROW()-1,FALSE))</f>
        <v/>
      </c>
      <c r="AL75" t="str">
        <f ca="1">IF(AND(ISNUMBER($AL$390),$B$294=1),$AL$390,HLOOKUP(INDIRECT(ADDRESS(2,COLUMN())),OFFSET($BN$2,0,0,ROW()-1,60),ROW()-1,FALSE))</f>
        <v/>
      </c>
      <c r="AM75" t="str">
        <f ca="1">IF(AND(ISNUMBER($AM$390),$B$294=1),$AM$390,HLOOKUP(INDIRECT(ADDRESS(2,COLUMN())),OFFSET($BN$2,0,0,ROW()-1,60),ROW()-1,FALSE))</f>
        <v/>
      </c>
      <c r="AN75" t="str">
        <f ca="1">IF(AND(ISNUMBER($AN$390),$B$294=1),$AN$390,HLOOKUP(INDIRECT(ADDRESS(2,COLUMN())),OFFSET($BN$2,0,0,ROW()-1,60),ROW()-1,FALSE))</f>
        <v/>
      </c>
      <c r="AO75" t="str">
        <f ca="1">IF(AND(ISNUMBER($AO$390),$B$294=1),$AO$390,HLOOKUP(INDIRECT(ADDRESS(2,COLUMN())),OFFSET($BN$2,0,0,ROW()-1,60),ROW()-1,FALSE))</f>
        <v/>
      </c>
      <c r="AP75" t="str">
        <f ca="1">IF(AND(ISNUMBER($AP$390),$B$294=1),$AP$390,HLOOKUP(INDIRECT(ADDRESS(2,COLUMN())),OFFSET($BN$2,0,0,ROW()-1,60),ROW()-1,FALSE))</f>
        <v/>
      </c>
      <c r="AQ75" t="str">
        <f ca="1">IF(AND(ISNUMBER($AQ$390),$B$294=1),$AQ$390,HLOOKUP(INDIRECT(ADDRESS(2,COLUMN())),OFFSET($BN$2,0,0,ROW()-1,60),ROW()-1,FALSE))</f>
        <v/>
      </c>
      <c r="AR75" t="str">
        <f ca="1">IF(AND(ISNUMBER($AR$390),$B$294=1),$AR$390,HLOOKUP(INDIRECT(ADDRESS(2,COLUMN())),OFFSET($BN$2,0,0,ROW()-1,60),ROW()-1,FALSE))</f>
        <v/>
      </c>
      <c r="AS75" t="str">
        <f ca="1">IF(AND(ISNUMBER($AS$390),$B$294=1),$AS$390,HLOOKUP(INDIRECT(ADDRESS(2,COLUMN())),OFFSET($BN$2,0,0,ROW()-1,60),ROW()-1,FALSE))</f>
        <v/>
      </c>
      <c r="AT75" t="str">
        <f ca="1">IF(AND(ISNUMBER($AT$390),$B$294=1),$AT$390,HLOOKUP(INDIRECT(ADDRESS(2,COLUMN())),OFFSET($BN$2,0,0,ROW()-1,60),ROW()-1,FALSE))</f>
        <v/>
      </c>
      <c r="AU75" t="str">
        <f ca="1">IF(AND(ISNUMBER($AU$390),$B$294=1),$AU$390,HLOOKUP(INDIRECT(ADDRESS(2,COLUMN())),OFFSET($BN$2,0,0,ROW()-1,60),ROW()-1,FALSE))</f>
        <v/>
      </c>
      <c r="AV75" t="str">
        <f ca="1">IF(AND(ISNUMBER($AV$390),$B$294=1),$AV$390,HLOOKUP(INDIRECT(ADDRESS(2,COLUMN())),OFFSET($BN$2,0,0,ROW()-1,60),ROW()-1,FALSE))</f>
        <v/>
      </c>
      <c r="AW75" t="str">
        <f ca="1">IF(AND(ISNUMBER($AW$390),$B$294=1),$AW$390,HLOOKUP(INDIRECT(ADDRESS(2,COLUMN())),OFFSET($BN$2,0,0,ROW()-1,60),ROW()-1,FALSE))</f>
        <v/>
      </c>
      <c r="AX75" t="str">
        <f ca="1">IF(AND(ISNUMBER($AX$390),$B$294=1),$AX$390,HLOOKUP(INDIRECT(ADDRESS(2,COLUMN())),OFFSET($BN$2,0,0,ROW()-1,60),ROW()-1,FALSE))</f>
        <v/>
      </c>
      <c r="AY75" t="str">
        <f ca="1">IF(AND(ISNUMBER($AY$390),$B$294=1),$AY$390,HLOOKUP(INDIRECT(ADDRESS(2,COLUMN())),OFFSET($BN$2,0,0,ROW()-1,60),ROW()-1,FALSE))</f>
        <v/>
      </c>
      <c r="AZ75" t="str">
        <f ca="1">IF(AND(ISNUMBER($AZ$390),$B$294=1),$AZ$390,HLOOKUP(INDIRECT(ADDRESS(2,COLUMN())),OFFSET($BN$2,0,0,ROW()-1,60),ROW()-1,FALSE))</f>
        <v/>
      </c>
      <c r="BA75" t="str">
        <f ca="1">IF(AND(ISNUMBER($BA$390),$B$294=1),$BA$390,HLOOKUP(INDIRECT(ADDRESS(2,COLUMN())),OFFSET($BN$2,0,0,ROW()-1,60),ROW()-1,FALSE))</f>
        <v/>
      </c>
      <c r="BB75" t="str">
        <f ca="1">IF(AND(ISNUMBER($BB$390),$B$294=1),$BB$390,HLOOKUP(INDIRECT(ADDRESS(2,COLUMN())),OFFSET($BN$2,0,0,ROW()-1,60),ROW()-1,FALSE))</f>
        <v/>
      </c>
      <c r="BC75" t="str">
        <f ca="1">IF(AND(ISNUMBER($BC$390),$B$294=1),$BC$390,HLOOKUP(INDIRECT(ADDRESS(2,COLUMN())),OFFSET($BN$2,0,0,ROW()-1,60),ROW()-1,FALSE))</f>
        <v/>
      </c>
      <c r="BD75" t="str">
        <f ca="1">IF(AND(ISNUMBER($BD$390),$B$294=1),$BD$390,HLOOKUP(INDIRECT(ADDRESS(2,COLUMN())),OFFSET($BN$2,0,0,ROW()-1,60),ROW()-1,FALSE))</f>
        <v/>
      </c>
      <c r="BE75" t="str">
        <f ca="1">IF(AND(ISNUMBER($BE$390),$B$294=1),$BE$390,HLOOKUP(INDIRECT(ADDRESS(2,COLUMN())),OFFSET($BN$2,0,0,ROW()-1,60),ROW()-1,FALSE))</f>
        <v/>
      </c>
      <c r="BF75" t="str">
        <f ca="1">IF(AND(ISNUMBER($BF$390),$B$294=1),$BF$390,HLOOKUP(INDIRECT(ADDRESS(2,COLUMN())),OFFSET($BN$2,0,0,ROW()-1,60),ROW()-1,FALSE))</f>
        <v/>
      </c>
      <c r="BG75" t="str">
        <f ca="1">IF(AND(ISNUMBER($BG$390),$B$294=1),$BG$390,HLOOKUP(INDIRECT(ADDRESS(2,COLUMN())),OFFSET($BN$2,0,0,ROW()-1,60),ROW()-1,FALSE))</f>
        <v/>
      </c>
      <c r="BH75" t="str">
        <f ca="1">IF(AND(ISNUMBER($BH$390),$B$294=1),$BH$390,HLOOKUP(INDIRECT(ADDRESS(2,COLUMN())),OFFSET($BN$2,0,0,ROW()-1,60),ROW()-1,FALSE))</f>
        <v/>
      </c>
      <c r="BI75" t="str">
        <f ca="1">IF(AND(ISNUMBER($BI$390),$B$294=1),$BI$390,HLOOKUP(INDIRECT(ADDRESS(2,COLUMN())),OFFSET($BN$2,0,0,ROW()-1,60),ROW()-1,FALSE))</f>
        <v/>
      </c>
      <c r="BJ75" t="str">
        <f ca="1">IF(AND(ISNUMBER($BJ$390),$B$294=1),$BJ$390,HLOOKUP(INDIRECT(ADDRESS(2,COLUMN())),OFFSET($BN$2,0,0,ROW()-1,60),ROW()-1,FALSE))</f>
        <v/>
      </c>
      <c r="BK75" t="str">
        <f ca="1">IF(AND(ISNUMBER($BK$390),$B$294=1),$BK$390,HLOOKUP(INDIRECT(ADDRESS(2,COLUMN())),OFFSET($BN$2,0,0,ROW()-1,60),ROW()-1,FALSE))</f>
        <v/>
      </c>
      <c r="BL75" t="str">
        <f ca="1">IF(AND(ISNUMBER($BL$390),$B$294=1),$BL$390,HLOOKUP(INDIRECT(ADDRESS(2,COLUMN())),OFFSET($BN$2,0,0,ROW()-1,60),ROW()-1,FALSE))</f>
        <v/>
      </c>
      <c r="BM75" t="str">
        <f ca="1">IF(AND(ISNUMBER($BM$390),$B$294=1),$BM$390,HLOOKUP(INDIRECT(ADDRESS(2,COLUMN())),OFFSET($BN$2,0,0,ROW()-1,60),ROW()-1,FALSE))</f>
        <v/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  <c r="CH75" t="str">
        <f>""</f>
        <v/>
      </c>
      <c r="CI75" t="str">
        <f>""</f>
        <v/>
      </c>
      <c r="CJ75" t="str">
        <f>""</f>
        <v/>
      </c>
      <c r="CK75" t="str">
        <f>""</f>
        <v/>
      </c>
      <c r="CL75" t="str">
        <f>""</f>
        <v/>
      </c>
      <c r="CM75" t="str">
        <f>""</f>
        <v/>
      </c>
      <c r="CN75" t="str">
        <f>""</f>
        <v/>
      </c>
      <c r="CO75" t="str">
        <f>""</f>
        <v/>
      </c>
      <c r="CP75" t="str">
        <f>""</f>
        <v/>
      </c>
      <c r="CQ75" t="str">
        <f>""</f>
        <v/>
      </c>
      <c r="CR75" t="str">
        <f>""</f>
        <v/>
      </c>
      <c r="CS75" t="str">
        <f>""</f>
        <v/>
      </c>
      <c r="CT75" t="str">
        <f>""</f>
        <v/>
      </c>
      <c r="CU75" t="str">
        <f>""</f>
        <v/>
      </c>
      <c r="CV75" t="str">
        <f>""</f>
        <v/>
      </c>
      <c r="CW75" t="str">
        <f>""</f>
        <v/>
      </c>
      <c r="CX75" t="str">
        <f>""</f>
        <v/>
      </c>
      <c r="CY75" t="str">
        <f>""</f>
        <v/>
      </c>
      <c r="CZ75" t="str">
        <f>""</f>
        <v/>
      </c>
      <c r="DA75" t="str">
        <f>""</f>
        <v/>
      </c>
      <c r="DB75" t="str">
        <f>""</f>
        <v/>
      </c>
      <c r="DC75" t="str">
        <f>""</f>
        <v/>
      </c>
      <c r="DD75" t="str">
        <f>""</f>
        <v/>
      </c>
      <c r="DE75" t="str">
        <f>""</f>
        <v/>
      </c>
      <c r="DF75" t="str">
        <f>""</f>
        <v/>
      </c>
      <c r="DG75" t="str">
        <f>""</f>
        <v/>
      </c>
      <c r="DH75" t="str">
        <f>""</f>
        <v/>
      </c>
      <c r="DI75" t="str">
        <f>""</f>
        <v/>
      </c>
      <c r="DJ75" t="str">
        <f>""</f>
        <v/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  <c r="DT75" t="str">
        <f>""</f>
        <v/>
      </c>
      <c r="DU75" t="str">
        <f>""</f>
        <v/>
      </c>
    </row>
    <row r="76" spans="1:125">
      <c r="A76" t="str">
        <f>"    Kilroy Realty Corp"</f>
        <v xml:space="preserve">    Kilroy Realty Corp</v>
      </c>
      <c r="B76" t="str">
        <f>"KRC US Equity"</f>
        <v>KRC US Equity</v>
      </c>
      <c r="C76" t="str">
        <f t="shared" si="18"/>
        <v>IS972</v>
      </c>
      <c r="D76" t="str">
        <f t="shared" si="19"/>
        <v>IS_ADJUSTED_EBITDA_AS_REPORTED</v>
      </c>
      <c r="E76" t="str">
        <f t="shared" si="20"/>
        <v>动态</v>
      </c>
      <c r="F76" t="str">
        <f ca="1">IF(AND(ISNUMBER($F$391),$B$294=1),$F$391,HLOOKUP(INDIRECT(ADDRESS(2,COLUMN())),OFFSET($BN$2,0,0,ROW()-1,60),ROW()-1,FALSE))</f>
        <v/>
      </c>
      <c r="G76" t="str">
        <f ca="1">IF(AND(ISNUMBER($G$391),$B$294=1),$G$391,HLOOKUP(INDIRECT(ADDRESS(2,COLUMN())),OFFSET($BN$2,0,0,ROW()-1,60),ROW()-1,FALSE))</f>
        <v/>
      </c>
      <c r="H76" t="str">
        <f ca="1">IF(AND(ISNUMBER($H$391),$B$294=1),$H$391,HLOOKUP(INDIRECT(ADDRESS(2,COLUMN())),OFFSET($BN$2,0,0,ROW()-1,60),ROW()-1,FALSE))</f>
        <v/>
      </c>
      <c r="I76" t="str">
        <f ca="1">IF(AND(ISNUMBER($I$391),$B$294=1),$I$391,HLOOKUP(INDIRECT(ADDRESS(2,COLUMN())),OFFSET($BN$2,0,0,ROW()-1,60),ROW()-1,FALSE))</f>
        <v/>
      </c>
      <c r="J76" t="str">
        <f ca="1">IF(AND(ISNUMBER($J$391),$B$294=1),$J$391,HLOOKUP(INDIRECT(ADDRESS(2,COLUMN())),OFFSET($BN$2,0,0,ROW()-1,60),ROW()-1,FALSE))</f>
        <v/>
      </c>
      <c r="K76" t="str">
        <f ca="1">IF(AND(ISNUMBER($K$391),$B$294=1),$K$391,HLOOKUP(INDIRECT(ADDRESS(2,COLUMN())),OFFSET($BN$2,0,0,ROW()-1,60),ROW()-1,FALSE))</f>
        <v/>
      </c>
      <c r="L76" t="str">
        <f ca="1">IF(AND(ISNUMBER($L$391),$B$294=1),$L$391,HLOOKUP(INDIRECT(ADDRESS(2,COLUMN())),OFFSET($BN$2,0,0,ROW()-1,60),ROW()-1,FALSE))</f>
        <v/>
      </c>
      <c r="M76" t="str">
        <f ca="1">IF(AND(ISNUMBER($M$391),$B$294=1),$M$391,HLOOKUP(INDIRECT(ADDRESS(2,COLUMN())),OFFSET($BN$2,0,0,ROW()-1,60),ROW()-1,FALSE))</f>
        <v/>
      </c>
      <c r="N76" t="str">
        <f ca="1">IF(AND(ISNUMBER($N$391),$B$294=1),$N$391,HLOOKUP(INDIRECT(ADDRESS(2,COLUMN())),OFFSET($BN$2,0,0,ROW()-1,60),ROW()-1,FALSE))</f>
        <v/>
      </c>
      <c r="O76" t="str">
        <f ca="1">IF(AND(ISNUMBER($O$391),$B$294=1),$O$391,HLOOKUP(INDIRECT(ADDRESS(2,COLUMN())),OFFSET($BN$2,0,0,ROW()-1,60),ROW()-1,FALSE))</f>
        <v/>
      </c>
      <c r="P76" t="str">
        <f ca="1">IF(AND(ISNUMBER($P$391),$B$294=1),$P$391,HLOOKUP(INDIRECT(ADDRESS(2,COLUMN())),OFFSET($BN$2,0,0,ROW()-1,60),ROW()-1,FALSE))</f>
        <v/>
      </c>
      <c r="Q76" t="str">
        <f ca="1">IF(AND(ISNUMBER($Q$391),$B$294=1),$Q$391,HLOOKUP(INDIRECT(ADDRESS(2,COLUMN())),OFFSET($BN$2,0,0,ROW()-1,60),ROW()-1,FALSE))</f>
        <v/>
      </c>
      <c r="R76" t="str">
        <f ca="1">IF(AND(ISNUMBER($R$391),$B$294=1),$R$391,HLOOKUP(INDIRECT(ADDRESS(2,COLUMN())),OFFSET($BN$2,0,0,ROW()-1,60),ROW()-1,FALSE))</f>
        <v/>
      </c>
      <c r="S76" t="str">
        <f ca="1">IF(AND(ISNUMBER($S$391),$B$294=1),$S$391,HLOOKUP(INDIRECT(ADDRESS(2,COLUMN())),OFFSET($BN$2,0,0,ROW()-1,60),ROW()-1,FALSE))</f>
        <v/>
      </c>
      <c r="T76" t="str">
        <f ca="1">IF(AND(ISNUMBER($T$391),$B$294=1),$T$391,HLOOKUP(INDIRECT(ADDRESS(2,COLUMN())),OFFSET($BN$2,0,0,ROW()-1,60),ROW()-1,FALSE))</f>
        <v/>
      </c>
      <c r="U76" t="str">
        <f ca="1">IF(AND(ISNUMBER($U$391),$B$294=1),$U$391,HLOOKUP(INDIRECT(ADDRESS(2,COLUMN())),OFFSET($BN$2,0,0,ROW()-1,60),ROW()-1,FALSE))</f>
        <v/>
      </c>
      <c r="V76" t="str">
        <f ca="1">IF(AND(ISNUMBER($V$391),$B$294=1),$V$391,HLOOKUP(INDIRECT(ADDRESS(2,COLUMN())),OFFSET($BN$2,0,0,ROW()-1,60),ROW()-1,FALSE))</f>
        <v/>
      </c>
      <c r="W76" t="str">
        <f ca="1">IF(AND(ISNUMBER($W$391),$B$294=1),$W$391,HLOOKUP(INDIRECT(ADDRESS(2,COLUMN())),OFFSET($BN$2,0,0,ROW()-1,60),ROW()-1,FALSE))</f>
        <v/>
      </c>
      <c r="X76" t="str">
        <f ca="1">IF(AND(ISNUMBER($X$391),$B$294=1),$X$391,HLOOKUP(INDIRECT(ADDRESS(2,COLUMN())),OFFSET($BN$2,0,0,ROW()-1,60),ROW()-1,FALSE))</f>
        <v/>
      </c>
      <c r="Y76" t="str">
        <f ca="1">IF(AND(ISNUMBER($Y$391),$B$294=1),$Y$391,HLOOKUP(INDIRECT(ADDRESS(2,COLUMN())),OFFSET($BN$2,0,0,ROW()-1,60),ROW()-1,FALSE))</f>
        <v/>
      </c>
      <c r="Z76" t="str">
        <f ca="1">IF(AND(ISNUMBER($Z$391),$B$294=1),$Z$391,HLOOKUP(INDIRECT(ADDRESS(2,COLUMN())),OFFSET($BN$2,0,0,ROW()-1,60),ROW()-1,FALSE))</f>
        <v/>
      </c>
      <c r="AA76" t="str">
        <f ca="1">IF(AND(ISNUMBER($AA$391),$B$294=1),$AA$391,HLOOKUP(INDIRECT(ADDRESS(2,COLUMN())),OFFSET($BN$2,0,0,ROW()-1,60),ROW()-1,FALSE))</f>
        <v/>
      </c>
      <c r="AB76" t="str">
        <f ca="1">IF(AND(ISNUMBER($AB$391),$B$294=1),$AB$391,HLOOKUP(INDIRECT(ADDRESS(2,COLUMN())),OFFSET($BN$2,0,0,ROW()-1,60),ROW()-1,FALSE))</f>
        <v/>
      </c>
      <c r="AC76" t="str">
        <f ca="1">IF(AND(ISNUMBER($AC$391),$B$294=1),$AC$391,HLOOKUP(INDIRECT(ADDRESS(2,COLUMN())),OFFSET($BN$2,0,0,ROW()-1,60),ROW()-1,FALSE))</f>
        <v/>
      </c>
      <c r="AD76" t="str">
        <f ca="1">IF(AND(ISNUMBER($AD$391),$B$294=1),$AD$391,HLOOKUP(INDIRECT(ADDRESS(2,COLUMN())),OFFSET($BN$2,0,0,ROW()-1,60),ROW()-1,FALSE))</f>
        <v/>
      </c>
      <c r="AE76" t="str">
        <f ca="1">IF(AND(ISNUMBER($AE$391),$B$294=1),$AE$391,HLOOKUP(INDIRECT(ADDRESS(2,COLUMN())),OFFSET($BN$2,0,0,ROW()-1,60),ROW()-1,FALSE))</f>
        <v/>
      </c>
      <c r="AF76" t="str">
        <f ca="1">IF(AND(ISNUMBER($AF$391),$B$294=1),$AF$391,HLOOKUP(INDIRECT(ADDRESS(2,COLUMN())),OFFSET($BN$2,0,0,ROW()-1,60),ROW()-1,FALSE))</f>
        <v/>
      </c>
      <c r="AG76" t="str">
        <f ca="1">IF(AND(ISNUMBER($AG$391),$B$294=1),$AG$391,HLOOKUP(INDIRECT(ADDRESS(2,COLUMN())),OFFSET($BN$2,0,0,ROW()-1,60),ROW()-1,FALSE))</f>
        <v/>
      </c>
      <c r="AH76" t="str">
        <f ca="1">IF(AND(ISNUMBER($AH$391),$B$294=1),$AH$391,HLOOKUP(INDIRECT(ADDRESS(2,COLUMN())),OFFSET($BN$2,0,0,ROW()-1,60),ROW()-1,FALSE))</f>
        <v/>
      </c>
      <c r="AI76" t="str">
        <f ca="1">IF(AND(ISNUMBER($AI$391),$B$294=1),$AI$391,HLOOKUP(INDIRECT(ADDRESS(2,COLUMN())),OFFSET($BN$2,0,0,ROW()-1,60),ROW()-1,FALSE))</f>
        <v/>
      </c>
      <c r="AJ76" t="str">
        <f ca="1">IF(AND(ISNUMBER($AJ$391),$B$294=1),$AJ$391,HLOOKUP(INDIRECT(ADDRESS(2,COLUMN())),OFFSET($BN$2,0,0,ROW()-1,60),ROW()-1,FALSE))</f>
        <v/>
      </c>
      <c r="AK76" t="str">
        <f ca="1">IF(AND(ISNUMBER($AK$391),$B$294=1),$AK$391,HLOOKUP(INDIRECT(ADDRESS(2,COLUMN())),OFFSET($BN$2,0,0,ROW()-1,60),ROW()-1,FALSE))</f>
        <v/>
      </c>
      <c r="AL76" t="str">
        <f ca="1">IF(AND(ISNUMBER($AL$391),$B$294=1),$AL$391,HLOOKUP(INDIRECT(ADDRESS(2,COLUMN())),OFFSET($BN$2,0,0,ROW()-1,60),ROW()-1,FALSE))</f>
        <v/>
      </c>
      <c r="AM76" t="str">
        <f ca="1">IF(AND(ISNUMBER($AM$391),$B$294=1),$AM$391,HLOOKUP(INDIRECT(ADDRESS(2,COLUMN())),OFFSET($BN$2,0,0,ROW()-1,60),ROW()-1,FALSE))</f>
        <v/>
      </c>
      <c r="AN76" t="str">
        <f ca="1">IF(AND(ISNUMBER($AN$391),$B$294=1),$AN$391,HLOOKUP(INDIRECT(ADDRESS(2,COLUMN())),OFFSET($BN$2,0,0,ROW()-1,60),ROW()-1,FALSE))</f>
        <v/>
      </c>
      <c r="AO76" t="str">
        <f ca="1">IF(AND(ISNUMBER($AO$391),$B$294=1),$AO$391,HLOOKUP(INDIRECT(ADDRESS(2,COLUMN())),OFFSET($BN$2,0,0,ROW()-1,60),ROW()-1,FALSE))</f>
        <v/>
      </c>
      <c r="AP76" t="str">
        <f ca="1">IF(AND(ISNUMBER($AP$391),$B$294=1),$AP$391,HLOOKUP(INDIRECT(ADDRESS(2,COLUMN())),OFFSET($BN$2,0,0,ROW()-1,60),ROW()-1,FALSE))</f>
        <v/>
      </c>
      <c r="AQ76" t="str">
        <f ca="1">IF(AND(ISNUMBER($AQ$391),$B$294=1),$AQ$391,HLOOKUP(INDIRECT(ADDRESS(2,COLUMN())),OFFSET($BN$2,0,0,ROW()-1,60),ROW()-1,FALSE))</f>
        <v/>
      </c>
      <c r="AR76" t="str">
        <f ca="1">IF(AND(ISNUMBER($AR$391),$B$294=1),$AR$391,HLOOKUP(INDIRECT(ADDRESS(2,COLUMN())),OFFSET($BN$2,0,0,ROW()-1,60),ROW()-1,FALSE))</f>
        <v/>
      </c>
      <c r="AS76" t="str">
        <f ca="1">IF(AND(ISNUMBER($AS$391),$B$294=1),$AS$391,HLOOKUP(INDIRECT(ADDRESS(2,COLUMN())),OFFSET($BN$2,0,0,ROW()-1,60),ROW()-1,FALSE))</f>
        <v/>
      </c>
      <c r="AT76" t="str">
        <f ca="1">IF(AND(ISNUMBER($AT$391),$B$294=1),$AT$391,HLOOKUP(INDIRECT(ADDRESS(2,COLUMN())),OFFSET($BN$2,0,0,ROW()-1,60),ROW()-1,FALSE))</f>
        <v/>
      </c>
      <c r="AU76" t="str">
        <f ca="1">IF(AND(ISNUMBER($AU$391),$B$294=1),$AU$391,HLOOKUP(INDIRECT(ADDRESS(2,COLUMN())),OFFSET($BN$2,0,0,ROW()-1,60),ROW()-1,FALSE))</f>
        <v/>
      </c>
      <c r="AV76" t="str">
        <f ca="1">IF(AND(ISNUMBER($AV$391),$B$294=1),$AV$391,HLOOKUP(INDIRECT(ADDRESS(2,COLUMN())),OFFSET($BN$2,0,0,ROW()-1,60),ROW()-1,FALSE))</f>
        <v/>
      </c>
      <c r="AW76" t="str">
        <f ca="1">IF(AND(ISNUMBER($AW$391),$B$294=1),$AW$391,HLOOKUP(INDIRECT(ADDRESS(2,COLUMN())),OFFSET($BN$2,0,0,ROW()-1,60),ROW()-1,FALSE))</f>
        <v/>
      </c>
      <c r="AX76" t="str">
        <f ca="1">IF(AND(ISNUMBER($AX$391),$B$294=1),$AX$391,HLOOKUP(INDIRECT(ADDRESS(2,COLUMN())),OFFSET($BN$2,0,0,ROW()-1,60),ROW()-1,FALSE))</f>
        <v/>
      </c>
      <c r="AY76" t="str">
        <f ca="1">IF(AND(ISNUMBER($AY$391),$B$294=1),$AY$391,HLOOKUP(INDIRECT(ADDRESS(2,COLUMN())),OFFSET($BN$2,0,0,ROW()-1,60),ROW()-1,FALSE))</f>
        <v/>
      </c>
      <c r="AZ76" t="str">
        <f ca="1">IF(AND(ISNUMBER($AZ$391),$B$294=1),$AZ$391,HLOOKUP(INDIRECT(ADDRESS(2,COLUMN())),OFFSET($BN$2,0,0,ROW()-1,60),ROW()-1,FALSE))</f>
        <v/>
      </c>
      <c r="BA76" t="str">
        <f ca="1">IF(AND(ISNUMBER($BA$391),$B$294=1),$BA$391,HLOOKUP(INDIRECT(ADDRESS(2,COLUMN())),OFFSET($BN$2,0,0,ROW()-1,60),ROW()-1,FALSE))</f>
        <v/>
      </c>
      <c r="BB76" t="str">
        <f ca="1">IF(AND(ISNUMBER($BB$391),$B$294=1),$BB$391,HLOOKUP(INDIRECT(ADDRESS(2,COLUMN())),OFFSET($BN$2,0,0,ROW()-1,60),ROW()-1,FALSE))</f>
        <v/>
      </c>
      <c r="BC76" t="str">
        <f ca="1">IF(AND(ISNUMBER($BC$391),$B$294=1),$BC$391,HLOOKUP(INDIRECT(ADDRESS(2,COLUMN())),OFFSET($BN$2,0,0,ROW()-1,60),ROW()-1,FALSE))</f>
        <v/>
      </c>
      <c r="BD76" t="str">
        <f ca="1">IF(AND(ISNUMBER($BD$391),$B$294=1),$BD$391,HLOOKUP(INDIRECT(ADDRESS(2,COLUMN())),OFFSET($BN$2,0,0,ROW()-1,60),ROW()-1,FALSE))</f>
        <v/>
      </c>
      <c r="BE76" t="str">
        <f ca="1">IF(AND(ISNUMBER($BE$391),$B$294=1),$BE$391,HLOOKUP(INDIRECT(ADDRESS(2,COLUMN())),OFFSET($BN$2,0,0,ROW()-1,60),ROW()-1,FALSE))</f>
        <v/>
      </c>
      <c r="BF76" t="str">
        <f ca="1">IF(AND(ISNUMBER($BF$391),$B$294=1),$BF$391,HLOOKUP(INDIRECT(ADDRESS(2,COLUMN())),OFFSET($BN$2,0,0,ROW()-1,60),ROW()-1,FALSE))</f>
        <v/>
      </c>
      <c r="BG76" t="str">
        <f ca="1">IF(AND(ISNUMBER($BG$391),$B$294=1),$BG$391,HLOOKUP(INDIRECT(ADDRESS(2,COLUMN())),OFFSET($BN$2,0,0,ROW()-1,60),ROW()-1,FALSE))</f>
        <v/>
      </c>
      <c r="BH76" t="str">
        <f ca="1">IF(AND(ISNUMBER($BH$391),$B$294=1),$BH$391,HLOOKUP(INDIRECT(ADDRESS(2,COLUMN())),OFFSET($BN$2,0,0,ROW()-1,60),ROW()-1,FALSE))</f>
        <v/>
      </c>
      <c r="BI76" t="str">
        <f ca="1">IF(AND(ISNUMBER($BI$391),$B$294=1),$BI$391,HLOOKUP(INDIRECT(ADDRESS(2,COLUMN())),OFFSET($BN$2,0,0,ROW()-1,60),ROW()-1,FALSE))</f>
        <v/>
      </c>
      <c r="BJ76" t="str">
        <f ca="1">IF(AND(ISNUMBER($BJ$391),$B$294=1),$BJ$391,HLOOKUP(INDIRECT(ADDRESS(2,COLUMN())),OFFSET($BN$2,0,0,ROW()-1,60),ROW()-1,FALSE))</f>
        <v/>
      </c>
      <c r="BK76" t="str">
        <f ca="1">IF(AND(ISNUMBER($BK$391),$B$294=1),$BK$391,HLOOKUP(INDIRECT(ADDRESS(2,COLUMN())),OFFSET($BN$2,0,0,ROW()-1,60),ROW()-1,FALSE))</f>
        <v/>
      </c>
      <c r="BL76" t="str">
        <f ca="1">IF(AND(ISNUMBER($BL$391),$B$294=1),$BL$391,HLOOKUP(INDIRECT(ADDRESS(2,COLUMN())),OFFSET($BN$2,0,0,ROW()-1,60),ROW()-1,FALSE))</f>
        <v/>
      </c>
      <c r="BM76" t="str">
        <f ca="1">IF(AND(ISNUMBER($BM$391),$B$294=1),$BM$391,HLOOKUP(INDIRECT(ADDRESS(2,COLUMN())),OFFSET($BN$2,0,0,ROW()-1,60),ROW()-1,FALSE))</f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  <c r="CH76" t="str">
        <f>""</f>
        <v/>
      </c>
      <c r="CI76" t="str">
        <f>""</f>
        <v/>
      </c>
      <c r="CJ76" t="str">
        <f>""</f>
        <v/>
      </c>
      <c r="CK76" t="str">
        <f>""</f>
        <v/>
      </c>
      <c r="CL76" t="str">
        <f>""</f>
        <v/>
      </c>
      <c r="CM76" t="str">
        <f>""</f>
        <v/>
      </c>
      <c r="CN76" t="str">
        <f>""</f>
        <v/>
      </c>
      <c r="CO76" t="str">
        <f>""</f>
        <v/>
      </c>
      <c r="CP76" t="str">
        <f>""</f>
        <v/>
      </c>
      <c r="CQ76" t="str">
        <f>""</f>
        <v/>
      </c>
      <c r="CR76" t="str">
        <f>""</f>
        <v/>
      </c>
      <c r="CS76" t="str">
        <f>""</f>
        <v/>
      </c>
      <c r="CT76" t="str">
        <f>""</f>
        <v/>
      </c>
      <c r="CU76" t="str">
        <f>""</f>
        <v/>
      </c>
      <c r="CV76" t="str">
        <f>""</f>
        <v/>
      </c>
      <c r="CW76" t="str">
        <f>""</f>
        <v/>
      </c>
      <c r="CX76" t="str">
        <f>""</f>
        <v/>
      </c>
      <c r="CY76" t="str">
        <f>""</f>
        <v/>
      </c>
      <c r="CZ76" t="str">
        <f>""</f>
        <v/>
      </c>
      <c r="DA76" t="str">
        <f>""</f>
        <v/>
      </c>
      <c r="DB76" t="str">
        <f>""</f>
        <v/>
      </c>
      <c r="DC76" t="str">
        <f>""</f>
        <v/>
      </c>
      <c r="DD76" t="str">
        <f>""</f>
        <v/>
      </c>
      <c r="DE76" t="str">
        <f>""</f>
        <v/>
      </c>
      <c r="DF76" t="str">
        <f>""</f>
        <v/>
      </c>
      <c r="DG76" t="str">
        <f>""</f>
        <v/>
      </c>
      <c r="DH76" t="str">
        <f>""</f>
        <v/>
      </c>
      <c r="DI76" t="str">
        <f>""</f>
        <v/>
      </c>
      <c r="DJ76" t="str">
        <f>""</f>
        <v/>
      </c>
      <c r="DK76" t="str">
        <f>""</f>
        <v/>
      </c>
      <c r="DL76" t="str">
        <f>""</f>
        <v/>
      </c>
      <c r="DM76" t="str">
        <f>""</f>
        <v/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  <c r="DT76" t="str">
        <f>""</f>
        <v/>
      </c>
      <c r="DU76" t="str">
        <f>""</f>
        <v/>
      </c>
    </row>
    <row r="77" spans="1:125">
      <c r="A77" t="str">
        <f>"    Mack-Cali Realty Corp"</f>
        <v xml:space="preserve">    Mack-Cali Realty Corp</v>
      </c>
      <c r="B77" t="str">
        <f>"CLI US Equity"</f>
        <v>CLI US Equity</v>
      </c>
      <c r="C77" t="str">
        <f t="shared" si="18"/>
        <v>IS972</v>
      </c>
      <c r="D77" t="str">
        <f t="shared" si="19"/>
        <v>IS_ADJUSTED_EBITDA_AS_REPORTED</v>
      </c>
      <c r="E77" t="str">
        <f t="shared" si="20"/>
        <v>动态</v>
      </c>
      <c r="F77" t="str">
        <f ca="1">IF(AND(ISNUMBER($F$392),$B$294=1),$F$392,HLOOKUP(INDIRECT(ADDRESS(2,COLUMN())),OFFSET($BN$2,0,0,ROW()-1,60),ROW()-1,FALSE))</f>
        <v/>
      </c>
      <c r="G77" t="str">
        <f ca="1">IF(AND(ISNUMBER($G$392),$B$294=1),$G$392,HLOOKUP(INDIRECT(ADDRESS(2,COLUMN())),OFFSET($BN$2,0,0,ROW()-1,60),ROW()-1,FALSE))</f>
        <v/>
      </c>
      <c r="H77" t="str">
        <f ca="1">IF(AND(ISNUMBER($H$392),$B$294=1),$H$392,HLOOKUP(INDIRECT(ADDRESS(2,COLUMN())),OFFSET($BN$2,0,0,ROW()-1,60),ROW()-1,FALSE))</f>
        <v/>
      </c>
      <c r="I77" t="str">
        <f ca="1">IF(AND(ISNUMBER($I$392),$B$294=1),$I$392,HLOOKUP(INDIRECT(ADDRESS(2,COLUMN())),OFFSET($BN$2,0,0,ROW()-1,60),ROW()-1,FALSE))</f>
        <v/>
      </c>
      <c r="J77" t="str">
        <f ca="1">IF(AND(ISNUMBER($J$392),$B$294=1),$J$392,HLOOKUP(INDIRECT(ADDRESS(2,COLUMN())),OFFSET($BN$2,0,0,ROW()-1,60),ROW()-1,FALSE))</f>
        <v/>
      </c>
      <c r="K77" t="str">
        <f ca="1">IF(AND(ISNUMBER($K$392),$B$294=1),$K$392,HLOOKUP(INDIRECT(ADDRESS(2,COLUMN())),OFFSET($BN$2,0,0,ROW()-1,60),ROW()-1,FALSE))</f>
        <v/>
      </c>
      <c r="L77" t="str">
        <f ca="1">IF(AND(ISNUMBER($L$392),$B$294=1),$L$392,HLOOKUP(INDIRECT(ADDRESS(2,COLUMN())),OFFSET($BN$2,0,0,ROW()-1,60),ROW()-1,FALSE))</f>
        <v/>
      </c>
      <c r="M77" t="str">
        <f ca="1">IF(AND(ISNUMBER($M$392),$B$294=1),$M$392,HLOOKUP(INDIRECT(ADDRESS(2,COLUMN())),OFFSET($BN$2,0,0,ROW()-1,60),ROW()-1,FALSE))</f>
        <v/>
      </c>
      <c r="N77" t="str">
        <f ca="1">IF(AND(ISNUMBER($N$392),$B$294=1),$N$392,HLOOKUP(INDIRECT(ADDRESS(2,COLUMN())),OFFSET($BN$2,0,0,ROW()-1,60),ROW()-1,FALSE))</f>
        <v/>
      </c>
      <c r="O77" t="str">
        <f ca="1">IF(AND(ISNUMBER($O$392),$B$294=1),$O$392,HLOOKUP(INDIRECT(ADDRESS(2,COLUMN())),OFFSET($BN$2,0,0,ROW()-1,60),ROW()-1,FALSE))</f>
        <v/>
      </c>
      <c r="P77" t="str">
        <f ca="1">IF(AND(ISNUMBER($P$392),$B$294=1),$P$392,HLOOKUP(INDIRECT(ADDRESS(2,COLUMN())),OFFSET($BN$2,0,0,ROW()-1,60),ROW()-1,FALSE))</f>
        <v/>
      </c>
      <c r="Q77" t="str">
        <f ca="1">IF(AND(ISNUMBER($Q$392),$B$294=1),$Q$392,HLOOKUP(INDIRECT(ADDRESS(2,COLUMN())),OFFSET($BN$2,0,0,ROW()-1,60),ROW()-1,FALSE))</f>
        <v/>
      </c>
      <c r="R77" t="str">
        <f ca="1">IF(AND(ISNUMBER($R$392),$B$294=1),$R$392,HLOOKUP(INDIRECT(ADDRESS(2,COLUMN())),OFFSET($BN$2,0,0,ROW()-1,60),ROW()-1,FALSE))</f>
        <v/>
      </c>
      <c r="S77" t="str">
        <f ca="1">IF(AND(ISNUMBER($S$392),$B$294=1),$S$392,HLOOKUP(INDIRECT(ADDRESS(2,COLUMN())),OFFSET($BN$2,0,0,ROW()-1,60),ROW()-1,FALSE))</f>
        <v/>
      </c>
      <c r="T77" t="str">
        <f ca="1">IF(AND(ISNUMBER($T$392),$B$294=1),$T$392,HLOOKUP(INDIRECT(ADDRESS(2,COLUMN())),OFFSET($BN$2,0,0,ROW()-1,60),ROW()-1,FALSE))</f>
        <v/>
      </c>
      <c r="U77" t="str">
        <f ca="1">IF(AND(ISNUMBER($U$392),$B$294=1),$U$392,HLOOKUP(INDIRECT(ADDRESS(2,COLUMN())),OFFSET($BN$2,0,0,ROW()-1,60),ROW()-1,FALSE))</f>
        <v/>
      </c>
      <c r="V77" t="str">
        <f ca="1">IF(AND(ISNUMBER($V$392),$B$294=1),$V$392,HLOOKUP(INDIRECT(ADDRESS(2,COLUMN())),OFFSET($BN$2,0,0,ROW()-1,60),ROW()-1,FALSE))</f>
        <v/>
      </c>
      <c r="W77" t="str">
        <f ca="1">IF(AND(ISNUMBER($W$392),$B$294=1),$W$392,HLOOKUP(INDIRECT(ADDRESS(2,COLUMN())),OFFSET($BN$2,0,0,ROW()-1,60),ROW()-1,FALSE))</f>
        <v/>
      </c>
      <c r="X77" t="str">
        <f ca="1">IF(AND(ISNUMBER($X$392),$B$294=1),$X$392,HLOOKUP(INDIRECT(ADDRESS(2,COLUMN())),OFFSET($BN$2,0,0,ROW()-1,60),ROW()-1,FALSE))</f>
        <v/>
      </c>
      <c r="Y77" t="str">
        <f ca="1">IF(AND(ISNUMBER($Y$392),$B$294=1),$Y$392,HLOOKUP(INDIRECT(ADDRESS(2,COLUMN())),OFFSET($BN$2,0,0,ROW()-1,60),ROW()-1,FALSE))</f>
        <v/>
      </c>
      <c r="Z77" t="str">
        <f ca="1">IF(AND(ISNUMBER($Z$392),$B$294=1),$Z$392,HLOOKUP(INDIRECT(ADDRESS(2,COLUMN())),OFFSET($BN$2,0,0,ROW()-1,60),ROW()-1,FALSE))</f>
        <v/>
      </c>
      <c r="AA77" t="str">
        <f ca="1">IF(AND(ISNUMBER($AA$392),$B$294=1),$AA$392,HLOOKUP(INDIRECT(ADDRESS(2,COLUMN())),OFFSET($BN$2,0,0,ROW()-1,60),ROW()-1,FALSE))</f>
        <v/>
      </c>
      <c r="AB77" t="str">
        <f ca="1">IF(AND(ISNUMBER($AB$392),$B$294=1),$AB$392,HLOOKUP(INDIRECT(ADDRESS(2,COLUMN())),OFFSET($BN$2,0,0,ROW()-1,60),ROW()-1,FALSE))</f>
        <v/>
      </c>
      <c r="AC77" t="str">
        <f ca="1">IF(AND(ISNUMBER($AC$392),$B$294=1),$AC$392,HLOOKUP(INDIRECT(ADDRESS(2,COLUMN())),OFFSET($BN$2,0,0,ROW()-1,60),ROW()-1,FALSE))</f>
        <v/>
      </c>
      <c r="AD77" t="str">
        <f ca="1">IF(AND(ISNUMBER($AD$392),$B$294=1),$AD$392,HLOOKUP(INDIRECT(ADDRESS(2,COLUMN())),OFFSET($BN$2,0,0,ROW()-1,60),ROW()-1,FALSE))</f>
        <v/>
      </c>
      <c r="AE77" t="str">
        <f ca="1">IF(AND(ISNUMBER($AE$392),$B$294=1),$AE$392,HLOOKUP(INDIRECT(ADDRESS(2,COLUMN())),OFFSET($BN$2,0,0,ROW()-1,60),ROW()-1,FALSE))</f>
        <v/>
      </c>
      <c r="AF77" t="str">
        <f ca="1">IF(AND(ISNUMBER($AF$392),$B$294=1),$AF$392,HLOOKUP(INDIRECT(ADDRESS(2,COLUMN())),OFFSET($BN$2,0,0,ROW()-1,60),ROW()-1,FALSE))</f>
        <v/>
      </c>
      <c r="AG77" t="str">
        <f ca="1">IF(AND(ISNUMBER($AG$392),$B$294=1),$AG$392,HLOOKUP(INDIRECT(ADDRESS(2,COLUMN())),OFFSET($BN$2,0,0,ROW()-1,60),ROW()-1,FALSE))</f>
        <v/>
      </c>
      <c r="AH77" t="str">
        <f ca="1">IF(AND(ISNUMBER($AH$392),$B$294=1),$AH$392,HLOOKUP(INDIRECT(ADDRESS(2,COLUMN())),OFFSET($BN$2,0,0,ROW()-1,60),ROW()-1,FALSE))</f>
        <v/>
      </c>
      <c r="AI77" t="str">
        <f ca="1">IF(AND(ISNUMBER($AI$392),$B$294=1),$AI$392,HLOOKUP(INDIRECT(ADDRESS(2,COLUMN())),OFFSET($BN$2,0,0,ROW()-1,60),ROW()-1,FALSE))</f>
        <v/>
      </c>
      <c r="AJ77" t="str">
        <f ca="1">IF(AND(ISNUMBER($AJ$392),$B$294=1),$AJ$392,HLOOKUP(INDIRECT(ADDRESS(2,COLUMN())),OFFSET($BN$2,0,0,ROW()-1,60),ROW()-1,FALSE))</f>
        <v/>
      </c>
      <c r="AK77" t="str">
        <f ca="1">IF(AND(ISNUMBER($AK$392),$B$294=1),$AK$392,HLOOKUP(INDIRECT(ADDRESS(2,COLUMN())),OFFSET($BN$2,0,0,ROW()-1,60),ROW()-1,FALSE))</f>
        <v/>
      </c>
      <c r="AL77" t="str">
        <f ca="1">IF(AND(ISNUMBER($AL$392),$B$294=1),$AL$392,HLOOKUP(INDIRECT(ADDRESS(2,COLUMN())),OFFSET($BN$2,0,0,ROW()-1,60),ROW()-1,FALSE))</f>
        <v/>
      </c>
      <c r="AM77" t="str">
        <f ca="1">IF(AND(ISNUMBER($AM$392),$B$294=1),$AM$392,HLOOKUP(INDIRECT(ADDRESS(2,COLUMN())),OFFSET($BN$2,0,0,ROW()-1,60),ROW()-1,FALSE))</f>
        <v/>
      </c>
      <c r="AN77" t="str">
        <f ca="1">IF(AND(ISNUMBER($AN$392),$B$294=1),$AN$392,HLOOKUP(INDIRECT(ADDRESS(2,COLUMN())),OFFSET($BN$2,0,0,ROW()-1,60),ROW()-1,FALSE))</f>
        <v/>
      </c>
      <c r="AO77" t="str">
        <f ca="1">IF(AND(ISNUMBER($AO$392),$B$294=1),$AO$392,HLOOKUP(INDIRECT(ADDRESS(2,COLUMN())),OFFSET($BN$2,0,0,ROW()-1,60),ROW()-1,FALSE))</f>
        <v/>
      </c>
      <c r="AP77" t="str">
        <f ca="1">IF(AND(ISNUMBER($AP$392),$B$294=1),$AP$392,HLOOKUP(INDIRECT(ADDRESS(2,COLUMN())),OFFSET($BN$2,0,0,ROW()-1,60),ROW()-1,FALSE))</f>
        <v/>
      </c>
      <c r="AQ77" t="str">
        <f ca="1">IF(AND(ISNUMBER($AQ$392),$B$294=1),$AQ$392,HLOOKUP(INDIRECT(ADDRESS(2,COLUMN())),OFFSET($BN$2,0,0,ROW()-1,60),ROW()-1,FALSE))</f>
        <v/>
      </c>
      <c r="AR77" t="str">
        <f ca="1">IF(AND(ISNUMBER($AR$392),$B$294=1),$AR$392,HLOOKUP(INDIRECT(ADDRESS(2,COLUMN())),OFFSET($BN$2,0,0,ROW()-1,60),ROW()-1,FALSE))</f>
        <v/>
      </c>
      <c r="AS77" t="str">
        <f ca="1">IF(AND(ISNUMBER($AS$392),$B$294=1),$AS$392,HLOOKUP(INDIRECT(ADDRESS(2,COLUMN())),OFFSET($BN$2,0,0,ROW()-1,60),ROW()-1,FALSE))</f>
        <v/>
      </c>
      <c r="AT77" t="str">
        <f ca="1">IF(AND(ISNUMBER($AT$392),$B$294=1),$AT$392,HLOOKUP(INDIRECT(ADDRESS(2,COLUMN())),OFFSET($BN$2,0,0,ROW()-1,60),ROW()-1,FALSE))</f>
        <v/>
      </c>
      <c r="AU77" t="str">
        <f ca="1">IF(AND(ISNUMBER($AU$392),$B$294=1),$AU$392,HLOOKUP(INDIRECT(ADDRESS(2,COLUMN())),OFFSET($BN$2,0,0,ROW()-1,60),ROW()-1,FALSE))</f>
        <v/>
      </c>
      <c r="AV77" t="str">
        <f ca="1">IF(AND(ISNUMBER($AV$392),$B$294=1),$AV$392,HLOOKUP(INDIRECT(ADDRESS(2,COLUMN())),OFFSET($BN$2,0,0,ROW()-1,60),ROW()-1,FALSE))</f>
        <v/>
      </c>
      <c r="AW77" t="str">
        <f ca="1">IF(AND(ISNUMBER($AW$392),$B$294=1),$AW$392,HLOOKUP(INDIRECT(ADDRESS(2,COLUMN())),OFFSET($BN$2,0,0,ROW()-1,60),ROW()-1,FALSE))</f>
        <v/>
      </c>
      <c r="AX77" t="str">
        <f ca="1">IF(AND(ISNUMBER($AX$392),$B$294=1),$AX$392,HLOOKUP(INDIRECT(ADDRESS(2,COLUMN())),OFFSET($BN$2,0,0,ROW()-1,60),ROW()-1,FALSE))</f>
        <v/>
      </c>
      <c r="AY77" t="str">
        <f ca="1">IF(AND(ISNUMBER($AY$392),$B$294=1),$AY$392,HLOOKUP(INDIRECT(ADDRESS(2,COLUMN())),OFFSET($BN$2,0,0,ROW()-1,60),ROW()-1,FALSE))</f>
        <v/>
      </c>
      <c r="AZ77" t="str">
        <f ca="1">IF(AND(ISNUMBER($AZ$392),$B$294=1),$AZ$392,HLOOKUP(INDIRECT(ADDRESS(2,COLUMN())),OFFSET($BN$2,0,0,ROW()-1,60),ROW()-1,FALSE))</f>
        <v/>
      </c>
      <c r="BA77" t="str">
        <f ca="1">IF(AND(ISNUMBER($BA$392),$B$294=1),$BA$392,HLOOKUP(INDIRECT(ADDRESS(2,COLUMN())),OFFSET($BN$2,0,0,ROW()-1,60),ROW()-1,FALSE))</f>
        <v/>
      </c>
      <c r="BB77" t="str">
        <f ca="1">IF(AND(ISNUMBER($BB$392),$B$294=1),$BB$392,HLOOKUP(INDIRECT(ADDRESS(2,COLUMN())),OFFSET($BN$2,0,0,ROW()-1,60),ROW()-1,FALSE))</f>
        <v/>
      </c>
      <c r="BC77" t="str">
        <f ca="1">IF(AND(ISNUMBER($BC$392),$B$294=1),$BC$392,HLOOKUP(INDIRECT(ADDRESS(2,COLUMN())),OFFSET($BN$2,0,0,ROW()-1,60),ROW()-1,FALSE))</f>
        <v/>
      </c>
      <c r="BD77" t="str">
        <f ca="1">IF(AND(ISNUMBER($BD$392),$B$294=1),$BD$392,HLOOKUP(INDIRECT(ADDRESS(2,COLUMN())),OFFSET($BN$2,0,0,ROW()-1,60),ROW()-1,FALSE))</f>
        <v/>
      </c>
      <c r="BE77" t="str">
        <f ca="1">IF(AND(ISNUMBER($BE$392),$B$294=1),$BE$392,HLOOKUP(INDIRECT(ADDRESS(2,COLUMN())),OFFSET($BN$2,0,0,ROW()-1,60),ROW()-1,FALSE))</f>
        <v/>
      </c>
      <c r="BF77" t="str">
        <f ca="1">IF(AND(ISNUMBER($BF$392),$B$294=1),$BF$392,HLOOKUP(INDIRECT(ADDRESS(2,COLUMN())),OFFSET($BN$2,0,0,ROW()-1,60),ROW()-1,FALSE))</f>
        <v/>
      </c>
      <c r="BG77" t="str">
        <f ca="1">IF(AND(ISNUMBER($BG$392),$B$294=1),$BG$392,HLOOKUP(INDIRECT(ADDRESS(2,COLUMN())),OFFSET($BN$2,0,0,ROW()-1,60),ROW()-1,FALSE))</f>
        <v/>
      </c>
      <c r="BH77" t="str">
        <f ca="1">IF(AND(ISNUMBER($BH$392),$B$294=1),$BH$392,HLOOKUP(INDIRECT(ADDRESS(2,COLUMN())),OFFSET($BN$2,0,0,ROW()-1,60),ROW()-1,FALSE))</f>
        <v/>
      </c>
      <c r="BI77" t="str">
        <f ca="1">IF(AND(ISNUMBER($BI$392),$B$294=1),$BI$392,HLOOKUP(INDIRECT(ADDRESS(2,COLUMN())),OFFSET($BN$2,0,0,ROW()-1,60),ROW()-1,FALSE))</f>
        <v/>
      </c>
      <c r="BJ77" t="str">
        <f ca="1">IF(AND(ISNUMBER($BJ$392),$B$294=1),$BJ$392,HLOOKUP(INDIRECT(ADDRESS(2,COLUMN())),OFFSET($BN$2,0,0,ROW()-1,60),ROW()-1,FALSE))</f>
        <v/>
      </c>
      <c r="BK77" t="str">
        <f ca="1">IF(AND(ISNUMBER($BK$392),$B$294=1),$BK$392,HLOOKUP(INDIRECT(ADDRESS(2,COLUMN())),OFFSET($BN$2,0,0,ROW()-1,60),ROW()-1,FALSE))</f>
        <v/>
      </c>
      <c r="BL77" t="str">
        <f ca="1">IF(AND(ISNUMBER($BL$392),$B$294=1),$BL$392,HLOOKUP(INDIRECT(ADDRESS(2,COLUMN())),OFFSET($BN$2,0,0,ROW()-1,60),ROW()-1,FALSE))</f>
        <v/>
      </c>
      <c r="BM77" t="str">
        <f ca="1">IF(AND(ISNUMBER($BM$392),$B$294=1),$BM$392,HLOOKUP(INDIRECT(ADDRESS(2,COLUMN())),OFFSET($BN$2,0,0,ROW()-1,60),ROW()-1,FALSE))</f>
        <v/>
      </c>
      <c r="BN77" t="str">
        <f>""</f>
        <v/>
      </c>
      <c r="BO77" t="str">
        <f>""</f>
        <v/>
      </c>
      <c r="BP77" t="str">
        <f>""</f>
        <v/>
      </c>
      <c r="BQ77" t="str">
        <f>""</f>
        <v/>
      </c>
      <c r="BR77" t="str">
        <f>""</f>
        <v/>
      </c>
      <c r="BS77" t="str">
        <f>""</f>
        <v/>
      </c>
      <c r="BT77" t="str">
        <f>""</f>
        <v/>
      </c>
      <c r="BU77" t="str">
        <f>""</f>
        <v/>
      </c>
      <c r="BV77" t="str">
        <f>""</f>
        <v/>
      </c>
      <c r="BW77" t="str">
        <f>""</f>
        <v/>
      </c>
      <c r="BX77" t="str">
        <f>""</f>
        <v/>
      </c>
      <c r="BY77" t="str">
        <f>""</f>
        <v/>
      </c>
      <c r="BZ77" t="str">
        <f>""</f>
        <v/>
      </c>
      <c r="CA77" t="str">
        <f>""</f>
        <v/>
      </c>
      <c r="CB77" t="str">
        <f>""</f>
        <v/>
      </c>
      <c r="CC77" t="str">
        <f>""</f>
        <v/>
      </c>
      <c r="CD77" t="str">
        <f>""</f>
        <v/>
      </c>
      <c r="CE77" t="str">
        <f>""</f>
        <v/>
      </c>
      <c r="CF77" t="str">
        <f>""</f>
        <v/>
      </c>
      <c r="CG77" t="str">
        <f>""</f>
        <v/>
      </c>
      <c r="CH77" t="str">
        <f>""</f>
        <v/>
      </c>
      <c r="CI77" t="str">
        <f>""</f>
        <v/>
      </c>
      <c r="CJ77" t="str">
        <f>""</f>
        <v/>
      </c>
      <c r="CK77" t="str">
        <f>""</f>
        <v/>
      </c>
      <c r="CL77" t="str">
        <f>""</f>
        <v/>
      </c>
      <c r="CM77" t="str">
        <f>""</f>
        <v/>
      </c>
      <c r="CN77" t="str">
        <f>""</f>
        <v/>
      </c>
      <c r="CO77" t="str">
        <f>""</f>
        <v/>
      </c>
      <c r="CP77" t="str">
        <f>""</f>
        <v/>
      </c>
      <c r="CQ77" t="str">
        <f>""</f>
        <v/>
      </c>
      <c r="CR77" t="str">
        <f>""</f>
        <v/>
      </c>
      <c r="CS77" t="str">
        <f>""</f>
        <v/>
      </c>
      <c r="CT77" t="str">
        <f>""</f>
        <v/>
      </c>
      <c r="CU77" t="str">
        <f>""</f>
        <v/>
      </c>
      <c r="CV77" t="str">
        <f>""</f>
        <v/>
      </c>
      <c r="CW77" t="str">
        <f>""</f>
        <v/>
      </c>
      <c r="CX77" t="str">
        <f>""</f>
        <v/>
      </c>
      <c r="CY77" t="str">
        <f>""</f>
        <v/>
      </c>
      <c r="CZ77" t="str">
        <f>""</f>
        <v/>
      </c>
      <c r="DA77" t="str">
        <f>""</f>
        <v/>
      </c>
      <c r="DB77" t="str">
        <f>""</f>
        <v/>
      </c>
      <c r="DC77" t="str">
        <f>""</f>
        <v/>
      </c>
      <c r="DD77" t="str">
        <f>""</f>
        <v/>
      </c>
      <c r="DE77" t="str">
        <f>""</f>
        <v/>
      </c>
      <c r="DF77" t="str">
        <f>""</f>
        <v/>
      </c>
      <c r="DG77" t="str">
        <f>""</f>
        <v/>
      </c>
      <c r="DH77" t="str">
        <f>""</f>
        <v/>
      </c>
      <c r="DI77" t="str">
        <f>""</f>
        <v/>
      </c>
      <c r="DJ77" t="str">
        <f>""</f>
        <v/>
      </c>
      <c r="DK77" t="str">
        <f>""</f>
        <v/>
      </c>
      <c r="DL77" t="str">
        <f>""</f>
        <v/>
      </c>
      <c r="DM77" t="str">
        <f>""</f>
        <v/>
      </c>
      <c r="DN77" t="str">
        <f>""</f>
        <v/>
      </c>
      <c r="DO77" t="str">
        <f>""</f>
        <v/>
      </c>
      <c r="DP77" t="str">
        <f>""</f>
        <v/>
      </c>
      <c r="DQ77" t="str">
        <f>""</f>
        <v/>
      </c>
      <c r="DR77" t="str">
        <f>""</f>
        <v/>
      </c>
      <c r="DS77" t="str">
        <f>""</f>
        <v/>
      </c>
      <c r="DT77" t="str">
        <f>""</f>
        <v/>
      </c>
      <c r="DU77" t="str">
        <f>""</f>
        <v/>
      </c>
    </row>
    <row r="78" spans="1:125">
      <c r="A78" t="str">
        <f>"    Piedmont Office Realty Trust I"</f>
        <v xml:space="preserve">    Piedmont Office Realty Trust I</v>
      </c>
      <c r="B78" t="str">
        <f>"PDM US Equity"</f>
        <v>PDM US Equity</v>
      </c>
      <c r="C78" t="str">
        <f t="shared" si="18"/>
        <v>IS972</v>
      </c>
      <c r="D78" t="str">
        <f t="shared" si="19"/>
        <v>IS_ADJUSTED_EBITDA_AS_REPORTED</v>
      </c>
      <c r="E78" t="str">
        <f t="shared" si="20"/>
        <v>动态</v>
      </c>
      <c r="F78" t="str">
        <f ca="1">IF(AND(ISNUMBER($F$393),$B$294=1),$F$393,HLOOKUP(INDIRECT(ADDRESS(2,COLUMN())),OFFSET($BN$2,0,0,ROW()-1,60),ROW()-1,FALSE))</f>
        <v/>
      </c>
      <c r="G78" t="str">
        <f ca="1">IF(AND(ISNUMBER($G$393),$B$294=1),$G$393,HLOOKUP(INDIRECT(ADDRESS(2,COLUMN())),OFFSET($BN$2,0,0,ROW()-1,60),ROW()-1,FALSE))</f>
        <v/>
      </c>
      <c r="H78" t="str">
        <f ca="1">IF(AND(ISNUMBER($H$393),$B$294=1),$H$393,HLOOKUP(INDIRECT(ADDRESS(2,COLUMN())),OFFSET($BN$2,0,0,ROW()-1,60),ROW()-1,FALSE))</f>
        <v/>
      </c>
      <c r="I78" t="str">
        <f ca="1">IF(AND(ISNUMBER($I$393),$B$294=1),$I$393,HLOOKUP(INDIRECT(ADDRESS(2,COLUMN())),OFFSET($BN$2,0,0,ROW()-1,60),ROW()-1,FALSE))</f>
        <v/>
      </c>
      <c r="J78" t="str">
        <f ca="1">IF(AND(ISNUMBER($J$393),$B$294=1),$J$393,HLOOKUP(INDIRECT(ADDRESS(2,COLUMN())),OFFSET($BN$2,0,0,ROW()-1,60),ROW()-1,FALSE))</f>
        <v/>
      </c>
      <c r="K78" t="str">
        <f ca="1">IF(AND(ISNUMBER($K$393),$B$294=1),$K$393,HLOOKUP(INDIRECT(ADDRESS(2,COLUMN())),OFFSET($BN$2,0,0,ROW()-1,60),ROW()-1,FALSE))</f>
        <v/>
      </c>
      <c r="L78" t="str">
        <f ca="1">IF(AND(ISNUMBER($L$393),$B$294=1),$L$393,HLOOKUP(INDIRECT(ADDRESS(2,COLUMN())),OFFSET($BN$2,0,0,ROW()-1,60),ROW()-1,FALSE))</f>
        <v/>
      </c>
      <c r="M78" t="str">
        <f ca="1">IF(AND(ISNUMBER($M$393),$B$294=1),$M$393,HLOOKUP(INDIRECT(ADDRESS(2,COLUMN())),OFFSET($BN$2,0,0,ROW()-1,60),ROW()-1,FALSE))</f>
        <v/>
      </c>
      <c r="N78" t="str">
        <f ca="1">IF(AND(ISNUMBER($N$393),$B$294=1),$N$393,HLOOKUP(INDIRECT(ADDRESS(2,COLUMN())),OFFSET($BN$2,0,0,ROW()-1,60),ROW()-1,FALSE))</f>
        <v/>
      </c>
      <c r="O78" t="str">
        <f ca="1">IF(AND(ISNUMBER($O$393),$B$294=1),$O$393,HLOOKUP(INDIRECT(ADDRESS(2,COLUMN())),OFFSET($BN$2,0,0,ROW()-1,60),ROW()-1,FALSE))</f>
        <v/>
      </c>
      <c r="P78" t="str">
        <f ca="1">IF(AND(ISNUMBER($P$393),$B$294=1),$P$393,HLOOKUP(INDIRECT(ADDRESS(2,COLUMN())),OFFSET($BN$2,0,0,ROW()-1,60),ROW()-1,FALSE))</f>
        <v/>
      </c>
      <c r="Q78" t="str">
        <f ca="1">IF(AND(ISNUMBER($Q$393),$B$294=1),$Q$393,HLOOKUP(INDIRECT(ADDRESS(2,COLUMN())),OFFSET($BN$2,0,0,ROW()-1,60),ROW()-1,FALSE))</f>
        <v/>
      </c>
      <c r="R78" t="str">
        <f ca="1">IF(AND(ISNUMBER($R$393),$B$294=1),$R$393,HLOOKUP(INDIRECT(ADDRESS(2,COLUMN())),OFFSET($BN$2,0,0,ROW()-1,60),ROW()-1,FALSE))</f>
        <v/>
      </c>
      <c r="S78" t="str">
        <f ca="1">IF(AND(ISNUMBER($S$393),$B$294=1),$S$393,HLOOKUP(INDIRECT(ADDRESS(2,COLUMN())),OFFSET($BN$2,0,0,ROW()-1,60),ROW()-1,FALSE))</f>
        <v/>
      </c>
      <c r="T78" t="str">
        <f ca="1">IF(AND(ISNUMBER($T$393),$B$294=1),$T$393,HLOOKUP(INDIRECT(ADDRESS(2,COLUMN())),OFFSET($BN$2,0,0,ROW()-1,60),ROW()-1,FALSE))</f>
        <v/>
      </c>
      <c r="U78" t="str">
        <f ca="1">IF(AND(ISNUMBER($U$393),$B$294=1),$U$393,HLOOKUP(INDIRECT(ADDRESS(2,COLUMN())),OFFSET($BN$2,0,0,ROW()-1,60),ROW()-1,FALSE))</f>
        <v/>
      </c>
      <c r="V78" t="str">
        <f ca="1">IF(AND(ISNUMBER($V$393),$B$294=1),$V$393,HLOOKUP(INDIRECT(ADDRESS(2,COLUMN())),OFFSET($BN$2,0,0,ROW()-1,60),ROW()-1,FALSE))</f>
        <v/>
      </c>
      <c r="W78" t="str">
        <f ca="1">IF(AND(ISNUMBER($W$393),$B$294=1),$W$393,HLOOKUP(INDIRECT(ADDRESS(2,COLUMN())),OFFSET($BN$2,0,0,ROW()-1,60),ROW()-1,FALSE))</f>
        <v/>
      </c>
      <c r="X78" t="str">
        <f ca="1">IF(AND(ISNUMBER($X$393),$B$294=1),$X$393,HLOOKUP(INDIRECT(ADDRESS(2,COLUMN())),OFFSET($BN$2,0,0,ROW()-1,60),ROW()-1,FALSE))</f>
        <v/>
      </c>
      <c r="Y78" t="str">
        <f ca="1">IF(AND(ISNUMBER($Y$393),$B$294=1),$Y$393,HLOOKUP(INDIRECT(ADDRESS(2,COLUMN())),OFFSET($BN$2,0,0,ROW()-1,60),ROW()-1,FALSE))</f>
        <v/>
      </c>
      <c r="Z78" t="str">
        <f ca="1">IF(AND(ISNUMBER($Z$393),$B$294=1),$Z$393,HLOOKUP(INDIRECT(ADDRESS(2,COLUMN())),OFFSET($BN$2,0,0,ROW()-1,60),ROW()-1,FALSE))</f>
        <v/>
      </c>
      <c r="AA78" t="str">
        <f ca="1">IF(AND(ISNUMBER($AA$393),$B$294=1),$AA$393,HLOOKUP(INDIRECT(ADDRESS(2,COLUMN())),OFFSET($BN$2,0,0,ROW()-1,60),ROW()-1,FALSE))</f>
        <v/>
      </c>
      <c r="AB78" t="str">
        <f ca="1">IF(AND(ISNUMBER($AB$393),$B$294=1),$AB$393,HLOOKUP(INDIRECT(ADDRESS(2,COLUMN())),OFFSET($BN$2,0,0,ROW()-1,60),ROW()-1,FALSE))</f>
        <v/>
      </c>
      <c r="AC78" t="str">
        <f ca="1">IF(AND(ISNUMBER($AC$393),$B$294=1),$AC$393,HLOOKUP(INDIRECT(ADDRESS(2,COLUMN())),OFFSET($BN$2,0,0,ROW()-1,60),ROW()-1,FALSE))</f>
        <v/>
      </c>
      <c r="AD78" t="str">
        <f ca="1">IF(AND(ISNUMBER($AD$393),$B$294=1),$AD$393,HLOOKUP(INDIRECT(ADDRESS(2,COLUMN())),OFFSET($BN$2,0,0,ROW()-1,60),ROW()-1,FALSE))</f>
        <v/>
      </c>
      <c r="AE78" t="str">
        <f ca="1">IF(AND(ISNUMBER($AE$393),$B$294=1),$AE$393,HLOOKUP(INDIRECT(ADDRESS(2,COLUMN())),OFFSET($BN$2,0,0,ROW()-1,60),ROW()-1,FALSE))</f>
        <v/>
      </c>
      <c r="AF78" t="str">
        <f ca="1">IF(AND(ISNUMBER($AF$393),$B$294=1),$AF$393,HLOOKUP(INDIRECT(ADDRESS(2,COLUMN())),OFFSET($BN$2,0,0,ROW()-1,60),ROW()-1,FALSE))</f>
        <v/>
      </c>
      <c r="AG78" t="str">
        <f ca="1">IF(AND(ISNUMBER($AG$393),$B$294=1),$AG$393,HLOOKUP(INDIRECT(ADDRESS(2,COLUMN())),OFFSET($BN$2,0,0,ROW()-1,60),ROW()-1,FALSE))</f>
        <v/>
      </c>
      <c r="AH78" t="str">
        <f ca="1">IF(AND(ISNUMBER($AH$393),$B$294=1),$AH$393,HLOOKUP(INDIRECT(ADDRESS(2,COLUMN())),OFFSET($BN$2,0,0,ROW()-1,60),ROW()-1,FALSE))</f>
        <v/>
      </c>
      <c r="AI78" t="str">
        <f ca="1">IF(AND(ISNUMBER($AI$393),$B$294=1),$AI$393,HLOOKUP(INDIRECT(ADDRESS(2,COLUMN())),OFFSET($BN$2,0,0,ROW()-1,60),ROW()-1,FALSE))</f>
        <v/>
      </c>
      <c r="AJ78" t="str">
        <f ca="1">IF(AND(ISNUMBER($AJ$393),$B$294=1),$AJ$393,HLOOKUP(INDIRECT(ADDRESS(2,COLUMN())),OFFSET($BN$2,0,0,ROW()-1,60),ROW()-1,FALSE))</f>
        <v/>
      </c>
      <c r="AK78" t="str">
        <f ca="1">IF(AND(ISNUMBER($AK$393),$B$294=1),$AK$393,HLOOKUP(INDIRECT(ADDRESS(2,COLUMN())),OFFSET($BN$2,0,0,ROW()-1,60),ROW()-1,FALSE))</f>
        <v/>
      </c>
      <c r="AL78" t="str">
        <f ca="1">IF(AND(ISNUMBER($AL$393),$B$294=1),$AL$393,HLOOKUP(INDIRECT(ADDRESS(2,COLUMN())),OFFSET($BN$2,0,0,ROW()-1,60),ROW()-1,FALSE))</f>
        <v/>
      </c>
      <c r="AM78" t="str">
        <f ca="1">IF(AND(ISNUMBER($AM$393),$B$294=1),$AM$393,HLOOKUP(INDIRECT(ADDRESS(2,COLUMN())),OFFSET($BN$2,0,0,ROW()-1,60),ROW()-1,FALSE))</f>
        <v/>
      </c>
      <c r="AN78" t="str">
        <f ca="1">IF(AND(ISNUMBER($AN$393),$B$294=1),$AN$393,HLOOKUP(INDIRECT(ADDRESS(2,COLUMN())),OFFSET($BN$2,0,0,ROW()-1,60),ROW()-1,FALSE))</f>
        <v/>
      </c>
      <c r="AO78" t="str">
        <f ca="1">IF(AND(ISNUMBER($AO$393),$B$294=1),$AO$393,HLOOKUP(INDIRECT(ADDRESS(2,COLUMN())),OFFSET($BN$2,0,0,ROW()-1,60),ROW()-1,FALSE))</f>
        <v/>
      </c>
      <c r="AP78" t="str">
        <f ca="1">IF(AND(ISNUMBER($AP$393),$B$294=1),$AP$393,HLOOKUP(INDIRECT(ADDRESS(2,COLUMN())),OFFSET($BN$2,0,0,ROW()-1,60),ROW()-1,FALSE))</f>
        <v/>
      </c>
      <c r="AQ78" t="str">
        <f ca="1">IF(AND(ISNUMBER($AQ$393),$B$294=1),$AQ$393,HLOOKUP(INDIRECT(ADDRESS(2,COLUMN())),OFFSET($BN$2,0,0,ROW()-1,60),ROW()-1,FALSE))</f>
        <v/>
      </c>
      <c r="AR78" t="str">
        <f ca="1">IF(AND(ISNUMBER($AR$393),$B$294=1),$AR$393,HLOOKUP(INDIRECT(ADDRESS(2,COLUMN())),OFFSET($BN$2,0,0,ROW()-1,60),ROW()-1,FALSE))</f>
        <v/>
      </c>
      <c r="AS78" t="str">
        <f ca="1">IF(AND(ISNUMBER($AS$393),$B$294=1),$AS$393,HLOOKUP(INDIRECT(ADDRESS(2,COLUMN())),OFFSET($BN$2,0,0,ROW()-1,60),ROW()-1,FALSE))</f>
        <v/>
      </c>
      <c r="AT78" t="str">
        <f ca="1">IF(AND(ISNUMBER($AT$393),$B$294=1),$AT$393,HLOOKUP(INDIRECT(ADDRESS(2,COLUMN())),OFFSET($BN$2,0,0,ROW()-1,60),ROW()-1,FALSE))</f>
        <v/>
      </c>
      <c r="AU78" t="str">
        <f ca="1">IF(AND(ISNUMBER($AU$393),$B$294=1),$AU$393,HLOOKUP(INDIRECT(ADDRESS(2,COLUMN())),OFFSET($BN$2,0,0,ROW()-1,60),ROW()-1,FALSE))</f>
        <v/>
      </c>
      <c r="AV78" t="str">
        <f ca="1">IF(AND(ISNUMBER($AV$393),$B$294=1),$AV$393,HLOOKUP(INDIRECT(ADDRESS(2,COLUMN())),OFFSET($BN$2,0,0,ROW()-1,60),ROW()-1,FALSE))</f>
        <v/>
      </c>
      <c r="AW78" t="str">
        <f ca="1">IF(AND(ISNUMBER($AW$393),$B$294=1),$AW$393,HLOOKUP(INDIRECT(ADDRESS(2,COLUMN())),OFFSET($BN$2,0,0,ROW()-1,60),ROW()-1,FALSE))</f>
        <v/>
      </c>
      <c r="AX78" t="str">
        <f ca="1">IF(AND(ISNUMBER($AX$393),$B$294=1),$AX$393,HLOOKUP(INDIRECT(ADDRESS(2,COLUMN())),OFFSET($BN$2,0,0,ROW()-1,60),ROW()-1,FALSE))</f>
        <v/>
      </c>
      <c r="AY78" t="str">
        <f ca="1">IF(AND(ISNUMBER($AY$393),$B$294=1),$AY$393,HLOOKUP(INDIRECT(ADDRESS(2,COLUMN())),OFFSET($BN$2,0,0,ROW()-1,60),ROW()-1,FALSE))</f>
        <v/>
      </c>
      <c r="AZ78" t="str">
        <f ca="1">IF(AND(ISNUMBER($AZ$393),$B$294=1),$AZ$393,HLOOKUP(INDIRECT(ADDRESS(2,COLUMN())),OFFSET($BN$2,0,0,ROW()-1,60),ROW()-1,FALSE))</f>
        <v/>
      </c>
      <c r="BA78" t="str">
        <f ca="1">IF(AND(ISNUMBER($BA$393),$B$294=1),$BA$393,HLOOKUP(INDIRECT(ADDRESS(2,COLUMN())),OFFSET($BN$2,0,0,ROW()-1,60),ROW()-1,FALSE))</f>
        <v/>
      </c>
      <c r="BB78" t="str">
        <f ca="1">IF(AND(ISNUMBER($BB$393),$B$294=1),$BB$393,HLOOKUP(INDIRECT(ADDRESS(2,COLUMN())),OFFSET($BN$2,0,0,ROW()-1,60),ROW()-1,FALSE))</f>
        <v/>
      </c>
      <c r="BC78" t="str">
        <f ca="1">IF(AND(ISNUMBER($BC$393),$B$294=1),$BC$393,HLOOKUP(INDIRECT(ADDRESS(2,COLUMN())),OFFSET($BN$2,0,0,ROW()-1,60),ROW()-1,FALSE))</f>
        <v/>
      </c>
      <c r="BD78" t="str">
        <f ca="1">IF(AND(ISNUMBER($BD$393),$B$294=1),$BD$393,HLOOKUP(INDIRECT(ADDRESS(2,COLUMN())),OFFSET($BN$2,0,0,ROW()-1,60),ROW()-1,FALSE))</f>
        <v/>
      </c>
      <c r="BE78" t="str">
        <f ca="1">IF(AND(ISNUMBER($BE$393),$B$294=1),$BE$393,HLOOKUP(INDIRECT(ADDRESS(2,COLUMN())),OFFSET($BN$2,0,0,ROW()-1,60),ROW()-1,FALSE))</f>
        <v/>
      </c>
      <c r="BF78" t="str">
        <f ca="1">IF(AND(ISNUMBER($BF$393),$B$294=1),$BF$393,HLOOKUP(INDIRECT(ADDRESS(2,COLUMN())),OFFSET($BN$2,0,0,ROW()-1,60),ROW()-1,FALSE))</f>
        <v/>
      </c>
      <c r="BG78" t="str">
        <f ca="1">IF(AND(ISNUMBER($BG$393),$B$294=1),$BG$393,HLOOKUP(INDIRECT(ADDRESS(2,COLUMN())),OFFSET($BN$2,0,0,ROW()-1,60),ROW()-1,FALSE))</f>
        <v/>
      </c>
      <c r="BH78" t="str">
        <f ca="1">IF(AND(ISNUMBER($BH$393),$B$294=1),$BH$393,HLOOKUP(INDIRECT(ADDRESS(2,COLUMN())),OFFSET($BN$2,0,0,ROW()-1,60),ROW()-1,FALSE))</f>
        <v/>
      </c>
      <c r="BI78" t="str">
        <f ca="1">IF(AND(ISNUMBER($BI$393),$B$294=1),$BI$393,HLOOKUP(INDIRECT(ADDRESS(2,COLUMN())),OFFSET($BN$2,0,0,ROW()-1,60),ROW()-1,FALSE))</f>
        <v/>
      </c>
      <c r="BJ78" t="str">
        <f ca="1">IF(AND(ISNUMBER($BJ$393),$B$294=1),$BJ$393,HLOOKUP(INDIRECT(ADDRESS(2,COLUMN())),OFFSET($BN$2,0,0,ROW()-1,60),ROW()-1,FALSE))</f>
        <v/>
      </c>
      <c r="BK78" t="str">
        <f ca="1">IF(AND(ISNUMBER($BK$393),$B$294=1),$BK$393,HLOOKUP(INDIRECT(ADDRESS(2,COLUMN())),OFFSET($BN$2,0,0,ROW()-1,60),ROW()-1,FALSE))</f>
        <v/>
      </c>
      <c r="BL78" t="str">
        <f ca="1">IF(AND(ISNUMBER($BL$393),$B$294=1),$BL$393,HLOOKUP(INDIRECT(ADDRESS(2,COLUMN())),OFFSET($BN$2,0,0,ROW()-1,60),ROW()-1,FALSE))</f>
        <v/>
      </c>
      <c r="BM78" t="str">
        <f ca="1">IF(AND(ISNUMBER($BM$393),$B$294=1),$BM$393,HLOOKUP(INDIRECT(ADDRESS(2,COLUMN())),OFFSET($BN$2,0,0,ROW()-1,60),ROW()-1,FALSE))</f>
        <v/>
      </c>
      <c r="BN78" t="str">
        <f>""</f>
        <v/>
      </c>
      <c r="BO78" t="str">
        <f>""</f>
        <v/>
      </c>
      <c r="BP78" t="str">
        <f>""</f>
        <v/>
      </c>
      <c r="BQ78" t="str">
        <f>""</f>
        <v/>
      </c>
      <c r="BR78" t="str">
        <f>""</f>
        <v/>
      </c>
      <c r="BS78" t="str">
        <f>""</f>
        <v/>
      </c>
      <c r="BT78" t="str">
        <f>""</f>
        <v/>
      </c>
      <c r="BU78" t="str">
        <f>""</f>
        <v/>
      </c>
      <c r="BV78" t="str">
        <f>""</f>
        <v/>
      </c>
      <c r="BW78" t="str">
        <f>""</f>
        <v/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  <c r="CH78" t="str">
        <f>""</f>
        <v/>
      </c>
      <c r="CI78" t="str">
        <f>""</f>
        <v/>
      </c>
      <c r="CJ78" t="str">
        <f>""</f>
        <v/>
      </c>
      <c r="CK78" t="str">
        <f>""</f>
        <v/>
      </c>
      <c r="CL78" t="str">
        <f>""</f>
        <v/>
      </c>
      <c r="CM78" t="str">
        <f>""</f>
        <v/>
      </c>
      <c r="CN78" t="str">
        <f>""</f>
        <v/>
      </c>
      <c r="CO78" t="str">
        <f>""</f>
        <v/>
      </c>
      <c r="CP78" t="str">
        <f>""</f>
        <v/>
      </c>
      <c r="CQ78" t="str">
        <f>""</f>
        <v/>
      </c>
      <c r="CR78" t="str">
        <f>""</f>
        <v/>
      </c>
      <c r="CS78" t="str">
        <f>""</f>
        <v/>
      </c>
      <c r="CT78" t="str">
        <f>""</f>
        <v/>
      </c>
      <c r="CU78" t="str">
        <f>""</f>
        <v/>
      </c>
      <c r="CV78" t="str">
        <f>""</f>
        <v/>
      </c>
      <c r="CW78" t="str">
        <f>""</f>
        <v/>
      </c>
      <c r="CX78" t="str">
        <f>""</f>
        <v/>
      </c>
      <c r="CY78" t="str">
        <f>""</f>
        <v/>
      </c>
      <c r="CZ78" t="str">
        <f>""</f>
        <v/>
      </c>
      <c r="DA78" t="str">
        <f>""</f>
        <v/>
      </c>
      <c r="DB78" t="str">
        <f>""</f>
        <v/>
      </c>
      <c r="DC78" t="str">
        <f>""</f>
        <v/>
      </c>
      <c r="DD78" t="str">
        <f>""</f>
        <v/>
      </c>
      <c r="DE78" t="str">
        <f>""</f>
        <v/>
      </c>
      <c r="DF78" t="str">
        <f>""</f>
        <v/>
      </c>
      <c r="DG78" t="str">
        <f>""</f>
        <v/>
      </c>
      <c r="DH78" t="str">
        <f>""</f>
        <v/>
      </c>
      <c r="DI78" t="str">
        <f>""</f>
        <v/>
      </c>
      <c r="DJ78" t="str">
        <f>""</f>
        <v/>
      </c>
      <c r="DK78" t="str">
        <f>""</f>
        <v/>
      </c>
      <c r="DL78" t="str">
        <f>""</f>
        <v/>
      </c>
      <c r="DM78" t="str">
        <f>""</f>
        <v/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  <c r="DT78" t="str">
        <f>""</f>
        <v/>
      </c>
      <c r="DU78" t="str">
        <f>""</f>
        <v/>
      </c>
    </row>
    <row r="79" spans="1:125">
      <c r="A79" t="str">
        <f>"    SL Green Realty Corp"</f>
        <v xml:space="preserve">    SL Green Realty Corp</v>
      </c>
      <c r="B79" t="str">
        <f>"SLG US Equity"</f>
        <v>SLG US Equity</v>
      </c>
      <c r="C79" t="str">
        <f t="shared" si="18"/>
        <v>IS972</v>
      </c>
      <c r="D79" t="str">
        <f t="shared" si="19"/>
        <v>IS_ADJUSTED_EBITDA_AS_REPORTED</v>
      </c>
      <c r="E79" t="str">
        <f t="shared" si="20"/>
        <v>动态</v>
      </c>
      <c r="F79" t="str">
        <f ca="1">IF(AND(ISNUMBER($F$394),$B$294=1),$F$394,HLOOKUP(INDIRECT(ADDRESS(2,COLUMN())),OFFSET($BN$2,0,0,ROW()-1,60),ROW()-1,FALSE))</f>
        <v/>
      </c>
      <c r="G79" t="str">
        <f ca="1">IF(AND(ISNUMBER($G$394),$B$294=1),$G$394,HLOOKUP(INDIRECT(ADDRESS(2,COLUMN())),OFFSET($BN$2,0,0,ROW()-1,60),ROW()-1,FALSE))</f>
        <v/>
      </c>
      <c r="H79" t="str">
        <f ca="1">IF(AND(ISNUMBER($H$394),$B$294=1),$H$394,HLOOKUP(INDIRECT(ADDRESS(2,COLUMN())),OFFSET($BN$2,0,0,ROW()-1,60),ROW()-1,FALSE))</f>
        <v/>
      </c>
      <c r="I79" t="str">
        <f ca="1">IF(AND(ISNUMBER($I$394),$B$294=1),$I$394,HLOOKUP(INDIRECT(ADDRESS(2,COLUMN())),OFFSET($BN$2,0,0,ROW()-1,60),ROW()-1,FALSE))</f>
        <v/>
      </c>
      <c r="J79" t="str">
        <f ca="1">IF(AND(ISNUMBER($J$394),$B$294=1),$J$394,HLOOKUP(INDIRECT(ADDRESS(2,COLUMN())),OFFSET($BN$2,0,0,ROW()-1,60),ROW()-1,FALSE))</f>
        <v/>
      </c>
      <c r="K79" t="str">
        <f ca="1">IF(AND(ISNUMBER($K$394),$B$294=1),$K$394,HLOOKUP(INDIRECT(ADDRESS(2,COLUMN())),OFFSET($BN$2,0,0,ROW()-1,60),ROW()-1,FALSE))</f>
        <v/>
      </c>
      <c r="L79" t="str">
        <f ca="1">IF(AND(ISNUMBER($L$394),$B$294=1),$L$394,HLOOKUP(INDIRECT(ADDRESS(2,COLUMN())),OFFSET($BN$2,0,0,ROW()-1,60),ROW()-1,FALSE))</f>
        <v/>
      </c>
      <c r="M79" t="str">
        <f ca="1">IF(AND(ISNUMBER($M$394),$B$294=1),$M$394,HLOOKUP(INDIRECT(ADDRESS(2,COLUMN())),OFFSET($BN$2,0,0,ROW()-1,60),ROW()-1,FALSE))</f>
        <v/>
      </c>
      <c r="N79" t="str">
        <f ca="1">IF(AND(ISNUMBER($N$394),$B$294=1),$N$394,HLOOKUP(INDIRECT(ADDRESS(2,COLUMN())),OFFSET($BN$2,0,0,ROW()-1,60),ROW()-1,FALSE))</f>
        <v/>
      </c>
      <c r="O79" t="str">
        <f ca="1">IF(AND(ISNUMBER($O$394),$B$294=1),$O$394,HLOOKUP(INDIRECT(ADDRESS(2,COLUMN())),OFFSET($BN$2,0,0,ROW()-1,60),ROW()-1,FALSE))</f>
        <v/>
      </c>
      <c r="P79" t="str">
        <f ca="1">IF(AND(ISNUMBER($P$394),$B$294=1),$P$394,HLOOKUP(INDIRECT(ADDRESS(2,COLUMN())),OFFSET($BN$2,0,0,ROW()-1,60),ROW()-1,FALSE))</f>
        <v/>
      </c>
      <c r="Q79" t="str">
        <f ca="1">IF(AND(ISNUMBER($Q$394),$B$294=1),$Q$394,HLOOKUP(INDIRECT(ADDRESS(2,COLUMN())),OFFSET($BN$2,0,0,ROW()-1,60),ROW()-1,FALSE))</f>
        <v/>
      </c>
      <c r="R79" t="str">
        <f ca="1">IF(AND(ISNUMBER($R$394),$B$294=1),$R$394,HLOOKUP(INDIRECT(ADDRESS(2,COLUMN())),OFFSET($BN$2,0,0,ROW()-1,60),ROW()-1,FALSE))</f>
        <v/>
      </c>
      <c r="S79" t="str">
        <f ca="1">IF(AND(ISNUMBER($S$394),$B$294=1),$S$394,HLOOKUP(INDIRECT(ADDRESS(2,COLUMN())),OFFSET($BN$2,0,0,ROW()-1,60),ROW()-1,FALSE))</f>
        <v/>
      </c>
      <c r="T79" t="str">
        <f ca="1">IF(AND(ISNUMBER($T$394),$B$294=1),$T$394,HLOOKUP(INDIRECT(ADDRESS(2,COLUMN())),OFFSET($BN$2,0,0,ROW()-1,60),ROW()-1,FALSE))</f>
        <v/>
      </c>
      <c r="U79" t="str">
        <f ca="1">IF(AND(ISNUMBER($U$394),$B$294=1),$U$394,HLOOKUP(INDIRECT(ADDRESS(2,COLUMN())),OFFSET($BN$2,0,0,ROW()-1,60),ROW()-1,FALSE))</f>
        <v/>
      </c>
      <c r="V79" t="str">
        <f ca="1">IF(AND(ISNUMBER($V$394),$B$294=1),$V$394,HLOOKUP(INDIRECT(ADDRESS(2,COLUMN())),OFFSET($BN$2,0,0,ROW()-1,60),ROW()-1,FALSE))</f>
        <v/>
      </c>
      <c r="W79" t="str">
        <f ca="1">IF(AND(ISNUMBER($W$394),$B$294=1),$W$394,HLOOKUP(INDIRECT(ADDRESS(2,COLUMN())),OFFSET($BN$2,0,0,ROW()-1,60),ROW()-1,FALSE))</f>
        <v/>
      </c>
      <c r="X79" t="str">
        <f ca="1">IF(AND(ISNUMBER($X$394),$B$294=1),$X$394,HLOOKUP(INDIRECT(ADDRESS(2,COLUMN())),OFFSET($BN$2,0,0,ROW()-1,60),ROW()-1,FALSE))</f>
        <v/>
      </c>
      <c r="Y79" t="str">
        <f ca="1">IF(AND(ISNUMBER($Y$394),$B$294=1),$Y$394,HLOOKUP(INDIRECT(ADDRESS(2,COLUMN())),OFFSET($BN$2,0,0,ROW()-1,60),ROW()-1,FALSE))</f>
        <v/>
      </c>
      <c r="Z79" t="str">
        <f ca="1">IF(AND(ISNUMBER($Z$394),$B$294=1),$Z$394,HLOOKUP(INDIRECT(ADDRESS(2,COLUMN())),OFFSET($BN$2,0,0,ROW()-1,60),ROW()-1,FALSE))</f>
        <v/>
      </c>
      <c r="AA79" t="str">
        <f ca="1">IF(AND(ISNUMBER($AA$394),$B$294=1),$AA$394,HLOOKUP(INDIRECT(ADDRESS(2,COLUMN())),OFFSET($BN$2,0,0,ROW()-1,60),ROW()-1,FALSE))</f>
        <v/>
      </c>
      <c r="AB79" t="str">
        <f ca="1">IF(AND(ISNUMBER($AB$394),$B$294=1),$AB$394,HLOOKUP(INDIRECT(ADDRESS(2,COLUMN())),OFFSET($BN$2,0,0,ROW()-1,60),ROW()-1,FALSE))</f>
        <v/>
      </c>
      <c r="AC79" t="str">
        <f ca="1">IF(AND(ISNUMBER($AC$394),$B$294=1),$AC$394,HLOOKUP(INDIRECT(ADDRESS(2,COLUMN())),OFFSET($BN$2,0,0,ROW()-1,60),ROW()-1,FALSE))</f>
        <v/>
      </c>
      <c r="AD79" t="str">
        <f ca="1">IF(AND(ISNUMBER($AD$394),$B$294=1),$AD$394,HLOOKUP(INDIRECT(ADDRESS(2,COLUMN())),OFFSET($BN$2,0,0,ROW()-1,60),ROW()-1,FALSE))</f>
        <v/>
      </c>
      <c r="AE79" t="str">
        <f ca="1">IF(AND(ISNUMBER($AE$394),$B$294=1),$AE$394,HLOOKUP(INDIRECT(ADDRESS(2,COLUMN())),OFFSET($BN$2,0,0,ROW()-1,60),ROW()-1,FALSE))</f>
        <v/>
      </c>
      <c r="AF79" t="str">
        <f ca="1">IF(AND(ISNUMBER($AF$394),$B$294=1),$AF$394,HLOOKUP(INDIRECT(ADDRESS(2,COLUMN())),OFFSET($BN$2,0,0,ROW()-1,60),ROW()-1,FALSE))</f>
        <v/>
      </c>
      <c r="AG79" t="str">
        <f ca="1">IF(AND(ISNUMBER($AG$394),$B$294=1),$AG$394,HLOOKUP(INDIRECT(ADDRESS(2,COLUMN())),OFFSET($BN$2,0,0,ROW()-1,60),ROW()-1,FALSE))</f>
        <v/>
      </c>
      <c r="AH79" t="str">
        <f ca="1">IF(AND(ISNUMBER($AH$394),$B$294=1),$AH$394,HLOOKUP(INDIRECT(ADDRESS(2,COLUMN())),OFFSET($BN$2,0,0,ROW()-1,60),ROW()-1,FALSE))</f>
        <v/>
      </c>
      <c r="AI79" t="str">
        <f ca="1">IF(AND(ISNUMBER($AI$394),$B$294=1),$AI$394,HLOOKUP(INDIRECT(ADDRESS(2,COLUMN())),OFFSET($BN$2,0,0,ROW()-1,60),ROW()-1,FALSE))</f>
        <v/>
      </c>
      <c r="AJ79" t="str">
        <f ca="1">IF(AND(ISNUMBER($AJ$394),$B$294=1),$AJ$394,HLOOKUP(INDIRECT(ADDRESS(2,COLUMN())),OFFSET($BN$2,0,0,ROW()-1,60),ROW()-1,FALSE))</f>
        <v/>
      </c>
      <c r="AK79" t="str">
        <f ca="1">IF(AND(ISNUMBER($AK$394),$B$294=1),$AK$394,HLOOKUP(INDIRECT(ADDRESS(2,COLUMN())),OFFSET($BN$2,0,0,ROW()-1,60),ROW()-1,FALSE))</f>
        <v/>
      </c>
      <c r="AL79" t="str">
        <f ca="1">IF(AND(ISNUMBER($AL$394),$B$294=1),$AL$394,HLOOKUP(INDIRECT(ADDRESS(2,COLUMN())),OFFSET($BN$2,0,0,ROW()-1,60),ROW()-1,FALSE))</f>
        <v/>
      </c>
      <c r="AM79" t="str">
        <f ca="1">IF(AND(ISNUMBER($AM$394),$B$294=1),$AM$394,HLOOKUP(INDIRECT(ADDRESS(2,COLUMN())),OFFSET($BN$2,0,0,ROW()-1,60),ROW()-1,FALSE))</f>
        <v/>
      </c>
      <c r="AN79" t="str">
        <f ca="1">IF(AND(ISNUMBER($AN$394),$B$294=1),$AN$394,HLOOKUP(INDIRECT(ADDRESS(2,COLUMN())),OFFSET($BN$2,0,0,ROW()-1,60),ROW()-1,FALSE))</f>
        <v/>
      </c>
      <c r="AO79" t="str">
        <f ca="1">IF(AND(ISNUMBER($AO$394),$B$294=1),$AO$394,HLOOKUP(INDIRECT(ADDRESS(2,COLUMN())),OFFSET($BN$2,0,0,ROW()-1,60),ROW()-1,FALSE))</f>
        <v/>
      </c>
      <c r="AP79" t="str">
        <f ca="1">IF(AND(ISNUMBER($AP$394),$B$294=1),$AP$394,HLOOKUP(INDIRECT(ADDRESS(2,COLUMN())),OFFSET($BN$2,0,0,ROW()-1,60),ROW()-1,FALSE))</f>
        <v/>
      </c>
      <c r="AQ79" t="str">
        <f ca="1">IF(AND(ISNUMBER($AQ$394),$B$294=1),$AQ$394,HLOOKUP(INDIRECT(ADDRESS(2,COLUMN())),OFFSET($BN$2,0,0,ROW()-1,60),ROW()-1,FALSE))</f>
        <v/>
      </c>
      <c r="AR79" t="str">
        <f ca="1">IF(AND(ISNUMBER($AR$394),$B$294=1),$AR$394,HLOOKUP(INDIRECT(ADDRESS(2,COLUMN())),OFFSET($BN$2,0,0,ROW()-1,60),ROW()-1,FALSE))</f>
        <v/>
      </c>
      <c r="AS79" t="str">
        <f ca="1">IF(AND(ISNUMBER($AS$394),$B$294=1),$AS$394,HLOOKUP(INDIRECT(ADDRESS(2,COLUMN())),OFFSET($BN$2,0,0,ROW()-1,60),ROW()-1,FALSE))</f>
        <v/>
      </c>
      <c r="AT79" t="str">
        <f ca="1">IF(AND(ISNUMBER($AT$394),$B$294=1),$AT$394,HLOOKUP(INDIRECT(ADDRESS(2,COLUMN())),OFFSET($BN$2,0,0,ROW()-1,60),ROW()-1,FALSE))</f>
        <v/>
      </c>
      <c r="AU79" t="str">
        <f ca="1">IF(AND(ISNUMBER($AU$394),$B$294=1),$AU$394,HLOOKUP(INDIRECT(ADDRESS(2,COLUMN())),OFFSET($BN$2,0,0,ROW()-1,60),ROW()-1,FALSE))</f>
        <v/>
      </c>
      <c r="AV79" t="str">
        <f ca="1">IF(AND(ISNUMBER($AV$394),$B$294=1),$AV$394,HLOOKUP(INDIRECT(ADDRESS(2,COLUMN())),OFFSET($BN$2,0,0,ROW()-1,60),ROW()-1,FALSE))</f>
        <v/>
      </c>
      <c r="AW79" t="str">
        <f ca="1">IF(AND(ISNUMBER($AW$394),$B$294=1),$AW$394,HLOOKUP(INDIRECT(ADDRESS(2,COLUMN())),OFFSET($BN$2,0,0,ROW()-1,60),ROW()-1,FALSE))</f>
        <v/>
      </c>
      <c r="AX79" t="str">
        <f ca="1">IF(AND(ISNUMBER($AX$394),$B$294=1),$AX$394,HLOOKUP(INDIRECT(ADDRESS(2,COLUMN())),OFFSET($BN$2,0,0,ROW()-1,60),ROW()-1,FALSE))</f>
        <v/>
      </c>
      <c r="AY79" t="str">
        <f ca="1">IF(AND(ISNUMBER($AY$394),$B$294=1),$AY$394,HLOOKUP(INDIRECT(ADDRESS(2,COLUMN())),OFFSET($BN$2,0,0,ROW()-1,60),ROW()-1,FALSE))</f>
        <v/>
      </c>
      <c r="AZ79" t="str">
        <f ca="1">IF(AND(ISNUMBER($AZ$394),$B$294=1),$AZ$394,HLOOKUP(INDIRECT(ADDRESS(2,COLUMN())),OFFSET($BN$2,0,0,ROW()-1,60),ROW()-1,FALSE))</f>
        <v/>
      </c>
      <c r="BA79" t="str">
        <f ca="1">IF(AND(ISNUMBER($BA$394),$B$294=1),$BA$394,HLOOKUP(INDIRECT(ADDRESS(2,COLUMN())),OFFSET($BN$2,0,0,ROW()-1,60),ROW()-1,FALSE))</f>
        <v/>
      </c>
      <c r="BB79" t="str">
        <f ca="1">IF(AND(ISNUMBER($BB$394),$B$294=1),$BB$394,HLOOKUP(INDIRECT(ADDRESS(2,COLUMN())),OFFSET($BN$2,0,0,ROW()-1,60),ROW()-1,FALSE))</f>
        <v/>
      </c>
      <c r="BC79" t="str">
        <f ca="1">IF(AND(ISNUMBER($BC$394),$B$294=1),$BC$394,HLOOKUP(INDIRECT(ADDRESS(2,COLUMN())),OFFSET($BN$2,0,0,ROW()-1,60),ROW()-1,FALSE))</f>
        <v/>
      </c>
      <c r="BD79" t="str">
        <f ca="1">IF(AND(ISNUMBER($BD$394),$B$294=1),$BD$394,HLOOKUP(INDIRECT(ADDRESS(2,COLUMN())),OFFSET($BN$2,0,0,ROW()-1,60),ROW()-1,FALSE))</f>
        <v/>
      </c>
      <c r="BE79" t="str">
        <f ca="1">IF(AND(ISNUMBER($BE$394),$B$294=1),$BE$394,HLOOKUP(INDIRECT(ADDRESS(2,COLUMN())),OFFSET($BN$2,0,0,ROW()-1,60),ROW()-1,FALSE))</f>
        <v/>
      </c>
      <c r="BF79" t="str">
        <f ca="1">IF(AND(ISNUMBER($BF$394),$B$294=1),$BF$394,HLOOKUP(INDIRECT(ADDRESS(2,COLUMN())),OFFSET($BN$2,0,0,ROW()-1,60),ROW()-1,FALSE))</f>
        <v/>
      </c>
      <c r="BG79" t="str">
        <f ca="1">IF(AND(ISNUMBER($BG$394),$B$294=1),$BG$394,HLOOKUP(INDIRECT(ADDRESS(2,COLUMN())),OFFSET($BN$2,0,0,ROW()-1,60),ROW()-1,FALSE))</f>
        <v/>
      </c>
      <c r="BH79" t="str">
        <f ca="1">IF(AND(ISNUMBER($BH$394),$B$294=1),$BH$394,HLOOKUP(INDIRECT(ADDRESS(2,COLUMN())),OFFSET($BN$2,0,0,ROW()-1,60),ROW()-1,FALSE))</f>
        <v/>
      </c>
      <c r="BI79" t="str">
        <f ca="1">IF(AND(ISNUMBER($BI$394),$B$294=1),$BI$394,HLOOKUP(INDIRECT(ADDRESS(2,COLUMN())),OFFSET($BN$2,0,0,ROW()-1,60),ROW()-1,FALSE))</f>
        <v/>
      </c>
      <c r="BJ79" t="str">
        <f ca="1">IF(AND(ISNUMBER($BJ$394),$B$294=1),$BJ$394,HLOOKUP(INDIRECT(ADDRESS(2,COLUMN())),OFFSET($BN$2,0,0,ROW()-1,60),ROW()-1,FALSE))</f>
        <v/>
      </c>
      <c r="BK79" t="str">
        <f ca="1">IF(AND(ISNUMBER($BK$394),$B$294=1),$BK$394,HLOOKUP(INDIRECT(ADDRESS(2,COLUMN())),OFFSET($BN$2,0,0,ROW()-1,60),ROW()-1,FALSE))</f>
        <v/>
      </c>
      <c r="BL79" t="str">
        <f ca="1">IF(AND(ISNUMBER($BL$394),$B$294=1),$BL$394,HLOOKUP(INDIRECT(ADDRESS(2,COLUMN())),OFFSET($BN$2,0,0,ROW()-1,60),ROW()-1,FALSE))</f>
        <v/>
      </c>
      <c r="BM79" t="str">
        <f ca="1">IF(AND(ISNUMBER($BM$394),$B$294=1),$BM$394,HLOOKUP(INDIRECT(ADDRESS(2,COLUMN())),OFFSET($BN$2,0,0,ROW()-1,60),ROW()-1,FALSE))</f>
        <v/>
      </c>
      <c r="BN79" t="str">
        <f>""</f>
        <v/>
      </c>
      <c r="BO79" t="str">
        <f>""</f>
        <v/>
      </c>
      <c r="BP79" t="str">
        <f>""</f>
        <v/>
      </c>
      <c r="BQ79" t="str">
        <f>""</f>
        <v/>
      </c>
      <c r="BR79" t="str">
        <f>""</f>
        <v/>
      </c>
      <c r="BS79" t="str">
        <f>""</f>
        <v/>
      </c>
      <c r="BT79" t="str">
        <f>""</f>
        <v/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  <c r="CH79" t="str">
        <f>""</f>
        <v/>
      </c>
      <c r="CI79" t="str">
        <f>""</f>
        <v/>
      </c>
      <c r="CJ79" t="str">
        <f>""</f>
        <v/>
      </c>
      <c r="CK79" t="str">
        <f>""</f>
        <v/>
      </c>
      <c r="CL79" t="str">
        <f>""</f>
        <v/>
      </c>
      <c r="CM79" t="str">
        <f>""</f>
        <v/>
      </c>
      <c r="CN79" t="str">
        <f>""</f>
        <v/>
      </c>
      <c r="CO79" t="str">
        <f>""</f>
        <v/>
      </c>
      <c r="CP79" t="str">
        <f>""</f>
        <v/>
      </c>
      <c r="CQ79" t="str">
        <f>""</f>
        <v/>
      </c>
      <c r="CR79" t="str">
        <f>""</f>
        <v/>
      </c>
      <c r="CS79" t="str">
        <f>""</f>
        <v/>
      </c>
      <c r="CT79" t="str">
        <f>""</f>
        <v/>
      </c>
      <c r="CU79" t="str">
        <f>""</f>
        <v/>
      </c>
      <c r="CV79" t="str">
        <f>""</f>
        <v/>
      </c>
      <c r="CW79" t="str">
        <f>""</f>
        <v/>
      </c>
      <c r="CX79" t="str">
        <f>""</f>
        <v/>
      </c>
      <c r="CY79" t="str">
        <f>""</f>
        <v/>
      </c>
      <c r="CZ79" t="str">
        <f>""</f>
        <v/>
      </c>
      <c r="DA79" t="str">
        <f>""</f>
        <v/>
      </c>
      <c r="DB79" t="str">
        <f>""</f>
        <v/>
      </c>
      <c r="DC79" t="str">
        <f>""</f>
        <v/>
      </c>
      <c r="DD79" t="str">
        <f>""</f>
        <v/>
      </c>
      <c r="DE79" t="str">
        <f>""</f>
        <v/>
      </c>
      <c r="DF79" t="str">
        <f>""</f>
        <v/>
      </c>
      <c r="DG79" t="str">
        <f>""</f>
        <v/>
      </c>
      <c r="DH79" t="str">
        <f>""</f>
        <v/>
      </c>
      <c r="DI79" t="str">
        <f>""</f>
        <v/>
      </c>
      <c r="DJ79" t="str">
        <f>""</f>
        <v/>
      </c>
      <c r="DK79" t="str">
        <f>""</f>
        <v/>
      </c>
      <c r="DL79" t="str">
        <f>""</f>
        <v/>
      </c>
      <c r="DM79" t="str">
        <f>""</f>
        <v/>
      </c>
      <c r="DN79" t="str">
        <f>""</f>
        <v/>
      </c>
      <c r="DO79" t="str">
        <f>""</f>
        <v/>
      </c>
      <c r="DP79" t="str">
        <f>""</f>
        <v/>
      </c>
      <c r="DQ79" t="str">
        <f>""</f>
        <v/>
      </c>
      <c r="DR79" t="str">
        <f>""</f>
        <v/>
      </c>
      <c r="DS79" t="str">
        <f>""</f>
        <v/>
      </c>
      <c r="DT79" t="str">
        <f>""</f>
        <v/>
      </c>
      <c r="DU79" t="str">
        <f>""</f>
        <v/>
      </c>
    </row>
    <row r="80" spans="1:125">
      <c r="A80" t="str">
        <f>"    Vornado Realty Trust"</f>
        <v xml:space="preserve">    Vornado Realty Trust</v>
      </c>
      <c r="B80" t="str">
        <f>"VNO US Equity"</f>
        <v>VNO US Equity</v>
      </c>
      <c r="C80" t="str">
        <f t="shared" si="18"/>
        <v>IS972</v>
      </c>
      <c r="D80" t="str">
        <f t="shared" si="19"/>
        <v>IS_ADJUSTED_EBITDA_AS_REPORTED</v>
      </c>
      <c r="E80" t="str">
        <f t="shared" si="20"/>
        <v>动态</v>
      </c>
      <c r="F80" t="str">
        <f ca="1">IF(AND(ISNUMBER($F$395),$B$294=1),$F$395,HLOOKUP(INDIRECT(ADDRESS(2,COLUMN())),OFFSET($BN$2,0,0,ROW()-1,60),ROW()-1,FALSE))</f>
        <v/>
      </c>
      <c r="G80" t="str">
        <f ca="1">IF(AND(ISNUMBER($G$395),$B$294=1),$G$395,HLOOKUP(INDIRECT(ADDRESS(2,COLUMN())),OFFSET($BN$2,0,0,ROW()-1,60),ROW()-1,FALSE))</f>
        <v/>
      </c>
      <c r="H80">
        <f ca="1">IF(AND(ISNUMBER($H$395),$B$294=1),$H$395,HLOOKUP(INDIRECT(ADDRESS(2,COLUMN())),OFFSET($BN$2,0,0,ROW()-1,60),ROW()-1,FALSE))</f>
        <v>327.54399999999998</v>
      </c>
      <c r="I80">
        <f ca="1">IF(AND(ISNUMBER($I$395),$B$294=1),$I$395,HLOOKUP(INDIRECT(ADDRESS(2,COLUMN())),OFFSET($BN$2,0,0,ROW()-1,60),ROW()-1,FALSE))</f>
        <v>390.66300000000001</v>
      </c>
      <c r="J80">
        <f ca="1">IF(AND(ISNUMBER($J$395),$B$294=1),$J$395,HLOOKUP(INDIRECT(ADDRESS(2,COLUMN())),OFFSET($BN$2,0,0,ROW()-1,60),ROW()-1,FALSE))</f>
        <v>366.91199999999998</v>
      </c>
      <c r="K80">
        <f ca="1">IF(AND(ISNUMBER($K$395),$B$294=1),$K$395,HLOOKUP(INDIRECT(ADDRESS(2,COLUMN())),OFFSET($BN$2,0,0,ROW()-1,60),ROW()-1,FALSE))</f>
        <v>370.76799999999997</v>
      </c>
      <c r="L80">
        <f ca="1">IF(AND(ISNUMBER($L$395),$B$294=1),$L$395,HLOOKUP(INDIRECT(ADDRESS(2,COLUMN())),OFFSET($BN$2,0,0,ROW()-1,60),ROW()-1,FALSE))</f>
        <v>397.45800000000003</v>
      </c>
      <c r="M80">
        <f ca="1">IF(AND(ISNUMBER($M$395),$B$294=1),$M$395,HLOOKUP(INDIRECT(ADDRESS(2,COLUMN())),OFFSET($BN$2,0,0,ROW()-1,60),ROW()-1,FALSE))</f>
        <v>400.17399999999998</v>
      </c>
      <c r="N80">
        <f ca="1">IF(AND(ISNUMBER($N$395),$B$294=1),$N$395,HLOOKUP(INDIRECT(ADDRESS(2,COLUMN())),OFFSET($BN$2,0,0,ROW()-1,60),ROW()-1,FALSE))</f>
        <v>370.63099999999997</v>
      </c>
      <c r="O80">
        <f ca="1">IF(AND(ISNUMBER($O$395),$B$294=1),$O$395,HLOOKUP(INDIRECT(ADDRESS(2,COLUMN())),OFFSET($BN$2,0,0,ROW()-1,60),ROW()-1,FALSE))</f>
        <v>400.733</v>
      </c>
      <c r="P80">
        <f ca="1">IF(AND(ISNUMBER($P$395),$B$294=1),$P$395,HLOOKUP(INDIRECT(ADDRESS(2,COLUMN())),OFFSET($BN$2,0,0,ROW()-1,60),ROW()-1,FALSE))</f>
        <v>392.24</v>
      </c>
      <c r="Q80">
        <f ca="1">IF(AND(ISNUMBER($Q$395),$B$294=1),$Q$395,HLOOKUP(INDIRECT(ADDRESS(2,COLUMN())),OFFSET($BN$2,0,0,ROW()-1,60),ROW()-1,FALSE))</f>
        <v>390.697</v>
      </c>
      <c r="R80">
        <f ca="1">IF(AND(ISNUMBER($R$395),$B$294=1),$R$395,HLOOKUP(INDIRECT(ADDRESS(2,COLUMN())),OFFSET($BN$2,0,0,ROW()-1,60),ROW()-1,FALSE))</f>
        <v>350.697</v>
      </c>
      <c r="S80">
        <f ca="1">IF(AND(ISNUMBER($S$395),$B$294=1),$S$395,HLOOKUP(INDIRECT(ADDRESS(2,COLUMN())),OFFSET($BN$2,0,0,ROW()-1,60),ROW()-1,FALSE))</f>
        <v>365.74400000000003</v>
      </c>
      <c r="T80">
        <f ca="1">IF(AND(ISNUMBER($T$395),$B$294=1),$T$395,HLOOKUP(INDIRECT(ADDRESS(2,COLUMN())),OFFSET($BN$2,0,0,ROW()-1,60),ROW()-1,FALSE))</f>
        <v>363.76400000000001</v>
      </c>
      <c r="U80">
        <f ca="1">IF(AND(ISNUMBER($U$395),$B$294=1),$U$395,HLOOKUP(INDIRECT(ADDRESS(2,COLUMN())),OFFSET($BN$2,0,0,ROW()-1,60),ROW()-1,FALSE))</f>
        <v>394.31200000000001</v>
      </c>
      <c r="V80">
        <f ca="1">IF(AND(ISNUMBER($V$395),$B$294=1),$V$395,HLOOKUP(INDIRECT(ADDRESS(2,COLUMN())),OFFSET($BN$2,0,0,ROW()-1,60),ROW()-1,FALSE))</f>
        <v>341.73</v>
      </c>
      <c r="W80">
        <f ca="1">IF(AND(ISNUMBER($W$395),$B$294=1),$W$395,HLOOKUP(INDIRECT(ADDRESS(2,COLUMN())),OFFSET($BN$2,0,0,ROW()-1,60),ROW()-1,FALSE))</f>
        <v>410.09500000000003</v>
      </c>
      <c r="X80">
        <f ca="1">IF(AND(ISNUMBER($X$395),$B$294=1),$X$395,HLOOKUP(INDIRECT(ADDRESS(2,COLUMN())),OFFSET($BN$2,0,0,ROW()-1,60),ROW()-1,FALSE))</f>
        <v>415.13499999999999</v>
      </c>
      <c r="Y80">
        <f ca="1">IF(AND(ISNUMBER($Y$395),$B$294=1),$Y$395,HLOOKUP(INDIRECT(ADDRESS(2,COLUMN())),OFFSET($BN$2,0,0,ROW()-1,60),ROW()-1,FALSE))</f>
        <v>420.43</v>
      </c>
      <c r="Z80">
        <f ca="1">IF(AND(ISNUMBER($Z$395),$B$294=1),$Z$395,HLOOKUP(INDIRECT(ADDRESS(2,COLUMN())),OFFSET($BN$2,0,0,ROW()-1,60),ROW()-1,FALSE))</f>
        <v>387.60199999999998</v>
      </c>
      <c r="AA80">
        <f ca="1">IF(AND(ISNUMBER($AA$395),$B$294=1),$AA$395,HLOOKUP(INDIRECT(ADDRESS(2,COLUMN())),OFFSET($BN$2,0,0,ROW()-1,60),ROW()-1,FALSE))</f>
        <v>386.54500000000002</v>
      </c>
      <c r="AB80">
        <f ca="1">IF(AND(ISNUMBER($AB$395),$B$294=1),$AB$395,HLOOKUP(INDIRECT(ADDRESS(2,COLUMN())),OFFSET($BN$2,0,0,ROW()-1,60),ROW()-1,FALSE))</f>
        <v>361.1</v>
      </c>
      <c r="AC80">
        <f ca="1">IF(AND(ISNUMBER($AC$395),$B$294=1),$AC$395,HLOOKUP(INDIRECT(ADDRESS(2,COLUMN())),OFFSET($BN$2,0,0,ROW()-1,60),ROW()-1,FALSE))</f>
        <v>377.69299999999998</v>
      </c>
      <c r="AD80">
        <f ca="1">IF(AND(ISNUMBER($AD$395),$B$294=1),$AD$395,HLOOKUP(INDIRECT(ADDRESS(2,COLUMN())),OFFSET($BN$2,0,0,ROW()-1,60),ROW()-1,FALSE))</f>
        <v>349.70699999999999</v>
      </c>
      <c r="AE80">
        <f ca="1">IF(AND(ISNUMBER($AE$395),$B$294=1),$AE$395,HLOOKUP(INDIRECT(ADDRESS(2,COLUMN())),OFFSET($BN$2,0,0,ROW()-1,60),ROW()-1,FALSE))</f>
        <v>410.37599999999998</v>
      </c>
      <c r="AF80" t="str">
        <f ca="1">IF(AND(ISNUMBER($AF$395),$B$294=1),$AF$395,HLOOKUP(INDIRECT(ADDRESS(2,COLUMN())),OFFSET($BN$2,0,0,ROW()-1,60),ROW()-1,FALSE))</f>
        <v/>
      </c>
      <c r="AG80" t="str">
        <f ca="1">IF(AND(ISNUMBER($AG$395),$B$294=1),$AG$395,HLOOKUP(INDIRECT(ADDRESS(2,COLUMN())),OFFSET($BN$2,0,0,ROW()-1,60),ROW()-1,FALSE))</f>
        <v/>
      </c>
      <c r="AH80" t="str">
        <f ca="1">IF(AND(ISNUMBER($AH$395),$B$294=1),$AH$395,HLOOKUP(INDIRECT(ADDRESS(2,COLUMN())),OFFSET($BN$2,0,0,ROW()-1,60),ROW()-1,FALSE))</f>
        <v/>
      </c>
      <c r="AI80" t="str">
        <f ca="1">IF(AND(ISNUMBER($AI$395),$B$294=1),$AI$395,HLOOKUP(INDIRECT(ADDRESS(2,COLUMN())),OFFSET($BN$2,0,0,ROW()-1,60),ROW()-1,FALSE))</f>
        <v/>
      </c>
      <c r="AJ80" t="str">
        <f ca="1">IF(AND(ISNUMBER($AJ$395),$B$294=1),$AJ$395,HLOOKUP(INDIRECT(ADDRESS(2,COLUMN())),OFFSET($BN$2,0,0,ROW()-1,60),ROW()-1,FALSE))</f>
        <v/>
      </c>
      <c r="AK80" t="str">
        <f ca="1">IF(AND(ISNUMBER($AK$395),$B$294=1),$AK$395,HLOOKUP(INDIRECT(ADDRESS(2,COLUMN())),OFFSET($BN$2,0,0,ROW()-1,60),ROW()-1,FALSE))</f>
        <v/>
      </c>
      <c r="AL80" t="str">
        <f ca="1">IF(AND(ISNUMBER($AL$395),$B$294=1),$AL$395,HLOOKUP(INDIRECT(ADDRESS(2,COLUMN())),OFFSET($BN$2,0,0,ROW()-1,60),ROW()-1,FALSE))</f>
        <v/>
      </c>
      <c r="AM80" t="str">
        <f ca="1">IF(AND(ISNUMBER($AM$395),$B$294=1),$AM$395,HLOOKUP(INDIRECT(ADDRESS(2,COLUMN())),OFFSET($BN$2,0,0,ROW()-1,60),ROW()-1,FALSE))</f>
        <v/>
      </c>
      <c r="AN80" t="str">
        <f ca="1">IF(AND(ISNUMBER($AN$395),$B$294=1),$AN$395,HLOOKUP(INDIRECT(ADDRESS(2,COLUMN())),OFFSET($BN$2,0,0,ROW()-1,60),ROW()-1,FALSE))</f>
        <v/>
      </c>
      <c r="AO80" t="str">
        <f ca="1">IF(AND(ISNUMBER($AO$395),$B$294=1),$AO$395,HLOOKUP(INDIRECT(ADDRESS(2,COLUMN())),OFFSET($BN$2,0,0,ROW()-1,60),ROW()-1,FALSE))</f>
        <v/>
      </c>
      <c r="AP80" t="str">
        <f ca="1">IF(AND(ISNUMBER($AP$395),$B$294=1),$AP$395,HLOOKUP(INDIRECT(ADDRESS(2,COLUMN())),OFFSET($BN$2,0,0,ROW()-1,60),ROW()-1,FALSE))</f>
        <v/>
      </c>
      <c r="AQ80">
        <f ca="1">IF(AND(ISNUMBER($AQ$395),$B$294=1),$AQ$395,HLOOKUP(INDIRECT(ADDRESS(2,COLUMN())),OFFSET($BN$2,0,0,ROW()-1,60),ROW()-1,FALSE))</f>
        <v>435.005</v>
      </c>
      <c r="AR80" t="str">
        <f ca="1">IF(AND(ISNUMBER($AR$395),$B$294=1),$AR$395,HLOOKUP(INDIRECT(ADDRESS(2,COLUMN())),OFFSET($BN$2,0,0,ROW()-1,60),ROW()-1,FALSE))</f>
        <v/>
      </c>
      <c r="AS80" t="str">
        <f ca="1">IF(AND(ISNUMBER($AS$395),$B$294=1),$AS$395,HLOOKUP(INDIRECT(ADDRESS(2,COLUMN())),OFFSET($BN$2,0,0,ROW()-1,60),ROW()-1,FALSE))</f>
        <v/>
      </c>
      <c r="AT80" t="str">
        <f ca="1">IF(AND(ISNUMBER($AT$395),$B$294=1),$AT$395,HLOOKUP(INDIRECT(ADDRESS(2,COLUMN())),OFFSET($BN$2,0,0,ROW()-1,60),ROW()-1,FALSE))</f>
        <v/>
      </c>
      <c r="AU80">
        <f ca="1">IF(AND(ISNUMBER($AU$395),$B$294=1),$AU$395,HLOOKUP(INDIRECT(ADDRESS(2,COLUMN())),OFFSET($BN$2,0,0,ROW()-1,60),ROW()-1,FALSE))</f>
        <v>424.70299999999997</v>
      </c>
      <c r="AV80" t="str">
        <f ca="1">IF(AND(ISNUMBER($AV$395),$B$294=1),$AV$395,HLOOKUP(INDIRECT(ADDRESS(2,COLUMN())),OFFSET($BN$2,0,0,ROW()-1,60),ROW()-1,FALSE))</f>
        <v/>
      </c>
      <c r="AW80" t="str">
        <f ca="1">IF(AND(ISNUMBER($AW$395),$B$294=1),$AW$395,HLOOKUP(INDIRECT(ADDRESS(2,COLUMN())),OFFSET($BN$2,0,0,ROW()-1,60),ROW()-1,FALSE))</f>
        <v/>
      </c>
      <c r="AX80" t="str">
        <f ca="1">IF(AND(ISNUMBER($AX$395),$B$294=1),$AX$395,HLOOKUP(INDIRECT(ADDRESS(2,COLUMN())),OFFSET($BN$2,0,0,ROW()-1,60),ROW()-1,FALSE))</f>
        <v/>
      </c>
      <c r="AY80" t="str">
        <f ca="1">IF(AND(ISNUMBER($AY$395),$B$294=1),$AY$395,HLOOKUP(INDIRECT(ADDRESS(2,COLUMN())),OFFSET($BN$2,0,0,ROW()-1,60),ROW()-1,FALSE))</f>
        <v/>
      </c>
      <c r="AZ80" t="str">
        <f ca="1">IF(AND(ISNUMBER($AZ$395),$B$294=1),$AZ$395,HLOOKUP(INDIRECT(ADDRESS(2,COLUMN())),OFFSET($BN$2,0,0,ROW()-1,60),ROW()-1,FALSE))</f>
        <v/>
      </c>
      <c r="BA80">
        <f ca="1">IF(AND(ISNUMBER($BA$395),$B$294=1),$BA$395,HLOOKUP(INDIRECT(ADDRESS(2,COLUMN())),OFFSET($BN$2,0,0,ROW()-1,60),ROW()-1,FALSE))</f>
        <v>373.01</v>
      </c>
      <c r="BB80" t="str">
        <f ca="1">IF(AND(ISNUMBER($BB$395),$B$294=1),$BB$395,HLOOKUP(INDIRECT(ADDRESS(2,COLUMN())),OFFSET($BN$2,0,0,ROW()-1,60),ROW()-1,FALSE))</f>
        <v/>
      </c>
      <c r="BC80" t="str">
        <f ca="1">IF(AND(ISNUMBER($BC$395),$B$294=1),$BC$395,HLOOKUP(INDIRECT(ADDRESS(2,COLUMN())),OFFSET($BN$2,0,0,ROW()-1,60),ROW()-1,FALSE))</f>
        <v/>
      </c>
      <c r="BD80" t="str">
        <f ca="1">IF(AND(ISNUMBER($BD$395),$B$294=1),$BD$395,HLOOKUP(INDIRECT(ADDRESS(2,COLUMN())),OFFSET($BN$2,0,0,ROW()-1,60),ROW()-1,FALSE))</f>
        <v/>
      </c>
      <c r="BE80" t="str">
        <f ca="1">IF(AND(ISNUMBER($BE$395),$B$294=1),$BE$395,HLOOKUP(INDIRECT(ADDRESS(2,COLUMN())),OFFSET($BN$2,0,0,ROW()-1,60),ROW()-1,FALSE))</f>
        <v/>
      </c>
      <c r="BF80" t="str">
        <f ca="1">IF(AND(ISNUMBER($BF$395),$B$294=1),$BF$395,HLOOKUP(INDIRECT(ADDRESS(2,COLUMN())),OFFSET($BN$2,0,0,ROW()-1,60),ROW()-1,FALSE))</f>
        <v/>
      </c>
      <c r="BG80" t="str">
        <f ca="1">IF(AND(ISNUMBER($BG$395),$B$294=1),$BG$395,HLOOKUP(INDIRECT(ADDRESS(2,COLUMN())),OFFSET($BN$2,0,0,ROW()-1,60),ROW()-1,FALSE))</f>
        <v/>
      </c>
      <c r="BH80" t="str">
        <f ca="1">IF(AND(ISNUMBER($BH$395),$B$294=1),$BH$395,HLOOKUP(INDIRECT(ADDRESS(2,COLUMN())),OFFSET($BN$2,0,0,ROW()-1,60),ROW()-1,FALSE))</f>
        <v/>
      </c>
      <c r="BI80" t="str">
        <f ca="1">IF(AND(ISNUMBER($BI$395),$B$294=1),$BI$395,HLOOKUP(INDIRECT(ADDRESS(2,COLUMN())),OFFSET($BN$2,0,0,ROW()-1,60),ROW()-1,FALSE))</f>
        <v/>
      </c>
      <c r="BJ80" t="str">
        <f ca="1">IF(AND(ISNUMBER($BJ$395),$B$294=1),$BJ$395,HLOOKUP(INDIRECT(ADDRESS(2,COLUMN())),OFFSET($BN$2,0,0,ROW()-1,60),ROW()-1,FALSE))</f>
        <v/>
      </c>
      <c r="BK80" t="str">
        <f ca="1">IF(AND(ISNUMBER($BK$395),$B$294=1),$BK$395,HLOOKUP(INDIRECT(ADDRESS(2,COLUMN())),OFFSET($BN$2,0,0,ROW()-1,60),ROW()-1,FALSE))</f>
        <v/>
      </c>
      <c r="BL80" t="str">
        <f ca="1">IF(AND(ISNUMBER($BL$395),$B$294=1),$BL$395,HLOOKUP(INDIRECT(ADDRESS(2,COLUMN())),OFFSET($BN$2,0,0,ROW()-1,60),ROW()-1,FALSE))</f>
        <v/>
      </c>
      <c r="BM80" t="str">
        <f ca="1">IF(AND(ISNUMBER($BM$395),$B$294=1),$BM$395,HLOOKUP(INDIRECT(ADDRESS(2,COLUMN())),OFFSET($BN$2,0,0,ROW()-1,60),ROW()-1,FALSE))</f>
        <v/>
      </c>
      <c r="BN80" t="str">
        <f>""</f>
        <v/>
      </c>
      <c r="BO80" t="str">
        <f>""</f>
        <v/>
      </c>
      <c r="BP80">
        <f>327.544</f>
        <v>327.54399999999998</v>
      </c>
      <c r="BQ80">
        <f>390.663</f>
        <v>390.66300000000001</v>
      </c>
      <c r="BR80">
        <f>366.912</f>
        <v>366.91199999999998</v>
      </c>
      <c r="BS80">
        <f>370.768</f>
        <v>370.76799999999997</v>
      </c>
      <c r="BT80">
        <f>397.458</f>
        <v>397.45800000000003</v>
      </c>
      <c r="BU80">
        <f>400.174</f>
        <v>400.17399999999998</v>
      </c>
      <c r="BV80">
        <f>370.631</f>
        <v>370.63099999999997</v>
      </c>
      <c r="BW80">
        <f>400.733</f>
        <v>400.733</v>
      </c>
      <c r="BX80">
        <f>392.24</f>
        <v>392.24</v>
      </c>
      <c r="BY80">
        <f>390.697</f>
        <v>390.697</v>
      </c>
      <c r="BZ80">
        <f>350.697</f>
        <v>350.697</v>
      </c>
      <c r="CA80">
        <f>365.744</f>
        <v>365.74400000000003</v>
      </c>
      <c r="CB80">
        <f>363.764</f>
        <v>363.76400000000001</v>
      </c>
      <c r="CC80">
        <f>394.312</f>
        <v>394.31200000000001</v>
      </c>
      <c r="CD80">
        <f>341.73</f>
        <v>341.73</v>
      </c>
      <c r="CE80">
        <f>410.095</f>
        <v>410.09500000000003</v>
      </c>
      <c r="CF80">
        <f>415.135</f>
        <v>415.13499999999999</v>
      </c>
      <c r="CG80">
        <f>420.43</f>
        <v>420.43</v>
      </c>
      <c r="CH80">
        <f>387.602</f>
        <v>387.60199999999998</v>
      </c>
      <c r="CI80">
        <f>386.545</f>
        <v>386.54500000000002</v>
      </c>
      <c r="CJ80">
        <f>361.1</f>
        <v>361.1</v>
      </c>
      <c r="CK80">
        <f>377.693</f>
        <v>377.69299999999998</v>
      </c>
      <c r="CL80">
        <f>349.707</f>
        <v>349.70699999999999</v>
      </c>
      <c r="CM80">
        <f>410.376</f>
        <v>410.37599999999998</v>
      </c>
      <c r="CN80" t="str">
        <f>""</f>
        <v/>
      </c>
      <c r="CO80" t="str">
        <f>""</f>
        <v/>
      </c>
      <c r="CP80" t="str">
        <f>""</f>
        <v/>
      </c>
      <c r="CQ80" t="str">
        <f>""</f>
        <v/>
      </c>
      <c r="CR80" t="str">
        <f>""</f>
        <v/>
      </c>
      <c r="CS80" t="str">
        <f>""</f>
        <v/>
      </c>
      <c r="CT80" t="str">
        <f>""</f>
        <v/>
      </c>
      <c r="CU80" t="str">
        <f>""</f>
        <v/>
      </c>
      <c r="CV80" t="str">
        <f>""</f>
        <v/>
      </c>
      <c r="CW80" t="str">
        <f>""</f>
        <v/>
      </c>
      <c r="CX80" t="str">
        <f>""</f>
        <v/>
      </c>
      <c r="CY80">
        <f>435.005</f>
        <v>435.005</v>
      </c>
      <c r="CZ80" t="str">
        <f>""</f>
        <v/>
      </c>
      <c r="DA80" t="str">
        <f>""</f>
        <v/>
      </c>
      <c r="DB80" t="str">
        <f>""</f>
        <v/>
      </c>
      <c r="DC80">
        <f>424.703</f>
        <v>424.70299999999997</v>
      </c>
      <c r="DD80" t="str">
        <f>""</f>
        <v/>
      </c>
      <c r="DE80" t="str">
        <f>""</f>
        <v/>
      </c>
      <c r="DF80" t="str">
        <f>""</f>
        <v/>
      </c>
      <c r="DG80" t="str">
        <f>""</f>
        <v/>
      </c>
      <c r="DH80" t="str">
        <f>""</f>
        <v/>
      </c>
      <c r="DI80">
        <f>373.01</f>
        <v>373.01</v>
      </c>
      <c r="DJ80" t="str">
        <f>""</f>
        <v/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</row>
    <row r="81" spans="1:125">
      <c r="A81" t="str">
        <f>"营运资本"</f>
        <v>营运资本</v>
      </c>
      <c r="B81" t="str">
        <f>""</f>
        <v/>
      </c>
      <c r="E81" t="str">
        <f>"Median"</f>
        <v>Median</v>
      </c>
      <c r="F81" t="str">
        <f ca="1">IF(ISERROR(IF(MEDIAN($F$82:$F$91) = 0, "", MEDIAN($F$82:$F$91))), "", (IF(MEDIAN($F$82:$F$91) = 0, "", MEDIAN($F$82:$F$91))))</f>
        <v/>
      </c>
      <c r="G81">
        <f ca="1">IF(ISERROR(IF(MEDIAN($G$82:$G$91) = 0, "", MEDIAN($G$82:$G$91))), "", (IF(MEDIAN($G$82:$G$91) = 0, "", MEDIAN($G$82:$G$91))))</f>
        <v>73.717500000000001</v>
      </c>
      <c r="H81">
        <f ca="1">IF(ISERROR(IF(MEDIAN($H$82:$H$91) = 0, "", MEDIAN($H$82:$H$91))), "", (IF(MEDIAN($H$82:$H$91) = 0, "", MEDIAN($H$82:$H$91))))</f>
        <v>75.736500000000007</v>
      </c>
      <c r="I81">
        <f ca="1">IF(ISERROR(IF(MEDIAN($I$82:$I$91) = 0, "", MEDIAN($I$82:$I$91))), "", (IF(MEDIAN($I$82:$I$91) = 0, "", MEDIAN($I$82:$I$91))))</f>
        <v>77.616</v>
      </c>
      <c r="J81">
        <f ca="1">IF(ISERROR(IF(MEDIAN($J$82:$J$91) = 0, "", MEDIAN($J$82:$J$91))), "", (IF(MEDIAN($J$82:$J$91) = 0, "", MEDIAN($J$82:$J$91))))</f>
        <v>74.062999999999988</v>
      </c>
      <c r="K81">
        <f ca="1">IF(ISERROR(IF(MEDIAN($K$82:$K$91) = 0, "", MEDIAN($K$82:$K$91))), "", (IF(MEDIAN($K$82:$K$91) = 0, "", MEDIAN($K$82:$K$91))))</f>
        <v>74.342500000000001</v>
      </c>
      <c r="L81">
        <f ca="1">IF(ISERROR(IF(MEDIAN($L$82:$L$91) = 0, "", MEDIAN($L$82:$L$91))), "", (IF(MEDIAN($L$82:$L$91) = 0, "", MEDIAN($L$82:$L$91))))</f>
        <v>72.042999999999992</v>
      </c>
      <c r="M81">
        <f ca="1">IF(ISERROR(IF(MEDIAN($M$82:$M$91) = 0, "", MEDIAN($M$82:$M$91))), "", (IF(MEDIAN($M$82:$M$91) = 0, "", MEDIAN($M$82:$M$91))))</f>
        <v>73.137</v>
      </c>
      <c r="N81">
        <f ca="1">IF(ISERROR(IF(MEDIAN($N$82:$N$91) = 0, "", MEDIAN($N$82:$N$91))), "", (IF(MEDIAN($N$82:$N$91) = 0, "", MEDIAN($N$82:$N$91))))</f>
        <v>69.022999999999996</v>
      </c>
      <c r="O81">
        <f ca="1">IF(ISERROR(IF(MEDIAN($O$82:$O$91) = 0, "", MEDIAN($O$82:$O$91))), "", (IF(MEDIAN($O$82:$O$91) = 0, "", MEDIAN($O$82:$O$91))))</f>
        <v>72.948000000000008</v>
      </c>
      <c r="P81">
        <f ca="1">IF(ISERROR(IF(MEDIAN($P$82:$P$91) = 0, "", MEDIAN($P$82:$P$91))), "", (IF(MEDIAN($P$82:$P$91) = 0, "", MEDIAN($P$82:$P$91))))</f>
        <v>75.988</v>
      </c>
      <c r="Q81">
        <f ca="1">IF(ISERROR(IF(MEDIAN($Q$82:$Q$91) = 0, "", MEDIAN($Q$82:$Q$91))), "", (IF(MEDIAN($Q$82:$Q$91) = 0, "", MEDIAN($Q$82:$Q$91))))</f>
        <v>70.539500000000004</v>
      </c>
      <c r="R81">
        <f ca="1">IF(ISERROR(IF(MEDIAN($R$82:$R$91) = 0, "", MEDIAN($R$82:$R$91))), "", (IF(MEDIAN($R$82:$R$91) = 0, "", MEDIAN($R$82:$R$91))))</f>
        <v>65.897500000000008</v>
      </c>
      <c r="S81">
        <f ca="1">IF(ISERROR(IF(MEDIAN($S$82:$S$91) = 0, "", MEDIAN($S$82:$S$91))), "", (IF(MEDIAN($S$82:$S$91) = 0, "", MEDIAN($S$82:$S$91))))</f>
        <v>65.945999999999998</v>
      </c>
      <c r="T81">
        <f ca="1">IF(ISERROR(IF(MEDIAN($T$82:$T$91) = 0, "", MEDIAN($T$82:$T$91))), "", (IF(MEDIAN($T$82:$T$91) = 0, "", MEDIAN($T$82:$T$91))))</f>
        <v>61.655000000000001</v>
      </c>
      <c r="U81">
        <f ca="1">IF(ISERROR(IF(MEDIAN($U$82:$U$91) = 0, "", MEDIAN($U$82:$U$91))), "", (IF(MEDIAN($U$82:$U$91) = 0, "", MEDIAN($U$82:$U$91))))</f>
        <v>61.900000000000006</v>
      </c>
      <c r="V81">
        <f ca="1">IF(ISERROR(IF(MEDIAN($V$82:$V$91) = 0, "", MEDIAN($V$82:$V$91))), "", (IF(MEDIAN($V$82:$V$91) = 0, "", MEDIAN($V$82:$V$91))))</f>
        <v>59.597000000000001</v>
      </c>
      <c r="W81">
        <f ca="1">IF(ISERROR(IF(MEDIAN($W$82:$W$91) = 0, "", MEDIAN($W$82:$W$91))), "", (IF(MEDIAN($W$82:$W$91) = 0, "", MEDIAN($W$82:$W$91))))</f>
        <v>61.6905</v>
      </c>
      <c r="X81">
        <f ca="1">IF(ISERROR(IF(MEDIAN($X$82:$X$91) = 0, "", MEDIAN($X$82:$X$91))), "", (IF(MEDIAN($X$82:$X$91) = 0, "", MEDIAN($X$82:$X$91))))</f>
        <v>64.124499999999998</v>
      </c>
      <c r="Y81">
        <f ca="1">IF(ISERROR(IF(MEDIAN($Y$82:$Y$91) = 0, "", MEDIAN($Y$82:$Y$91))), "", (IF(MEDIAN($Y$82:$Y$91) = 0, "", MEDIAN($Y$82:$Y$91))))</f>
        <v>63.298999999999999</v>
      </c>
      <c r="Z81">
        <f ca="1">IF(ISERROR(IF(MEDIAN($Z$82:$Z$91) = 0, "", MEDIAN($Z$82:$Z$91))), "", (IF(MEDIAN($Z$82:$Z$91) = 0, "", MEDIAN($Z$82:$Z$91))))</f>
        <v>58.654499999999999</v>
      </c>
      <c r="AA81">
        <f ca="1">IF(ISERROR(IF(MEDIAN($AA$82:$AA$91) = 0, "", MEDIAN($AA$82:$AA$91))), "", (IF(MEDIAN($AA$82:$AA$91) = 0, "", MEDIAN($AA$82:$AA$91))))</f>
        <v>55.734999999999999</v>
      </c>
      <c r="AB81">
        <f ca="1">IF(ISERROR(IF(MEDIAN($AB$82:$AB$91) = 0, "", MEDIAN($AB$82:$AB$91))), "", (IF(MEDIAN($AB$82:$AB$91) = 0, "", MEDIAN($AB$82:$AB$91))))</f>
        <v>61.498999999999995</v>
      </c>
      <c r="AC81">
        <f ca="1">IF(ISERROR(IF(MEDIAN($AC$82:$AC$91) = 0, "", MEDIAN($AC$82:$AC$91))), "", (IF(MEDIAN($AC$82:$AC$91) = 0, "", MEDIAN($AC$82:$AC$91))))</f>
        <v>61.173500000000004</v>
      </c>
      <c r="AD81">
        <f ca="1">IF(ISERROR(IF(MEDIAN($AD$82:$AD$91) = 0, "", MEDIAN($AD$82:$AD$91))), "", (IF(MEDIAN($AD$82:$AD$91) = 0, "", MEDIAN($AD$82:$AD$91))))</f>
        <v>65.736500000000007</v>
      </c>
      <c r="AE81">
        <f ca="1">IF(ISERROR(IF(MEDIAN($AE$82:$AE$91) = 0, "", MEDIAN($AE$82:$AE$91))), "", (IF(MEDIAN($AE$82:$AE$91) = 0, "", MEDIAN($AE$82:$AE$91))))</f>
        <v>67.000499999999988</v>
      </c>
      <c r="AF81">
        <f ca="1">IF(ISERROR(IF(MEDIAN($AF$82:$AF$91) = 0, "", MEDIAN($AF$82:$AF$91))), "", (IF(MEDIAN($AF$82:$AF$91) = 0, "", MEDIAN($AF$82:$AF$91))))</f>
        <v>69.96350000000001</v>
      </c>
      <c r="AG81">
        <f ca="1">IF(ISERROR(IF(MEDIAN($AG$82:$AG$91) = 0, "", MEDIAN($AG$82:$AG$91))), "", (IF(MEDIAN($AG$82:$AG$91) = 0, "", MEDIAN($AG$82:$AG$91))))</f>
        <v>61.488500000000002</v>
      </c>
      <c r="AH81">
        <f ca="1">IF(ISERROR(IF(MEDIAN($AH$82:$AH$91) = 0, "", MEDIAN($AH$82:$AH$91))), "", (IF(MEDIAN($AH$82:$AH$91) = 0, "", MEDIAN($AH$82:$AH$91))))</f>
        <v>64.110500000000002</v>
      </c>
      <c r="AI81">
        <f ca="1">IF(ISERROR(IF(MEDIAN($AI$82:$AI$91) = 0, "", MEDIAN($AI$82:$AI$91))), "", (IF(MEDIAN($AI$82:$AI$91) = 0, "", MEDIAN($AI$82:$AI$91))))</f>
        <v>66.0565</v>
      </c>
      <c r="AJ81">
        <f ca="1">IF(ISERROR(IF(MEDIAN($AJ$82:$AJ$91) = 0, "", MEDIAN($AJ$82:$AJ$91))), "", (IF(MEDIAN($AJ$82:$AJ$91) = 0, "", MEDIAN($AJ$82:$AJ$91))))</f>
        <v>62.326999999999998</v>
      </c>
      <c r="AK81">
        <f ca="1">IF(ISERROR(IF(MEDIAN($AK$82:$AK$91) = 0, "", MEDIAN($AK$82:$AK$91))), "", (IF(MEDIAN($AK$82:$AK$91) = 0, "", MEDIAN($AK$82:$AK$91))))</f>
        <v>52.633499999999998</v>
      </c>
      <c r="AL81">
        <f ca="1">IF(ISERROR(IF(MEDIAN($AL$82:$AL$91) = 0, "", MEDIAN($AL$82:$AL$91))), "", (IF(MEDIAN($AL$82:$AL$91) = 0, "", MEDIAN($AL$82:$AL$91))))</f>
        <v>60.938500000000005</v>
      </c>
      <c r="AM81">
        <f ca="1">IF(ISERROR(IF(MEDIAN($AM$82:$AM$91) = 0, "", MEDIAN($AM$82:$AM$91))), "", (IF(MEDIAN($AM$82:$AM$91) = 0, "", MEDIAN($AM$82:$AM$91))))</f>
        <v>50.572000000000003</v>
      </c>
      <c r="AN81">
        <f ca="1">IF(ISERROR(IF(MEDIAN($AN$82:$AN$91) = 0, "", MEDIAN($AN$82:$AN$91))), "", (IF(MEDIAN($AN$82:$AN$91) = 0, "", MEDIAN($AN$82:$AN$91))))</f>
        <v>54.116500000000002</v>
      </c>
      <c r="AO81">
        <f ca="1">IF(ISERROR(IF(MEDIAN($AO$82:$AO$91) = 0, "", MEDIAN($AO$82:$AO$91))), "", (IF(MEDIAN($AO$82:$AO$91) = 0, "", MEDIAN($AO$82:$AO$91))))</f>
        <v>68.546000000000006</v>
      </c>
      <c r="AP81">
        <f ca="1">IF(ISERROR(IF(MEDIAN($AP$82:$AP$91) = 0, "", MEDIAN($AP$82:$AP$91))), "", (IF(MEDIAN($AP$82:$AP$91) = 0, "", MEDIAN($AP$82:$AP$91))))</f>
        <v>68.090999999999994</v>
      </c>
      <c r="AQ81">
        <f ca="1">IF(ISERROR(IF(MEDIAN($AQ$82:$AQ$91) = 0, "", MEDIAN($AQ$82:$AQ$91))), "", (IF(MEDIAN($AQ$82:$AQ$91) = 0, "", MEDIAN($AQ$82:$AQ$91))))</f>
        <v>44.176000000000002</v>
      </c>
      <c r="AR81">
        <f ca="1">IF(ISERROR(IF(MEDIAN($AR$82:$AR$91) = 0, "", MEDIAN($AR$82:$AR$91))), "", (IF(MEDIAN($AR$82:$AR$91) = 0, "", MEDIAN($AR$82:$AR$91))))</f>
        <v>72.491</v>
      </c>
      <c r="AS81">
        <f ca="1">IF(ISERROR(IF(MEDIAN($AS$82:$AS$91) = 0, "", MEDIAN($AS$82:$AS$91))), "", (IF(MEDIAN($AS$82:$AS$91) = 0, "", MEDIAN($AS$82:$AS$91))))</f>
        <v>71.081999999999994</v>
      </c>
      <c r="AT81">
        <f ca="1">IF(ISERROR(IF(MEDIAN($AT$82:$AT$91) = 0, "", MEDIAN($AT$82:$AT$91))), "", (IF(MEDIAN($AT$82:$AT$91) = 0, "", MEDIAN($AT$82:$AT$91))))</f>
        <v>70.873999999999995</v>
      </c>
      <c r="AU81">
        <f ca="1">IF(ISERROR(IF(MEDIAN($AU$82:$AU$91) = 0, "", MEDIAN($AU$82:$AU$91))), "", (IF(MEDIAN($AU$82:$AU$91) = 0, "", MEDIAN($AU$82:$AU$91))))</f>
        <v>73.009</v>
      </c>
      <c r="AV81">
        <f ca="1">IF(ISERROR(IF(MEDIAN($AV$82:$AV$91) = 0, "", MEDIAN($AV$82:$AV$91))), "", (IF(MEDIAN($AV$82:$AV$91) = 0, "", MEDIAN($AV$82:$AV$91))))</f>
        <v>71.263000000000005</v>
      </c>
      <c r="AW81">
        <f ca="1">IF(ISERROR(IF(MEDIAN($AW$82:$AW$91) = 0, "", MEDIAN($AW$82:$AW$91))), "", (IF(MEDIAN($AW$82:$AW$91) = 0, "", MEDIAN($AW$82:$AW$91))))</f>
        <v>68.64</v>
      </c>
      <c r="AX81">
        <f ca="1">IF(ISERROR(IF(MEDIAN($AX$82:$AX$91) = 0, "", MEDIAN($AX$82:$AX$91))), "", (IF(MEDIAN($AX$82:$AX$91) = 0, "", MEDIAN($AX$82:$AX$91))))</f>
        <v>70.114999999999995</v>
      </c>
      <c r="AY81">
        <f ca="1">IF(ISERROR(IF(MEDIAN($AY$82:$AY$91) = 0, "", MEDIAN($AY$82:$AY$91))), "", (IF(MEDIAN($AY$82:$AY$91) = 0, "", MEDIAN($AY$82:$AY$91))))</f>
        <v>58.965000000000003</v>
      </c>
      <c r="AZ81">
        <f ca="1">IF(ISERROR(IF(MEDIAN($AZ$82:$AZ$91) = 0, "", MEDIAN($AZ$82:$AZ$91))), "", (IF(MEDIAN($AZ$82:$AZ$91) = 0, "", MEDIAN($AZ$82:$AZ$91))))</f>
        <v>63.719000000000001</v>
      </c>
      <c r="BA81">
        <f ca="1">IF(ISERROR(IF(MEDIAN($BA$82:$BA$91) = 0, "", MEDIAN($BA$82:$BA$91))), "", (IF(MEDIAN($BA$82:$BA$91) = 0, "", MEDIAN($BA$82:$BA$91))))</f>
        <v>57.194000000000003</v>
      </c>
      <c r="BB81">
        <f ca="1">IF(ISERROR(IF(MEDIAN($BB$82:$BB$91) = 0, "", MEDIAN($BB$82:$BB$91))), "", (IF(MEDIAN($BB$82:$BB$91) = 0, "", MEDIAN($BB$82:$BB$91))))</f>
        <v>55.216000000000001</v>
      </c>
      <c r="BC81">
        <f ca="1">IF(ISERROR(IF(MEDIAN($BC$82:$BC$91) = 0, "", MEDIAN($BC$82:$BC$91))), "", (IF(MEDIAN($BC$82:$BC$91) = 0, "", MEDIAN($BC$82:$BC$91))))</f>
        <v>65.138000000000005</v>
      </c>
      <c r="BD81">
        <f ca="1">IF(ISERROR(IF(MEDIAN($BD$82:$BD$91) = 0, "", MEDIAN($BD$82:$BD$91))), "", (IF(MEDIAN($BD$82:$BD$91) = 0, "", MEDIAN($BD$82:$BD$91))))</f>
        <v>51.704999999999998</v>
      </c>
      <c r="BE81">
        <f ca="1">IF(ISERROR(IF(MEDIAN($BE$82:$BE$91) = 0, "", MEDIAN($BE$82:$BE$91))), "", (IF(MEDIAN($BE$82:$BE$91) = 0, "", MEDIAN($BE$82:$BE$91))))</f>
        <v>36.301000000000002</v>
      </c>
      <c r="BF81">
        <f ca="1">IF(ISERROR(IF(MEDIAN($BF$82:$BF$91) = 0, "", MEDIAN($BF$82:$BF$91))), "", (IF(MEDIAN($BF$82:$BF$91) = 0, "", MEDIAN($BF$82:$BF$91))))</f>
        <v>44.561</v>
      </c>
      <c r="BG81">
        <f ca="1">IF(ISERROR(IF(MEDIAN($BG$82:$BG$91) = 0, "", MEDIAN($BG$82:$BG$91))), "", (IF(MEDIAN($BG$82:$BG$91) = 0, "", MEDIAN($BG$82:$BG$91))))</f>
        <v>42.578000000000003</v>
      </c>
      <c r="BH81">
        <f ca="1">IF(ISERROR(IF(MEDIAN($BH$82:$BH$91) = 0, "", MEDIAN($BH$82:$BH$91))), "", (IF(MEDIAN($BH$82:$BH$91) = 0, "", MEDIAN($BH$82:$BH$91))))</f>
        <v>47.448</v>
      </c>
      <c r="BI81">
        <f ca="1">IF(ISERROR(IF(MEDIAN($BI$82:$BI$91) = 0, "", MEDIAN($BI$82:$BI$91))), "", (IF(MEDIAN($BI$82:$BI$91) = 0, "", MEDIAN($BI$82:$BI$91))))</f>
        <v>44.146000000000001</v>
      </c>
      <c r="BJ81">
        <f ca="1">IF(ISERROR(IF(MEDIAN($BJ$82:$BJ$91) = 0, "", MEDIAN($BJ$82:$BJ$91))), "", (IF(MEDIAN($BJ$82:$BJ$91) = 0, "", MEDIAN($BJ$82:$BJ$91))))</f>
        <v>34.99</v>
      </c>
      <c r="BK81">
        <f ca="1">IF(ISERROR(IF(MEDIAN($BK$82:$BK$91) = 0, "", MEDIAN($BK$82:$BK$91))), "", (IF(MEDIAN($BK$82:$BK$91) = 0, "", MEDIAN($BK$82:$BK$91))))</f>
        <v>66.510002139999997</v>
      </c>
      <c r="BL81">
        <f ca="1">IF(ISERROR(IF(MEDIAN($BL$82:$BL$91) = 0, "", MEDIAN($BL$82:$BL$91))), "", (IF(MEDIAN($BL$82:$BL$91) = 0, "", MEDIAN($BL$82:$BL$91))))</f>
        <v>44.804000000000002</v>
      </c>
      <c r="BM81">
        <f ca="1">IF(ISERROR(IF(MEDIAN($BM$82:$BM$91) = 0, "", MEDIAN($BM$82:$BM$91))), "", (IF(MEDIAN($BM$82:$BM$91) = 0, "", MEDIAN($BM$82:$BM$91))))</f>
        <v>33.323999999999998</v>
      </c>
      <c r="BN81" t="str">
        <f>""</f>
        <v/>
      </c>
      <c r="BO81">
        <f>73.7175</f>
        <v>73.717500000000001</v>
      </c>
      <c r="BP81">
        <f>75.7365</f>
        <v>75.736500000000007</v>
      </c>
      <c r="BQ81">
        <f>77.616</f>
        <v>77.616</v>
      </c>
      <c r="BR81">
        <f>74.063</f>
        <v>74.063000000000002</v>
      </c>
      <c r="BS81">
        <f>74.3425</f>
        <v>74.342500000000001</v>
      </c>
      <c r="BT81">
        <f>72.043</f>
        <v>72.043000000000006</v>
      </c>
      <c r="BU81">
        <f>73.137</f>
        <v>73.137</v>
      </c>
      <c r="BV81">
        <f>69.023</f>
        <v>69.022999999999996</v>
      </c>
      <c r="BW81">
        <f>72.948</f>
        <v>72.947999999999993</v>
      </c>
      <c r="BX81">
        <f>75.988</f>
        <v>75.988</v>
      </c>
      <c r="BY81">
        <f>70.5395</f>
        <v>70.539500000000004</v>
      </c>
      <c r="BZ81">
        <f>65.8975</f>
        <v>65.897499999999994</v>
      </c>
      <c r="CA81">
        <f>65.946</f>
        <v>65.945999999999998</v>
      </c>
      <c r="CB81">
        <f>61.655</f>
        <v>61.655000000000001</v>
      </c>
      <c r="CC81">
        <f>61.9</f>
        <v>61.9</v>
      </c>
      <c r="CD81">
        <f>59.597</f>
        <v>59.597000000000001</v>
      </c>
      <c r="CE81">
        <f>61.6905</f>
        <v>61.6905</v>
      </c>
      <c r="CF81">
        <f>64.1245</f>
        <v>64.124499999999998</v>
      </c>
      <c r="CG81">
        <f>63.299</f>
        <v>63.298999999999999</v>
      </c>
      <c r="CH81">
        <f>58.6545</f>
        <v>58.654499999999999</v>
      </c>
      <c r="CI81">
        <f>55.735</f>
        <v>55.734999999999999</v>
      </c>
      <c r="CJ81">
        <f>61.499</f>
        <v>61.499000000000002</v>
      </c>
      <c r="CK81">
        <f>61.1735</f>
        <v>61.173499999999997</v>
      </c>
      <c r="CL81">
        <f>65.7365</f>
        <v>65.736500000000007</v>
      </c>
      <c r="CM81">
        <f>67.0005</f>
        <v>67.000500000000002</v>
      </c>
      <c r="CN81">
        <f>69.9635</f>
        <v>69.963499999999996</v>
      </c>
      <c r="CO81">
        <f>61.4885</f>
        <v>61.488500000000002</v>
      </c>
      <c r="CP81">
        <f>64.1105</f>
        <v>64.110500000000002</v>
      </c>
      <c r="CQ81">
        <f>66.0565</f>
        <v>66.0565</v>
      </c>
      <c r="CR81">
        <f>62.327</f>
        <v>62.326999999999998</v>
      </c>
      <c r="CS81">
        <f>52.6335</f>
        <v>52.633499999999998</v>
      </c>
      <c r="CT81">
        <f>60.9385</f>
        <v>60.938499999999998</v>
      </c>
      <c r="CU81">
        <f>50.572</f>
        <v>50.572000000000003</v>
      </c>
      <c r="CV81">
        <f>54.1165</f>
        <v>54.116500000000002</v>
      </c>
      <c r="CW81">
        <f>68.546</f>
        <v>68.546000000000006</v>
      </c>
      <c r="CX81">
        <f>68.091</f>
        <v>68.090999999999994</v>
      </c>
      <c r="CY81">
        <f>44.176</f>
        <v>44.176000000000002</v>
      </c>
      <c r="CZ81">
        <f>72.491</f>
        <v>72.491</v>
      </c>
      <c r="DA81">
        <f>71.082</f>
        <v>71.081999999999994</v>
      </c>
      <c r="DB81">
        <f>70.874</f>
        <v>70.873999999999995</v>
      </c>
      <c r="DC81">
        <f>73.009</f>
        <v>73.009</v>
      </c>
      <c r="DD81">
        <f>71.263</f>
        <v>71.263000000000005</v>
      </c>
      <c r="DE81">
        <f>68.64</f>
        <v>68.64</v>
      </c>
      <c r="DF81">
        <f>70.115</f>
        <v>70.114999999999995</v>
      </c>
      <c r="DG81">
        <f>58.965</f>
        <v>58.965000000000003</v>
      </c>
      <c r="DH81">
        <f>63.719</f>
        <v>63.719000000000001</v>
      </c>
      <c r="DI81">
        <f>57.194</f>
        <v>57.194000000000003</v>
      </c>
      <c r="DJ81">
        <f>55.216</f>
        <v>55.216000000000001</v>
      </c>
      <c r="DK81">
        <f>65.138</f>
        <v>65.138000000000005</v>
      </c>
      <c r="DL81">
        <f>51.705</f>
        <v>51.704999999999998</v>
      </c>
      <c r="DM81">
        <f>36.301</f>
        <v>36.301000000000002</v>
      </c>
      <c r="DN81">
        <f>44.561</f>
        <v>44.561</v>
      </c>
      <c r="DO81">
        <f>42.578</f>
        <v>42.578000000000003</v>
      </c>
      <c r="DP81">
        <f>47.448</f>
        <v>47.448</v>
      </c>
      <c r="DQ81">
        <f>44.146</f>
        <v>44.146000000000001</v>
      </c>
      <c r="DR81">
        <f>34.99</f>
        <v>34.99</v>
      </c>
      <c r="DS81">
        <f>66.51000214</f>
        <v>66.510002139999997</v>
      </c>
      <c r="DT81">
        <f>44.804</f>
        <v>44.804000000000002</v>
      </c>
      <c r="DU81">
        <f>33.324</f>
        <v>33.323999999999998</v>
      </c>
    </row>
    <row r="82" spans="1:125">
      <c r="A82" t="str">
        <f>"    Boston Properties Inc"</f>
        <v xml:space="preserve">    Boston Properties Inc</v>
      </c>
      <c r="B82" t="str">
        <f>"BXP US Equity"</f>
        <v>BXP US Equity</v>
      </c>
      <c r="C82" t="str">
        <f t="shared" ref="C82:C91" si="21">"CF039"</f>
        <v>CF039</v>
      </c>
      <c r="D82" t="str">
        <f t="shared" ref="D82:D91" si="22">"CF_FFO"</f>
        <v>CF_FFO</v>
      </c>
      <c r="E82" t="str">
        <f t="shared" ref="E82:E91" si="23">"动态"</f>
        <v>动态</v>
      </c>
      <c r="F82" t="str">
        <f ca="1">IF(AND(ISNUMBER($F$396),$B$294=1),$F$396,HLOOKUP(INDIRECT(ADDRESS(2,COLUMN())),OFFSET($BN$2,0,0,ROW()-1,60),ROW()-1,FALSE))</f>
        <v/>
      </c>
      <c r="G82">
        <f ca="1">IF(AND(ISNUMBER($G$396),$B$294=1),$G$396,HLOOKUP(INDIRECT(ADDRESS(2,COLUMN())),OFFSET($BN$2,0,0,ROW()-1,60),ROW()-1,FALSE))</f>
        <v>230.13200000000001</v>
      </c>
      <c r="H82">
        <f ca="1">IF(AND(ISNUMBER($H$396),$B$294=1),$H$396,HLOOKUP(INDIRECT(ADDRESS(2,COLUMN())),OFFSET($BN$2,0,0,ROW()-1,60),ROW()-1,FALSE))</f>
        <v>243.01499999999999</v>
      </c>
      <c r="I82">
        <f ca="1">IF(AND(ISNUMBER($I$396),$B$294=1),$I$396,HLOOKUP(INDIRECT(ADDRESS(2,COLUMN())),OFFSET($BN$2,0,0,ROW()-1,60),ROW()-1,FALSE))</f>
        <v>257.88099999999997</v>
      </c>
      <c r="J82">
        <f ca="1">IF(AND(ISNUMBER($J$396),$B$294=1),$J$396,HLOOKUP(INDIRECT(ADDRESS(2,COLUMN())),OFFSET($BN$2,0,0,ROW()-1,60),ROW()-1,FALSE))</f>
        <v>228.38300000000001</v>
      </c>
      <c r="K82">
        <f ca="1">IF(AND(ISNUMBER($K$396),$B$294=1),$K$396,HLOOKUP(INDIRECT(ADDRESS(2,COLUMN())),OFFSET($BN$2,0,0,ROW()-1,60),ROW()-1,FALSE))</f>
        <v>236.898</v>
      </c>
      <c r="L82">
        <f ca="1">IF(AND(ISNUMBER($L$396),$B$294=1),$L$396,HLOOKUP(INDIRECT(ADDRESS(2,COLUMN())),OFFSET($BN$2,0,0,ROW()-1,60),ROW()-1,FALSE))</f>
        <v>219.56399999999999</v>
      </c>
      <c r="M82">
        <f ca="1">IF(AND(ISNUMBER($M$396),$B$294=1),$M$396,HLOOKUP(INDIRECT(ADDRESS(2,COLUMN())),OFFSET($BN$2,0,0,ROW()-1,60),ROW()-1,FALSE))</f>
        <v>220.595</v>
      </c>
      <c r="N82">
        <f ca="1">IF(AND(ISNUMBER($N$396),$B$294=1),$N$396,HLOOKUP(INDIRECT(ADDRESS(2,COLUMN())),OFFSET($BN$2,0,0,ROW()-1,60),ROW()-1,FALSE))</f>
        <v>250.68799999999999</v>
      </c>
      <c r="O82">
        <f ca="1">IF(AND(ISNUMBER($O$396),$B$294=1),$O$396,HLOOKUP(INDIRECT(ADDRESS(2,COLUMN())),OFFSET($BN$2,0,0,ROW()-1,60),ROW()-1,FALSE))</f>
        <v>197.35</v>
      </c>
      <c r="P82">
        <f ca="1">IF(AND(ISNUMBER($P$396),$B$294=1),$P$396,HLOOKUP(INDIRECT(ADDRESS(2,COLUMN())),OFFSET($BN$2,0,0,ROW()-1,60),ROW()-1,FALSE))</f>
        <v>217.261</v>
      </c>
      <c r="Q82">
        <f ca="1">IF(AND(ISNUMBER($Q$396),$B$294=1),$Q$396,HLOOKUP(INDIRECT(ADDRESS(2,COLUMN())),OFFSET($BN$2,0,0,ROW()-1,60),ROW()-1,FALSE))</f>
        <v>208.73099999999999</v>
      </c>
      <c r="R82">
        <f ca="1">IF(AND(ISNUMBER($R$396),$B$294=1),$R$396,HLOOKUP(INDIRECT(ADDRESS(2,COLUMN())),OFFSET($BN$2,0,0,ROW()-1,60),ROW()-1,FALSE))</f>
        <v>200.38499999999999</v>
      </c>
      <c r="S82">
        <f ca="1">IF(AND(ISNUMBER($S$396),$B$294=1),$S$396,HLOOKUP(INDIRECT(ADDRESS(2,COLUMN())),OFFSET($BN$2,0,0,ROW()-1,60),ROW()-1,FALSE))</f>
        <v>193.18600000000001</v>
      </c>
      <c r="T82">
        <f ca="1">IF(AND(ISNUMBER($T$396),$B$294=1),$T$396,HLOOKUP(INDIRECT(ADDRESS(2,COLUMN())),OFFSET($BN$2,0,0,ROW()-1,60),ROW()-1,FALSE))</f>
        <v>223.40299999999999</v>
      </c>
      <c r="U82">
        <f ca="1">IF(AND(ISNUMBER($U$396),$B$294=1),$U$396,HLOOKUP(INDIRECT(ADDRESS(2,COLUMN())),OFFSET($BN$2,0,0,ROW()-1,60),ROW()-1,FALSE))</f>
        <v>207.01</v>
      </c>
      <c r="V82">
        <f ca="1">IF(AND(ISNUMBER($V$396),$B$294=1),$V$396,HLOOKUP(INDIRECT(ADDRESS(2,COLUMN())),OFFSET($BN$2,0,0,ROW()-1,60),ROW()-1,FALSE))</f>
        <v>183.84399999999999</v>
      </c>
      <c r="W82">
        <f ca="1">IF(AND(ISNUMBER($W$396),$B$294=1),$W$396,HLOOKUP(INDIRECT(ADDRESS(2,COLUMN())),OFFSET($BN$2,0,0,ROW()-1,60),ROW()-1,FALSE))</f>
        <v>197.60499999999999</v>
      </c>
      <c r="X82">
        <f ca="1">IF(AND(ISNUMBER($X$396),$B$294=1),$X$396,HLOOKUP(INDIRECT(ADDRESS(2,COLUMN())),OFFSET($BN$2,0,0,ROW()-1,60),ROW()-1,FALSE))</f>
        <v>197.85900000000001</v>
      </c>
      <c r="Y82">
        <f ca="1">IF(AND(ISNUMBER($Y$396),$B$294=1),$Y$396,HLOOKUP(INDIRECT(ADDRESS(2,COLUMN())),OFFSET($BN$2,0,0,ROW()-1,60),ROW()-1,FALSE))</f>
        <v>195.41499999999999</v>
      </c>
      <c r="Z82">
        <f ca="1">IF(AND(ISNUMBER($Z$396),$B$294=1),$Z$396,HLOOKUP(INDIRECT(ADDRESS(2,COLUMN())),OFFSET($BN$2,0,0,ROW()-1,60),ROW()-1,FALSE))</f>
        <v>160.624</v>
      </c>
      <c r="AA82">
        <f ca="1">IF(AND(ISNUMBER($AA$396),$B$294=1),$AA$396,HLOOKUP(INDIRECT(ADDRESS(2,COLUMN())),OFFSET($BN$2,0,0,ROW()-1,60),ROW()-1,FALSE))</f>
        <v>192.46199999999999</v>
      </c>
      <c r="AB82">
        <f ca="1">IF(AND(ISNUMBER($AB$396),$B$294=1),$AB$396,HLOOKUP(INDIRECT(ADDRESS(2,COLUMN())),OFFSET($BN$2,0,0,ROW()-1,60),ROW()-1,FALSE))</f>
        <v>175.779</v>
      </c>
      <c r="AC82">
        <f ca="1">IF(AND(ISNUMBER($AC$396),$B$294=1),$AC$396,HLOOKUP(INDIRECT(ADDRESS(2,COLUMN())),OFFSET($BN$2,0,0,ROW()-1,60),ROW()-1,FALSE))</f>
        <v>206.47399999999999</v>
      </c>
      <c r="AD82">
        <f ca="1">IF(AND(ISNUMBER($AD$396),$B$294=1),$AD$396,HLOOKUP(INDIRECT(ADDRESS(2,COLUMN())),OFFSET($BN$2,0,0,ROW()-1,60),ROW()-1,FALSE))</f>
        <v>166.72900000000001</v>
      </c>
      <c r="AE82">
        <f ca="1">IF(AND(ISNUMBER($AE$396),$B$294=1),$AE$396,HLOOKUP(INDIRECT(ADDRESS(2,COLUMN())),OFFSET($BN$2,0,0,ROW()-1,60),ROW()-1,FALSE))</f>
        <v>179.298</v>
      </c>
      <c r="AF82">
        <f ca="1">IF(AND(ISNUMBER($AF$396),$B$294=1),$AF$396,HLOOKUP(INDIRECT(ADDRESS(2,COLUMN())),OFFSET($BN$2,0,0,ROW()-1,60),ROW()-1,FALSE))</f>
        <v>190.274</v>
      </c>
      <c r="AG82">
        <f ca="1">IF(AND(ISNUMBER($AG$396),$B$294=1),$AG$396,HLOOKUP(INDIRECT(ADDRESS(2,COLUMN())),OFFSET($BN$2,0,0,ROW()-1,60),ROW()-1,FALSE))</f>
        <v>181.56899999999999</v>
      </c>
      <c r="AH82">
        <f ca="1">IF(AND(ISNUMBER($AH$396),$B$294=1),$AH$396,HLOOKUP(INDIRECT(ADDRESS(2,COLUMN())),OFFSET($BN$2,0,0,ROW()-1,60),ROW()-1,FALSE))</f>
        <v>159.97999999999999</v>
      </c>
      <c r="AI82">
        <f ca="1">IF(AND(ISNUMBER($AI$396),$B$294=1),$AI$396,HLOOKUP(INDIRECT(ADDRESS(2,COLUMN())),OFFSET($BN$2,0,0,ROW()-1,60),ROW()-1,FALSE))</f>
        <v>89.878</v>
      </c>
      <c r="AJ82">
        <f ca="1">IF(AND(ISNUMBER($AJ$396),$B$294=1),$AJ$396,HLOOKUP(INDIRECT(ADDRESS(2,COLUMN())),OFFSET($BN$2,0,0,ROW()-1,60),ROW()-1,FALSE))</f>
        <v>150.85300000000001</v>
      </c>
      <c r="AK82">
        <f ca="1">IF(AND(ISNUMBER($AK$396),$B$294=1),$AK$396,HLOOKUP(INDIRECT(ADDRESS(2,COLUMN())),OFFSET($BN$2,0,0,ROW()-1,60),ROW()-1,FALSE))</f>
        <v>156.87</v>
      </c>
      <c r="AL82">
        <f ca="1">IF(AND(ISNUMBER($AL$396),$B$294=1),$AL$396,HLOOKUP(INDIRECT(ADDRESS(2,COLUMN())),OFFSET($BN$2,0,0,ROW()-1,60),ROW()-1,FALSE))</f>
        <v>149.596</v>
      </c>
      <c r="AM82">
        <f ca="1">IF(AND(ISNUMBER($AM$396),$B$294=1),$AM$396,HLOOKUP(INDIRECT(ADDRESS(2,COLUMN())),OFFSET($BN$2,0,0,ROW()-1,60),ROW()-1,FALSE))</f>
        <v>146.05600000000001</v>
      </c>
      <c r="AN82">
        <f ca="1">IF(AND(ISNUMBER($AN$396),$B$294=1),$AN$396,HLOOKUP(INDIRECT(ADDRESS(2,COLUMN())),OFFSET($BN$2,0,0,ROW()-1,60),ROW()-1,FALSE))</f>
        <v>158.44999999999999</v>
      </c>
      <c r="AO82">
        <f ca="1">IF(AND(ISNUMBER($AO$396),$B$294=1),$AO$396,HLOOKUP(INDIRECT(ADDRESS(2,COLUMN())),OFFSET($BN$2,0,0,ROW()-1,60),ROW()-1,FALSE))</f>
        <v>166.61500000000001</v>
      </c>
      <c r="AP82">
        <f ca="1">IF(AND(ISNUMBER($AP$396),$B$294=1),$AP$396,HLOOKUP(INDIRECT(ADDRESS(2,COLUMN())),OFFSET($BN$2,0,0,ROW()-1,60),ROW()-1,FALSE))</f>
        <v>134.84700000000001</v>
      </c>
      <c r="AQ82">
        <f ca="1">IF(AND(ISNUMBER($AQ$396),$B$294=1),$AQ$396,HLOOKUP(INDIRECT(ADDRESS(2,COLUMN())),OFFSET($BN$2,0,0,ROW()-1,60),ROW()-1,FALSE))</f>
        <v>-0.749</v>
      </c>
      <c r="AR82">
        <f ca="1">IF(AND(ISNUMBER($AR$396),$B$294=1),$AR$396,HLOOKUP(INDIRECT(ADDRESS(2,COLUMN())),OFFSET($BN$2,0,0,ROW()-1,60),ROW()-1,FALSE))</f>
        <v>155.131</v>
      </c>
      <c r="AS82">
        <f ca="1">IF(AND(ISNUMBER($AS$396),$B$294=1),$AS$396,HLOOKUP(INDIRECT(ADDRESS(2,COLUMN())),OFFSET($BN$2,0,0,ROW()-1,60),ROW()-1,FALSE))</f>
        <v>164.88300000000001</v>
      </c>
      <c r="AT82">
        <f ca="1">IF(AND(ISNUMBER($AT$396),$B$294=1),$AT$396,HLOOKUP(INDIRECT(ADDRESS(2,COLUMN())),OFFSET($BN$2,0,0,ROW()-1,60),ROW()-1,FALSE))</f>
        <v>153.03100000000001</v>
      </c>
      <c r="AU82">
        <f ca="1">IF(AND(ISNUMBER($AU$396),$B$294=1),$AU$396,HLOOKUP(INDIRECT(ADDRESS(2,COLUMN())),OFFSET($BN$2,0,0,ROW()-1,60),ROW()-1,FALSE))</f>
        <v>172.71899999999999</v>
      </c>
      <c r="AV82">
        <f ca="1">IF(AND(ISNUMBER($AV$396),$B$294=1),$AV$396,HLOOKUP(INDIRECT(ADDRESS(2,COLUMN())),OFFSET($BN$2,0,0,ROW()-1,60),ROW()-1,FALSE))</f>
        <v>160.19399999999999</v>
      </c>
      <c r="AW82">
        <f ca="1">IF(AND(ISNUMBER($AW$396),$B$294=1),$AW$396,HLOOKUP(INDIRECT(ADDRESS(2,COLUMN())),OFFSET($BN$2,0,0,ROW()-1,60),ROW()-1,FALSE))</f>
        <v>167.42699999999999</v>
      </c>
      <c r="AX82">
        <f ca="1">IF(AND(ISNUMBER($AX$396),$B$294=1),$AX$396,HLOOKUP(INDIRECT(ADDRESS(2,COLUMN())),OFFSET($BN$2,0,0,ROW()-1,60),ROW()-1,FALSE))</f>
        <v>156.309</v>
      </c>
      <c r="AY82">
        <f ca="1">IF(AND(ISNUMBER($AY$396),$B$294=1),$AY$396,HLOOKUP(INDIRECT(ADDRESS(2,COLUMN())),OFFSET($BN$2,0,0,ROW()-1,60),ROW()-1,FALSE))</f>
        <v>167.227</v>
      </c>
      <c r="AZ82">
        <f ca="1">IF(AND(ISNUMBER($AZ$396),$B$294=1),$AZ$396,HLOOKUP(INDIRECT(ADDRESS(2,COLUMN())),OFFSET($BN$2,0,0,ROW()-1,60),ROW()-1,FALSE))</f>
        <v>162.68</v>
      </c>
      <c r="BA82">
        <f ca="1">IF(AND(ISNUMBER($BA$396),$B$294=1),$BA$396,HLOOKUP(INDIRECT(ADDRESS(2,COLUMN())),OFFSET($BN$2,0,0,ROW()-1,60),ROW()-1,FALSE))</f>
        <v>122.00700000000001</v>
      </c>
      <c r="BB82">
        <f ca="1">IF(AND(ISNUMBER($BB$396),$B$294=1),$BB$396,HLOOKUP(INDIRECT(ADDRESS(2,COLUMN())),OFFSET($BN$2,0,0,ROW()-1,60),ROW()-1,FALSE))</f>
        <v>141.82599999999999</v>
      </c>
      <c r="BC82">
        <f ca="1">IF(AND(ISNUMBER($BC$396),$B$294=1),$BC$396,HLOOKUP(INDIRECT(ADDRESS(2,COLUMN())),OFFSET($BN$2,0,0,ROW()-1,60),ROW()-1,FALSE))</f>
        <v>102.886</v>
      </c>
      <c r="BD82">
        <f ca="1">IF(AND(ISNUMBER($BD$396),$B$294=1),$BD$396,HLOOKUP(INDIRECT(ADDRESS(2,COLUMN())),OFFSET($BN$2,0,0,ROW()-1,60),ROW()-1,FALSE))</f>
        <v>147.57400000000001</v>
      </c>
      <c r="BE82">
        <f ca="1">IF(AND(ISNUMBER($BE$396),$B$294=1),$BE$396,HLOOKUP(INDIRECT(ADDRESS(2,COLUMN())),OFFSET($BN$2,0,0,ROW()-1,60),ROW()-1,FALSE))</f>
        <v>-6.2389999999999999</v>
      </c>
      <c r="BF82">
        <f ca="1">IF(AND(ISNUMBER($BF$396),$B$294=1),$BF$396,HLOOKUP(INDIRECT(ADDRESS(2,COLUMN())),OFFSET($BN$2,0,0,ROW()-1,60),ROW()-1,FALSE))</f>
        <v>140.33600000000001</v>
      </c>
      <c r="BG82">
        <f ca="1">IF(AND(ISNUMBER($BG$396),$B$294=1),$BG$396,HLOOKUP(INDIRECT(ADDRESS(2,COLUMN())),OFFSET($BN$2,0,0,ROW()-1,60),ROW()-1,FALSE))</f>
        <v>118.89100000000001</v>
      </c>
      <c r="BH82">
        <f ca="1">IF(AND(ISNUMBER($BH$396),$B$294=1),$BH$396,HLOOKUP(INDIRECT(ADDRESS(2,COLUMN())),OFFSET($BN$2,0,0,ROW()-1,60),ROW()-1,FALSE))</f>
        <v>119.937</v>
      </c>
      <c r="BI82">
        <f ca="1">IF(AND(ISNUMBER($BI$396),$B$294=1),$BI$396,HLOOKUP(INDIRECT(ADDRESS(2,COLUMN())),OFFSET($BN$2,0,0,ROW()-1,60),ROW()-1,FALSE))</f>
        <v>116.903999</v>
      </c>
      <c r="BJ82">
        <f ca="1">IF(AND(ISNUMBER($BJ$396),$B$294=1),$BJ$396,HLOOKUP(INDIRECT(ADDRESS(2,COLUMN())),OFFSET($BN$2,0,0,ROW()-1,60),ROW()-1,FALSE))</f>
        <v>103.831001</v>
      </c>
      <c r="BK82">
        <f ca="1">IF(AND(ISNUMBER($BK$396),$B$294=1),$BK$396,HLOOKUP(INDIRECT(ADDRESS(2,COLUMN())),OFFSET($BN$2,0,0,ROW()-1,60),ROW()-1,FALSE))</f>
        <v>106.931</v>
      </c>
      <c r="BL82">
        <f ca="1">IF(AND(ISNUMBER($BL$396),$B$294=1),$BL$396,HLOOKUP(INDIRECT(ADDRESS(2,COLUMN())),OFFSET($BN$2,0,0,ROW()-1,60),ROW()-1,FALSE))</f>
        <v>99.056999000000005</v>
      </c>
      <c r="BM82">
        <f ca="1">IF(AND(ISNUMBER($BM$396),$B$294=1),$BM$396,HLOOKUP(INDIRECT(ADDRESS(2,COLUMN())),OFFSET($BN$2,0,0,ROW()-1,60),ROW()-1,FALSE))</f>
        <v>0.625</v>
      </c>
      <c r="BN82" t="str">
        <f>""</f>
        <v/>
      </c>
      <c r="BO82">
        <f>230.132</f>
        <v>230.13200000000001</v>
      </c>
      <c r="BP82">
        <f>243.015</f>
        <v>243.01499999999999</v>
      </c>
      <c r="BQ82">
        <f>257.881</f>
        <v>257.88099999999997</v>
      </c>
      <c r="BR82">
        <f>228.383</f>
        <v>228.38300000000001</v>
      </c>
      <c r="BS82">
        <f>236.898</f>
        <v>236.898</v>
      </c>
      <c r="BT82">
        <f>219.564</f>
        <v>219.56399999999999</v>
      </c>
      <c r="BU82">
        <f>220.595</f>
        <v>220.595</v>
      </c>
      <c r="BV82">
        <f>250.688</f>
        <v>250.68799999999999</v>
      </c>
      <c r="BW82">
        <f>197.35</f>
        <v>197.35</v>
      </c>
      <c r="BX82">
        <f>217.261</f>
        <v>217.261</v>
      </c>
      <c r="BY82">
        <f>208.731</f>
        <v>208.73099999999999</v>
      </c>
      <c r="BZ82">
        <f>200.385</f>
        <v>200.38499999999999</v>
      </c>
      <c r="CA82">
        <f>193.186</f>
        <v>193.18600000000001</v>
      </c>
      <c r="CB82">
        <f>223.403</f>
        <v>223.40299999999999</v>
      </c>
      <c r="CC82">
        <f>207.01</f>
        <v>207.01</v>
      </c>
      <c r="CD82">
        <f>183.844</f>
        <v>183.84399999999999</v>
      </c>
      <c r="CE82">
        <f>197.605</f>
        <v>197.60499999999999</v>
      </c>
      <c r="CF82">
        <f>197.859</f>
        <v>197.85900000000001</v>
      </c>
      <c r="CG82">
        <f>195.415</f>
        <v>195.41499999999999</v>
      </c>
      <c r="CH82">
        <f>160.624</f>
        <v>160.624</v>
      </c>
      <c r="CI82">
        <f>192.462</f>
        <v>192.46199999999999</v>
      </c>
      <c r="CJ82">
        <f>175.779</f>
        <v>175.779</v>
      </c>
      <c r="CK82">
        <f>206.474</f>
        <v>206.47399999999999</v>
      </c>
      <c r="CL82">
        <f>166.729</f>
        <v>166.72900000000001</v>
      </c>
      <c r="CM82">
        <f>179.298</f>
        <v>179.298</v>
      </c>
      <c r="CN82">
        <f>190.274</f>
        <v>190.274</v>
      </c>
      <c r="CO82">
        <f>181.569</f>
        <v>181.56899999999999</v>
      </c>
      <c r="CP82">
        <f>159.98</f>
        <v>159.97999999999999</v>
      </c>
      <c r="CQ82">
        <f>89.878</f>
        <v>89.878</v>
      </c>
      <c r="CR82">
        <f>150.853</f>
        <v>150.85300000000001</v>
      </c>
      <c r="CS82">
        <f>156.87</f>
        <v>156.87</v>
      </c>
      <c r="CT82">
        <f>149.596</f>
        <v>149.596</v>
      </c>
      <c r="CU82">
        <f>146.056</f>
        <v>146.05600000000001</v>
      </c>
      <c r="CV82">
        <f>158.45</f>
        <v>158.44999999999999</v>
      </c>
      <c r="CW82">
        <f>166.615</f>
        <v>166.61500000000001</v>
      </c>
      <c r="CX82">
        <f>134.847</f>
        <v>134.84700000000001</v>
      </c>
      <c r="CY82">
        <f>-0.749</f>
        <v>-0.749</v>
      </c>
      <c r="CZ82">
        <f>155.131</f>
        <v>155.131</v>
      </c>
      <c r="DA82">
        <f>164.883</f>
        <v>164.88300000000001</v>
      </c>
      <c r="DB82">
        <f>153.031</f>
        <v>153.03100000000001</v>
      </c>
      <c r="DC82">
        <f>172.719</f>
        <v>172.71899999999999</v>
      </c>
      <c r="DD82">
        <f>160.194</f>
        <v>160.19399999999999</v>
      </c>
      <c r="DE82">
        <f>167.427</f>
        <v>167.42699999999999</v>
      </c>
      <c r="DF82">
        <f>156.309</f>
        <v>156.309</v>
      </c>
      <c r="DG82">
        <f>167.227</f>
        <v>167.227</v>
      </c>
      <c r="DH82">
        <f>162.68</f>
        <v>162.68</v>
      </c>
      <c r="DI82">
        <f>122.007</f>
        <v>122.00700000000001</v>
      </c>
      <c r="DJ82">
        <f>141.826</f>
        <v>141.82599999999999</v>
      </c>
      <c r="DK82">
        <f>102.886</f>
        <v>102.886</v>
      </c>
      <c r="DL82">
        <f>147.574</f>
        <v>147.57400000000001</v>
      </c>
      <c r="DM82">
        <f>-6.239</f>
        <v>-6.2389999999999999</v>
      </c>
      <c r="DN82">
        <f>140.336</f>
        <v>140.33600000000001</v>
      </c>
      <c r="DO82">
        <f>118.891</f>
        <v>118.89100000000001</v>
      </c>
      <c r="DP82">
        <f>119.937</f>
        <v>119.937</v>
      </c>
      <c r="DQ82">
        <f>116.903999</f>
        <v>116.903999</v>
      </c>
      <c r="DR82">
        <f>103.831001</f>
        <v>103.831001</v>
      </c>
      <c r="DS82">
        <f>106.931</f>
        <v>106.931</v>
      </c>
      <c r="DT82">
        <f>99.056999</f>
        <v>99.056999000000005</v>
      </c>
      <c r="DU82">
        <f>0.625</f>
        <v>0.625</v>
      </c>
    </row>
    <row r="83" spans="1:125">
      <c r="A83" t="str">
        <f>"    Brandywine Realty Trust"</f>
        <v xml:space="preserve">    Brandywine Realty Trust</v>
      </c>
      <c r="B83" t="str">
        <f>"BDN US Equity"</f>
        <v>BDN US Equity</v>
      </c>
      <c r="C83" t="str">
        <f t="shared" si="21"/>
        <v>CF039</v>
      </c>
      <c r="D83" t="str">
        <f t="shared" si="22"/>
        <v>CF_FFO</v>
      </c>
      <c r="E83" t="str">
        <f t="shared" si="23"/>
        <v>动态</v>
      </c>
      <c r="F83" t="str">
        <f ca="1">IF(AND(ISNUMBER($F$397),$B$294=1),$F$397,HLOOKUP(INDIRECT(ADDRESS(2,COLUMN())),OFFSET($BN$2,0,0,ROW()-1,60),ROW()-1,FALSE))</f>
        <v/>
      </c>
      <c r="G83">
        <f ca="1">IF(AND(ISNUMBER($G$397),$B$294=1),$G$397,HLOOKUP(INDIRECT(ADDRESS(2,COLUMN())),OFFSET($BN$2,0,0,ROW()-1,60),ROW()-1,FALSE))</f>
        <v>53.749000000000002</v>
      </c>
      <c r="H83">
        <f ca="1">IF(AND(ISNUMBER($H$397),$B$294=1),$H$397,HLOOKUP(INDIRECT(ADDRESS(2,COLUMN())),OFFSET($BN$2,0,0,ROW()-1,60),ROW()-1,FALSE))</f>
        <v>61.926000000000002</v>
      </c>
      <c r="I83">
        <f ca="1">IF(AND(ISNUMBER($I$397),$B$294=1),$I$397,HLOOKUP(INDIRECT(ADDRESS(2,COLUMN())),OFFSET($BN$2,0,0,ROW()-1,60),ROW()-1,FALSE))</f>
        <v>57.427</v>
      </c>
      <c r="J83">
        <f ca="1">IF(AND(ISNUMBER($J$397),$B$294=1),$J$397,HLOOKUP(INDIRECT(ADDRESS(2,COLUMN())),OFFSET($BN$2,0,0,ROW()-1,60),ROW()-1,FALSE))</f>
        <v>56.116999999999997</v>
      </c>
      <c r="K83">
        <f ca="1">IF(AND(ISNUMBER($K$397),$B$294=1),$K$397,HLOOKUP(INDIRECT(ADDRESS(2,COLUMN())),OFFSET($BN$2,0,0,ROW()-1,60),ROW()-1,FALSE))</f>
        <v>62.963000000000001</v>
      </c>
      <c r="L83">
        <f ca="1">IF(AND(ISNUMBER($L$397),$B$294=1),$L$397,HLOOKUP(INDIRECT(ADDRESS(2,COLUMN())),OFFSET($BN$2,0,0,ROW()-1,60),ROW()-1,FALSE))</f>
        <v>58.283999999999999</v>
      </c>
      <c r="M83">
        <f ca="1">IF(AND(ISNUMBER($M$397),$B$294=1),$M$397,HLOOKUP(INDIRECT(ADDRESS(2,COLUMN())),OFFSET($BN$2,0,0,ROW()-1,60),ROW()-1,FALSE))</f>
        <v>57.363</v>
      </c>
      <c r="N83">
        <f ca="1">IF(AND(ISNUMBER($N$397),$B$294=1),$N$397,HLOOKUP(INDIRECT(ADDRESS(2,COLUMN())),OFFSET($BN$2,0,0,ROW()-1,60),ROW()-1,FALSE))</f>
        <v>-11.631</v>
      </c>
      <c r="O83">
        <f ca="1">IF(AND(ISNUMBER($O$397),$B$294=1),$O$397,HLOOKUP(INDIRECT(ADDRESS(2,COLUMN())),OFFSET($BN$2,0,0,ROW()-1,60),ROW()-1,FALSE))</f>
        <v>69.222999999999999</v>
      </c>
      <c r="P83">
        <f ca="1">IF(AND(ISNUMBER($P$397),$B$294=1),$P$397,HLOOKUP(INDIRECT(ADDRESS(2,COLUMN())),OFFSET($BN$2,0,0,ROW()-1,60),ROW()-1,FALSE))</f>
        <v>77.171999999999997</v>
      </c>
      <c r="Q83">
        <f ca="1">IF(AND(ISNUMBER($Q$397),$B$294=1),$Q$397,HLOOKUP(INDIRECT(ADDRESS(2,COLUMN())),OFFSET($BN$2,0,0,ROW()-1,60),ROW()-1,FALSE))</f>
        <v>57.530999999999999</v>
      </c>
      <c r="R83">
        <f ca="1">IF(AND(ISNUMBER($R$397),$B$294=1),$R$397,HLOOKUP(INDIRECT(ADDRESS(2,COLUMN())),OFFSET($BN$2,0,0,ROW()-1,60),ROW()-1,FALSE))</f>
        <v>58.451000000000001</v>
      </c>
      <c r="S83">
        <f ca="1">IF(AND(ISNUMBER($S$397),$B$294=1),$S$397,HLOOKUP(INDIRECT(ADDRESS(2,COLUMN())),OFFSET($BN$2,0,0,ROW()-1,60),ROW()-1,FALSE))</f>
        <v>54.223999999999997</v>
      </c>
      <c r="T83">
        <f ca="1">IF(AND(ISNUMBER($T$397),$B$294=1),$T$397,HLOOKUP(INDIRECT(ADDRESS(2,COLUMN())),OFFSET($BN$2,0,0,ROW()-1,60),ROW()-1,FALSE))</f>
        <v>62.911000000000001</v>
      </c>
      <c r="U83">
        <f ca="1">IF(AND(ISNUMBER($U$397),$B$294=1),$U$397,HLOOKUP(INDIRECT(ADDRESS(2,COLUMN())),OFFSET($BN$2,0,0,ROW()-1,60),ROW()-1,FALSE))</f>
        <v>57.47</v>
      </c>
      <c r="V83">
        <f ca="1">IF(AND(ISNUMBER($V$397),$B$294=1),$V$397,HLOOKUP(INDIRECT(ADDRESS(2,COLUMN())),OFFSET($BN$2,0,0,ROW()-1,60),ROW()-1,FALSE))</f>
        <v>53.847999999999999</v>
      </c>
      <c r="W83">
        <f ca="1">IF(AND(ISNUMBER($W$397),$B$294=1),$W$397,HLOOKUP(INDIRECT(ADDRESS(2,COLUMN())),OFFSET($BN$2,0,0,ROW()-1,60),ROW()-1,FALSE))</f>
        <v>46.982999999999997</v>
      </c>
      <c r="X83">
        <f ca="1">IF(AND(ISNUMBER($X$397),$B$294=1),$X$397,HLOOKUP(INDIRECT(ADDRESS(2,COLUMN())),OFFSET($BN$2,0,0,ROW()-1,60),ROW()-1,FALSE))</f>
        <v>63.265999999999998</v>
      </c>
      <c r="Y83">
        <f ca="1">IF(AND(ISNUMBER($Y$397),$B$294=1),$Y$397,HLOOKUP(INDIRECT(ADDRESS(2,COLUMN())),OFFSET($BN$2,0,0,ROW()-1,60),ROW()-1,FALSE))</f>
        <v>48.966000000000001</v>
      </c>
      <c r="Z83">
        <f ca="1">IF(AND(ISNUMBER($Z$397),$B$294=1),$Z$397,HLOOKUP(INDIRECT(ADDRESS(2,COLUMN())),OFFSET($BN$2,0,0,ROW()-1,60),ROW()-1,FALSE))</f>
        <v>51.987000000000002</v>
      </c>
      <c r="AA83">
        <f ca="1">IF(AND(ISNUMBER($AA$397),$B$294=1),$AA$397,HLOOKUP(INDIRECT(ADDRESS(2,COLUMN())),OFFSET($BN$2,0,0,ROW()-1,60),ROW()-1,FALSE))</f>
        <v>21.213000000000001</v>
      </c>
      <c r="AB83">
        <f ca="1">IF(AND(ISNUMBER($AB$397),$B$294=1),$AB$397,HLOOKUP(INDIRECT(ADDRESS(2,COLUMN())),OFFSET($BN$2,0,0,ROW()-1,60),ROW()-1,FALSE))</f>
        <v>57.985999999999997</v>
      </c>
      <c r="AC83">
        <f ca="1">IF(AND(ISNUMBER($AC$397),$B$294=1),$AC$397,HLOOKUP(INDIRECT(ADDRESS(2,COLUMN())),OFFSET($BN$2,0,0,ROW()-1,60),ROW()-1,FALSE))</f>
        <v>44.783000000000001</v>
      </c>
      <c r="AD83">
        <f ca="1">IF(AND(ISNUMBER($AD$397),$B$294=1),$AD$397,HLOOKUP(INDIRECT(ADDRESS(2,COLUMN())),OFFSET($BN$2,0,0,ROW()-1,60),ROW()-1,FALSE))</f>
        <v>47.406999999999996</v>
      </c>
      <c r="AE83">
        <f ca="1">IF(AND(ISNUMBER($AE$397),$B$294=1),$AE$397,HLOOKUP(INDIRECT(ADDRESS(2,COLUMN())),OFFSET($BN$2,0,0,ROW()-1,60),ROW()-1,FALSE))</f>
        <v>47.667000000000002</v>
      </c>
      <c r="AF83">
        <f ca="1">IF(AND(ISNUMBER($AF$397),$B$294=1),$AF$397,HLOOKUP(INDIRECT(ADDRESS(2,COLUMN())),OFFSET($BN$2,0,0,ROW()-1,60),ROW()-1,FALSE))</f>
        <v>60.69</v>
      </c>
      <c r="AG83">
        <f ca="1">IF(AND(ISNUMBER($AG$397),$B$294=1),$AG$397,HLOOKUP(INDIRECT(ADDRESS(2,COLUMN())),OFFSET($BN$2,0,0,ROW()-1,60),ROW()-1,FALSE))</f>
        <v>47.783999999999999</v>
      </c>
      <c r="AH83">
        <f ca="1">IF(AND(ISNUMBER($AH$397),$B$294=1),$AH$397,HLOOKUP(INDIRECT(ADDRESS(2,COLUMN())),OFFSET($BN$2,0,0,ROW()-1,60),ROW()-1,FALSE))</f>
        <v>48.518999999999998</v>
      </c>
      <c r="AI83">
        <f ca="1">IF(AND(ISNUMBER($AI$397),$B$294=1),$AI$397,HLOOKUP(INDIRECT(ADDRESS(2,COLUMN())),OFFSET($BN$2,0,0,ROW()-1,60),ROW()-1,FALSE))</f>
        <v>48.232999999999997</v>
      </c>
      <c r="AJ83">
        <f ca="1">IF(AND(ISNUMBER($AJ$397),$B$294=1),$AJ$397,HLOOKUP(INDIRECT(ADDRESS(2,COLUMN())),OFFSET($BN$2,0,0,ROW()-1,60),ROW()-1,FALSE))</f>
        <v>45.906999999999996</v>
      </c>
      <c r="AK83">
        <f ca="1">IF(AND(ISNUMBER($AK$397),$B$294=1),$AK$397,HLOOKUP(INDIRECT(ADDRESS(2,COLUMN())),OFFSET($BN$2,0,0,ROW()-1,60),ROW()-1,FALSE))</f>
        <v>46.936999999999998</v>
      </c>
      <c r="AL83">
        <f ca="1">IF(AND(ISNUMBER($AL$397),$B$294=1),$AL$397,HLOOKUP(INDIRECT(ADDRESS(2,COLUMN())),OFFSET($BN$2,0,0,ROW()-1,60),ROW()-1,FALSE))</f>
        <v>45.92</v>
      </c>
      <c r="AM83">
        <f ca="1">IF(AND(ISNUMBER($AM$397),$B$294=1),$AM$397,HLOOKUP(INDIRECT(ADDRESS(2,COLUMN())),OFFSET($BN$2,0,0,ROW()-1,60),ROW()-1,FALSE))</f>
        <v>45.878</v>
      </c>
      <c r="AN83">
        <f ca="1">IF(AND(ISNUMBER($AN$397),$B$294=1),$AN$397,HLOOKUP(INDIRECT(ADDRESS(2,COLUMN())),OFFSET($BN$2,0,0,ROW()-1,60),ROW()-1,FALSE))</f>
        <v>58.527000000000001</v>
      </c>
      <c r="AO83">
        <f ca="1">IF(AND(ISNUMBER($AO$397),$B$294=1),$AO$397,HLOOKUP(INDIRECT(ADDRESS(2,COLUMN())),OFFSET($BN$2,0,0,ROW()-1,60),ROW()-1,FALSE))</f>
        <v>59.597000000000001</v>
      </c>
      <c r="AP83">
        <f ca="1">IF(AND(ISNUMBER($AP$397),$B$294=1),$AP$397,HLOOKUP(INDIRECT(ADDRESS(2,COLUMN())),OFFSET($BN$2,0,0,ROW()-1,60),ROW()-1,FALSE))</f>
        <v>50.691000000000003</v>
      </c>
      <c r="AQ83">
        <f ca="1">IF(AND(ISNUMBER($AQ$397),$B$294=1),$AQ$397,HLOOKUP(INDIRECT(ADDRESS(2,COLUMN())),OFFSET($BN$2,0,0,ROW()-1,60),ROW()-1,FALSE))</f>
        <v>55.600999999999999</v>
      </c>
      <c r="AR83">
        <f ca="1">IF(AND(ISNUMBER($AR$397),$B$294=1),$AR$397,HLOOKUP(INDIRECT(ADDRESS(2,COLUMN())),OFFSET($BN$2,0,0,ROW()-1,60),ROW()-1,FALSE))</f>
        <v>52.618000000000002</v>
      </c>
      <c r="AS83">
        <f ca="1">IF(AND(ISNUMBER($AS$397),$B$294=1),$AS$397,HLOOKUP(INDIRECT(ADDRESS(2,COLUMN())),OFFSET($BN$2,0,0,ROW()-1,60),ROW()-1,FALSE))</f>
        <v>50.703000000000003</v>
      </c>
      <c r="AT83">
        <f ca="1">IF(AND(ISNUMBER($AT$397),$B$294=1),$AT$397,HLOOKUP(INDIRECT(ADDRESS(2,COLUMN())),OFFSET($BN$2,0,0,ROW()-1,60),ROW()-1,FALSE))</f>
        <v>60.777999999999999</v>
      </c>
      <c r="AU83">
        <f ca="1">IF(AND(ISNUMBER($AU$397),$B$294=1),$AU$397,HLOOKUP(INDIRECT(ADDRESS(2,COLUMN())),OFFSET($BN$2,0,0,ROW()-1,60),ROW()-1,FALSE))</f>
        <v>53.801000000000002</v>
      </c>
      <c r="AV83">
        <f ca="1">IF(AND(ISNUMBER($AV$397),$B$294=1),$AV$397,HLOOKUP(INDIRECT(ADDRESS(2,COLUMN())),OFFSET($BN$2,0,0,ROW()-1,60),ROW()-1,FALSE))</f>
        <v>62.023000000000003</v>
      </c>
      <c r="AW83">
        <f ca="1">IF(AND(ISNUMBER($AW$397),$B$294=1),$AW$397,HLOOKUP(INDIRECT(ADDRESS(2,COLUMN())),OFFSET($BN$2,0,0,ROW()-1,60),ROW()-1,FALSE))</f>
        <v>59.018000000000001</v>
      </c>
      <c r="AX83">
        <f ca="1">IF(AND(ISNUMBER($AX$397),$B$294=1),$AX$397,HLOOKUP(INDIRECT(ADDRESS(2,COLUMN())),OFFSET($BN$2,0,0,ROW()-1,60),ROW()-1,FALSE))</f>
        <v>58.588999999999999</v>
      </c>
      <c r="AY83">
        <f ca="1">IF(AND(ISNUMBER($AY$397),$B$294=1),$AY$397,HLOOKUP(INDIRECT(ADDRESS(2,COLUMN())),OFFSET($BN$2,0,0,ROW()-1,60),ROW()-1,FALSE))</f>
        <v>58.965000000000003</v>
      </c>
      <c r="AZ83">
        <f ca="1">IF(AND(ISNUMBER($AZ$397),$B$294=1),$AZ$397,HLOOKUP(INDIRECT(ADDRESS(2,COLUMN())),OFFSET($BN$2,0,0,ROW()-1,60),ROW()-1,FALSE))</f>
        <v>63.719000000000001</v>
      </c>
      <c r="BA83">
        <f ca="1">IF(AND(ISNUMBER($BA$397),$B$294=1),$BA$397,HLOOKUP(INDIRECT(ADDRESS(2,COLUMN())),OFFSET($BN$2,0,0,ROW()-1,60),ROW()-1,FALSE))</f>
        <v>56.985999999999997</v>
      </c>
      <c r="BB83">
        <f ca="1">IF(AND(ISNUMBER($BB$397),$B$294=1),$BB$397,HLOOKUP(INDIRECT(ADDRESS(2,COLUMN())),OFFSET($BN$2,0,0,ROW()-1,60),ROW()-1,FALSE))</f>
        <v>55.216000000000001</v>
      </c>
      <c r="BC83">
        <f ca="1">IF(AND(ISNUMBER($BC$397),$B$294=1),$BC$397,HLOOKUP(INDIRECT(ADDRESS(2,COLUMN())),OFFSET($BN$2,0,0,ROW()-1,60),ROW()-1,FALSE))</f>
        <v>58.965000000000003</v>
      </c>
      <c r="BD83">
        <f ca="1">IF(AND(ISNUMBER($BD$397),$B$294=1),$BD$397,HLOOKUP(INDIRECT(ADDRESS(2,COLUMN())),OFFSET($BN$2,0,0,ROW()-1,60),ROW()-1,FALSE))</f>
        <v>36.200000000000003</v>
      </c>
      <c r="BE83">
        <f ca="1">IF(AND(ISNUMBER($BE$397),$B$294=1),$BE$397,HLOOKUP(INDIRECT(ADDRESS(2,COLUMN())),OFFSET($BN$2,0,0,ROW()-1,60),ROW()-1,FALSE))</f>
        <v>35.283999999999999</v>
      </c>
      <c r="BF83">
        <f ca="1">IF(AND(ISNUMBER($BF$397),$B$294=1),$BF$397,HLOOKUP(INDIRECT(ADDRESS(2,COLUMN())),OFFSET($BN$2,0,0,ROW()-1,60),ROW()-1,FALSE))</f>
        <v>36.253999999999998</v>
      </c>
      <c r="BG83">
        <f ca="1">IF(AND(ISNUMBER($BG$397),$B$294=1),$BG$397,HLOOKUP(INDIRECT(ADDRESS(2,COLUMN())),OFFSET($BN$2,0,0,ROW()-1,60),ROW()-1,FALSE))</f>
        <v>35.921999999999997</v>
      </c>
      <c r="BH83">
        <f ca="1">IF(AND(ISNUMBER($BH$397),$B$294=1),$BH$397,HLOOKUP(INDIRECT(ADDRESS(2,COLUMN())),OFFSET($BN$2,0,0,ROW()-1,60),ROW()-1,FALSE))</f>
        <v>33.700000000000003</v>
      </c>
      <c r="BI83">
        <f ca="1">IF(AND(ISNUMBER($BI$397),$B$294=1),$BI$397,HLOOKUP(INDIRECT(ADDRESS(2,COLUMN())),OFFSET($BN$2,0,0,ROW()-1,60),ROW()-1,FALSE))</f>
        <v>32.737000000000002</v>
      </c>
      <c r="BJ83">
        <f ca="1">IF(AND(ISNUMBER($BJ$397),$B$294=1),$BJ$397,HLOOKUP(INDIRECT(ADDRESS(2,COLUMN())),OFFSET($BN$2,0,0,ROW()-1,60),ROW()-1,FALSE))</f>
        <v>33.064</v>
      </c>
      <c r="BK83">
        <f ca="1">IF(AND(ISNUMBER($BK$397),$B$294=1),$BK$397,HLOOKUP(INDIRECT(ADDRESS(2,COLUMN())),OFFSET($BN$2,0,0,ROW()-1,60),ROW()-1,FALSE))</f>
        <v>14.005000000000001</v>
      </c>
      <c r="BL83">
        <f ca="1">IF(AND(ISNUMBER($BL$397),$B$294=1),$BL$397,HLOOKUP(INDIRECT(ADDRESS(2,COLUMN())),OFFSET($BN$2,0,0,ROW()-1,60),ROW()-1,FALSE))</f>
        <v>34.420999999999999</v>
      </c>
      <c r="BM83">
        <f ca="1">IF(AND(ISNUMBER($BM$397),$B$294=1),$BM$397,HLOOKUP(INDIRECT(ADDRESS(2,COLUMN())),OFFSET($BN$2,0,0,ROW()-1,60),ROW()-1,FALSE))</f>
        <v>31.265000000000001</v>
      </c>
      <c r="BN83" t="str">
        <f>""</f>
        <v/>
      </c>
      <c r="BO83">
        <f>53.749</f>
        <v>53.749000000000002</v>
      </c>
      <c r="BP83">
        <f>61.926</f>
        <v>61.926000000000002</v>
      </c>
      <c r="BQ83">
        <f>57.427</f>
        <v>57.427</v>
      </c>
      <c r="BR83">
        <f>56.117</f>
        <v>56.116999999999997</v>
      </c>
      <c r="BS83">
        <f>62.963</f>
        <v>62.963000000000001</v>
      </c>
      <c r="BT83">
        <f>58.284</f>
        <v>58.283999999999999</v>
      </c>
      <c r="BU83">
        <f>57.363</f>
        <v>57.363</v>
      </c>
      <c r="BV83">
        <f>-11.631</f>
        <v>-11.631</v>
      </c>
      <c r="BW83">
        <f>69.223</f>
        <v>69.222999999999999</v>
      </c>
      <c r="BX83">
        <f>77.172</f>
        <v>77.171999999999997</v>
      </c>
      <c r="BY83">
        <f>57.531</f>
        <v>57.530999999999999</v>
      </c>
      <c r="BZ83">
        <f>58.451</f>
        <v>58.451000000000001</v>
      </c>
      <c r="CA83">
        <f>54.224</f>
        <v>54.223999999999997</v>
      </c>
      <c r="CB83">
        <f>62.911</f>
        <v>62.911000000000001</v>
      </c>
      <c r="CC83">
        <f>57.47</f>
        <v>57.47</v>
      </c>
      <c r="CD83">
        <f>53.848</f>
        <v>53.847999999999999</v>
      </c>
      <c r="CE83">
        <f>46.983</f>
        <v>46.982999999999997</v>
      </c>
      <c r="CF83">
        <f>63.266</f>
        <v>63.265999999999998</v>
      </c>
      <c r="CG83">
        <f>48.966</f>
        <v>48.966000000000001</v>
      </c>
      <c r="CH83">
        <f>51.987</f>
        <v>51.987000000000002</v>
      </c>
      <c r="CI83">
        <f>21.213</f>
        <v>21.213000000000001</v>
      </c>
      <c r="CJ83">
        <f>57.986</f>
        <v>57.985999999999997</v>
      </c>
      <c r="CK83">
        <f>44.783</f>
        <v>44.783000000000001</v>
      </c>
      <c r="CL83">
        <f>47.407</f>
        <v>47.406999999999996</v>
      </c>
      <c r="CM83">
        <f>47.667</f>
        <v>47.667000000000002</v>
      </c>
      <c r="CN83">
        <f>60.69</f>
        <v>60.69</v>
      </c>
      <c r="CO83">
        <f>47.784</f>
        <v>47.783999999999999</v>
      </c>
      <c r="CP83">
        <f>48.519</f>
        <v>48.518999999999998</v>
      </c>
      <c r="CQ83">
        <f>48.233</f>
        <v>48.232999999999997</v>
      </c>
      <c r="CR83">
        <f>45.907</f>
        <v>45.906999999999996</v>
      </c>
      <c r="CS83">
        <f>46.937</f>
        <v>46.936999999999998</v>
      </c>
      <c r="CT83">
        <f>45.92</f>
        <v>45.92</v>
      </c>
      <c r="CU83">
        <f>45.878</f>
        <v>45.878</v>
      </c>
      <c r="CV83">
        <f>58.527</f>
        <v>58.527000000000001</v>
      </c>
      <c r="CW83">
        <f>59.597</f>
        <v>59.597000000000001</v>
      </c>
      <c r="CX83">
        <f>50.691</f>
        <v>50.691000000000003</v>
      </c>
      <c r="CY83">
        <f>55.601</f>
        <v>55.600999999999999</v>
      </c>
      <c r="CZ83">
        <f>52.618</f>
        <v>52.618000000000002</v>
      </c>
      <c r="DA83">
        <f>50.703</f>
        <v>50.703000000000003</v>
      </c>
      <c r="DB83">
        <f>60.778</f>
        <v>60.777999999999999</v>
      </c>
      <c r="DC83">
        <f>53.801</f>
        <v>53.801000000000002</v>
      </c>
      <c r="DD83">
        <f>62.023</f>
        <v>62.023000000000003</v>
      </c>
      <c r="DE83">
        <f>59.018</f>
        <v>59.018000000000001</v>
      </c>
      <c r="DF83">
        <f>58.589</f>
        <v>58.588999999999999</v>
      </c>
      <c r="DG83">
        <f>58.965</f>
        <v>58.965000000000003</v>
      </c>
      <c r="DH83">
        <f>63.719</f>
        <v>63.719000000000001</v>
      </c>
      <c r="DI83">
        <f>56.986</f>
        <v>56.985999999999997</v>
      </c>
      <c r="DJ83">
        <f>55.216</f>
        <v>55.216000000000001</v>
      </c>
      <c r="DK83">
        <f>58.965</f>
        <v>58.965000000000003</v>
      </c>
      <c r="DL83">
        <f>36.2</f>
        <v>36.200000000000003</v>
      </c>
      <c r="DM83">
        <f>35.284</f>
        <v>35.283999999999999</v>
      </c>
      <c r="DN83">
        <f>36.254</f>
        <v>36.253999999999998</v>
      </c>
      <c r="DO83">
        <f>35.922</f>
        <v>35.921999999999997</v>
      </c>
      <c r="DP83">
        <f>33.7</f>
        <v>33.700000000000003</v>
      </c>
      <c r="DQ83">
        <f>32.737</f>
        <v>32.737000000000002</v>
      </c>
      <c r="DR83">
        <f>33.064</f>
        <v>33.064</v>
      </c>
      <c r="DS83">
        <f>14.005</f>
        <v>14.005000000000001</v>
      </c>
      <c r="DT83">
        <f>34.421</f>
        <v>34.420999999999999</v>
      </c>
      <c r="DU83">
        <f>31.265</f>
        <v>31.265000000000001</v>
      </c>
    </row>
    <row r="84" spans="1:125">
      <c r="A84" t="str">
        <f>"    Columbia Property Trust Inc"</f>
        <v xml:space="preserve">    Columbia Property Trust Inc</v>
      </c>
      <c r="B84" t="str">
        <f>"CXP US Equity"</f>
        <v>CXP US Equity</v>
      </c>
      <c r="C84" t="str">
        <f t="shared" si="21"/>
        <v>CF039</v>
      </c>
      <c r="D84" t="str">
        <f t="shared" si="22"/>
        <v>CF_FFO</v>
      </c>
      <c r="E84" t="str">
        <f t="shared" si="23"/>
        <v>动态</v>
      </c>
      <c r="F84" t="str">
        <f ca="1">IF(AND(ISNUMBER($F$398),$B$294=1),$F$398,HLOOKUP(INDIRECT(ADDRESS(2,COLUMN())),OFFSET($BN$2,0,0,ROW()-1,60),ROW()-1,FALSE))</f>
        <v/>
      </c>
      <c r="G84">
        <f ca="1">IF(AND(ISNUMBER($G$398),$B$294=1),$G$398,HLOOKUP(INDIRECT(ADDRESS(2,COLUMN())),OFFSET($BN$2,0,0,ROW()-1,60),ROW()-1,FALSE))</f>
        <v>36.289000000000001</v>
      </c>
      <c r="H84">
        <f ca="1">IF(AND(ISNUMBER($H$398),$B$294=1),$H$398,HLOOKUP(INDIRECT(ADDRESS(2,COLUMN())),OFFSET($BN$2,0,0,ROW()-1,60),ROW()-1,FALSE))</f>
        <v>31.72</v>
      </c>
      <c r="I84">
        <f ca="1">IF(AND(ISNUMBER($I$398),$B$294=1),$I$398,HLOOKUP(INDIRECT(ADDRESS(2,COLUMN())),OFFSET($BN$2,0,0,ROW()-1,60),ROW()-1,FALSE))</f>
        <v>31.87</v>
      </c>
      <c r="J84">
        <f ca="1">IF(AND(ISNUMBER($J$398),$B$294=1),$J$398,HLOOKUP(INDIRECT(ADDRESS(2,COLUMN())),OFFSET($BN$2,0,0,ROW()-1,60),ROW()-1,FALSE))</f>
        <v>34.728999999999999</v>
      </c>
      <c r="K84">
        <f ca="1">IF(AND(ISNUMBER($K$398),$B$294=1),$K$398,HLOOKUP(INDIRECT(ADDRESS(2,COLUMN())),OFFSET($BN$2,0,0,ROW()-1,60),ROW()-1,FALSE))</f>
        <v>45.162999999999997</v>
      </c>
      <c r="L84">
        <f ca="1">IF(AND(ISNUMBER($L$398),$B$294=1),$L$398,HLOOKUP(INDIRECT(ADDRESS(2,COLUMN())),OFFSET($BN$2,0,0,ROW()-1,60),ROW()-1,FALSE))</f>
        <v>27.282</v>
      </c>
      <c r="M84">
        <f ca="1">IF(AND(ISNUMBER($M$398),$B$294=1),$M$398,HLOOKUP(INDIRECT(ADDRESS(2,COLUMN())),OFFSET($BN$2,0,0,ROW()-1,60),ROW()-1,FALSE))</f>
        <v>58.764000000000003</v>
      </c>
      <c r="N84">
        <f ca="1">IF(AND(ISNUMBER($N$398),$B$294=1),$N$398,HLOOKUP(INDIRECT(ADDRESS(2,COLUMN())),OFFSET($BN$2,0,0,ROW()-1,60),ROW()-1,FALSE))</f>
        <v>54.841000000000001</v>
      </c>
      <c r="O84">
        <f ca="1">IF(AND(ISNUMBER($O$398),$B$294=1),$O$398,HLOOKUP(INDIRECT(ADDRESS(2,COLUMN())),OFFSET($BN$2,0,0,ROW()-1,60),ROW()-1,FALSE))</f>
        <v>59.220999999999997</v>
      </c>
      <c r="P84">
        <f ca="1">IF(AND(ISNUMBER($P$398),$B$294=1),$P$398,HLOOKUP(INDIRECT(ADDRESS(2,COLUMN())),OFFSET($BN$2,0,0,ROW()-1,60),ROW()-1,FALSE))</f>
        <v>52.677999999999997</v>
      </c>
      <c r="Q84">
        <f ca="1">IF(AND(ISNUMBER($Q$398),$B$294=1),$Q$398,HLOOKUP(INDIRECT(ADDRESS(2,COLUMN())),OFFSET($BN$2,0,0,ROW()-1,60),ROW()-1,FALSE))</f>
        <v>66.260000000000005</v>
      </c>
      <c r="R84">
        <f ca="1">IF(AND(ISNUMBER($R$398),$B$294=1),$R$398,HLOOKUP(INDIRECT(ADDRESS(2,COLUMN())),OFFSET($BN$2,0,0,ROW()-1,60),ROW()-1,FALSE))</f>
        <v>62.823999999999998</v>
      </c>
      <c r="S84">
        <f ca="1">IF(AND(ISNUMBER($S$398),$B$294=1),$S$398,HLOOKUP(INDIRECT(ADDRESS(2,COLUMN())),OFFSET($BN$2,0,0,ROW()-1,60),ROW()-1,FALSE))</f>
        <v>61.292999999999999</v>
      </c>
      <c r="T84">
        <f ca="1">IF(AND(ISNUMBER($T$398),$B$294=1),$T$398,HLOOKUP(INDIRECT(ADDRESS(2,COLUMN())),OFFSET($BN$2,0,0,ROW()-1,60),ROW()-1,FALSE))</f>
        <v>55.837000000000003</v>
      </c>
      <c r="U84">
        <f ca="1">IF(AND(ISNUMBER($U$398),$B$294=1),$U$398,HLOOKUP(INDIRECT(ADDRESS(2,COLUMN())),OFFSET($BN$2,0,0,ROW()-1,60),ROW()-1,FALSE))</f>
        <v>60.493000000000002</v>
      </c>
      <c r="V84">
        <f ca="1">IF(AND(ISNUMBER($V$398),$B$294=1),$V$398,HLOOKUP(INDIRECT(ADDRESS(2,COLUMN())),OFFSET($BN$2,0,0,ROW()-1,60),ROW()-1,FALSE))</f>
        <v>63.103000000000002</v>
      </c>
      <c r="W84">
        <f ca="1">IF(AND(ISNUMBER($W$398),$B$294=1),$W$398,HLOOKUP(INDIRECT(ADDRESS(2,COLUMN())),OFFSET($BN$2,0,0,ROW()-1,60),ROW()-1,FALSE))</f>
        <v>59.404000000000003</v>
      </c>
      <c r="X84">
        <f ca="1">IF(AND(ISNUMBER($X$398),$B$294=1),$X$398,HLOOKUP(INDIRECT(ADDRESS(2,COLUMN())),OFFSET($BN$2,0,0,ROW()-1,60),ROW()-1,FALSE))</f>
        <v>70.608000000000004</v>
      </c>
      <c r="Y84">
        <f ca="1">IF(AND(ISNUMBER($Y$398),$B$294=1),$Y$398,HLOOKUP(INDIRECT(ADDRESS(2,COLUMN())),OFFSET($BN$2,0,0,ROW()-1,60),ROW()-1,FALSE))</f>
        <v>73.536000000000001</v>
      </c>
      <c r="Z84">
        <f ca="1">IF(AND(ISNUMBER($Z$398),$B$294=1),$Z$398,HLOOKUP(INDIRECT(ADDRESS(2,COLUMN())),OFFSET($BN$2,0,0,ROW()-1,60),ROW()-1,FALSE))</f>
        <v>36.819000000000003</v>
      </c>
      <c r="AA84">
        <f ca="1">IF(AND(ISNUMBER($AA$398),$B$294=1),$AA$398,HLOOKUP(INDIRECT(ADDRESS(2,COLUMN())),OFFSET($BN$2,0,0,ROW()-1,60),ROW()-1,FALSE))</f>
        <v>60.811999999999998</v>
      </c>
      <c r="AB84">
        <f ca="1">IF(AND(ISNUMBER($AB$398),$B$294=1),$AB$398,HLOOKUP(INDIRECT(ADDRESS(2,COLUMN())),OFFSET($BN$2,0,0,ROW()-1,60),ROW()-1,FALSE))</f>
        <v>67.647999999999996</v>
      </c>
      <c r="AC84">
        <f ca="1">IF(AND(ISNUMBER($AC$398),$B$294=1),$AC$398,HLOOKUP(INDIRECT(ADDRESS(2,COLUMN())),OFFSET($BN$2,0,0,ROW()-1,60),ROW()-1,FALSE))</f>
        <v>69.043000000000006</v>
      </c>
      <c r="AD84">
        <f ca="1">IF(AND(ISNUMBER($AD$398),$B$294=1),$AD$398,HLOOKUP(INDIRECT(ADDRESS(2,COLUMN())),OFFSET($BN$2,0,0,ROW()-1,60),ROW()-1,FALSE))</f>
        <v>71.427000000000007</v>
      </c>
      <c r="AE84">
        <f ca="1">IF(AND(ISNUMBER($AE$398),$B$294=1),$AE$398,HLOOKUP(INDIRECT(ADDRESS(2,COLUMN())),OFFSET($BN$2,0,0,ROW()-1,60),ROW()-1,FALSE))</f>
        <v>112.83499999999999</v>
      </c>
      <c r="AF84">
        <f ca="1">IF(AND(ISNUMBER($AF$398),$B$294=1),$AF$398,HLOOKUP(INDIRECT(ADDRESS(2,COLUMN())),OFFSET($BN$2,0,0,ROW()-1,60),ROW()-1,FALSE))</f>
        <v>71.009</v>
      </c>
      <c r="AG84">
        <f ca="1">IF(AND(ISNUMBER($AG$398),$B$294=1),$AG$398,HLOOKUP(INDIRECT(ADDRESS(2,COLUMN())),OFFSET($BN$2,0,0,ROW()-1,60),ROW()-1,FALSE))</f>
        <v>57.85</v>
      </c>
      <c r="AH84">
        <f ca="1">IF(AND(ISNUMBER($AH$398),$B$294=1),$AH$398,HLOOKUP(INDIRECT(ADDRESS(2,COLUMN())),OFFSET($BN$2,0,0,ROW()-1,60),ROW()-1,FALSE))</f>
        <v>60.920999999999999</v>
      </c>
      <c r="AI84">
        <f ca="1">IF(AND(ISNUMBER($AI$398),$B$294=1),$AI$398,HLOOKUP(INDIRECT(ADDRESS(2,COLUMN())),OFFSET($BN$2,0,0,ROW()-1,60),ROW()-1,FALSE))</f>
        <v>80.644000000000005</v>
      </c>
      <c r="AJ84">
        <f ca="1">IF(AND(ISNUMBER($AJ$398),$B$294=1),$AJ$398,HLOOKUP(INDIRECT(ADDRESS(2,COLUMN())),OFFSET($BN$2,0,0,ROW()-1,60),ROW()-1,FALSE))</f>
        <v>60.402999999999999</v>
      </c>
      <c r="AK84">
        <f ca="1">IF(AND(ISNUMBER($AK$398),$B$294=1),$AK$398,HLOOKUP(INDIRECT(ADDRESS(2,COLUMN())),OFFSET($BN$2,0,0,ROW()-1,60),ROW()-1,FALSE))</f>
        <v>47.357999999999997</v>
      </c>
      <c r="AL84">
        <f ca="1">IF(AND(ISNUMBER($AL$398),$B$294=1),$AL$398,HLOOKUP(INDIRECT(ADDRESS(2,COLUMN())),OFFSET($BN$2,0,0,ROW()-1,60),ROW()-1,FALSE))</f>
        <v>55.335000000000001</v>
      </c>
      <c r="AM84">
        <f ca="1">IF(AND(ISNUMBER($AM$398),$B$294=1),$AM$398,HLOOKUP(INDIRECT(ADDRESS(2,COLUMN())),OFFSET($BN$2,0,0,ROW()-1,60),ROW()-1,FALSE))</f>
        <v>79.616</v>
      </c>
      <c r="AN84">
        <f ca="1">IF(AND(ISNUMBER($AN$398),$B$294=1),$AN$398,HLOOKUP(INDIRECT(ADDRESS(2,COLUMN())),OFFSET($BN$2,0,0,ROW()-1,60),ROW()-1,FALSE))</f>
        <v>49.706000000000003</v>
      </c>
      <c r="AO84" t="str">
        <f ca="1">IF(AND(ISNUMBER($AO$398),$B$294=1),$AO$398,HLOOKUP(INDIRECT(ADDRESS(2,COLUMN())),OFFSET($BN$2,0,0,ROW()-1,60),ROW()-1,FALSE))</f>
        <v/>
      </c>
      <c r="AP84" t="str">
        <f ca="1">IF(AND(ISNUMBER($AP$398),$B$294=1),$AP$398,HLOOKUP(INDIRECT(ADDRESS(2,COLUMN())),OFFSET($BN$2,0,0,ROW()-1,60),ROW()-1,FALSE))</f>
        <v/>
      </c>
      <c r="AQ84" t="str">
        <f ca="1">IF(AND(ISNUMBER($AQ$398),$B$294=1),$AQ$398,HLOOKUP(INDIRECT(ADDRESS(2,COLUMN())),OFFSET($BN$2,0,0,ROW()-1,60),ROW()-1,FALSE))</f>
        <v/>
      </c>
      <c r="AR84" t="str">
        <f ca="1">IF(AND(ISNUMBER($AR$398),$B$294=1),$AR$398,HLOOKUP(INDIRECT(ADDRESS(2,COLUMN())),OFFSET($BN$2,0,0,ROW()-1,60),ROW()-1,FALSE))</f>
        <v/>
      </c>
      <c r="AS84" t="str">
        <f ca="1">IF(AND(ISNUMBER($AS$398),$B$294=1),$AS$398,HLOOKUP(INDIRECT(ADDRESS(2,COLUMN())),OFFSET($BN$2,0,0,ROW()-1,60),ROW()-1,FALSE))</f>
        <v/>
      </c>
      <c r="AT84" t="str">
        <f ca="1">IF(AND(ISNUMBER($AT$398),$B$294=1),$AT$398,HLOOKUP(INDIRECT(ADDRESS(2,COLUMN())),OFFSET($BN$2,0,0,ROW()-1,60),ROW()-1,FALSE))</f>
        <v/>
      </c>
      <c r="AU84" t="str">
        <f ca="1">IF(AND(ISNUMBER($AU$398),$B$294=1),$AU$398,HLOOKUP(INDIRECT(ADDRESS(2,COLUMN())),OFFSET($BN$2,0,0,ROW()-1,60),ROW()-1,FALSE))</f>
        <v/>
      </c>
      <c r="AV84" t="str">
        <f ca="1">IF(AND(ISNUMBER($AV$398),$B$294=1),$AV$398,HLOOKUP(INDIRECT(ADDRESS(2,COLUMN())),OFFSET($BN$2,0,0,ROW()-1,60),ROW()-1,FALSE))</f>
        <v/>
      </c>
      <c r="AW84" t="str">
        <f ca="1">IF(AND(ISNUMBER($AW$398),$B$294=1),$AW$398,HLOOKUP(INDIRECT(ADDRESS(2,COLUMN())),OFFSET($BN$2,0,0,ROW()-1,60),ROW()-1,FALSE))</f>
        <v/>
      </c>
      <c r="AX84" t="str">
        <f ca="1">IF(AND(ISNUMBER($AX$398),$B$294=1),$AX$398,HLOOKUP(INDIRECT(ADDRESS(2,COLUMN())),OFFSET($BN$2,0,0,ROW()-1,60),ROW()-1,FALSE))</f>
        <v/>
      </c>
      <c r="AY84" t="str">
        <f ca="1">IF(AND(ISNUMBER($AY$398),$B$294=1),$AY$398,HLOOKUP(INDIRECT(ADDRESS(2,COLUMN())),OFFSET($BN$2,0,0,ROW()-1,60),ROW()-1,FALSE))</f>
        <v/>
      </c>
      <c r="AZ84" t="str">
        <f ca="1">IF(AND(ISNUMBER($AZ$398),$B$294=1),$AZ$398,HLOOKUP(INDIRECT(ADDRESS(2,COLUMN())),OFFSET($BN$2,0,0,ROW()-1,60),ROW()-1,FALSE))</f>
        <v/>
      </c>
      <c r="BA84" t="str">
        <f ca="1">IF(AND(ISNUMBER($BA$398),$B$294=1),$BA$398,HLOOKUP(INDIRECT(ADDRESS(2,COLUMN())),OFFSET($BN$2,0,0,ROW()-1,60),ROW()-1,FALSE))</f>
        <v/>
      </c>
      <c r="BB84" t="str">
        <f ca="1">IF(AND(ISNUMBER($BB$398),$B$294=1),$BB$398,HLOOKUP(INDIRECT(ADDRESS(2,COLUMN())),OFFSET($BN$2,0,0,ROW()-1,60),ROW()-1,FALSE))</f>
        <v/>
      </c>
      <c r="BC84" t="str">
        <f ca="1">IF(AND(ISNUMBER($BC$398),$B$294=1),$BC$398,HLOOKUP(INDIRECT(ADDRESS(2,COLUMN())),OFFSET($BN$2,0,0,ROW()-1,60),ROW()-1,FALSE))</f>
        <v/>
      </c>
      <c r="BD84" t="str">
        <f ca="1">IF(AND(ISNUMBER($BD$398),$B$294=1),$BD$398,HLOOKUP(INDIRECT(ADDRESS(2,COLUMN())),OFFSET($BN$2,0,0,ROW()-1,60),ROW()-1,FALSE))</f>
        <v/>
      </c>
      <c r="BE84" t="str">
        <f ca="1">IF(AND(ISNUMBER($BE$398),$B$294=1),$BE$398,HLOOKUP(INDIRECT(ADDRESS(2,COLUMN())),OFFSET($BN$2,0,0,ROW()-1,60),ROW()-1,FALSE))</f>
        <v/>
      </c>
      <c r="BF84" t="str">
        <f ca="1">IF(AND(ISNUMBER($BF$398),$B$294=1),$BF$398,HLOOKUP(INDIRECT(ADDRESS(2,COLUMN())),OFFSET($BN$2,0,0,ROW()-1,60),ROW()-1,FALSE))</f>
        <v/>
      </c>
      <c r="BG84" t="str">
        <f ca="1">IF(AND(ISNUMBER($BG$398),$B$294=1),$BG$398,HLOOKUP(INDIRECT(ADDRESS(2,COLUMN())),OFFSET($BN$2,0,0,ROW()-1,60),ROW()-1,FALSE))</f>
        <v/>
      </c>
      <c r="BH84" t="str">
        <f ca="1">IF(AND(ISNUMBER($BH$398),$B$294=1),$BH$398,HLOOKUP(INDIRECT(ADDRESS(2,COLUMN())),OFFSET($BN$2,0,0,ROW()-1,60),ROW()-1,FALSE))</f>
        <v/>
      </c>
      <c r="BI84" t="str">
        <f ca="1">IF(AND(ISNUMBER($BI$398),$B$294=1),$BI$398,HLOOKUP(INDIRECT(ADDRESS(2,COLUMN())),OFFSET($BN$2,0,0,ROW()-1,60),ROW()-1,FALSE))</f>
        <v/>
      </c>
      <c r="BJ84" t="str">
        <f ca="1">IF(AND(ISNUMBER($BJ$398),$B$294=1),$BJ$398,HLOOKUP(INDIRECT(ADDRESS(2,COLUMN())),OFFSET($BN$2,0,0,ROW()-1,60),ROW()-1,FALSE))</f>
        <v/>
      </c>
      <c r="BK84" t="str">
        <f ca="1">IF(AND(ISNUMBER($BK$398),$B$294=1),$BK$398,HLOOKUP(INDIRECT(ADDRESS(2,COLUMN())),OFFSET($BN$2,0,0,ROW()-1,60),ROW()-1,FALSE))</f>
        <v/>
      </c>
      <c r="BL84" t="str">
        <f ca="1">IF(AND(ISNUMBER($BL$398),$B$294=1),$BL$398,HLOOKUP(INDIRECT(ADDRESS(2,COLUMN())),OFFSET($BN$2,0,0,ROW()-1,60),ROW()-1,FALSE))</f>
        <v/>
      </c>
      <c r="BM84" t="str">
        <f ca="1">IF(AND(ISNUMBER($BM$398),$B$294=1),$BM$398,HLOOKUP(INDIRECT(ADDRESS(2,COLUMN())),OFFSET($BN$2,0,0,ROW()-1,60),ROW()-1,FALSE))</f>
        <v/>
      </c>
      <c r="BN84" t="str">
        <f>""</f>
        <v/>
      </c>
      <c r="BO84">
        <f>36.289</f>
        <v>36.289000000000001</v>
      </c>
      <c r="BP84">
        <f>31.72</f>
        <v>31.72</v>
      </c>
      <c r="BQ84">
        <f>31.87</f>
        <v>31.87</v>
      </c>
      <c r="BR84">
        <f>34.729</f>
        <v>34.728999999999999</v>
      </c>
      <c r="BS84">
        <f>45.163</f>
        <v>45.162999999999997</v>
      </c>
      <c r="BT84">
        <f>27.282</f>
        <v>27.282</v>
      </c>
      <c r="BU84">
        <f>58.764</f>
        <v>58.764000000000003</v>
      </c>
      <c r="BV84">
        <f>54.841</f>
        <v>54.841000000000001</v>
      </c>
      <c r="BW84">
        <f>59.221</f>
        <v>59.220999999999997</v>
      </c>
      <c r="BX84">
        <f>52.678</f>
        <v>52.677999999999997</v>
      </c>
      <c r="BY84">
        <f>66.26</f>
        <v>66.260000000000005</v>
      </c>
      <c r="BZ84">
        <f>62.824</f>
        <v>62.823999999999998</v>
      </c>
      <c r="CA84">
        <f>61.293</f>
        <v>61.292999999999999</v>
      </c>
      <c r="CB84">
        <f>55.837</f>
        <v>55.837000000000003</v>
      </c>
      <c r="CC84">
        <f>60.493</f>
        <v>60.493000000000002</v>
      </c>
      <c r="CD84">
        <f>63.103</f>
        <v>63.103000000000002</v>
      </c>
      <c r="CE84">
        <f>59.404</f>
        <v>59.404000000000003</v>
      </c>
      <c r="CF84">
        <f>70.608</f>
        <v>70.608000000000004</v>
      </c>
      <c r="CG84">
        <f>73.536</f>
        <v>73.536000000000001</v>
      </c>
      <c r="CH84">
        <f>36.819</f>
        <v>36.819000000000003</v>
      </c>
      <c r="CI84">
        <f>60.812</f>
        <v>60.811999999999998</v>
      </c>
      <c r="CJ84">
        <f>67.648</f>
        <v>67.647999999999996</v>
      </c>
      <c r="CK84">
        <f>69.043</f>
        <v>69.043000000000006</v>
      </c>
      <c r="CL84">
        <f>71.427</f>
        <v>71.427000000000007</v>
      </c>
      <c r="CM84">
        <f>112.835</f>
        <v>112.83499999999999</v>
      </c>
      <c r="CN84">
        <f>71.009</f>
        <v>71.009</v>
      </c>
      <c r="CO84">
        <f>57.85</f>
        <v>57.85</v>
      </c>
      <c r="CP84">
        <f>60.921</f>
        <v>60.920999999999999</v>
      </c>
      <c r="CQ84">
        <f>80.644</f>
        <v>80.644000000000005</v>
      </c>
      <c r="CR84">
        <f>60.403</f>
        <v>60.402999999999999</v>
      </c>
      <c r="CS84">
        <f>47.358</f>
        <v>47.357999999999997</v>
      </c>
      <c r="CT84">
        <f>55.335</f>
        <v>55.335000000000001</v>
      </c>
      <c r="CU84">
        <f>79.616</f>
        <v>79.616</v>
      </c>
      <c r="CV84">
        <f>49.706</f>
        <v>49.706000000000003</v>
      </c>
      <c r="CW84" t="str">
        <f>""</f>
        <v/>
      </c>
      <c r="CX84" t="str">
        <f>""</f>
        <v/>
      </c>
      <c r="CY84" t="str">
        <f>""</f>
        <v/>
      </c>
      <c r="CZ84" t="str">
        <f>""</f>
        <v/>
      </c>
      <c r="DA84" t="str">
        <f>""</f>
        <v/>
      </c>
      <c r="DB84" t="str">
        <f>""</f>
        <v/>
      </c>
      <c r="DC84" t="str">
        <f>""</f>
        <v/>
      </c>
      <c r="DD84" t="str">
        <f>""</f>
        <v/>
      </c>
      <c r="DE84" t="str">
        <f>""</f>
        <v/>
      </c>
      <c r="DF84" t="str">
        <f>""</f>
        <v/>
      </c>
      <c r="DG84" t="str">
        <f>""</f>
        <v/>
      </c>
      <c r="DH84" t="str">
        <f>""</f>
        <v/>
      </c>
      <c r="DI84" t="str">
        <f>""</f>
        <v/>
      </c>
      <c r="DJ84" t="str">
        <f>""</f>
        <v/>
      </c>
      <c r="DK84" t="str">
        <f>""</f>
        <v/>
      </c>
      <c r="DL84" t="str">
        <f>""</f>
        <v/>
      </c>
      <c r="DM84" t="str">
        <f>""</f>
        <v/>
      </c>
      <c r="DN84" t="str">
        <f>""</f>
        <v/>
      </c>
      <c r="DO84" t="str">
        <f>""</f>
        <v/>
      </c>
      <c r="DP84" t="str">
        <f>""</f>
        <v/>
      </c>
      <c r="DQ84" t="str">
        <f>""</f>
        <v/>
      </c>
      <c r="DR84" t="str">
        <f>""</f>
        <v/>
      </c>
      <c r="DS84" t="str">
        <f>""</f>
        <v/>
      </c>
      <c r="DT84" t="str">
        <f>""</f>
        <v/>
      </c>
      <c r="DU84" t="str">
        <f>""</f>
        <v/>
      </c>
    </row>
    <row r="85" spans="1:125">
      <c r="A85" t="str">
        <f>"    Corporate Office Properties Tr"</f>
        <v xml:space="preserve">    Corporate Office Properties Tr</v>
      </c>
      <c r="B85" t="str">
        <f>"OFC US Equity"</f>
        <v>OFC US Equity</v>
      </c>
      <c r="C85" t="str">
        <f t="shared" si="21"/>
        <v>CF039</v>
      </c>
      <c r="D85" t="str">
        <f t="shared" si="22"/>
        <v>CF_FFO</v>
      </c>
      <c r="E85" t="str">
        <f t="shared" si="23"/>
        <v>动态</v>
      </c>
      <c r="F85" t="str">
        <f ca="1">IF(AND(ISNUMBER($F$399),$B$294=1),$F$399,HLOOKUP(INDIRECT(ADDRESS(2,COLUMN())),OFFSET($BN$2,0,0,ROW()-1,60),ROW()-1,FALSE))</f>
        <v/>
      </c>
      <c r="G85">
        <f ca="1">IF(AND(ISNUMBER($G$399),$B$294=1),$G$399,HLOOKUP(INDIRECT(ADDRESS(2,COLUMN())),OFFSET($BN$2,0,0,ROW()-1,60),ROW()-1,FALSE))</f>
        <v>48.92</v>
      </c>
      <c r="H85">
        <f ca="1">IF(AND(ISNUMBER($H$399),$B$294=1),$H$399,HLOOKUP(INDIRECT(ADDRESS(2,COLUMN())),OFFSET($BN$2,0,0,ROW()-1,60),ROW()-1,FALSE))</f>
        <v>55.966000000000001</v>
      </c>
      <c r="I85">
        <f ca="1">IF(AND(ISNUMBER($I$399),$B$294=1),$I$399,HLOOKUP(INDIRECT(ADDRESS(2,COLUMN())),OFFSET($BN$2,0,0,ROW()-1,60),ROW()-1,FALSE))</f>
        <v>42.767000000000003</v>
      </c>
      <c r="J85">
        <f ca="1">IF(AND(ISNUMBER($J$399),$B$294=1),$J$399,HLOOKUP(INDIRECT(ADDRESS(2,COLUMN())),OFFSET($BN$2,0,0,ROW()-1,60),ROW()-1,FALSE))</f>
        <v>51.9</v>
      </c>
      <c r="K85">
        <f ca="1">IF(AND(ISNUMBER($K$399),$B$294=1),$K$399,HLOOKUP(INDIRECT(ADDRESS(2,COLUMN())),OFFSET($BN$2,0,0,ROW()-1,60),ROW()-1,FALSE))</f>
        <v>56.558</v>
      </c>
      <c r="L85">
        <f ca="1">IF(AND(ISNUMBER($L$399),$B$294=1),$L$399,HLOOKUP(INDIRECT(ADDRESS(2,COLUMN())),OFFSET($BN$2,0,0,ROW()-1,60),ROW()-1,FALSE))</f>
        <v>48.448999999999998</v>
      </c>
      <c r="M85">
        <f ca="1">IF(AND(ISNUMBER($M$399),$B$294=1),$M$399,HLOOKUP(INDIRECT(ADDRESS(2,COLUMN())),OFFSET($BN$2,0,0,ROW()-1,60),ROW()-1,FALSE))</f>
        <v>35.194000000000003</v>
      </c>
      <c r="N85">
        <f ca="1">IF(AND(ISNUMBER($N$399),$B$294=1),$N$399,HLOOKUP(INDIRECT(ADDRESS(2,COLUMN())),OFFSET($BN$2,0,0,ROW()-1,60),ROW()-1,FALSE))</f>
        <v>38.56</v>
      </c>
      <c r="O85">
        <f ca="1">IF(AND(ISNUMBER($O$399),$B$294=1),$O$399,HLOOKUP(INDIRECT(ADDRESS(2,COLUMN())),OFFSET($BN$2,0,0,ROW()-1,60),ROW()-1,FALSE))</f>
        <v>30.488</v>
      </c>
      <c r="P85">
        <f ca="1">IF(AND(ISNUMBER($P$399),$B$294=1),$P$399,HLOOKUP(INDIRECT(ADDRESS(2,COLUMN())),OFFSET($BN$2,0,0,ROW()-1,60),ROW()-1,FALSE))</f>
        <v>129.70400000000001</v>
      </c>
      <c r="Q85">
        <f ca="1">IF(AND(ISNUMBER($Q$399),$B$294=1),$Q$399,HLOOKUP(INDIRECT(ADDRESS(2,COLUMN())),OFFSET($BN$2,0,0,ROW()-1,60),ROW()-1,FALSE))</f>
        <v>47.265000000000001</v>
      </c>
      <c r="R85">
        <f ca="1">IF(AND(ISNUMBER($R$399),$B$294=1),$R$399,HLOOKUP(INDIRECT(ADDRESS(2,COLUMN())),OFFSET($BN$2,0,0,ROW()-1,60),ROW()-1,FALSE))</f>
        <v>41.997</v>
      </c>
      <c r="S85">
        <f ca="1">IF(AND(ISNUMBER($S$399),$B$294=1),$S$399,HLOOKUP(INDIRECT(ADDRESS(2,COLUMN())),OFFSET($BN$2,0,0,ROW()-1,60),ROW()-1,FALSE))</f>
        <v>32.637999999999998</v>
      </c>
      <c r="T85">
        <f ca="1">IF(AND(ISNUMBER($T$399),$B$294=1),$T$399,HLOOKUP(INDIRECT(ADDRESS(2,COLUMN())),OFFSET($BN$2,0,0,ROW()-1,60),ROW()-1,FALSE))</f>
        <v>44.915999999999997</v>
      </c>
      <c r="U85">
        <f ca="1">IF(AND(ISNUMBER($U$399),$B$294=1),$U$399,HLOOKUP(INDIRECT(ADDRESS(2,COLUMN())),OFFSET($BN$2,0,0,ROW()-1,60),ROW()-1,FALSE))</f>
        <v>34.091000000000001</v>
      </c>
      <c r="V85">
        <f ca="1">IF(AND(ISNUMBER($V$399),$B$294=1),$V$399,HLOOKUP(INDIRECT(ADDRESS(2,COLUMN())),OFFSET($BN$2,0,0,ROW()-1,60),ROW()-1,FALSE))</f>
        <v>43.651000000000003</v>
      </c>
      <c r="W85">
        <f ca="1">IF(AND(ISNUMBER($W$399),$B$294=1),$W$399,HLOOKUP(INDIRECT(ADDRESS(2,COLUMN())),OFFSET($BN$2,0,0,ROW()-1,60),ROW()-1,FALSE))</f>
        <v>109.914</v>
      </c>
      <c r="X85">
        <f ca="1">IF(AND(ISNUMBER($X$399),$B$294=1),$X$399,HLOOKUP(INDIRECT(ADDRESS(2,COLUMN())),OFFSET($BN$2,0,0,ROW()-1,60),ROW()-1,FALSE))</f>
        <v>43.618000000000002</v>
      </c>
      <c r="Y85">
        <f ca="1">IF(AND(ISNUMBER($Y$399),$B$294=1),$Y$399,HLOOKUP(INDIRECT(ADDRESS(2,COLUMN())),OFFSET($BN$2,0,0,ROW()-1,60),ROW()-1,FALSE))</f>
        <v>22.411999999999999</v>
      </c>
      <c r="Z85">
        <f ca="1">IF(AND(ISNUMBER($Z$399),$B$294=1),$Z$399,HLOOKUP(INDIRECT(ADDRESS(2,COLUMN())),OFFSET($BN$2,0,0,ROW()-1,60),ROW()-1,FALSE))</f>
        <v>38.204999999999998</v>
      </c>
      <c r="AA85">
        <f ca="1">IF(AND(ISNUMBER($AA$399),$B$294=1),$AA$399,HLOOKUP(INDIRECT(ADDRESS(2,COLUMN())),OFFSET($BN$2,0,0,ROW()-1,60),ROW()-1,FALSE))</f>
        <v>40.625</v>
      </c>
      <c r="AB85">
        <f ca="1">IF(AND(ISNUMBER($AB$399),$B$294=1),$AB$399,HLOOKUP(INDIRECT(ADDRESS(2,COLUMN())),OFFSET($BN$2,0,0,ROW()-1,60),ROW()-1,FALSE))</f>
        <v>39.564999999999998</v>
      </c>
      <c r="AC85">
        <f ca="1">IF(AND(ISNUMBER($AC$399),$B$294=1),$AC$399,HLOOKUP(INDIRECT(ADDRESS(2,COLUMN())),OFFSET($BN$2,0,0,ROW()-1,60),ROW()-1,FALSE))</f>
        <v>41.143000000000001</v>
      </c>
      <c r="AD85">
        <f ca="1">IF(AND(ISNUMBER($AD$399),$B$294=1),$AD$399,HLOOKUP(INDIRECT(ADDRESS(2,COLUMN())),OFFSET($BN$2,0,0,ROW()-1,60),ROW()-1,FALSE))</f>
        <v>44.387</v>
      </c>
      <c r="AE85">
        <f ca="1">IF(AND(ISNUMBER($AE$399),$B$294=1),$AE$399,HLOOKUP(INDIRECT(ADDRESS(2,COLUMN())),OFFSET($BN$2,0,0,ROW()-1,60),ROW()-1,FALSE))</f>
        <v>-22.652999999999999</v>
      </c>
      <c r="AF85">
        <f ca="1">IF(AND(ISNUMBER($AF$399),$B$294=1),$AF$399,HLOOKUP(INDIRECT(ADDRESS(2,COLUMN())),OFFSET($BN$2,0,0,ROW()-1,60),ROW()-1,FALSE))</f>
        <v>37.029000000000003</v>
      </c>
      <c r="AG85">
        <f ca="1">IF(AND(ISNUMBER($AG$399),$B$294=1),$AG$399,HLOOKUP(INDIRECT(ADDRESS(2,COLUMN())),OFFSET($BN$2,0,0,ROW()-1,60),ROW()-1,FALSE))</f>
        <v>32.445999999999998</v>
      </c>
      <c r="AH85">
        <f ca="1">IF(AND(ISNUMBER($AH$399),$B$294=1),$AH$399,HLOOKUP(INDIRECT(ADDRESS(2,COLUMN())),OFFSET($BN$2,0,0,ROW()-1,60),ROW()-1,FALSE))</f>
        <v>9.4979999999999993</v>
      </c>
      <c r="AI85">
        <f ca="1">IF(AND(ISNUMBER($AI$399),$B$294=1),$AI$399,HLOOKUP(INDIRECT(ADDRESS(2,COLUMN())),OFFSET($BN$2,0,0,ROW()-1,60),ROW()-1,FALSE))</f>
        <v>47.226999999999997</v>
      </c>
      <c r="AJ85">
        <f ca="1">IF(AND(ISNUMBER($AJ$399),$B$294=1),$AJ$399,HLOOKUP(INDIRECT(ADDRESS(2,COLUMN())),OFFSET($BN$2,0,0,ROW()-1,60),ROW()-1,FALSE))</f>
        <v>34.277999999999999</v>
      </c>
      <c r="AK85">
        <f ca="1">IF(AND(ISNUMBER($AK$399),$B$294=1),$AK$399,HLOOKUP(INDIRECT(ADDRESS(2,COLUMN())),OFFSET($BN$2,0,0,ROW()-1,60),ROW()-1,FALSE))</f>
        <v>33.880000000000003</v>
      </c>
      <c r="AL85">
        <f ca="1">IF(AND(ISNUMBER($AL$399),$B$294=1),$AL$399,HLOOKUP(INDIRECT(ADDRESS(2,COLUMN())),OFFSET($BN$2,0,0,ROW()-1,60),ROW()-1,FALSE))</f>
        <v>33.26</v>
      </c>
      <c r="AM85">
        <f ca="1">IF(AND(ISNUMBER($AM$399),$B$294=1),$AM$399,HLOOKUP(INDIRECT(ADDRESS(2,COLUMN())),OFFSET($BN$2,0,0,ROW()-1,60),ROW()-1,FALSE))</f>
        <v>32.585999999999999</v>
      </c>
      <c r="AN85">
        <f ca="1">IF(AND(ISNUMBER($AN$399),$B$294=1),$AN$399,HLOOKUP(INDIRECT(ADDRESS(2,COLUMN())),OFFSET($BN$2,0,0,ROW()-1,60),ROW()-1,FALSE))</f>
        <v>37.771999999999998</v>
      </c>
      <c r="AO85">
        <f ca="1">IF(AND(ISNUMBER($AO$399),$B$294=1),$AO$399,HLOOKUP(INDIRECT(ADDRESS(2,COLUMN())),OFFSET($BN$2,0,0,ROW()-1,60),ROW()-1,FALSE))</f>
        <v>42.197000000000003</v>
      </c>
      <c r="AP85">
        <f ca="1">IF(AND(ISNUMBER($AP$399),$B$294=1),$AP$399,HLOOKUP(INDIRECT(ADDRESS(2,COLUMN())),OFFSET($BN$2,0,0,ROW()-1,60),ROW()-1,FALSE))</f>
        <v>40.070999999999998</v>
      </c>
      <c r="AQ85">
        <f ca="1">IF(AND(ISNUMBER($AQ$399),$B$294=1),$AQ$399,HLOOKUP(INDIRECT(ADDRESS(2,COLUMN())),OFFSET($BN$2,0,0,ROW()-1,60),ROW()-1,FALSE))</f>
        <v>44.176000000000002</v>
      </c>
      <c r="AR85">
        <f ca="1">IF(AND(ISNUMBER($AR$399),$B$294=1),$AR$399,HLOOKUP(INDIRECT(ADDRESS(2,COLUMN())),OFFSET($BN$2,0,0,ROW()-1,60),ROW()-1,FALSE))</f>
        <v>35.037999999999997</v>
      </c>
      <c r="AS85">
        <f ca="1">IF(AND(ISNUMBER($AS$399),$B$294=1),$AS$399,HLOOKUP(INDIRECT(ADDRESS(2,COLUMN())),OFFSET($BN$2,0,0,ROW()-1,60),ROW()-1,FALSE))</f>
        <v>33.082000000000001</v>
      </c>
      <c r="AT85">
        <f ca="1">IF(AND(ISNUMBER($AT$399),$B$294=1),$AT$399,HLOOKUP(INDIRECT(ADDRESS(2,COLUMN())),OFFSET($BN$2,0,0,ROW()-1,60),ROW()-1,FALSE))</f>
        <v>31.295999999999999</v>
      </c>
      <c r="AU85">
        <f ca="1">IF(AND(ISNUMBER($AU$399),$B$294=1),$AU$399,HLOOKUP(INDIRECT(ADDRESS(2,COLUMN())),OFFSET($BN$2,0,0,ROW()-1,60),ROW()-1,FALSE))</f>
        <v>32.832000000000001</v>
      </c>
      <c r="AV85">
        <f ca="1">IF(AND(ISNUMBER($AV$399),$B$294=1),$AV$399,HLOOKUP(INDIRECT(ADDRESS(2,COLUMN())),OFFSET($BN$2,0,0,ROW()-1,60),ROW()-1,FALSE))</f>
        <v>32.351999999999997</v>
      </c>
      <c r="AW85">
        <f ca="1">IF(AND(ISNUMBER($AW$399),$B$294=1),$AW$399,HLOOKUP(INDIRECT(ADDRESS(2,COLUMN())),OFFSET($BN$2,0,0,ROW()-1,60),ROW()-1,FALSE))</f>
        <v>31.837</v>
      </c>
      <c r="AX85">
        <f ca="1">IF(AND(ISNUMBER($AX$399),$B$294=1),$AX$399,HLOOKUP(INDIRECT(ADDRESS(2,COLUMN())),OFFSET($BN$2,0,0,ROW()-1,60),ROW()-1,FALSE))</f>
        <v>28.288</v>
      </c>
      <c r="AY85">
        <f ca="1">IF(AND(ISNUMBER($AY$399),$B$294=1),$AY$399,HLOOKUP(INDIRECT(ADDRESS(2,COLUMN())),OFFSET($BN$2,0,0,ROW()-1,60),ROW()-1,FALSE))</f>
        <v>25.077000000000002</v>
      </c>
      <c r="AZ85">
        <f ca="1">IF(AND(ISNUMBER($AZ$399),$B$294=1),$AZ$399,HLOOKUP(INDIRECT(ADDRESS(2,COLUMN())),OFFSET($BN$2,0,0,ROW()-1,60),ROW()-1,FALSE))</f>
        <v>24.329000000000001</v>
      </c>
      <c r="BA85">
        <f ca="1">IF(AND(ISNUMBER($BA$399),$B$294=1),$BA$399,HLOOKUP(INDIRECT(ADDRESS(2,COLUMN())),OFFSET($BN$2,0,0,ROW()-1,60),ROW()-1,FALSE))</f>
        <v>25.181000000000001</v>
      </c>
      <c r="BB85">
        <f ca="1">IF(AND(ISNUMBER($BB$399),$B$294=1),$BB$399,HLOOKUP(INDIRECT(ADDRESS(2,COLUMN())),OFFSET($BN$2,0,0,ROW()-1,60),ROW()-1,FALSE))</f>
        <v>24.35</v>
      </c>
      <c r="BC85">
        <f ca="1">IF(AND(ISNUMBER($BC$399),$B$294=1),$BC$399,HLOOKUP(INDIRECT(ADDRESS(2,COLUMN())),OFFSET($BN$2,0,0,ROW()-1,60),ROW()-1,FALSE))</f>
        <v>66.674000000000007</v>
      </c>
      <c r="BD85">
        <f ca="1">IF(AND(ISNUMBER($BD$399),$B$294=1),$BD$399,HLOOKUP(INDIRECT(ADDRESS(2,COLUMN())),OFFSET($BN$2,0,0,ROW()-1,60),ROW()-1,FALSE))</f>
        <v>28.719000000000001</v>
      </c>
      <c r="BE85">
        <f ca="1">IF(AND(ISNUMBER($BE$399),$B$294=1),$BE$399,HLOOKUP(INDIRECT(ADDRESS(2,COLUMN())),OFFSET($BN$2,0,0,ROW()-1,60),ROW()-1,FALSE))</f>
        <v>21.834</v>
      </c>
      <c r="BF85">
        <f ca="1">IF(AND(ISNUMBER($BF$399),$B$294=1),$BF$399,HLOOKUP(INDIRECT(ADDRESS(2,COLUMN())),OFFSET($BN$2,0,0,ROW()-1,60),ROW()-1,FALSE))</f>
        <v>21.143000000000001</v>
      </c>
      <c r="BG85">
        <f ca="1">IF(AND(ISNUMBER($BG$399),$B$294=1),$BG$399,HLOOKUP(INDIRECT(ADDRESS(2,COLUMN())),OFFSET($BN$2,0,0,ROW()-1,60),ROW()-1,FALSE))</f>
        <v>20.879000000000001</v>
      </c>
      <c r="BH85">
        <f ca="1">IF(AND(ISNUMBER($BH$399),$B$294=1),$BH$399,HLOOKUP(INDIRECT(ADDRESS(2,COLUMN())),OFFSET($BN$2,0,0,ROW()-1,60),ROW()-1,FALSE))</f>
        <v>17.367999999999999</v>
      </c>
      <c r="BI85">
        <f ca="1">IF(AND(ISNUMBER($BI$399),$B$294=1),$BI$399,HLOOKUP(INDIRECT(ADDRESS(2,COLUMN())),OFFSET($BN$2,0,0,ROW()-1,60),ROW()-1,FALSE))</f>
        <v>21.41</v>
      </c>
      <c r="BJ85">
        <f ca="1">IF(AND(ISNUMBER($BJ$399),$B$294=1),$BJ$399,HLOOKUP(INDIRECT(ADDRESS(2,COLUMN())),OFFSET($BN$2,0,0,ROW()-1,60),ROW()-1,FALSE))</f>
        <v>16.306999999999999</v>
      </c>
      <c r="BK85">
        <f ca="1">IF(AND(ISNUMBER($BK$399),$B$294=1),$BK$399,HLOOKUP(INDIRECT(ADDRESS(2,COLUMN())),OFFSET($BN$2,0,0,ROW()-1,60),ROW()-1,FALSE))</f>
        <v>16.187000269999999</v>
      </c>
      <c r="BL85">
        <f ca="1">IF(AND(ISNUMBER($BL$399),$B$294=1),$BL$399,HLOOKUP(INDIRECT(ADDRESS(2,COLUMN())),OFFSET($BN$2,0,0,ROW()-1,60),ROW()-1,FALSE))</f>
        <v>16.751999999999999</v>
      </c>
      <c r="BM85">
        <f ca="1">IF(AND(ISNUMBER($BM$399),$B$294=1),$BM$399,HLOOKUP(INDIRECT(ADDRESS(2,COLUMN())),OFFSET($BN$2,0,0,ROW()-1,60),ROW()-1,FALSE))</f>
        <v>14.909000000000001</v>
      </c>
      <c r="BN85" t="str">
        <f>""</f>
        <v/>
      </c>
      <c r="BO85">
        <f>48.92</f>
        <v>48.92</v>
      </c>
      <c r="BP85">
        <f>55.966</f>
        <v>55.966000000000001</v>
      </c>
      <c r="BQ85">
        <f>42.767</f>
        <v>42.767000000000003</v>
      </c>
      <c r="BR85">
        <f>51.9</f>
        <v>51.9</v>
      </c>
      <c r="BS85">
        <f>56.558</f>
        <v>56.558</v>
      </c>
      <c r="BT85">
        <f>48.449</f>
        <v>48.448999999999998</v>
      </c>
      <c r="BU85">
        <f>35.194</f>
        <v>35.194000000000003</v>
      </c>
      <c r="BV85">
        <f>38.56</f>
        <v>38.56</v>
      </c>
      <c r="BW85">
        <f>30.488</f>
        <v>30.488</v>
      </c>
      <c r="BX85">
        <f>129.704</f>
        <v>129.70400000000001</v>
      </c>
      <c r="BY85">
        <f>47.265</f>
        <v>47.265000000000001</v>
      </c>
      <c r="BZ85">
        <f>41.997</f>
        <v>41.997</v>
      </c>
      <c r="CA85">
        <f>32.638</f>
        <v>32.637999999999998</v>
      </c>
      <c r="CB85">
        <f>44.916</f>
        <v>44.915999999999997</v>
      </c>
      <c r="CC85">
        <f>34.091</f>
        <v>34.091000000000001</v>
      </c>
      <c r="CD85">
        <f>43.651</f>
        <v>43.651000000000003</v>
      </c>
      <c r="CE85">
        <f>109.914</f>
        <v>109.914</v>
      </c>
      <c r="CF85">
        <f>43.618</f>
        <v>43.618000000000002</v>
      </c>
      <c r="CG85">
        <f>22.412</f>
        <v>22.411999999999999</v>
      </c>
      <c r="CH85">
        <f>38.205</f>
        <v>38.204999999999998</v>
      </c>
      <c r="CI85">
        <f>40.625</f>
        <v>40.625</v>
      </c>
      <c r="CJ85">
        <f>39.565</f>
        <v>39.564999999999998</v>
      </c>
      <c r="CK85">
        <f>41.143</f>
        <v>41.143000000000001</v>
      </c>
      <c r="CL85">
        <f>44.387</f>
        <v>44.387</v>
      </c>
      <c r="CM85">
        <f>-22.653</f>
        <v>-22.652999999999999</v>
      </c>
      <c r="CN85">
        <f>37.029</f>
        <v>37.029000000000003</v>
      </c>
      <c r="CO85">
        <f>32.446</f>
        <v>32.445999999999998</v>
      </c>
      <c r="CP85">
        <f>9.498</f>
        <v>9.4979999999999993</v>
      </c>
      <c r="CQ85">
        <f>47.227</f>
        <v>47.226999999999997</v>
      </c>
      <c r="CR85">
        <f>34.278</f>
        <v>34.277999999999999</v>
      </c>
      <c r="CS85">
        <f>33.88</f>
        <v>33.880000000000003</v>
      </c>
      <c r="CT85">
        <f>33.26</f>
        <v>33.26</v>
      </c>
      <c r="CU85">
        <f>32.586</f>
        <v>32.585999999999999</v>
      </c>
      <c r="CV85">
        <f>37.772</f>
        <v>37.771999999999998</v>
      </c>
      <c r="CW85">
        <f>42.197</f>
        <v>42.197000000000003</v>
      </c>
      <c r="CX85">
        <f>40.071</f>
        <v>40.070999999999998</v>
      </c>
      <c r="CY85">
        <f>44.176</f>
        <v>44.176000000000002</v>
      </c>
      <c r="CZ85">
        <f>35.038</f>
        <v>35.037999999999997</v>
      </c>
      <c r="DA85">
        <f>33.082</f>
        <v>33.082000000000001</v>
      </c>
      <c r="DB85">
        <f>31.296</f>
        <v>31.295999999999999</v>
      </c>
      <c r="DC85">
        <f>32.832</f>
        <v>32.832000000000001</v>
      </c>
      <c r="DD85">
        <f>32.352</f>
        <v>32.351999999999997</v>
      </c>
      <c r="DE85">
        <f>31.837</f>
        <v>31.837</v>
      </c>
      <c r="DF85">
        <f>28.288</f>
        <v>28.288</v>
      </c>
      <c r="DG85">
        <f>25.077</f>
        <v>25.077000000000002</v>
      </c>
      <c r="DH85">
        <f>24.329</f>
        <v>24.329000000000001</v>
      </c>
      <c r="DI85">
        <f>25.181</f>
        <v>25.181000000000001</v>
      </c>
      <c r="DJ85">
        <f>24.35</f>
        <v>24.35</v>
      </c>
      <c r="DK85">
        <f>66.674</f>
        <v>66.674000000000007</v>
      </c>
      <c r="DL85">
        <f>28.719</f>
        <v>28.719000000000001</v>
      </c>
      <c r="DM85">
        <f>21.834</f>
        <v>21.834</v>
      </c>
      <c r="DN85">
        <f>21.143</f>
        <v>21.143000000000001</v>
      </c>
      <c r="DO85">
        <f>20.879</f>
        <v>20.879000000000001</v>
      </c>
      <c r="DP85">
        <f>17.368</f>
        <v>17.367999999999999</v>
      </c>
      <c r="DQ85">
        <f>21.41</f>
        <v>21.41</v>
      </c>
      <c r="DR85">
        <f>16.307</f>
        <v>16.306999999999999</v>
      </c>
      <c r="DS85">
        <f>16.18700027</f>
        <v>16.187000269999999</v>
      </c>
      <c r="DT85">
        <f>16.752</f>
        <v>16.751999999999999</v>
      </c>
      <c r="DU85">
        <f>14.909</f>
        <v>14.909000000000001</v>
      </c>
    </row>
    <row r="86" spans="1:125">
      <c r="A86" t="str">
        <f>"    Highwoods Properties Inc"</f>
        <v xml:space="preserve">    Highwoods Properties Inc</v>
      </c>
      <c r="B86" t="str">
        <f>"HIW US Equity"</f>
        <v>HIW US Equity</v>
      </c>
      <c r="C86" t="str">
        <f t="shared" si="21"/>
        <v>CF039</v>
      </c>
      <c r="D86" t="str">
        <f t="shared" si="22"/>
        <v>CF_FFO</v>
      </c>
      <c r="E86" t="str">
        <f t="shared" si="23"/>
        <v>动态</v>
      </c>
      <c r="F86" t="str">
        <f ca="1">IF(AND(ISNUMBER($F$400),$B$294=1),$F$400,HLOOKUP(INDIRECT(ADDRESS(2,COLUMN())),OFFSET($BN$2,0,0,ROW()-1,60),ROW()-1,FALSE))</f>
        <v/>
      </c>
      <c r="G86">
        <f ca="1">IF(AND(ISNUMBER($G$400),$B$294=1),$G$400,HLOOKUP(INDIRECT(ADDRESS(2,COLUMN())),OFFSET($BN$2,0,0,ROW()-1,60),ROW()-1,FALSE))</f>
        <v>88.703000000000003</v>
      </c>
      <c r="H86">
        <f ca="1">IF(AND(ISNUMBER($H$400),$B$294=1),$H$400,HLOOKUP(INDIRECT(ADDRESS(2,COLUMN())),OFFSET($BN$2,0,0,ROW()-1,60),ROW()-1,FALSE))</f>
        <v>90.944999999999993</v>
      </c>
      <c r="I86">
        <f ca="1">IF(AND(ISNUMBER($I$400),$B$294=1),$I$400,HLOOKUP(INDIRECT(ADDRESS(2,COLUMN())),OFFSET($BN$2,0,0,ROW()-1,60),ROW()-1,FALSE))</f>
        <v>94.48</v>
      </c>
      <c r="J86">
        <f ca="1">IF(AND(ISNUMBER($J$400),$B$294=1),$J$400,HLOOKUP(INDIRECT(ADDRESS(2,COLUMN())),OFFSET($BN$2,0,0,ROW()-1,60),ROW()-1,FALSE))</f>
        <v>83.367000000000004</v>
      </c>
      <c r="K86">
        <f ca="1">IF(AND(ISNUMBER($K$400),$B$294=1),$K$400,HLOOKUP(INDIRECT(ADDRESS(2,COLUMN())),OFFSET($BN$2,0,0,ROW()-1,60),ROW()-1,FALSE))</f>
        <v>84.603999999999999</v>
      </c>
      <c r="L86">
        <f ca="1">IF(AND(ISNUMBER($L$400),$B$294=1),$L$400,HLOOKUP(INDIRECT(ADDRESS(2,COLUMN())),OFFSET($BN$2,0,0,ROW()-1,60),ROW()-1,FALSE))</f>
        <v>84.093999999999994</v>
      </c>
      <c r="M86">
        <f ca="1">IF(AND(ISNUMBER($M$400),$B$294=1),$M$400,HLOOKUP(INDIRECT(ADDRESS(2,COLUMN())),OFFSET($BN$2,0,0,ROW()-1,60),ROW()-1,FALSE))</f>
        <v>82.155000000000001</v>
      </c>
      <c r="N86">
        <f ca="1">IF(AND(ISNUMBER($N$400),$B$294=1),$N$400,HLOOKUP(INDIRECT(ADDRESS(2,COLUMN())),OFFSET($BN$2,0,0,ROW()-1,60),ROW()-1,FALSE))</f>
        <v>81.459000000000003</v>
      </c>
      <c r="O86">
        <f ca="1">IF(AND(ISNUMBER($O$400),$B$294=1),$O$400,HLOOKUP(INDIRECT(ADDRESS(2,COLUMN())),OFFSET($BN$2,0,0,ROW()-1,60),ROW()-1,FALSE))</f>
        <v>80.784000000000006</v>
      </c>
      <c r="P86">
        <f ca="1">IF(AND(ISNUMBER($P$400),$B$294=1),$P$400,HLOOKUP(INDIRECT(ADDRESS(2,COLUMN())),OFFSET($BN$2,0,0,ROW()-1,60),ROW()-1,FALSE))</f>
        <v>74.804000000000002</v>
      </c>
      <c r="Q86">
        <f ca="1">IF(AND(ISNUMBER($Q$400),$B$294=1),$Q$400,HLOOKUP(INDIRECT(ADDRESS(2,COLUMN())),OFFSET($BN$2,0,0,ROW()-1,60),ROW()-1,FALSE))</f>
        <v>75.155000000000001</v>
      </c>
      <c r="R86">
        <f ca="1">IF(AND(ISNUMBER($R$400),$B$294=1),$R$400,HLOOKUP(INDIRECT(ADDRESS(2,COLUMN())),OFFSET($BN$2,0,0,ROW()-1,60),ROW()-1,FALSE))</f>
        <v>68.971000000000004</v>
      </c>
      <c r="S86">
        <f ca="1">IF(AND(ISNUMBER($S$400),$B$294=1),$S$400,HLOOKUP(INDIRECT(ADDRESS(2,COLUMN())),OFFSET($BN$2,0,0,ROW()-1,60),ROW()-1,FALSE))</f>
        <v>70.218000000000004</v>
      </c>
      <c r="T86">
        <f ca="1">IF(AND(ISNUMBER($T$400),$B$294=1),$T$400,HLOOKUP(INDIRECT(ADDRESS(2,COLUMN())),OFFSET($BN$2,0,0,ROW()-1,60),ROW()-1,FALSE))</f>
        <v>65.799000000000007</v>
      </c>
      <c r="U86">
        <f ca="1">IF(AND(ISNUMBER($U$400),$B$294=1),$U$400,HLOOKUP(INDIRECT(ADDRESS(2,COLUMN())),OFFSET($BN$2,0,0,ROW()-1,60),ROW()-1,FALSE))</f>
        <v>74.558000000000007</v>
      </c>
      <c r="V86">
        <f ca="1">IF(AND(ISNUMBER($V$400),$B$294=1),$V$400,HLOOKUP(INDIRECT(ADDRESS(2,COLUMN())),OFFSET($BN$2,0,0,ROW()-1,60),ROW()-1,FALSE))</f>
        <v>61.164000000000001</v>
      </c>
      <c r="W86">
        <f ca="1">IF(AND(ISNUMBER($W$400),$B$294=1),$W$400,HLOOKUP(INDIRECT(ADDRESS(2,COLUMN())),OFFSET($BN$2,0,0,ROW()-1,60),ROW()-1,FALSE))</f>
        <v>68.921999999999997</v>
      </c>
      <c r="X86">
        <f ca="1">IF(AND(ISNUMBER($X$400),$B$294=1),$X$400,HLOOKUP(INDIRECT(ADDRESS(2,COLUMN())),OFFSET($BN$2,0,0,ROW()-1,60),ROW()-1,FALSE))</f>
        <v>63.182000000000002</v>
      </c>
      <c r="Y86">
        <f ca="1">IF(AND(ISNUMBER($Y$400),$B$294=1),$Y$400,HLOOKUP(INDIRECT(ADDRESS(2,COLUMN())),OFFSET($BN$2,0,0,ROW()-1,60),ROW()-1,FALSE))</f>
        <v>60.645000000000003</v>
      </c>
      <c r="Z86">
        <f ca="1">IF(AND(ISNUMBER($Z$400),$B$294=1),$Z$400,HLOOKUP(INDIRECT(ADDRESS(2,COLUMN())),OFFSET($BN$2,0,0,ROW()-1,60),ROW()-1,FALSE))</f>
        <v>57.15</v>
      </c>
      <c r="AA86">
        <f ca="1">IF(AND(ISNUMBER($AA$400),$B$294=1),$AA$400,HLOOKUP(INDIRECT(ADDRESS(2,COLUMN())),OFFSET($BN$2,0,0,ROW()-1,60),ROW()-1,FALSE))</f>
        <v>55.58</v>
      </c>
      <c r="AB86">
        <f ca="1">IF(AND(ISNUMBER($AB$400),$B$294=1),$AB$400,HLOOKUP(INDIRECT(ADDRESS(2,COLUMN())),OFFSET($BN$2,0,0,ROW()-1,60),ROW()-1,FALSE))</f>
        <v>52.195</v>
      </c>
      <c r="AC86">
        <f ca="1">IF(AND(ISNUMBER($AC$400),$B$294=1),$AC$400,HLOOKUP(INDIRECT(ADDRESS(2,COLUMN())),OFFSET($BN$2,0,0,ROW()-1,60),ROW()-1,FALSE))</f>
        <v>54.113999999999997</v>
      </c>
      <c r="AD86">
        <f ca="1">IF(AND(ISNUMBER($AD$400),$B$294=1),$AD$400,HLOOKUP(INDIRECT(ADDRESS(2,COLUMN())),OFFSET($BN$2,0,0,ROW()-1,60),ROW()-1,FALSE))</f>
        <v>53.46</v>
      </c>
      <c r="AE86">
        <f ca="1">IF(AND(ISNUMBER($AE$400),$B$294=1),$AE$400,HLOOKUP(INDIRECT(ADDRESS(2,COLUMN())),OFFSET($BN$2,0,0,ROW()-1,60),ROW()-1,FALSE))</f>
        <v>53.215000000000003</v>
      </c>
      <c r="AF86">
        <f ca="1">IF(AND(ISNUMBER($AF$400),$B$294=1),$AF$400,HLOOKUP(INDIRECT(ADDRESS(2,COLUMN())),OFFSET($BN$2,0,0,ROW()-1,60),ROW()-1,FALSE))</f>
        <v>45.093000000000004</v>
      </c>
      <c r="AG86">
        <f ca="1">IF(AND(ISNUMBER($AG$400),$B$294=1),$AG$400,HLOOKUP(INDIRECT(ADDRESS(2,COLUMN())),OFFSET($BN$2,0,0,ROW()-1,60),ROW()-1,FALSE))</f>
        <v>45.771000000000001</v>
      </c>
      <c r="AH86">
        <f ca="1">IF(AND(ISNUMBER($AH$400),$B$294=1),$AH$400,HLOOKUP(INDIRECT(ADDRESS(2,COLUMN())),OFFSET($BN$2,0,0,ROW()-1,60),ROW()-1,FALSE))</f>
        <v>46.113999999999997</v>
      </c>
      <c r="AI86">
        <f ca="1">IF(AND(ISNUMBER($AI$400),$B$294=1),$AI$400,HLOOKUP(INDIRECT(ADDRESS(2,COLUMN())),OFFSET($BN$2,0,0,ROW()-1,60),ROW()-1,FALSE))</f>
        <v>46.762999999999998</v>
      </c>
      <c r="AJ86">
        <f ca="1">IF(AND(ISNUMBER($AJ$400),$B$294=1),$AJ$400,HLOOKUP(INDIRECT(ADDRESS(2,COLUMN())),OFFSET($BN$2,0,0,ROW()-1,60),ROW()-1,FALSE))</f>
        <v>43.177</v>
      </c>
      <c r="AK86">
        <f ca="1">IF(AND(ISNUMBER($AK$400),$B$294=1),$AK$400,HLOOKUP(INDIRECT(ADDRESS(2,COLUMN())),OFFSET($BN$2,0,0,ROW()-1,60),ROW()-1,FALSE))</f>
        <v>48.655000000000001</v>
      </c>
      <c r="AL86">
        <f ca="1">IF(AND(ISNUMBER($AL$400),$B$294=1),$AL$400,HLOOKUP(INDIRECT(ADDRESS(2,COLUMN())),OFFSET($BN$2,0,0,ROW()-1,60),ROW()-1,FALSE))</f>
        <v>45.831000000000003</v>
      </c>
      <c r="AM86">
        <f ca="1">IF(AND(ISNUMBER($AM$400),$B$294=1),$AM$400,HLOOKUP(INDIRECT(ADDRESS(2,COLUMN())),OFFSET($BN$2,0,0,ROW()-1,60),ROW()-1,FALSE))</f>
        <v>31.710999999999999</v>
      </c>
      <c r="AN86">
        <f ca="1">IF(AND(ISNUMBER($AN$400),$B$294=1),$AN$400,HLOOKUP(INDIRECT(ADDRESS(2,COLUMN())),OFFSET($BN$2,0,0,ROW()-1,60),ROW()-1,FALSE))</f>
        <v>46.387999999999998</v>
      </c>
      <c r="AO86">
        <f ca="1">IF(AND(ISNUMBER($AO$400),$B$294=1),$AO$400,HLOOKUP(INDIRECT(ADDRESS(2,COLUMN())),OFFSET($BN$2,0,0,ROW()-1,60),ROW()-1,FALSE))</f>
        <v>49.305</v>
      </c>
      <c r="AP86">
        <f ca="1">IF(AND(ISNUMBER($AP$400),$B$294=1),$AP$400,HLOOKUP(INDIRECT(ADDRESS(2,COLUMN())),OFFSET($BN$2,0,0,ROW()-1,60),ROW()-1,FALSE))</f>
        <v>47.643999999999998</v>
      </c>
      <c r="AQ86">
        <f ca="1">IF(AND(ISNUMBER($AQ$400),$B$294=1),$AQ$400,HLOOKUP(INDIRECT(ADDRESS(2,COLUMN())),OFFSET($BN$2,0,0,ROW()-1,60),ROW()-1,FALSE))</f>
        <v>13.166</v>
      </c>
      <c r="AR86">
        <f ca="1">IF(AND(ISNUMBER($AR$400),$B$294=1),$AR$400,HLOOKUP(INDIRECT(ADDRESS(2,COLUMN())),OFFSET($BN$2,0,0,ROW()-1,60),ROW()-1,FALSE))</f>
        <v>44.584000000000003</v>
      </c>
      <c r="AS86">
        <f ca="1">IF(AND(ISNUMBER($AS$400),$B$294=1),$AS$400,HLOOKUP(INDIRECT(ADDRESS(2,COLUMN())),OFFSET($BN$2,0,0,ROW()-1,60),ROW()-1,FALSE))</f>
        <v>42.262999999999998</v>
      </c>
      <c r="AT86">
        <f ca="1">IF(AND(ISNUMBER($AT$400),$B$294=1),$AT$400,HLOOKUP(INDIRECT(ADDRESS(2,COLUMN())),OFFSET($BN$2,0,0,ROW()-1,60),ROW()-1,FALSE))</f>
        <v>43.459000000000003</v>
      </c>
      <c r="AU86">
        <f ca="1">IF(AND(ISNUMBER($AU$400),$B$294=1),$AU$400,HLOOKUP(INDIRECT(ADDRESS(2,COLUMN())),OFFSET($BN$2,0,0,ROW()-1,60),ROW()-1,FALSE))</f>
        <v>39.774999999999999</v>
      </c>
      <c r="AV86">
        <f ca="1">IF(AND(ISNUMBER($AV$400),$B$294=1),$AV$400,HLOOKUP(INDIRECT(ADDRESS(2,COLUMN())),OFFSET($BN$2,0,0,ROW()-1,60),ROW()-1,FALSE))</f>
        <v>36.149000000000001</v>
      </c>
      <c r="AW86">
        <f ca="1">IF(AND(ISNUMBER($AW$400),$B$294=1),$AW$400,HLOOKUP(INDIRECT(ADDRESS(2,COLUMN())),OFFSET($BN$2,0,0,ROW()-1,60),ROW()-1,FALSE))</f>
        <v>35.619999999999997</v>
      </c>
      <c r="AX86">
        <f ca="1">IF(AND(ISNUMBER($AX$400),$B$294=1),$AX$400,HLOOKUP(INDIRECT(ADDRESS(2,COLUMN())),OFFSET($BN$2,0,0,ROW()-1,60),ROW()-1,FALSE))</f>
        <v>56.55</v>
      </c>
      <c r="AY86">
        <f ca="1">IF(AND(ISNUMBER($AY$400),$B$294=1),$AY$400,HLOOKUP(INDIRECT(ADDRESS(2,COLUMN())),OFFSET($BN$2,0,0,ROW()-1,60),ROW()-1,FALSE))</f>
        <v>44.14</v>
      </c>
      <c r="AZ86">
        <f ca="1">IF(AND(ISNUMBER($AZ$400),$B$294=1),$AZ$400,HLOOKUP(INDIRECT(ADDRESS(2,COLUMN())),OFFSET($BN$2,0,0,ROW()-1,60),ROW()-1,FALSE))</f>
        <v>32.838000000000001</v>
      </c>
      <c r="BA86">
        <f ca="1">IF(AND(ISNUMBER($BA$400),$B$294=1),$BA$400,HLOOKUP(INDIRECT(ADDRESS(2,COLUMN())),OFFSET($BN$2,0,0,ROW()-1,60),ROW()-1,FALSE))</f>
        <v>32.539000000000001</v>
      </c>
      <c r="BB86">
        <f ca="1">IF(AND(ISNUMBER($BB$400),$B$294=1),$BB$400,HLOOKUP(INDIRECT(ADDRESS(2,COLUMN())),OFFSET($BN$2,0,0,ROW()-1,60),ROW()-1,FALSE))</f>
        <v>35.768000000000001</v>
      </c>
      <c r="BC86">
        <f ca="1">IF(AND(ISNUMBER($BC$400),$B$294=1),$BC$400,HLOOKUP(INDIRECT(ADDRESS(2,COLUMN())),OFFSET($BN$2,0,0,ROW()-1,60),ROW()-1,FALSE))</f>
        <v>25.689</v>
      </c>
      <c r="BD86">
        <f ca="1">IF(AND(ISNUMBER($BD$400),$B$294=1),$BD$400,HLOOKUP(INDIRECT(ADDRESS(2,COLUMN())),OFFSET($BN$2,0,0,ROW()-1,60),ROW()-1,FALSE))</f>
        <v>29.003</v>
      </c>
      <c r="BE86">
        <f ca="1">IF(AND(ISNUMBER($BE$400),$B$294=1),$BE$400,HLOOKUP(INDIRECT(ADDRESS(2,COLUMN())),OFFSET($BN$2,0,0,ROW()-1,60),ROW()-1,FALSE))</f>
        <v>36.301000000000002</v>
      </c>
      <c r="BF86">
        <f ca="1">IF(AND(ISNUMBER($BF$400),$B$294=1),$BF$400,HLOOKUP(INDIRECT(ADDRESS(2,COLUMN())),OFFSET($BN$2,0,0,ROW()-1,60),ROW()-1,FALSE))</f>
        <v>36.228000000000002</v>
      </c>
      <c r="BG86">
        <f ca="1">IF(AND(ISNUMBER($BG$400),$B$294=1),$BG$400,HLOOKUP(INDIRECT(ADDRESS(2,COLUMN())),OFFSET($BN$2,0,0,ROW()-1,60),ROW()-1,FALSE))</f>
        <v>30.638000000000002</v>
      </c>
      <c r="BH86">
        <f ca="1">IF(AND(ISNUMBER($BH$400),$B$294=1),$BH$400,HLOOKUP(INDIRECT(ADDRESS(2,COLUMN())),OFFSET($BN$2,0,0,ROW()-1,60),ROW()-1,FALSE))</f>
        <v>47.448</v>
      </c>
      <c r="BI86">
        <f ca="1">IF(AND(ISNUMBER($BI$400),$B$294=1),$BI$400,HLOOKUP(INDIRECT(ADDRESS(2,COLUMN())),OFFSET($BN$2,0,0,ROW()-1,60),ROW()-1,FALSE))</f>
        <v>16.917000000000002</v>
      </c>
      <c r="BJ86">
        <f ca="1">IF(AND(ISNUMBER($BJ$400),$B$294=1),$BJ$400,HLOOKUP(INDIRECT(ADDRESS(2,COLUMN())),OFFSET($BN$2,0,0,ROW()-1,60),ROW()-1,FALSE))</f>
        <v>29.157</v>
      </c>
      <c r="BK86">
        <f ca="1">IF(AND(ISNUMBER($BK$400),$B$294=1),$BK$400,HLOOKUP(INDIRECT(ADDRESS(2,COLUMN())),OFFSET($BN$2,0,0,ROW()-1,60),ROW()-1,FALSE))</f>
        <v>95.06</v>
      </c>
      <c r="BL86">
        <f ca="1">IF(AND(ISNUMBER($BL$400),$B$294=1),$BL$400,HLOOKUP(INDIRECT(ADDRESS(2,COLUMN())),OFFSET($BN$2,0,0,ROW()-1,60),ROW()-1,FALSE))</f>
        <v>44.804000000000002</v>
      </c>
      <c r="BM86">
        <f ca="1">IF(AND(ISNUMBER($BM$400),$B$294=1),$BM$400,HLOOKUP(INDIRECT(ADDRESS(2,COLUMN())),OFFSET($BN$2,0,0,ROW()-1,60),ROW()-1,FALSE))</f>
        <v>33.323999999999998</v>
      </c>
      <c r="BN86" t="str">
        <f>""</f>
        <v/>
      </c>
      <c r="BO86">
        <f>88.703</f>
        <v>88.703000000000003</v>
      </c>
      <c r="BP86">
        <f>90.945</f>
        <v>90.944999999999993</v>
      </c>
      <c r="BQ86">
        <f>94.48</f>
        <v>94.48</v>
      </c>
      <c r="BR86">
        <f>83.367</f>
        <v>83.367000000000004</v>
      </c>
      <c r="BS86">
        <f>84.604</f>
        <v>84.603999999999999</v>
      </c>
      <c r="BT86">
        <f>84.094</f>
        <v>84.093999999999994</v>
      </c>
      <c r="BU86">
        <f>82.155</f>
        <v>82.155000000000001</v>
      </c>
      <c r="BV86">
        <f>81.459</f>
        <v>81.459000000000003</v>
      </c>
      <c r="BW86">
        <f>80.784</f>
        <v>80.784000000000006</v>
      </c>
      <c r="BX86">
        <f>74.804</f>
        <v>74.804000000000002</v>
      </c>
      <c r="BY86">
        <f>75.155</f>
        <v>75.155000000000001</v>
      </c>
      <c r="BZ86">
        <f>68.971</f>
        <v>68.971000000000004</v>
      </c>
      <c r="CA86">
        <f>70.218</f>
        <v>70.218000000000004</v>
      </c>
      <c r="CB86">
        <f>65.799</f>
        <v>65.799000000000007</v>
      </c>
      <c r="CC86">
        <f>74.558</f>
        <v>74.558000000000007</v>
      </c>
      <c r="CD86">
        <f>61.164</f>
        <v>61.164000000000001</v>
      </c>
      <c r="CE86">
        <f>68.922</f>
        <v>68.921999999999997</v>
      </c>
      <c r="CF86">
        <f>63.182</f>
        <v>63.182000000000002</v>
      </c>
      <c r="CG86">
        <f>60.645</f>
        <v>60.645000000000003</v>
      </c>
      <c r="CH86">
        <f>57.15</f>
        <v>57.15</v>
      </c>
      <c r="CI86">
        <f>55.58</f>
        <v>55.58</v>
      </c>
      <c r="CJ86">
        <f>52.195</f>
        <v>52.195</v>
      </c>
      <c r="CK86">
        <f>54.114</f>
        <v>54.113999999999997</v>
      </c>
      <c r="CL86">
        <f>53.46</f>
        <v>53.46</v>
      </c>
      <c r="CM86">
        <f>53.215</f>
        <v>53.215000000000003</v>
      </c>
      <c r="CN86">
        <f>45.093</f>
        <v>45.093000000000004</v>
      </c>
      <c r="CO86">
        <f>45.771</f>
        <v>45.771000000000001</v>
      </c>
      <c r="CP86">
        <f>46.114</f>
        <v>46.113999999999997</v>
      </c>
      <c r="CQ86">
        <f>46.763</f>
        <v>46.762999999999998</v>
      </c>
      <c r="CR86">
        <f>43.177</f>
        <v>43.177</v>
      </c>
      <c r="CS86">
        <f>48.655</f>
        <v>48.655000000000001</v>
      </c>
      <c r="CT86">
        <f>45.831</f>
        <v>45.831000000000003</v>
      </c>
      <c r="CU86">
        <f>31.711</f>
        <v>31.710999999999999</v>
      </c>
      <c r="CV86">
        <f>46.388</f>
        <v>46.387999999999998</v>
      </c>
      <c r="CW86">
        <f>49.305</f>
        <v>49.305</v>
      </c>
      <c r="CX86">
        <f>47.644</f>
        <v>47.643999999999998</v>
      </c>
      <c r="CY86">
        <f>13.166</f>
        <v>13.166</v>
      </c>
      <c r="CZ86">
        <f>44.584</f>
        <v>44.584000000000003</v>
      </c>
      <c r="DA86">
        <f>42.263</f>
        <v>42.262999999999998</v>
      </c>
      <c r="DB86">
        <f>43.459</f>
        <v>43.459000000000003</v>
      </c>
      <c r="DC86">
        <f>39.775</f>
        <v>39.774999999999999</v>
      </c>
      <c r="DD86">
        <f>36.149</f>
        <v>36.149000000000001</v>
      </c>
      <c r="DE86">
        <f>35.62</f>
        <v>35.619999999999997</v>
      </c>
      <c r="DF86">
        <f>56.55</f>
        <v>56.55</v>
      </c>
      <c r="DG86">
        <f>44.14</f>
        <v>44.14</v>
      </c>
      <c r="DH86">
        <f>32.838</f>
        <v>32.838000000000001</v>
      </c>
      <c r="DI86">
        <f>32.539</f>
        <v>32.539000000000001</v>
      </c>
      <c r="DJ86">
        <f>35.768</f>
        <v>35.768000000000001</v>
      </c>
      <c r="DK86">
        <f>25.689</f>
        <v>25.689</v>
      </c>
      <c r="DL86">
        <f>29.003</f>
        <v>29.003</v>
      </c>
      <c r="DM86">
        <f>36.301</f>
        <v>36.301000000000002</v>
      </c>
      <c r="DN86">
        <f>36.228</f>
        <v>36.228000000000002</v>
      </c>
      <c r="DO86">
        <f>30.638</f>
        <v>30.638000000000002</v>
      </c>
      <c r="DP86">
        <f>47.448</f>
        <v>47.448</v>
      </c>
      <c r="DQ86">
        <f>16.917</f>
        <v>16.917000000000002</v>
      </c>
      <c r="DR86">
        <f>29.157</f>
        <v>29.157</v>
      </c>
      <c r="DS86">
        <f>95.06</f>
        <v>95.06</v>
      </c>
      <c r="DT86">
        <f>44.804</f>
        <v>44.804000000000002</v>
      </c>
      <c r="DU86">
        <f>33.324</f>
        <v>33.323999999999998</v>
      </c>
    </row>
    <row r="87" spans="1:125">
      <c r="A87" t="str">
        <f>"    Kilroy Realty Corp"</f>
        <v xml:space="preserve">    Kilroy Realty Corp</v>
      </c>
      <c r="B87" t="str">
        <f>"KRC US Equity"</f>
        <v>KRC US Equity</v>
      </c>
      <c r="C87" t="str">
        <f t="shared" si="21"/>
        <v>CF039</v>
      </c>
      <c r="D87" t="str">
        <f t="shared" si="22"/>
        <v>CF_FFO</v>
      </c>
      <c r="E87" t="str">
        <f t="shared" si="23"/>
        <v>动态</v>
      </c>
      <c r="F87" t="str">
        <f ca="1">IF(AND(ISNUMBER($F$401),$B$294=1),$F$401,HLOOKUP(INDIRECT(ADDRESS(2,COLUMN())),OFFSET($BN$2,0,0,ROW()-1,60),ROW()-1,FALSE))</f>
        <v/>
      </c>
      <c r="G87">
        <f ca="1">IF(AND(ISNUMBER($G$401),$B$294=1),$G$401,HLOOKUP(INDIRECT(ADDRESS(2,COLUMN())),OFFSET($BN$2,0,0,ROW()-1,60),ROW()-1,FALSE))</f>
        <v>86.539000000000001</v>
      </c>
      <c r="H87">
        <f ca="1">IF(AND(ISNUMBER($H$401),$B$294=1),$H$401,HLOOKUP(INDIRECT(ADDRESS(2,COLUMN())),OFFSET($BN$2,0,0,ROW()-1,60),ROW()-1,FALSE))</f>
        <v>89.546999999999997</v>
      </c>
      <c r="I87">
        <f ca="1">IF(AND(ISNUMBER($I$401),$B$294=1),$I$401,HLOOKUP(INDIRECT(ADDRESS(2,COLUMN())),OFFSET($BN$2,0,0,ROW()-1,60),ROW()-1,FALSE))</f>
        <v>88.766999999999996</v>
      </c>
      <c r="J87">
        <f ca="1">IF(AND(ISNUMBER($J$401),$B$294=1),$J$401,HLOOKUP(INDIRECT(ADDRESS(2,COLUMN())),OFFSET($BN$2,0,0,ROW()-1,60),ROW()-1,FALSE))</f>
        <v>81.933999999999997</v>
      </c>
      <c r="K87">
        <f ca="1">IF(AND(ISNUMBER($K$401),$B$294=1),$K$401,HLOOKUP(INDIRECT(ADDRESS(2,COLUMN())),OFFSET($BN$2,0,0,ROW()-1,60),ROW()-1,FALSE))</f>
        <v>84.292000000000002</v>
      </c>
      <c r="L87">
        <f ca="1">IF(AND(ISNUMBER($L$401),$B$294=1),$L$401,HLOOKUP(INDIRECT(ADDRESS(2,COLUMN())),OFFSET($BN$2,0,0,ROW()-1,60),ROW()-1,FALSE))</f>
        <v>88.534999999999997</v>
      </c>
      <c r="M87">
        <f ca="1">IF(AND(ISNUMBER($M$401),$B$294=1),$M$401,HLOOKUP(INDIRECT(ADDRESS(2,COLUMN())),OFFSET($BN$2,0,0,ROW()-1,60),ROW()-1,FALSE))</f>
        <v>82.721999999999994</v>
      </c>
      <c r="N87">
        <f ca="1">IF(AND(ISNUMBER($N$401),$B$294=1),$N$401,HLOOKUP(INDIRECT(ADDRESS(2,COLUMN())),OFFSET($BN$2,0,0,ROW()-1,60),ROW()-1,FALSE))</f>
        <v>78.192999999999998</v>
      </c>
      <c r="O87">
        <f ca="1">IF(AND(ISNUMBER($O$401),$B$294=1),$O$401,HLOOKUP(INDIRECT(ADDRESS(2,COLUMN())),OFFSET($BN$2,0,0,ROW()-1,60),ROW()-1,FALSE))</f>
        <v>76.673000000000002</v>
      </c>
      <c r="P87">
        <f ca="1">IF(AND(ISNUMBER($P$401),$B$294=1),$P$401,HLOOKUP(INDIRECT(ADDRESS(2,COLUMN())),OFFSET($BN$2,0,0,ROW()-1,60),ROW()-1,FALSE))</f>
        <v>73.587999999999994</v>
      </c>
      <c r="Q87">
        <f ca="1">IF(AND(ISNUMBER($Q$401),$B$294=1),$Q$401,HLOOKUP(INDIRECT(ADDRESS(2,COLUMN())),OFFSET($BN$2,0,0,ROW()-1,60),ROW()-1,FALSE))</f>
        <v>74.819000000000003</v>
      </c>
      <c r="R87">
        <f ca="1">IF(AND(ISNUMBER($R$401),$B$294=1),$R$401,HLOOKUP(INDIRECT(ADDRESS(2,COLUMN())),OFFSET($BN$2,0,0,ROW()-1,60),ROW()-1,FALSE))</f>
        <v>91.531999999999996</v>
      </c>
      <c r="S87">
        <f ca="1">IF(AND(ISNUMBER($S$401),$B$294=1),$S$401,HLOOKUP(INDIRECT(ADDRESS(2,COLUMN())),OFFSET($BN$2,0,0,ROW()-1,60),ROW()-1,FALSE))</f>
        <v>69.816999999999993</v>
      </c>
      <c r="T87">
        <f ca="1">IF(AND(ISNUMBER($T$401),$B$294=1),$T$401,HLOOKUP(INDIRECT(ADDRESS(2,COLUMN())),OFFSET($BN$2,0,0,ROW()-1,60),ROW()-1,FALSE))</f>
        <v>60.399000000000001</v>
      </c>
      <c r="U87">
        <f ca="1">IF(AND(ISNUMBER($U$401),$B$294=1),$U$401,HLOOKUP(INDIRECT(ADDRESS(2,COLUMN())),OFFSET($BN$2,0,0,ROW()-1,60),ROW()-1,FALSE))</f>
        <v>63.307000000000002</v>
      </c>
      <c r="V87">
        <f ca="1">IF(AND(ISNUMBER($V$401),$B$294=1),$V$401,HLOOKUP(INDIRECT(ADDRESS(2,COLUMN())),OFFSET($BN$2,0,0,ROW()-1,60),ROW()-1,FALSE))</f>
        <v>57.220999999999997</v>
      </c>
      <c r="W87">
        <f ca="1">IF(AND(ISNUMBER($W$401),$B$294=1),$W$401,HLOOKUP(INDIRECT(ADDRESS(2,COLUMN())),OFFSET($BN$2,0,0,ROW()-1,60),ROW()-1,FALSE))</f>
        <v>58.481999999999999</v>
      </c>
      <c r="X87">
        <f ca="1">IF(AND(ISNUMBER($X$401),$B$294=1),$X$401,HLOOKUP(INDIRECT(ADDRESS(2,COLUMN())),OFFSET($BN$2,0,0,ROW()-1,60),ROW()-1,FALSE))</f>
        <v>55.899000000000001</v>
      </c>
      <c r="Y87">
        <f ca="1">IF(AND(ISNUMBER($Y$401),$B$294=1),$Y$401,HLOOKUP(INDIRECT(ADDRESS(2,COLUMN())),OFFSET($BN$2,0,0,ROW()-1,60),ROW()-1,FALSE))</f>
        <v>55.154000000000003</v>
      </c>
      <c r="Z87">
        <f ca="1">IF(AND(ISNUMBER($Z$401),$B$294=1),$Z$401,HLOOKUP(INDIRECT(ADDRESS(2,COLUMN())),OFFSET($BN$2,0,0,ROW()-1,60),ROW()-1,FALSE))</f>
        <v>49.085999999999999</v>
      </c>
      <c r="AA87">
        <f ca="1">IF(AND(ISNUMBER($AA$401),$B$294=1),$AA$401,HLOOKUP(INDIRECT(ADDRESS(2,COLUMN())),OFFSET($BN$2,0,0,ROW()-1,60),ROW()-1,FALSE))</f>
        <v>49.814999999999998</v>
      </c>
      <c r="AB87">
        <f ca="1">IF(AND(ISNUMBER($AB$401),$B$294=1),$AB$401,HLOOKUP(INDIRECT(ADDRESS(2,COLUMN())),OFFSET($BN$2,0,0,ROW()-1,60),ROW()-1,FALSE))</f>
        <v>43.142000000000003</v>
      </c>
      <c r="AC87">
        <f ca="1">IF(AND(ISNUMBER($AC$401),$B$294=1),$AC$401,HLOOKUP(INDIRECT(ADDRESS(2,COLUMN())),OFFSET($BN$2,0,0,ROW()-1,60),ROW()-1,FALSE))</f>
        <v>39.508000000000003</v>
      </c>
      <c r="AD87">
        <f ca="1">IF(AND(ISNUMBER($AD$401),$B$294=1),$AD$401,HLOOKUP(INDIRECT(ADDRESS(2,COLUMN())),OFFSET($BN$2,0,0,ROW()-1,60),ROW()-1,FALSE))</f>
        <v>32.99</v>
      </c>
      <c r="AE87">
        <f ca="1">IF(AND(ISNUMBER($AE$401),$B$294=1),$AE$401,HLOOKUP(INDIRECT(ADDRESS(2,COLUMN())),OFFSET($BN$2,0,0,ROW()-1,60),ROW()-1,FALSE))</f>
        <v>40.524999999999999</v>
      </c>
      <c r="AF87">
        <f ca="1">IF(AND(ISNUMBER($AF$401),$B$294=1),$AF$401,HLOOKUP(INDIRECT(ADDRESS(2,COLUMN())),OFFSET($BN$2,0,0,ROW()-1,60),ROW()-1,FALSE))</f>
        <v>33.878</v>
      </c>
      <c r="AG87">
        <f ca="1">IF(AND(ISNUMBER($AG$401),$B$294=1),$AG$401,HLOOKUP(INDIRECT(ADDRESS(2,COLUMN())),OFFSET($BN$2,0,0,ROW()-1,60),ROW()-1,FALSE))</f>
        <v>31.643000000000001</v>
      </c>
      <c r="AH87">
        <f ca="1">IF(AND(ISNUMBER($AH$401),$B$294=1),$AH$401,HLOOKUP(INDIRECT(ADDRESS(2,COLUMN())),OFFSET($BN$2,0,0,ROW()-1,60),ROW()-1,FALSE))</f>
        <v>30.126999999999999</v>
      </c>
      <c r="AI87">
        <f ca="1">IF(AND(ISNUMBER($AI$401),$B$294=1),$AI$401,HLOOKUP(INDIRECT(ADDRESS(2,COLUMN())),OFFSET($BN$2,0,0,ROW()-1,60),ROW()-1,FALSE))</f>
        <v>29.484999999999999</v>
      </c>
      <c r="AJ87">
        <f ca="1">IF(AND(ISNUMBER($AJ$401),$B$294=1),$AJ$401,HLOOKUP(INDIRECT(ADDRESS(2,COLUMN())),OFFSET($BN$2,0,0,ROW()-1,60),ROW()-1,FALSE))</f>
        <v>29.69</v>
      </c>
      <c r="AK87">
        <f ca="1">IF(AND(ISNUMBER($AK$401),$B$294=1),$AK$401,HLOOKUP(INDIRECT(ADDRESS(2,COLUMN())),OFFSET($BN$2,0,0,ROW()-1,60),ROW()-1,FALSE))</f>
        <v>21.658000000000001</v>
      </c>
      <c r="AL87">
        <f ca="1">IF(AND(ISNUMBER($AL$401),$B$294=1),$AL$401,HLOOKUP(INDIRECT(ADDRESS(2,COLUMN())),OFFSET($BN$2,0,0,ROW()-1,60),ROW()-1,FALSE))</f>
        <v>25.806000000000001</v>
      </c>
      <c r="AM87">
        <f ca="1">IF(AND(ISNUMBER($AM$401),$B$294=1),$AM$401,HLOOKUP(INDIRECT(ADDRESS(2,COLUMN())),OFFSET($BN$2,0,0,ROW()-1,60),ROW()-1,FALSE))</f>
        <v>17.677</v>
      </c>
      <c r="AN87">
        <f ca="1">IF(AND(ISNUMBER($AN$401),$B$294=1),$AN$401,HLOOKUP(INDIRECT(ADDRESS(2,COLUMN())),OFFSET($BN$2,0,0,ROW()-1,60),ROW()-1,FALSE))</f>
        <v>30.187999999999999</v>
      </c>
      <c r="AO87">
        <f ca="1">IF(AND(ISNUMBER($AO$401),$B$294=1),$AO$401,HLOOKUP(INDIRECT(ADDRESS(2,COLUMN())),OFFSET($BN$2,0,0,ROW()-1,60),ROW()-1,FALSE))</f>
        <v>30.331</v>
      </c>
      <c r="AP87">
        <f ca="1">IF(AND(ISNUMBER($AP$401),$B$294=1),$AP$401,HLOOKUP(INDIRECT(ADDRESS(2,COLUMN())),OFFSET($BN$2,0,0,ROW()-1,60),ROW()-1,FALSE))</f>
        <v>28.960999999999999</v>
      </c>
      <c r="AQ87">
        <f ca="1">IF(AND(ISNUMBER($AQ$401),$B$294=1),$AQ$401,HLOOKUP(INDIRECT(ADDRESS(2,COLUMN())),OFFSET($BN$2,0,0,ROW()-1,60),ROW()-1,FALSE))</f>
        <v>25.736999999999998</v>
      </c>
      <c r="AR87">
        <f ca="1">IF(AND(ISNUMBER($AR$401),$B$294=1),$AR$401,HLOOKUP(INDIRECT(ADDRESS(2,COLUMN())),OFFSET($BN$2,0,0,ROW()-1,60),ROW()-1,FALSE))</f>
        <v>33.295999999999999</v>
      </c>
      <c r="AS87">
        <f ca="1">IF(AND(ISNUMBER($AS$401),$B$294=1),$AS$401,HLOOKUP(INDIRECT(ADDRESS(2,COLUMN())),OFFSET($BN$2,0,0,ROW()-1,60),ROW()-1,FALSE))</f>
        <v>25.893000000000001</v>
      </c>
      <c r="AT87">
        <f ca="1">IF(AND(ISNUMBER($AT$401),$B$294=1),$AT$401,HLOOKUP(INDIRECT(ADDRESS(2,COLUMN())),OFFSET($BN$2,0,0,ROW()-1,60),ROW()-1,FALSE))</f>
        <v>29.047000000000001</v>
      </c>
      <c r="AU87">
        <f ca="1">IF(AND(ISNUMBER($AU$401),$B$294=1),$AU$401,HLOOKUP(INDIRECT(ADDRESS(2,COLUMN())),OFFSET($BN$2,0,0,ROW()-1,60),ROW()-1,FALSE))</f>
        <v>29.672000000000001</v>
      </c>
      <c r="AV87">
        <f ca="1">IF(AND(ISNUMBER($AV$401),$B$294=1),$AV$401,HLOOKUP(INDIRECT(ADDRESS(2,COLUMN())),OFFSET($BN$2,0,0,ROW()-1,60),ROW()-1,FALSE))</f>
        <v>28.212</v>
      </c>
      <c r="AW87">
        <f ca="1">IF(AND(ISNUMBER($AW$401),$B$294=1),$AW$401,HLOOKUP(INDIRECT(ADDRESS(2,COLUMN())),OFFSET($BN$2,0,0,ROW()-1,60),ROW()-1,FALSE))</f>
        <v>26.673999999999999</v>
      </c>
      <c r="AX87">
        <f ca="1">IF(AND(ISNUMBER($AX$401),$B$294=1),$AX$401,HLOOKUP(INDIRECT(ADDRESS(2,COLUMN())),OFFSET($BN$2,0,0,ROW()-1,60),ROW()-1,FALSE))</f>
        <v>26.021000000000001</v>
      </c>
      <c r="AY87">
        <f ca="1">IF(AND(ISNUMBER($AY$401),$B$294=1),$AY$401,HLOOKUP(INDIRECT(ADDRESS(2,COLUMN())),OFFSET($BN$2,0,0,ROW()-1,60),ROW()-1,FALSE))</f>
        <v>27.311</v>
      </c>
      <c r="AZ87">
        <f ca="1">IF(AND(ISNUMBER($AZ$401),$B$294=1),$AZ$401,HLOOKUP(INDIRECT(ADDRESS(2,COLUMN())),OFFSET($BN$2,0,0,ROW()-1,60),ROW()-1,FALSE))</f>
        <v>26.457999999999998</v>
      </c>
      <c r="BA87">
        <f ca="1">IF(AND(ISNUMBER($BA$401),$B$294=1),$BA$401,HLOOKUP(INDIRECT(ADDRESS(2,COLUMN())),OFFSET($BN$2,0,0,ROW()-1,60),ROW()-1,FALSE))</f>
        <v>37.628999999999998</v>
      </c>
      <c r="BB87">
        <f ca="1">IF(AND(ISNUMBER($BB$401),$B$294=1),$BB$401,HLOOKUP(INDIRECT(ADDRESS(2,COLUMN())),OFFSET($BN$2,0,0,ROW()-1,60),ROW()-1,FALSE))</f>
        <v>26.786999999999999</v>
      </c>
      <c r="BC87">
        <f ca="1">IF(AND(ISNUMBER($BC$401),$B$294=1),$BC$401,HLOOKUP(INDIRECT(ADDRESS(2,COLUMN())),OFFSET($BN$2,0,0,ROW()-1,60),ROW()-1,FALSE))</f>
        <v>8.5060000000000002</v>
      </c>
      <c r="BD87">
        <f ca="1">IF(AND(ISNUMBER($BD$401),$B$294=1),$BD$401,HLOOKUP(INDIRECT(ADDRESS(2,COLUMN())),OFFSET($BN$2,0,0,ROW()-1,60),ROW()-1,FALSE))</f>
        <v>14.15</v>
      </c>
      <c r="BE87">
        <f ca="1">IF(AND(ISNUMBER($BE$401),$B$294=1),$BE$401,HLOOKUP(INDIRECT(ADDRESS(2,COLUMN())),OFFSET($BN$2,0,0,ROW()-1,60),ROW()-1,FALSE))</f>
        <v>14.695</v>
      </c>
      <c r="BF87">
        <f ca="1">IF(AND(ISNUMBER($BF$401),$B$294=1),$BF$401,HLOOKUP(INDIRECT(ADDRESS(2,COLUMN())),OFFSET($BN$2,0,0,ROW()-1,60),ROW()-1,FALSE))</f>
        <v>26.25</v>
      </c>
      <c r="BG87">
        <f ca="1">IF(AND(ISNUMBER($BG$401),$B$294=1),$BG$401,HLOOKUP(INDIRECT(ADDRESS(2,COLUMN())),OFFSET($BN$2,0,0,ROW()-1,60),ROW()-1,FALSE))</f>
        <v>17.36</v>
      </c>
      <c r="BH87">
        <f ca="1">IF(AND(ISNUMBER($BH$401),$B$294=1),$BH$401,HLOOKUP(INDIRECT(ADDRESS(2,COLUMN())),OFFSET($BN$2,0,0,ROW()-1,60),ROW()-1,FALSE))</f>
        <v>20.722000000000001</v>
      </c>
      <c r="BI87">
        <f ca="1">IF(AND(ISNUMBER($BI$401),$B$294=1),$BI$401,HLOOKUP(INDIRECT(ADDRESS(2,COLUMN())),OFFSET($BN$2,0,0,ROW()-1,60),ROW()-1,FALSE))</f>
        <v>23.385000000000002</v>
      </c>
      <c r="BJ87">
        <f ca="1">IF(AND(ISNUMBER($BJ$401),$B$294=1),$BJ$401,HLOOKUP(INDIRECT(ADDRESS(2,COLUMN())),OFFSET($BN$2,0,0,ROW()-1,60),ROW()-1,FALSE))</f>
        <v>20.956</v>
      </c>
      <c r="BK87">
        <f ca="1">IF(AND(ISNUMBER($BK$401),$B$294=1),$BK$401,HLOOKUP(INDIRECT(ADDRESS(2,COLUMN())),OFFSET($BN$2,0,0,ROW()-1,60),ROW()-1,FALSE))</f>
        <v>20.197000500000001</v>
      </c>
      <c r="BL87">
        <f ca="1">IF(AND(ISNUMBER($BL$401),$B$294=1),$BL$401,HLOOKUP(INDIRECT(ADDRESS(2,COLUMN())),OFFSET($BN$2,0,0,ROW()-1,60),ROW()-1,FALSE))</f>
        <v>37.473999999999997</v>
      </c>
      <c r="BM87">
        <f ca="1">IF(AND(ISNUMBER($BM$401),$B$294=1),$BM$401,HLOOKUP(INDIRECT(ADDRESS(2,COLUMN())),OFFSET($BN$2,0,0,ROW()-1,60),ROW()-1,FALSE))</f>
        <v>24.89</v>
      </c>
      <c r="BN87" t="str">
        <f>""</f>
        <v/>
      </c>
      <c r="BO87">
        <f>86.539</f>
        <v>86.539000000000001</v>
      </c>
      <c r="BP87">
        <f>89.547</f>
        <v>89.546999999999997</v>
      </c>
      <c r="BQ87">
        <f>88.767</f>
        <v>88.766999999999996</v>
      </c>
      <c r="BR87">
        <f>81.934</f>
        <v>81.933999999999997</v>
      </c>
      <c r="BS87">
        <f>84.292</f>
        <v>84.292000000000002</v>
      </c>
      <c r="BT87">
        <f>88.535</f>
        <v>88.534999999999997</v>
      </c>
      <c r="BU87">
        <f>82.722</f>
        <v>82.721999999999994</v>
      </c>
      <c r="BV87">
        <f>78.193</f>
        <v>78.192999999999998</v>
      </c>
      <c r="BW87">
        <f>76.673</f>
        <v>76.673000000000002</v>
      </c>
      <c r="BX87">
        <f>73.588</f>
        <v>73.587999999999994</v>
      </c>
      <c r="BY87">
        <f>74.819</f>
        <v>74.819000000000003</v>
      </c>
      <c r="BZ87">
        <f>91.532</f>
        <v>91.531999999999996</v>
      </c>
      <c r="CA87">
        <f>69.817</f>
        <v>69.816999999999993</v>
      </c>
      <c r="CB87">
        <f>60.399</f>
        <v>60.399000000000001</v>
      </c>
      <c r="CC87">
        <f>63.307</f>
        <v>63.307000000000002</v>
      </c>
      <c r="CD87">
        <f>57.221</f>
        <v>57.220999999999997</v>
      </c>
      <c r="CE87">
        <f>58.482</f>
        <v>58.481999999999999</v>
      </c>
      <c r="CF87">
        <f>55.899</f>
        <v>55.899000000000001</v>
      </c>
      <c r="CG87">
        <f>55.154</f>
        <v>55.154000000000003</v>
      </c>
      <c r="CH87">
        <f>49.086</f>
        <v>49.085999999999999</v>
      </c>
      <c r="CI87">
        <f>49.815</f>
        <v>49.814999999999998</v>
      </c>
      <c r="CJ87">
        <f>43.142</f>
        <v>43.142000000000003</v>
      </c>
      <c r="CK87">
        <f>39.508</f>
        <v>39.508000000000003</v>
      </c>
      <c r="CL87">
        <f>32.99</f>
        <v>32.99</v>
      </c>
      <c r="CM87">
        <f>40.525</f>
        <v>40.524999999999999</v>
      </c>
      <c r="CN87">
        <f>33.878</f>
        <v>33.878</v>
      </c>
      <c r="CO87">
        <f>31.643</f>
        <v>31.643000000000001</v>
      </c>
      <c r="CP87">
        <f>30.127</f>
        <v>30.126999999999999</v>
      </c>
      <c r="CQ87">
        <f>29.485</f>
        <v>29.484999999999999</v>
      </c>
      <c r="CR87">
        <f>29.69</f>
        <v>29.69</v>
      </c>
      <c r="CS87">
        <f>21.658</f>
        <v>21.658000000000001</v>
      </c>
      <c r="CT87">
        <f>25.806</f>
        <v>25.806000000000001</v>
      </c>
      <c r="CU87">
        <f>17.677</f>
        <v>17.677</v>
      </c>
      <c r="CV87">
        <f>30.188</f>
        <v>30.187999999999999</v>
      </c>
      <c r="CW87">
        <f>30.331</f>
        <v>30.331</v>
      </c>
      <c r="CX87">
        <f>28.961</f>
        <v>28.960999999999999</v>
      </c>
      <c r="CY87">
        <f>25.737</f>
        <v>25.736999999999998</v>
      </c>
      <c r="CZ87">
        <f>33.296</f>
        <v>33.295999999999999</v>
      </c>
      <c r="DA87">
        <f>25.893</f>
        <v>25.893000000000001</v>
      </c>
      <c r="DB87">
        <f>29.047</f>
        <v>29.047000000000001</v>
      </c>
      <c r="DC87">
        <f>29.672</f>
        <v>29.672000000000001</v>
      </c>
      <c r="DD87">
        <f>28.212</f>
        <v>28.212</v>
      </c>
      <c r="DE87">
        <f>26.674</f>
        <v>26.673999999999999</v>
      </c>
      <c r="DF87">
        <f>26.021</f>
        <v>26.021000000000001</v>
      </c>
      <c r="DG87">
        <f>27.311</f>
        <v>27.311</v>
      </c>
      <c r="DH87">
        <f>26.458</f>
        <v>26.457999999999998</v>
      </c>
      <c r="DI87">
        <f>37.629</f>
        <v>37.628999999999998</v>
      </c>
      <c r="DJ87">
        <f>26.787</f>
        <v>26.786999999999999</v>
      </c>
      <c r="DK87">
        <f>8.506</f>
        <v>8.5060000000000002</v>
      </c>
      <c r="DL87">
        <f>14.15</f>
        <v>14.15</v>
      </c>
      <c r="DM87">
        <f>14.695</f>
        <v>14.695</v>
      </c>
      <c r="DN87">
        <f>26.25</f>
        <v>26.25</v>
      </c>
      <c r="DO87">
        <f>17.36</f>
        <v>17.36</v>
      </c>
      <c r="DP87">
        <f>20.722</f>
        <v>20.722000000000001</v>
      </c>
      <c r="DQ87">
        <f>23.385</f>
        <v>23.385000000000002</v>
      </c>
      <c r="DR87">
        <f>20.956</f>
        <v>20.956</v>
      </c>
      <c r="DS87">
        <f>20.1970005</f>
        <v>20.197000500000001</v>
      </c>
      <c r="DT87">
        <f>37.474</f>
        <v>37.473999999999997</v>
      </c>
      <c r="DU87">
        <f>24.89</f>
        <v>24.89</v>
      </c>
    </row>
    <row r="88" spans="1:125">
      <c r="A88" t="str">
        <f>"    Mack-Cali Realty Corp"</f>
        <v xml:space="preserve">    Mack-Cali Realty Corp</v>
      </c>
      <c r="B88" t="str">
        <f>"CLI US Equity"</f>
        <v>CLI US Equity</v>
      </c>
      <c r="C88" t="str">
        <f t="shared" si="21"/>
        <v>CF039</v>
      </c>
      <c r="D88" t="str">
        <f t="shared" si="22"/>
        <v>CF_FFO</v>
      </c>
      <c r="E88" t="str">
        <f t="shared" si="23"/>
        <v>动态</v>
      </c>
      <c r="F88" t="str">
        <f ca="1">IF(AND(ISNUMBER($F$402),$B$294=1),$F$402,HLOOKUP(INDIRECT(ADDRESS(2,COLUMN())),OFFSET($BN$2,0,0,ROW()-1,60),ROW()-1,FALSE))</f>
        <v/>
      </c>
      <c r="G88">
        <f ca="1">IF(AND(ISNUMBER($G$402),$B$294=1),$G$402,HLOOKUP(INDIRECT(ADDRESS(2,COLUMN())),OFFSET($BN$2,0,0,ROW()-1,60),ROW()-1,FALSE))</f>
        <v>50.024000000000001</v>
      </c>
      <c r="H88">
        <f ca="1">IF(AND(ISNUMBER($H$402),$B$294=1),$H$402,HLOOKUP(INDIRECT(ADDRESS(2,COLUMN())),OFFSET($BN$2,0,0,ROW()-1,60),ROW()-1,FALSE))</f>
        <v>57.793999999999997</v>
      </c>
      <c r="I88">
        <f ca="1">IF(AND(ISNUMBER($I$402),$B$294=1),$I$402,HLOOKUP(INDIRECT(ADDRESS(2,COLUMN())),OFFSET($BN$2,0,0,ROW()-1,60),ROW()-1,FALSE))</f>
        <v>60.484000000000002</v>
      </c>
      <c r="J88">
        <f ca="1">IF(AND(ISNUMBER($J$402),$B$294=1),$J$402,HLOOKUP(INDIRECT(ADDRESS(2,COLUMN())),OFFSET($BN$2,0,0,ROW()-1,60),ROW()-1,FALSE))</f>
        <v>55.862000000000002</v>
      </c>
      <c r="K88">
        <f ca="1">IF(AND(ISNUMBER($K$402),$B$294=1),$K$402,HLOOKUP(INDIRECT(ADDRESS(2,COLUMN())),OFFSET($BN$2,0,0,ROW()-1,60),ROW()-1,FALSE))</f>
        <v>32.826999999999998</v>
      </c>
      <c r="L88">
        <f ca="1">IF(AND(ISNUMBER($L$402),$B$294=1),$L$402,HLOOKUP(INDIRECT(ADDRESS(2,COLUMN())),OFFSET($BN$2,0,0,ROW()-1,60),ROW()-1,FALSE))</f>
        <v>59.884</v>
      </c>
      <c r="M88">
        <f ca="1">IF(AND(ISNUMBER($M$402),$B$294=1),$M$402,HLOOKUP(INDIRECT(ADDRESS(2,COLUMN())),OFFSET($BN$2,0,0,ROW()-1,60),ROW()-1,FALSE))</f>
        <v>64.119</v>
      </c>
      <c r="N88">
        <f ca="1">IF(AND(ISNUMBER($N$402),$B$294=1),$N$402,HLOOKUP(INDIRECT(ADDRESS(2,COLUMN())),OFFSET($BN$2,0,0,ROW()-1,60),ROW()-1,FALSE))</f>
        <v>48.177999999999997</v>
      </c>
      <c r="O88">
        <f ca="1">IF(AND(ISNUMBER($O$402),$B$294=1),$O$402,HLOOKUP(INDIRECT(ADDRESS(2,COLUMN())),OFFSET($BN$2,0,0,ROW()-1,60),ROW()-1,FALSE))</f>
        <v>46.936999999999998</v>
      </c>
      <c r="P88">
        <f ca="1">IF(AND(ISNUMBER($P$402),$B$294=1),$P$402,HLOOKUP(INDIRECT(ADDRESS(2,COLUMN())),OFFSET($BN$2,0,0,ROW()-1,60),ROW()-1,FALSE))</f>
        <v>51.539000000000001</v>
      </c>
      <c r="Q88">
        <f ca="1">IF(AND(ISNUMBER($Q$402),$B$294=1),$Q$402,HLOOKUP(INDIRECT(ADDRESS(2,COLUMN())),OFFSET($BN$2,0,0,ROW()-1,60),ROW()-1,FALSE))</f>
        <v>46.548999999999999</v>
      </c>
      <c r="R88">
        <f ca="1">IF(AND(ISNUMBER($R$402),$B$294=1),$R$402,HLOOKUP(INDIRECT(ADDRESS(2,COLUMN())),OFFSET($BN$2,0,0,ROW()-1,60),ROW()-1,FALSE))</f>
        <v>43.052</v>
      </c>
      <c r="S88">
        <f ca="1">IF(AND(ISNUMBER($S$402),$B$294=1),$S$402,HLOOKUP(INDIRECT(ADDRESS(2,COLUMN())),OFFSET($BN$2,0,0,ROW()-1,60),ROW()-1,FALSE))</f>
        <v>34.137</v>
      </c>
      <c r="T88">
        <f ca="1">IF(AND(ISNUMBER($T$402),$B$294=1),$T$402,HLOOKUP(INDIRECT(ADDRESS(2,COLUMN())),OFFSET($BN$2,0,0,ROW()-1,60),ROW()-1,FALSE))</f>
        <v>48.036999999999999</v>
      </c>
      <c r="U88">
        <f ca="1">IF(AND(ISNUMBER($U$402),$B$294=1),$U$402,HLOOKUP(INDIRECT(ADDRESS(2,COLUMN())),OFFSET($BN$2,0,0,ROW()-1,60),ROW()-1,FALSE))</f>
        <v>50.344000000000001</v>
      </c>
      <c r="V88">
        <f ca="1">IF(AND(ISNUMBER($V$402),$B$294=1),$V$402,HLOOKUP(INDIRECT(ADDRESS(2,COLUMN())),OFFSET($BN$2,0,0,ROW()-1,60),ROW()-1,FALSE))</f>
        <v>30.141999999999999</v>
      </c>
      <c r="W88">
        <f ca="1">IF(AND(ISNUMBER($W$402),$B$294=1),$W$402,HLOOKUP(INDIRECT(ADDRESS(2,COLUMN())),OFFSET($BN$2,0,0,ROW()-1,60),ROW()-1,FALSE))</f>
        <v>52.107999999999997</v>
      </c>
      <c r="X88">
        <f ca="1">IF(AND(ISNUMBER($X$402),$B$294=1),$X$402,HLOOKUP(INDIRECT(ADDRESS(2,COLUMN())),OFFSET($BN$2,0,0,ROW()-1,60),ROW()-1,FALSE))</f>
        <v>57.11</v>
      </c>
      <c r="Y88">
        <f ca="1">IF(AND(ISNUMBER($Y$402),$B$294=1),$Y$402,HLOOKUP(INDIRECT(ADDRESS(2,COLUMN())),OFFSET($BN$2,0,0,ROW()-1,60),ROW()-1,FALSE))</f>
        <v>65.179000000000002</v>
      </c>
      <c r="Z88">
        <f ca="1">IF(AND(ISNUMBER($Z$402),$B$294=1),$Z$402,HLOOKUP(INDIRECT(ADDRESS(2,COLUMN())),OFFSET($BN$2,0,0,ROW()-1,60),ROW()-1,FALSE))</f>
        <v>63.036000000000001</v>
      </c>
      <c r="AA88">
        <f ca="1">IF(AND(ISNUMBER($AA$402),$B$294=1),$AA$402,HLOOKUP(INDIRECT(ADDRESS(2,COLUMN())),OFFSET($BN$2,0,0,ROW()-1,60),ROW()-1,FALSE))</f>
        <v>65.397999999999996</v>
      </c>
      <c r="AB88">
        <f ca="1">IF(AND(ISNUMBER($AB$402),$B$294=1),$AB$402,HLOOKUP(INDIRECT(ADDRESS(2,COLUMN())),OFFSET($BN$2,0,0,ROW()-1,60),ROW()-1,FALSE))</f>
        <v>65.012</v>
      </c>
      <c r="AC88">
        <f ca="1">IF(AND(ISNUMBER($AC$402),$B$294=1),$AC$402,HLOOKUP(INDIRECT(ADDRESS(2,COLUMN())),OFFSET($BN$2,0,0,ROW()-1,60),ROW()-1,FALSE))</f>
        <v>62.075000000000003</v>
      </c>
      <c r="AD88">
        <f ca="1">IF(AND(ISNUMBER($AD$402),$B$294=1),$AD$402,HLOOKUP(INDIRECT(ADDRESS(2,COLUMN())),OFFSET($BN$2,0,0,ROW()-1,60),ROW()-1,FALSE))</f>
        <v>74.478999999999999</v>
      </c>
      <c r="AE88">
        <f ca="1">IF(AND(ISNUMBER($AE$402),$B$294=1),$AE$402,HLOOKUP(INDIRECT(ADDRESS(2,COLUMN())),OFFSET($BN$2,0,0,ROW()-1,60),ROW()-1,FALSE))</f>
        <v>68.063999999999993</v>
      </c>
      <c r="AF88">
        <f ca="1">IF(AND(ISNUMBER($AF$402),$B$294=1),$AF$402,HLOOKUP(INDIRECT(ADDRESS(2,COLUMN())),OFFSET($BN$2,0,0,ROW()-1,60),ROW()-1,FALSE))</f>
        <v>72.948999999999998</v>
      </c>
      <c r="AG88">
        <f ca="1">IF(AND(ISNUMBER($AG$402),$B$294=1),$AG$402,HLOOKUP(INDIRECT(ADDRESS(2,COLUMN())),OFFSET($BN$2,0,0,ROW()-1,60),ROW()-1,FALSE))</f>
        <v>69.131</v>
      </c>
      <c r="AH88">
        <f ca="1">IF(AND(ISNUMBER($AH$402),$B$294=1),$AH$402,HLOOKUP(INDIRECT(ADDRESS(2,COLUMN())),OFFSET($BN$2,0,0,ROW()-1,60),ROW()-1,FALSE))</f>
        <v>67.3</v>
      </c>
      <c r="AI88">
        <f ca="1">IF(AND(ISNUMBER($AI$402),$B$294=1),$AI$402,HLOOKUP(INDIRECT(ADDRESS(2,COLUMN())),OFFSET($BN$2,0,0,ROW()-1,60),ROW()-1,FALSE))</f>
        <v>64.177000000000007</v>
      </c>
      <c r="AJ88">
        <f ca="1">IF(AND(ISNUMBER($AJ$402),$B$294=1),$AJ$402,HLOOKUP(INDIRECT(ADDRESS(2,COLUMN())),OFFSET($BN$2,0,0,ROW()-1,60),ROW()-1,FALSE))</f>
        <v>64.251000000000005</v>
      </c>
      <c r="AK88">
        <f ca="1">IF(AND(ISNUMBER($AK$402),$B$294=1),$AK$402,HLOOKUP(INDIRECT(ADDRESS(2,COLUMN())),OFFSET($BN$2,0,0,ROW()-1,60),ROW()-1,FALSE))</f>
        <v>66.063000000000002</v>
      </c>
      <c r="AL88">
        <f ca="1">IF(AND(ISNUMBER($AL$402),$B$294=1),$AL$402,HLOOKUP(INDIRECT(ADDRESS(2,COLUMN())),OFFSET($BN$2,0,0,ROW()-1,60),ROW()-1,FALSE))</f>
        <v>66.542000000000002</v>
      </c>
      <c r="AM88">
        <f ca="1">IF(AND(ISNUMBER($AM$402),$B$294=1),$AM$402,HLOOKUP(INDIRECT(ADDRESS(2,COLUMN())),OFFSET($BN$2,0,0,ROW()-1,60),ROW()-1,FALSE))</f>
        <v>55.265999999999998</v>
      </c>
      <c r="AN88">
        <f ca="1">IF(AND(ISNUMBER($AN$402),$B$294=1),$AN$402,HLOOKUP(INDIRECT(ADDRESS(2,COLUMN())),OFFSET($BN$2,0,0,ROW()-1,60),ROW()-1,FALSE))</f>
        <v>75.001000000000005</v>
      </c>
      <c r="AO88">
        <f ca="1">IF(AND(ISNUMBER($AO$402),$B$294=1),$AO$402,HLOOKUP(INDIRECT(ADDRESS(2,COLUMN())),OFFSET($BN$2,0,0,ROW()-1,60),ROW()-1,FALSE))</f>
        <v>76.475999999999999</v>
      </c>
      <c r="AP88">
        <f ca="1">IF(AND(ISNUMBER($AP$402),$B$294=1),$AP$402,HLOOKUP(INDIRECT(ADDRESS(2,COLUMN())),OFFSET($BN$2,0,0,ROW()-1,60),ROW()-1,FALSE))</f>
        <v>68.090999999999994</v>
      </c>
      <c r="AQ88">
        <f ca="1">IF(AND(ISNUMBER($AQ$402),$B$294=1),$AQ$402,HLOOKUP(INDIRECT(ADDRESS(2,COLUMN())),OFFSET($BN$2,0,0,ROW()-1,60),ROW()-1,FALSE))</f>
        <v>50.884999999999998</v>
      </c>
      <c r="AR88">
        <f ca="1">IF(AND(ISNUMBER($AR$402),$B$294=1),$AR$402,HLOOKUP(INDIRECT(ADDRESS(2,COLUMN())),OFFSET($BN$2,0,0,ROW()-1,60),ROW()-1,FALSE))</f>
        <v>82.105999999999995</v>
      </c>
      <c r="AS88">
        <f ca="1">IF(AND(ISNUMBER($AS$402),$B$294=1),$AS$402,HLOOKUP(INDIRECT(ADDRESS(2,COLUMN())),OFFSET($BN$2,0,0,ROW()-1,60),ROW()-1,FALSE))</f>
        <v>75.233999999999995</v>
      </c>
      <c r="AT88">
        <f ca="1">IF(AND(ISNUMBER($AT$402),$B$294=1),$AT$402,HLOOKUP(INDIRECT(ADDRESS(2,COLUMN())),OFFSET($BN$2,0,0,ROW()-1,60),ROW()-1,FALSE))</f>
        <v>70.873999999999995</v>
      </c>
      <c r="AU88">
        <f ca="1">IF(AND(ISNUMBER($AU$402),$B$294=1),$AU$402,HLOOKUP(INDIRECT(ADDRESS(2,COLUMN())),OFFSET($BN$2,0,0,ROW()-1,60),ROW()-1,FALSE))</f>
        <v>73.009</v>
      </c>
      <c r="AV88">
        <f ca="1">IF(AND(ISNUMBER($AV$402),$B$294=1),$AV$402,HLOOKUP(INDIRECT(ADDRESS(2,COLUMN())),OFFSET($BN$2,0,0,ROW()-1,60),ROW()-1,FALSE))</f>
        <v>77.540999999999997</v>
      </c>
      <c r="AW88">
        <f ca="1">IF(AND(ISNUMBER($AW$402),$B$294=1),$AW$402,HLOOKUP(INDIRECT(ADDRESS(2,COLUMN())),OFFSET($BN$2,0,0,ROW()-1,60),ROW()-1,FALSE))</f>
        <v>73.248999999999995</v>
      </c>
      <c r="AX88">
        <f ca="1">IF(AND(ISNUMBER($AX$402),$B$294=1),$AX$402,HLOOKUP(INDIRECT(ADDRESS(2,COLUMN())),OFFSET($BN$2,0,0,ROW()-1,60),ROW()-1,FALSE))</f>
        <v>70.114999999999995</v>
      </c>
      <c r="AY88">
        <f ca="1">IF(AND(ISNUMBER($AY$402),$B$294=1),$AY$402,HLOOKUP(INDIRECT(ADDRESS(2,COLUMN())),OFFSET($BN$2,0,0,ROW()-1,60),ROW()-1,FALSE))</f>
        <v>68.201999999999998</v>
      </c>
      <c r="AZ88">
        <f ca="1">IF(AND(ISNUMBER($AZ$402),$B$294=1),$AZ$402,HLOOKUP(INDIRECT(ADDRESS(2,COLUMN())),OFFSET($BN$2,0,0,ROW()-1,60),ROW()-1,FALSE))</f>
        <v>67.100999999999999</v>
      </c>
      <c r="BA88">
        <f ca="1">IF(AND(ISNUMBER($BA$402),$B$294=1),$BA$402,HLOOKUP(INDIRECT(ADDRESS(2,COLUMN())),OFFSET($BN$2,0,0,ROW()-1,60),ROW()-1,FALSE))</f>
        <v>74.418999999999997</v>
      </c>
      <c r="BB88">
        <f ca="1">IF(AND(ISNUMBER($BB$402),$B$294=1),$BB$402,HLOOKUP(INDIRECT(ADDRESS(2,COLUMN())),OFFSET($BN$2,0,0,ROW()-1,60),ROW()-1,FALSE))</f>
        <v>80.766000000000005</v>
      </c>
      <c r="BC88">
        <f ca="1">IF(AND(ISNUMBER($BC$402),$B$294=1),$BC$402,HLOOKUP(INDIRECT(ADDRESS(2,COLUMN())),OFFSET($BN$2,0,0,ROW()-1,60),ROW()-1,FALSE))</f>
        <v>65.138000000000005</v>
      </c>
      <c r="BD88">
        <f ca="1">IF(AND(ISNUMBER($BD$402),$B$294=1),$BD$402,HLOOKUP(INDIRECT(ADDRESS(2,COLUMN())),OFFSET($BN$2,0,0,ROW()-1,60),ROW()-1,FALSE))</f>
        <v>66.682000000000002</v>
      </c>
      <c r="BE88">
        <f ca="1">IF(AND(ISNUMBER($BE$402),$B$294=1),$BE$402,HLOOKUP(INDIRECT(ADDRESS(2,COLUMN())),OFFSET($BN$2,0,0,ROW()-1,60),ROW()-1,FALSE))</f>
        <v>71.444000000000003</v>
      </c>
      <c r="BF88">
        <f ca="1">IF(AND(ISNUMBER($BF$402),$B$294=1),$BF$402,HLOOKUP(INDIRECT(ADDRESS(2,COLUMN())),OFFSET($BN$2,0,0,ROW()-1,60),ROW()-1,FALSE))</f>
        <v>67.069999999999993</v>
      </c>
      <c r="BG88">
        <f ca="1">IF(AND(ISNUMBER($BG$402),$B$294=1),$BG$402,HLOOKUP(INDIRECT(ADDRESS(2,COLUMN())),OFFSET($BN$2,0,0,ROW()-1,60),ROW()-1,FALSE))</f>
        <v>67.911000000000001</v>
      </c>
      <c r="BH88">
        <f ca="1">IF(AND(ISNUMBER($BH$402),$B$294=1),$BH$402,HLOOKUP(INDIRECT(ADDRESS(2,COLUMN())),OFFSET($BN$2,0,0,ROW()-1,60),ROW()-1,FALSE))</f>
        <v>69.715000000000003</v>
      </c>
      <c r="BI88">
        <f ca="1">IF(AND(ISNUMBER($BI$402),$B$294=1),$BI$402,HLOOKUP(INDIRECT(ADDRESS(2,COLUMN())),OFFSET($BN$2,0,0,ROW()-1,60),ROW()-1,FALSE))</f>
        <v>67.555000000000007</v>
      </c>
      <c r="BJ88">
        <f ca="1">IF(AND(ISNUMBER($BJ$402),$B$294=1),$BJ$402,HLOOKUP(INDIRECT(ADDRESS(2,COLUMN())),OFFSET($BN$2,0,0,ROW()-1,60),ROW()-1,FALSE))</f>
        <v>64.948997000000006</v>
      </c>
      <c r="BK88">
        <f ca="1">IF(AND(ISNUMBER($BK$402),$B$294=1),$BK$402,HLOOKUP(INDIRECT(ADDRESS(2,COLUMN())),OFFSET($BN$2,0,0,ROW()-1,60),ROW()-1,FALSE))</f>
        <v>66.510002139999997</v>
      </c>
      <c r="BL88">
        <f ca="1">IF(AND(ISNUMBER($BL$402),$B$294=1),$BL$402,HLOOKUP(INDIRECT(ADDRESS(2,COLUMN())),OFFSET($BN$2,0,0,ROW()-1,60),ROW()-1,FALSE))</f>
        <v>69.582001000000005</v>
      </c>
      <c r="BM88">
        <f ca="1">IF(AND(ISNUMBER($BM$402),$B$294=1),$BM$402,HLOOKUP(INDIRECT(ADDRESS(2,COLUMN())),OFFSET($BN$2,0,0,ROW()-1,60),ROW()-1,FALSE))</f>
        <v>70.680000000000007</v>
      </c>
      <c r="BN88" t="str">
        <f>""</f>
        <v/>
      </c>
      <c r="BO88">
        <f>50.024</f>
        <v>50.024000000000001</v>
      </c>
      <c r="BP88">
        <f>57.794</f>
        <v>57.793999999999997</v>
      </c>
      <c r="BQ88">
        <f>60.484</f>
        <v>60.484000000000002</v>
      </c>
      <c r="BR88">
        <f>55.862</f>
        <v>55.862000000000002</v>
      </c>
      <c r="BS88">
        <f>32.827</f>
        <v>32.826999999999998</v>
      </c>
      <c r="BT88">
        <f>59.884</f>
        <v>59.884</v>
      </c>
      <c r="BU88">
        <f>64.119</f>
        <v>64.119</v>
      </c>
      <c r="BV88">
        <f>48.178</f>
        <v>48.177999999999997</v>
      </c>
      <c r="BW88">
        <f>46.937</f>
        <v>46.936999999999998</v>
      </c>
      <c r="BX88">
        <f>51.539</f>
        <v>51.539000000000001</v>
      </c>
      <c r="BY88">
        <f>46.549</f>
        <v>46.548999999999999</v>
      </c>
      <c r="BZ88">
        <f>43.052</f>
        <v>43.052</v>
      </c>
      <c r="CA88">
        <f>34.137</f>
        <v>34.137</v>
      </c>
      <c r="CB88">
        <f>48.037</f>
        <v>48.036999999999999</v>
      </c>
      <c r="CC88">
        <f>50.344</f>
        <v>50.344000000000001</v>
      </c>
      <c r="CD88">
        <f>30.142</f>
        <v>30.141999999999999</v>
      </c>
      <c r="CE88">
        <f>52.108</f>
        <v>52.107999999999997</v>
      </c>
      <c r="CF88">
        <f>57.11</f>
        <v>57.11</v>
      </c>
      <c r="CG88">
        <f>65.179</f>
        <v>65.179000000000002</v>
      </c>
      <c r="CH88">
        <f>63.036</f>
        <v>63.036000000000001</v>
      </c>
      <c r="CI88">
        <f>65.398</f>
        <v>65.397999999999996</v>
      </c>
      <c r="CJ88">
        <f>65.012</f>
        <v>65.012</v>
      </c>
      <c r="CK88">
        <f>62.075</f>
        <v>62.075000000000003</v>
      </c>
      <c r="CL88">
        <f>74.479</f>
        <v>74.478999999999999</v>
      </c>
      <c r="CM88">
        <f>68.064</f>
        <v>68.063999999999993</v>
      </c>
      <c r="CN88">
        <f>72.949</f>
        <v>72.948999999999998</v>
      </c>
      <c r="CO88">
        <f>69.131</f>
        <v>69.131</v>
      </c>
      <c r="CP88">
        <f>67.3</f>
        <v>67.3</v>
      </c>
      <c r="CQ88">
        <f>64.177</f>
        <v>64.177000000000007</v>
      </c>
      <c r="CR88">
        <f>64.251</f>
        <v>64.251000000000005</v>
      </c>
      <c r="CS88">
        <f>66.063</f>
        <v>66.063000000000002</v>
      </c>
      <c r="CT88">
        <f>66.542</f>
        <v>66.542000000000002</v>
      </c>
      <c r="CU88">
        <f>55.266</f>
        <v>55.265999999999998</v>
      </c>
      <c r="CV88">
        <f>75.001</f>
        <v>75.001000000000005</v>
      </c>
      <c r="CW88">
        <f>76.476</f>
        <v>76.475999999999999</v>
      </c>
      <c r="CX88">
        <f>68.091</f>
        <v>68.090999999999994</v>
      </c>
      <c r="CY88">
        <f>50.885</f>
        <v>50.884999999999998</v>
      </c>
      <c r="CZ88">
        <f>82.106</f>
        <v>82.105999999999995</v>
      </c>
      <c r="DA88">
        <f>75.234</f>
        <v>75.233999999999995</v>
      </c>
      <c r="DB88">
        <f>70.874</f>
        <v>70.873999999999995</v>
      </c>
      <c r="DC88">
        <f>73.009</f>
        <v>73.009</v>
      </c>
      <c r="DD88">
        <f>77.541</f>
        <v>77.540999999999997</v>
      </c>
      <c r="DE88">
        <f>73.249</f>
        <v>73.248999999999995</v>
      </c>
      <c r="DF88">
        <f>70.115</f>
        <v>70.114999999999995</v>
      </c>
      <c r="DG88">
        <f>68.202</f>
        <v>68.201999999999998</v>
      </c>
      <c r="DH88">
        <f>67.101</f>
        <v>67.100999999999999</v>
      </c>
      <c r="DI88">
        <f>74.419</f>
        <v>74.418999999999997</v>
      </c>
      <c r="DJ88">
        <f>80.766</f>
        <v>80.766000000000005</v>
      </c>
      <c r="DK88">
        <f>65.138</f>
        <v>65.138000000000005</v>
      </c>
      <c r="DL88">
        <f>66.682</f>
        <v>66.682000000000002</v>
      </c>
      <c r="DM88">
        <f>71.444</f>
        <v>71.444000000000003</v>
      </c>
      <c r="DN88">
        <f>67.07</f>
        <v>67.069999999999993</v>
      </c>
      <c r="DO88">
        <f>67.911</f>
        <v>67.911000000000001</v>
      </c>
      <c r="DP88">
        <f>69.715</f>
        <v>69.715000000000003</v>
      </c>
      <c r="DQ88">
        <f>67.555</f>
        <v>67.555000000000007</v>
      </c>
      <c r="DR88">
        <f>64.948997</f>
        <v>64.948997000000006</v>
      </c>
      <c r="DS88">
        <f>66.51000214</f>
        <v>66.510002139999997</v>
      </c>
      <c r="DT88">
        <f>69.582001</f>
        <v>69.582001000000005</v>
      </c>
      <c r="DU88">
        <f>70.68</f>
        <v>70.680000000000007</v>
      </c>
    </row>
    <row r="89" spans="1:125">
      <c r="A89" t="str">
        <f>"    Piedmont Office Realty Trust I"</f>
        <v xml:space="preserve">    Piedmont Office Realty Trust I</v>
      </c>
      <c r="B89" t="str">
        <f>"PDM US Equity"</f>
        <v>PDM US Equity</v>
      </c>
      <c r="C89" t="str">
        <f t="shared" si="21"/>
        <v>CF039</v>
      </c>
      <c r="D89" t="str">
        <f t="shared" si="22"/>
        <v>CF_FFO</v>
      </c>
      <c r="E89" t="str">
        <f t="shared" si="23"/>
        <v>动态</v>
      </c>
      <c r="F89" t="str">
        <f ca="1">IF(AND(ISNUMBER($F$403),$B$294=1),$F$403,HLOOKUP(INDIRECT(ADDRESS(2,COLUMN())),OFFSET($BN$2,0,0,ROW()-1,60),ROW()-1,FALSE))</f>
        <v/>
      </c>
      <c r="G89">
        <f ca="1">IF(AND(ISNUMBER($G$403),$B$294=1),$G$403,HLOOKUP(INDIRECT(ADDRESS(2,COLUMN())),OFFSET($BN$2,0,0,ROW()-1,60),ROW()-1,FALSE))</f>
        <v>60.896000000000001</v>
      </c>
      <c r="H89">
        <f ca="1">IF(AND(ISNUMBER($H$403),$B$294=1),$H$403,HLOOKUP(INDIRECT(ADDRESS(2,COLUMN())),OFFSET($BN$2,0,0,ROW()-1,60),ROW()-1,FALSE))</f>
        <v>60.819000000000003</v>
      </c>
      <c r="I89">
        <f ca="1">IF(AND(ISNUMBER($I$403),$B$294=1),$I$403,HLOOKUP(INDIRECT(ADDRESS(2,COLUMN())),OFFSET($BN$2,0,0,ROW()-1,60),ROW()-1,FALSE))</f>
        <v>66.465000000000003</v>
      </c>
      <c r="J89">
        <f ca="1">IF(AND(ISNUMBER($J$403),$B$294=1),$J$403,HLOOKUP(INDIRECT(ADDRESS(2,COLUMN())),OFFSET($BN$2,0,0,ROW()-1,60),ROW()-1,FALSE))</f>
        <v>66.191999999999993</v>
      </c>
      <c r="K89">
        <f ca="1">IF(AND(ISNUMBER($K$403),$B$294=1),$K$403,HLOOKUP(INDIRECT(ADDRESS(2,COLUMN())),OFFSET($BN$2,0,0,ROW()-1,60),ROW()-1,FALSE))</f>
        <v>64.393000000000001</v>
      </c>
      <c r="L89">
        <f ca="1">IF(AND(ISNUMBER($L$403),$B$294=1),$L$403,HLOOKUP(INDIRECT(ADDRESS(2,COLUMN())),OFFSET($BN$2,0,0,ROW()-1,60),ROW()-1,FALSE))</f>
        <v>59.991999999999997</v>
      </c>
      <c r="M89">
        <f ca="1">IF(AND(ISNUMBER($M$403),$B$294=1),$M$403,HLOOKUP(INDIRECT(ADDRESS(2,COLUMN())),OFFSET($BN$2,0,0,ROW()-1,60),ROW()-1,FALSE))</f>
        <v>58.253</v>
      </c>
      <c r="N89">
        <f ca="1">IF(AND(ISNUMBER($N$403),$B$294=1),$N$403,HLOOKUP(INDIRECT(ADDRESS(2,COLUMN())),OFFSET($BN$2,0,0,ROW()-1,60),ROW()-1,FALSE))</f>
        <v>59.853000000000002</v>
      </c>
      <c r="O89">
        <f ca="1">IF(AND(ISNUMBER($O$403),$B$294=1),$O$403,HLOOKUP(INDIRECT(ADDRESS(2,COLUMN())),OFFSET($BN$2,0,0,ROW()-1,60),ROW()-1,FALSE))</f>
        <v>59.356000000000002</v>
      </c>
      <c r="P89">
        <f ca="1">IF(AND(ISNUMBER($P$403),$B$294=1),$P$403,HLOOKUP(INDIRECT(ADDRESS(2,COLUMN())),OFFSET($BN$2,0,0,ROW()-1,60),ROW()-1,FALSE))</f>
        <v>60.93</v>
      </c>
      <c r="Q89">
        <f ca="1">IF(AND(ISNUMBER($Q$403),$B$294=1),$Q$403,HLOOKUP(INDIRECT(ADDRESS(2,COLUMN())),OFFSET($BN$2,0,0,ROW()-1,60),ROW()-1,FALSE))</f>
        <v>59.625</v>
      </c>
      <c r="R89">
        <f ca="1">IF(AND(ISNUMBER($R$403),$B$294=1),$R$403,HLOOKUP(INDIRECT(ADDRESS(2,COLUMN())),OFFSET($BN$2,0,0,ROW()-1,60),ROW()-1,FALSE))</f>
        <v>59.954999999999998</v>
      </c>
      <c r="S89">
        <f ca="1">IF(AND(ISNUMBER($S$403),$B$294=1),$S$403,HLOOKUP(INDIRECT(ADDRESS(2,COLUMN())),OFFSET($BN$2,0,0,ROW()-1,60),ROW()-1,FALSE))</f>
        <v>62.075000000000003</v>
      </c>
      <c r="T89">
        <f ca="1">IF(AND(ISNUMBER($T$403),$B$294=1),$T$403,HLOOKUP(INDIRECT(ADDRESS(2,COLUMN())),OFFSET($BN$2,0,0,ROW()-1,60),ROW()-1,FALSE))</f>
        <v>58.695999999999998</v>
      </c>
      <c r="U89">
        <f ca="1">IF(AND(ISNUMBER($U$403),$B$294=1),$U$403,HLOOKUP(INDIRECT(ADDRESS(2,COLUMN())),OFFSET($BN$2,0,0,ROW()-1,60),ROW()-1,FALSE))</f>
        <v>57.731000000000002</v>
      </c>
      <c r="V89">
        <f ca="1">IF(AND(ISNUMBER($V$403),$B$294=1),$V$403,HLOOKUP(INDIRECT(ADDRESS(2,COLUMN())),OFFSET($BN$2,0,0,ROW()-1,60),ROW()-1,FALSE))</f>
        <v>58.03</v>
      </c>
      <c r="W89">
        <f ca="1">IF(AND(ISNUMBER($W$403),$B$294=1),$W$403,HLOOKUP(INDIRECT(ADDRESS(2,COLUMN())),OFFSET($BN$2,0,0,ROW()-1,60),ROW()-1,FALSE))</f>
        <v>63.976999999999997</v>
      </c>
      <c r="X89">
        <f ca="1">IF(AND(ISNUMBER($X$403),$B$294=1),$X$403,HLOOKUP(INDIRECT(ADDRESS(2,COLUMN())),OFFSET($BN$2,0,0,ROW()-1,60),ROW()-1,FALSE))</f>
        <v>64.983000000000004</v>
      </c>
      <c r="Y89">
        <f ca="1">IF(AND(ISNUMBER($Y$403),$B$294=1),$Y$403,HLOOKUP(INDIRECT(ADDRESS(2,COLUMN())),OFFSET($BN$2,0,0,ROW()-1,60),ROW()-1,FALSE))</f>
        <v>61.418999999999997</v>
      </c>
      <c r="Z89">
        <f ca="1">IF(AND(ISNUMBER($Z$403),$B$294=1),$Z$403,HLOOKUP(INDIRECT(ADDRESS(2,COLUMN())),OFFSET($BN$2,0,0,ROW()-1,60),ROW()-1,FALSE))</f>
        <v>60.158999999999999</v>
      </c>
      <c r="AA89">
        <f ca="1">IF(AND(ISNUMBER($AA$403),$B$294=1),$AA$403,HLOOKUP(INDIRECT(ADDRESS(2,COLUMN())),OFFSET($BN$2,0,0,ROW()-1,60),ROW()-1,FALSE))</f>
        <v>54.844999999999999</v>
      </c>
      <c r="AB89">
        <f ca="1">IF(AND(ISNUMBER($AB$403),$B$294=1),$AB$403,HLOOKUP(INDIRECT(ADDRESS(2,COLUMN())),OFFSET($BN$2,0,0,ROW()-1,60),ROW()-1,FALSE))</f>
        <v>55.213999999999999</v>
      </c>
      <c r="AC89">
        <f ca="1">IF(AND(ISNUMBER($AC$403),$B$294=1),$AC$403,HLOOKUP(INDIRECT(ADDRESS(2,COLUMN())),OFFSET($BN$2,0,0,ROW()-1,60),ROW()-1,FALSE))</f>
        <v>60.271999999999998</v>
      </c>
      <c r="AD89">
        <f ca="1">IF(AND(ISNUMBER($AD$403),$B$294=1),$AD$403,HLOOKUP(INDIRECT(ADDRESS(2,COLUMN())),OFFSET($BN$2,0,0,ROW()-1,60),ROW()-1,FALSE))</f>
        <v>60.045999999999999</v>
      </c>
      <c r="AE89">
        <f ca="1">IF(AND(ISNUMBER($AE$403),$B$294=1),$AE$403,HLOOKUP(INDIRECT(ADDRESS(2,COLUMN())),OFFSET($BN$2,0,0,ROW()-1,60),ROW()-1,FALSE))</f>
        <v>65.936999999999998</v>
      </c>
      <c r="AF89">
        <f ca="1">IF(AND(ISNUMBER($AF$403),$B$294=1),$AF$403,HLOOKUP(INDIRECT(ADDRESS(2,COLUMN())),OFFSET($BN$2,0,0,ROW()-1,60),ROW()-1,FALSE))</f>
        <v>68.918000000000006</v>
      </c>
      <c r="AG89">
        <f ca="1">IF(AND(ISNUMBER($AG$403),$B$294=1),$AG$403,HLOOKUP(INDIRECT(ADDRESS(2,COLUMN())),OFFSET($BN$2,0,0,ROW()-1,60),ROW()-1,FALSE))</f>
        <v>65.126999999999995</v>
      </c>
      <c r="AH89">
        <f ca="1">IF(AND(ISNUMBER($AH$403),$B$294=1),$AH$403,HLOOKUP(INDIRECT(ADDRESS(2,COLUMN())),OFFSET($BN$2,0,0,ROW()-1,60),ROW()-1,FALSE))</f>
        <v>71.307000000000002</v>
      </c>
      <c r="AI89">
        <f ca="1">IF(AND(ISNUMBER($AI$403),$B$294=1),$AI$403,HLOOKUP(INDIRECT(ADDRESS(2,COLUMN())),OFFSET($BN$2,0,0,ROW()-1,60),ROW()-1,FALSE))</f>
        <v>67.936000000000007</v>
      </c>
      <c r="AJ89">
        <f ca="1">IF(AND(ISNUMBER($AJ$403),$B$294=1),$AJ$403,HLOOKUP(INDIRECT(ADDRESS(2,COLUMN())),OFFSET($BN$2,0,0,ROW()-1,60),ROW()-1,FALSE))</f>
        <v>77.866</v>
      </c>
      <c r="AK89">
        <f ca="1">IF(AND(ISNUMBER($AK$403),$B$294=1),$AK$403,HLOOKUP(INDIRECT(ADDRESS(2,COLUMN())),OFFSET($BN$2,0,0,ROW()-1,60),ROW()-1,FALSE))</f>
        <v>56.612000000000002</v>
      </c>
      <c r="AL89">
        <f ca="1">IF(AND(ISNUMBER($AL$403),$B$294=1),$AL$403,HLOOKUP(INDIRECT(ADDRESS(2,COLUMN())),OFFSET($BN$2,0,0,ROW()-1,60),ROW()-1,FALSE))</f>
        <v>69.197999999999993</v>
      </c>
      <c r="AM89">
        <f ca="1">IF(AND(ISNUMBER($AM$403),$B$294=1),$AM$403,HLOOKUP(INDIRECT(ADDRESS(2,COLUMN())),OFFSET($BN$2,0,0,ROW()-1,60),ROW()-1,FALSE))</f>
        <v>69.483999999999995</v>
      </c>
      <c r="AN89">
        <f ca="1">IF(AND(ISNUMBER($AN$403),$B$294=1),$AN$403,HLOOKUP(INDIRECT(ADDRESS(2,COLUMN())),OFFSET($BN$2,0,0,ROW()-1,60),ROW()-1,FALSE))</f>
        <v>32.838000000000001</v>
      </c>
      <c r="AO89">
        <f ca="1">IF(AND(ISNUMBER($AO$403),$B$294=1),$AO$403,HLOOKUP(INDIRECT(ADDRESS(2,COLUMN())),OFFSET($BN$2,0,0,ROW()-1,60),ROW()-1,FALSE))</f>
        <v>68.546000000000006</v>
      </c>
      <c r="AP89">
        <f ca="1">IF(AND(ISNUMBER($AP$403),$B$294=1),$AP$403,HLOOKUP(INDIRECT(ADDRESS(2,COLUMN())),OFFSET($BN$2,0,0,ROW()-1,60),ROW()-1,FALSE))</f>
        <v>68.418000000000006</v>
      </c>
      <c r="AQ89">
        <f ca="1">IF(AND(ISNUMBER($AQ$403),$B$294=1),$AQ$403,HLOOKUP(INDIRECT(ADDRESS(2,COLUMN())),OFFSET($BN$2,0,0,ROW()-1,60),ROW()-1,FALSE))</f>
        <v>72.747</v>
      </c>
      <c r="AR89">
        <f ca="1">IF(AND(ISNUMBER($AR$403),$B$294=1),$AR$403,HLOOKUP(INDIRECT(ADDRESS(2,COLUMN())),OFFSET($BN$2,0,0,ROW()-1,60),ROW()-1,FALSE))</f>
        <v>72.491</v>
      </c>
      <c r="AS89">
        <f ca="1">IF(AND(ISNUMBER($AS$403),$B$294=1),$AS$403,HLOOKUP(INDIRECT(ADDRESS(2,COLUMN())),OFFSET($BN$2,0,0,ROW()-1,60),ROW()-1,FALSE))</f>
        <v>71.081999999999994</v>
      </c>
      <c r="AT89">
        <f ca="1">IF(AND(ISNUMBER($AT$403),$B$294=1),$AT$403,HLOOKUP(INDIRECT(ADDRESS(2,COLUMN())),OFFSET($BN$2,0,0,ROW()-1,60),ROW()-1,FALSE))</f>
        <v>78.543000000000006</v>
      </c>
      <c r="AU89">
        <f ca="1">IF(AND(ISNUMBER($AU$403),$B$294=1),$AU$403,HLOOKUP(INDIRECT(ADDRESS(2,COLUMN())),OFFSET($BN$2,0,0,ROW()-1,60),ROW()-1,FALSE))</f>
        <v>74.512</v>
      </c>
      <c r="AV89">
        <f ca="1">IF(AND(ISNUMBER($AV$403),$B$294=1),$AV$403,HLOOKUP(INDIRECT(ADDRESS(2,COLUMN())),OFFSET($BN$2,0,0,ROW()-1,60),ROW()-1,FALSE))</f>
        <v>71.263000000000005</v>
      </c>
      <c r="AW89">
        <f ca="1">IF(AND(ISNUMBER($AW$403),$B$294=1),$AW$403,HLOOKUP(INDIRECT(ADDRESS(2,COLUMN())),OFFSET($BN$2,0,0,ROW()-1,60),ROW()-1,FALSE))</f>
        <v>68.64</v>
      </c>
      <c r="AX89">
        <f ca="1">IF(AND(ISNUMBER($AX$403),$B$294=1),$AX$403,HLOOKUP(INDIRECT(ADDRESS(2,COLUMN())),OFFSET($BN$2,0,0,ROW()-1,60),ROW()-1,FALSE))</f>
        <v>71.088999999999999</v>
      </c>
      <c r="AY89">
        <f ca="1">IF(AND(ISNUMBER($AY$403),$B$294=1),$AY$403,HLOOKUP(INDIRECT(ADDRESS(2,COLUMN())),OFFSET($BN$2,0,0,ROW()-1,60),ROW()-1,FALSE))</f>
        <v>56.817999999999998</v>
      </c>
      <c r="AZ89">
        <f ca="1">IF(AND(ISNUMBER($AZ$403),$B$294=1),$AZ$403,HLOOKUP(INDIRECT(ADDRESS(2,COLUMN())),OFFSET($BN$2,0,0,ROW()-1,60),ROW()-1,FALSE))</f>
        <v>78.036000000000001</v>
      </c>
      <c r="BA89">
        <f ca="1">IF(AND(ISNUMBER($BA$403),$B$294=1),$BA$403,HLOOKUP(INDIRECT(ADDRESS(2,COLUMN())),OFFSET($BN$2,0,0,ROW()-1,60),ROW()-1,FALSE))</f>
        <v>68.406000000000006</v>
      </c>
      <c r="BB89">
        <f ca="1">IF(AND(ISNUMBER($BB$403),$B$294=1),$BB$403,HLOOKUP(INDIRECT(ADDRESS(2,COLUMN())),OFFSET($BN$2,0,0,ROW()-1,60),ROW()-1,FALSE))</f>
        <v>72.557000000000002</v>
      </c>
      <c r="BC89">
        <f ca="1">IF(AND(ISNUMBER($BC$403),$B$294=1),$BC$403,HLOOKUP(INDIRECT(ADDRESS(2,COLUMN())),OFFSET($BN$2,0,0,ROW()-1,60),ROW()-1,FALSE))</f>
        <v>68.087000000000003</v>
      </c>
      <c r="BD89">
        <f ca="1">IF(AND(ISNUMBER($BD$403),$B$294=1),$BD$403,HLOOKUP(INDIRECT(ADDRESS(2,COLUMN())),OFFSET($BN$2,0,0,ROW()-1,60),ROW()-1,FALSE))</f>
        <v>72.972999999999999</v>
      </c>
      <c r="BE89">
        <f ca="1">IF(AND(ISNUMBER($BE$403),$B$294=1),$BE$403,HLOOKUP(INDIRECT(ADDRESS(2,COLUMN())),OFFSET($BN$2,0,0,ROW()-1,60),ROW()-1,FALSE))</f>
        <v>67.010000000000005</v>
      </c>
      <c r="BF89">
        <f ca="1">IF(AND(ISNUMBER($BF$403),$B$294=1),$BF$403,HLOOKUP(INDIRECT(ADDRESS(2,COLUMN())),OFFSET($BN$2,0,0,ROW()-1,60),ROW()-1,FALSE))</f>
        <v>93.05</v>
      </c>
      <c r="BG89">
        <f ca="1">IF(AND(ISNUMBER($BG$403),$B$294=1),$BG$403,HLOOKUP(INDIRECT(ADDRESS(2,COLUMN())),OFFSET($BN$2,0,0,ROW()-1,60),ROW()-1,FALSE))</f>
        <v>98.649000000000001</v>
      </c>
      <c r="BH89">
        <f ca="1">IF(AND(ISNUMBER($BH$403),$B$294=1),$BH$403,HLOOKUP(INDIRECT(ADDRESS(2,COLUMN())),OFFSET($BN$2,0,0,ROW()-1,60),ROW()-1,FALSE))</f>
        <v>85.756</v>
      </c>
      <c r="BI89">
        <f ca="1">IF(AND(ISNUMBER($BI$403),$B$294=1),$BI$403,HLOOKUP(INDIRECT(ADDRESS(2,COLUMN())),OFFSET($BN$2,0,0,ROW()-1,60),ROW()-1,FALSE))</f>
        <v>95.262001040000001</v>
      </c>
      <c r="BJ89">
        <f ca="1">IF(AND(ISNUMBER($BJ$403),$B$294=1),$BJ$403,HLOOKUP(INDIRECT(ADDRESS(2,COLUMN())),OFFSET($BN$2,0,0,ROW()-1,60),ROW()-1,FALSE))</f>
        <v>83.623001099999996</v>
      </c>
      <c r="BK89">
        <f ca="1">IF(AND(ISNUMBER($BK$403),$B$294=1),$BK$403,HLOOKUP(INDIRECT(ADDRESS(2,COLUMN())),OFFSET($BN$2,0,0,ROW()-1,60),ROW()-1,FALSE))</f>
        <v>71.882003780000005</v>
      </c>
      <c r="BL89">
        <f ca="1">IF(AND(ISNUMBER($BL$403),$B$294=1),$BL$403,HLOOKUP(INDIRECT(ADDRESS(2,COLUMN())),OFFSET($BN$2,0,0,ROW()-1,60),ROW()-1,FALSE))</f>
        <v>64.483001709999996</v>
      </c>
      <c r="BM89">
        <f ca="1">IF(AND(ISNUMBER($BM$403),$B$294=1),$BM$403,HLOOKUP(INDIRECT(ADDRESS(2,COLUMN())),OFFSET($BN$2,0,0,ROW()-1,60),ROW()-1,FALSE))</f>
        <v>54.09500122</v>
      </c>
      <c r="BN89" t="str">
        <f>""</f>
        <v/>
      </c>
      <c r="BO89">
        <f>60.896</f>
        <v>60.896000000000001</v>
      </c>
      <c r="BP89">
        <f>60.819</f>
        <v>60.819000000000003</v>
      </c>
      <c r="BQ89">
        <f>66.465</f>
        <v>66.465000000000003</v>
      </c>
      <c r="BR89">
        <f>66.192</f>
        <v>66.191999999999993</v>
      </c>
      <c r="BS89">
        <f>64.393</f>
        <v>64.393000000000001</v>
      </c>
      <c r="BT89">
        <f>59.992</f>
        <v>59.991999999999997</v>
      </c>
      <c r="BU89">
        <f>58.253</f>
        <v>58.253</v>
      </c>
      <c r="BV89">
        <f>59.853</f>
        <v>59.853000000000002</v>
      </c>
      <c r="BW89">
        <f>59.356</f>
        <v>59.356000000000002</v>
      </c>
      <c r="BX89">
        <f>60.93</f>
        <v>60.93</v>
      </c>
      <c r="BY89">
        <f>59.625</f>
        <v>59.625</v>
      </c>
      <c r="BZ89">
        <f>59.955</f>
        <v>59.954999999999998</v>
      </c>
      <c r="CA89">
        <f>62.075</f>
        <v>62.075000000000003</v>
      </c>
      <c r="CB89">
        <f>58.696</f>
        <v>58.695999999999998</v>
      </c>
      <c r="CC89">
        <f>57.731</f>
        <v>57.731000000000002</v>
      </c>
      <c r="CD89">
        <f>58.03</f>
        <v>58.03</v>
      </c>
      <c r="CE89">
        <f>63.977</f>
        <v>63.976999999999997</v>
      </c>
      <c r="CF89">
        <f>64.983</f>
        <v>64.983000000000004</v>
      </c>
      <c r="CG89">
        <f>61.419</f>
        <v>61.418999999999997</v>
      </c>
      <c r="CH89">
        <f>60.159</f>
        <v>60.158999999999999</v>
      </c>
      <c r="CI89">
        <f>54.845</f>
        <v>54.844999999999999</v>
      </c>
      <c r="CJ89">
        <f>55.214</f>
        <v>55.213999999999999</v>
      </c>
      <c r="CK89">
        <f>60.272</f>
        <v>60.271999999999998</v>
      </c>
      <c r="CL89">
        <f>60.046</f>
        <v>60.045999999999999</v>
      </c>
      <c r="CM89">
        <f>65.937</f>
        <v>65.936999999999998</v>
      </c>
      <c r="CN89">
        <f>68.918</f>
        <v>68.918000000000006</v>
      </c>
      <c r="CO89">
        <f>65.127</f>
        <v>65.126999999999995</v>
      </c>
      <c r="CP89">
        <f>71.307</f>
        <v>71.307000000000002</v>
      </c>
      <c r="CQ89">
        <f>67.936</f>
        <v>67.936000000000007</v>
      </c>
      <c r="CR89">
        <f>77.866</f>
        <v>77.866</v>
      </c>
      <c r="CS89">
        <f>56.612</f>
        <v>56.612000000000002</v>
      </c>
      <c r="CT89">
        <f>69.198</f>
        <v>69.197999999999993</v>
      </c>
      <c r="CU89">
        <f>69.484</f>
        <v>69.483999999999995</v>
      </c>
      <c r="CV89">
        <f>32.838</f>
        <v>32.838000000000001</v>
      </c>
      <c r="CW89">
        <f>68.546</f>
        <v>68.546000000000006</v>
      </c>
      <c r="CX89">
        <f>68.418</f>
        <v>68.418000000000006</v>
      </c>
      <c r="CY89">
        <f>72.747</f>
        <v>72.747</v>
      </c>
      <c r="CZ89">
        <f>72.491</f>
        <v>72.491</v>
      </c>
      <c r="DA89">
        <f>71.082</f>
        <v>71.081999999999994</v>
      </c>
      <c r="DB89">
        <f>78.543</f>
        <v>78.543000000000006</v>
      </c>
      <c r="DC89">
        <f>74.512</f>
        <v>74.512</v>
      </c>
      <c r="DD89">
        <f>71.263</f>
        <v>71.263000000000005</v>
      </c>
      <c r="DE89">
        <f>68.64</f>
        <v>68.64</v>
      </c>
      <c r="DF89">
        <f>71.089</f>
        <v>71.088999999999999</v>
      </c>
      <c r="DG89">
        <f>56.818</f>
        <v>56.817999999999998</v>
      </c>
      <c r="DH89">
        <f>78.036</f>
        <v>78.036000000000001</v>
      </c>
      <c r="DI89">
        <f>68.406</f>
        <v>68.406000000000006</v>
      </c>
      <c r="DJ89">
        <f>72.557</f>
        <v>72.557000000000002</v>
      </c>
      <c r="DK89">
        <f>68.087</f>
        <v>68.087000000000003</v>
      </c>
      <c r="DL89">
        <f>72.973</f>
        <v>72.972999999999999</v>
      </c>
      <c r="DM89">
        <f>67.01</f>
        <v>67.010000000000005</v>
      </c>
      <c r="DN89">
        <f>93.05</f>
        <v>93.05</v>
      </c>
      <c r="DO89">
        <f>98.649</f>
        <v>98.649000000000001</v>
      </c>
      <c r="DP89">
        <f>85.756</f>
        <v>85.756</v>
      </c>
      <c r="DQ89">
        <f>95.26200104</f>
        <v>95.262001040000001</v>
      </c>
      <c r="DR89">
        <f>83.6230011</f>
        <v>83.623001099999996</v>
      </c>
      <c r="DS89">
        <f>71.88200378</f>
        <v>71.882003780000005</v>
      </c>
      <c r="DT89">
        <f>64.48300171</f>
        <v>64.483001709999996</v>
      </c>
      <c r="DU89">
        <f>54.09500122</f>
        <v>54.09500122</v>
      </c>
    </row>
    <row r="90" spans="1:125">
      <c r="A90" t="str">
        <f>"    SL Green Realty Corp"</f>
        <v xml:space="preserve">    SL Green Realty Corp</v>
      </c>
      <c r="B90" t="str">
        <f>"SLG US Equity"</f>
        <v>SLG US Equity</v>
      </c>
      <c r="C90" t="str">
        <f t="shared" si="21"/>
        <v>CF039</v>
      </c>
      <c r="D90" t="str">
        <f t="shared" si="22"/>
        <v>CF_FFO</v>
      </c>
      <c r="E90" t="str">
        <f t="shared" si="23"/>
        <v>动态</v>
      </c>
      <c r="F90" t="str">
        <f ca="1">IF(AND(ISNUMBER($F$404),$B$294=1),$F$404,HLOOKUP(INDIRECT(ADDRESS(2,COLUMN())),OFFSET($BN$2,0,0,ROW()-1,60),ROW()-1,FALSE))</f>
        <v/>
      </c>
      <c r="G90">
        <f ca="1">IF(AND(ISNUMBER($G$404),$B$294=1),$G$404,HLOOKUP(INDIRECT(ADDRESS(2,COLUMN())),OFFSET($BN$2,0,0,ROW()-1,60),ROW()-1,FALSE))</f>
        <v>161.68199999999999</v>
      </c>
      <c r="H90">
        <f ca="1">IF(AND(ISNUMBER($H$404),$B$294=1),$H$404,HLOOKUP(INDIRECT(ADDRESS(2,COLUMN())),OFFSET($BN$2,0,0,ROW()-1,60),ROW()-1,FALSE))</f>
        <v>152.86500000000001</v>
      </c>
      <c r="I90">
        <f ca="1">IF(AND(ISNUMBER($I$404),$B$294=1),$I$404,HLOOKUP(INDIRECT(ADDRESS(2,COLUMN())),OFFSET($BN$2,0,0,ROW()-1,60),ROW()-1,FALSE))</f>
        <v>186.80099999999999</v>
      </c>
      <c r="J90">
        <f ca="1">IF(AND(ISNUMBER($J$404),$B$294=1),$J$404,HLOOKUP(INDIRECT(ADDRESS(2,COLUMN())),OFFSET($BN$2,0,0,ROW()-1,60),ROW()-1,FALSE))</f>
        <v>165.89400000000001</v>
      </c>
      <c r="K90">
        <f ca="1">IF(AND(ISNUMBER($K$404),$B$294=1),$K$404,HLOOKUP(INDIRECT(ADDRESS(2,COLUMN())),OFFSET($BN$2,0,0,ROW()-1,60),ROW()-1,FALSE))</f>
        <v>150.75899999999999</v>
      </c>
      <c r="L90">
        <f ca="1">IF(AND(ISNUMBER($L$404),$B$294=1),$L$404,HLOOKUP(INDIRECT(ADDRESS(2,COLUMN())),OFFSET($BN$2,0,0,ROW()-1,60),ROW()-1,FALSE))</f>
        <v>171.63399999999999</v>
      </c>
      <c r="M90">
        <f ca="1">IF(AND(ISNUMBER($M$404),$B$294=1),$M$404,HLOOKUP(INDIRECT(ADDRESS(2,COLUMN())),OFFSET($BN$2,0,0,ROW()-1,60),ROW()-1,FALSE))</f>
        <v>355.70699999999999</v>
      </c>
      <c r="N90">
        <f ca="1">IF(AND(ISNUMBER($N$404),$B$294=1),$N$404,HLOOKUP(INDIRECT(ADDRESS(2,COLUMN())),OFFSET($BN$2,0,0,ROW()-1,60),ROW()-1,FALSE))</f>
        <v>191.755</v>
      </c>
      <c r="O90">
        <f ca="1">IF(AND(ISNUMBER($O$404),$B$294=1),$O$404,HLOOKUP(INDIRECT(ADDRESS(2,COLUMN())),OFFSET($BN$2,0,0,ROW()-1,60),ROW()-1,FALSE))</f>
        <v>167.24100000000001</v>
      </c>
      <c r="P90">
        <f ca="1">IF(AND(ISNUMBER($P$404),$B$294=1),$P$404,HLOOKUP(INDIRECT(ADDRESS(2,COLUMN())),OFFSET($BN$2,0,0,ROW()-1,60),ROW()-1,FALSE))</f>
        <v>171.512</v>
      </c>
      <c r="Q90">
        <f ca="1">IF(AND(ISNUMBER($Q$404),$B$294=1),$Q$404,HLOOKUP(INDIRECT(ADDRESS(2,COLUMN())),OFFSET($BN$2,0,0,ROW()-1,60),ROW()-1,FALSE))</f>
        <v>168.67400000000001</v>
      </c>
      <c r="R90">
        <f ca="1">IF(AND(ISNUMBER($R$404),$B$294=1),$R$404,HLOOKUP(INDIRECT(ADDRESS(2,COLUMN())),OFFSET($BN$2,0,0,ROW()-1,60),ROW()-1,FALSE))</f>
        <v>154.398</v>
      </c>
      <c r="S90">
        <f ca="1">IF(AND(ISNUMBER($S$404),$B$294=1),$S$404,HLOOKUP(INDIRECT(ADDRESS(2,COLUMN())),OFFSET($BN$2,0,0,ROW()-1,60),ROW()-1,FALSE))</f>
        <v>144.69999999999999</v>
      </c>
      <c r="T90">
        <f ca="1">IF(AND(ISNUMBER($T$404),$B$294=1),$T$404,HLOOKUP(INDIRECT(ADDRESS(2,COLUMN())),OFFSET($BN$2,0,0,ROW()-1,60),ROW()-1,FALSE))</f>
        <v>127.482</v>
      </c>
      <c r="U90">
        <f ca="1">IF(AND(ISNUMBER($U$404),$B$294=1),$U$404,HLOOKUP(INDIRECT(ADDRESS(2,COLUMN())),OFFSET($BN$2,0,0,ROW()-1,60),ROW()-1,FALSE))</f>
        <v>160.9</v>
      </c>
      <c r="V90">
        <f ca="1">IF(AND(ISNUMBER($V$404),$B$294=1),$V$404,HLOOKUP(INDIRECT(ADDRESS(2,COLUMN())),OFFSET($BN$2,0,0,ROW()-1,60),ROW()-1,FALSE))</f>
        <v>149.95400000000001</v>
      </c>
      <c r="W90">
        <f ca="1">IF(AND(ISNUMBER($W$404),$B$294=1),$W$404,HLOOKUP(INDIRECT(ADDRESS(2,COLUMN())),OFFSET($BN$2,0,0,ROW()-1,60),ROW()-1,FALSE))</f>
        <v>134.517</v>
      </c>
      <c r="X90">
        <f ca="1">IF(AND(ISNUMBER($X$404),$B$294=1),$X$404,HLOOKUP(INDIRECT(ADDRESS(2,COLUMN())),OFFSET($BN$2,0,0,ROW()-1,60),ROW()-1,FALSE))</f>
        <v>127.38</v>
      </c>
      <c r="Y90">
        <f ca="1">IF(AND(ISNUMBER($Y$404),$B$294=1),$Y$404,HLOOKUP(INDIRECT(ADDRESS(2,COLUMN())),OFFSET($BN$2,0,0,ROW()-1,60),ROW()-1,FALSE))</f>
        <v>120.476</v>
      </c>
      <c r="Z90">
        <f ca="1">IF(AND(ISNUMBER($Z$404),$B$294=1),$Z$404,HLOOKUP(INDIRECT(ADDRESS(2,COLUMN())),OFFSET($BN$2,0,0,ROW()-1,60),ROW()-1,FALSE))</f>
        <v>109.224</v>
      </c>
      <c r="AA90">
        <f ca="1">IF(AND(ISNUMBER($AA$404),$B$294=1),$AA$404,HLOOKUP(INDIRECT(ADDRESS(2,COLUMN())),OFFSET($BN$2,0,0,ROW()-1,60),ROW()-1,FALSE))</f>
        <v>107.16200000000001</v>
      </c>
      <c r="AB90">
        <f ca="1">IF(AND(ISNUMBER($AB$404),$B$294=1),$AB$404,HLOOKUP(INDIRECT(ADDRESS(2,COLUMN())),OFFSET($BN$2,0,0,ROW()-1,60),ROW()-1,FALSE))</f>
        <v>104.819</v>
      </c>
      <c r="AC90">
        <f ca="1">IF(AND(ISNUMBER($AC$404),$B$294=1),$AC$404,HLOOKUP(INDIRECT(ADDRESS(2,COLUMN())),OFFSET($BN$2,0,0,ROW()-1,60),ROW()-1,FALSE))</f>
        <v>178.994</v>
      </c>
      <c r="AD90">
        <f ca="1">IF(AND(ISNUMBER($AD$404),$B$294=1),$AD$404,HLOOKUP(INDIRECT(ADDRESS(2,COLUMN())),OFFSET($BN$2,0,0,ROW()-1,60),ROW()-1,FALSE))</f>
        <v>99.284999999999997</v>
      </c>
      <c r="AE90">
        <f ca="1">IF(AND(ISNUMBER($AE$404),$B$294=1),$AE$404,HLOOKUP(INDIRECT(ADDRESS(2,COLUMN())),OFFSET($BN$2,0,0,ROW()-1,60),ROW()-1,FALSE))</f>
        <v>90.308999999999997</v>
      </c>
      <c r="AF90">
        <f ca="1">IF(AND(ISNUMBER($AF$404),$B$294=1),$AF$404,HLOOKUP(INDIRECT(ADDRESS(2,COLUMN())),OFFSET($BN$2,0,0,ROW()-1,60),ROW()-1,FALSE))</f>
        <v>87.893000000000001</v>
      </c>
      <c r="AG90">
        <f ca="1">IF(AND(ISNUMBER($AG$404),$B$294=1),$AG$404,HLOOKUP(INDIRECT(ADDRESS(2,COLUMN())),OFFSET($BN$2,0,0,ROW()-1,60),ROW()-1,FALSE))</f>
        <v>92.855999999999995</v>
      </c>
      <c r="AH90">
        <f ca="1">IF(AND(ISNUMBER($AH$404),$B$294=1),$AH$404,HLOOKUP(INDIRECT(ADDRESS(2,COLUMN())),OFFSET($BN$2,0,0,ROW()-1,60),ROW()-1,FALSE))</f>
        <v>142.755</v>
      </c>
      <c r="AI90">
        <f ca="1">IF(AND(ISNUMBER($AI$404),$B$294=1),$AI$404,HLOOKUP(INDIRECT(ADDRESS(2,COLUMN())),OFFSET($BN$2,0,0,ROW()-1,60),ROW()-1,FALSE))</f>
        <v>77.441000000000003</v>
      </c>
      <c r="AJ90">
        <f ca="1">IF(AND(ISNUMBER($AJ$404),$B$294=1),$AJ$404,HLOOKUP(INDIRECT(ADDRESS(2,COLUMN())),OFFSET($BN$2,0,0,ROW()-1,60),ROW()-1,FALSE))</f>
        <v>145.31399999999999</v>
      </c>
      <c r="AK90">
        <f ca="1">IF(AND(ISNUMBER($AK$404),$B$294=1),$AK$404,HLOOKUP(INDIRECT(ADDRESS(2,COLUMN())),OFFSET($BN$2,0,0,ROW()-1,60),ROW()-1,FALSE))</f>
        <v>81.453000000000003</v>
      </c>
      <c r="AL90">
        <f ca="1">IF(AND(ISNUMBER($AL$404),$B$294=1),$AL$404,HLOOKUP(INDIRECT(ADDRESS(2,COLUMN())),OFFSET($BN$2,0,0,ROW()-1,60),ROW()-1,FALSE))</f>
        <v>84.953000000000003</v>
      </c>
      <c r="AM90">
        <f ca="1">IF(AND(ISNUMBER($AM$404),$B$294=1),$AM$404,HLOOKUP(INDIRECT(ADDRESS(2,COLUMN())),OFFSET($BN$2,0,0,ROW()-1,60),ROW()-1,FALSE))</f>
        <v>69.129000000000005</v>
      </c>
      <c r="AN90">
        <f ca="1">IF(AND(ISNUMBER($AN$404),$B$294=1),$AN$404,HLOOKUP(INDIRECT(ADDRESS(2,COLUMN())),OFFSET($BN$2,0,0,ROW()-1,60),ROW()-1,FALSE))</f>
        <v>78.057000000000002</v>
      </c>
      <c r="AO90">
        <f ca="1">IF(AND(ISNUMBER($AO$404),$B$294=1),$AO$404,HLOOKUP(INDIRECT(ADDRESS(2,COLUMN())),OFFSET($BN$2,0,0,ROW()-1,60),ROW()-1,FALSE))</f>
        <v>83.513000000000005</v>
      </c>
      <c r="AP90">
        <f ca="1">IF(AND(ISNUMBER($AP$404),$B$294=1),$AP$404,HLOOKUP(INDIRECT(ADDRESS(2,COLUMN())),OFFSET($BN$2,0,0,ROW()-1,60),ROW()-1,FALSE))</f>
        <v>88.117999999999995</v>
      </c>
      <c r="AQ90">
        <f ca="1">IF(AND(ISNUMBER($AQ$404),$B$294=1),$AQ$404,HLOOKUP(INDIRECT(ADDRESS(2,COLUMN())),OFFSET($BN$2,0,0,ROW()-1,60),ROW()-1,FALSE))</f>
        <v>61.527000000000001</v>
      </c>
      <c r="AR90">
        <f ca="1">IF(AND(ISNUMBER($AR$404),$B$294=1),$AR$404,HLOOKUP(INDIRECT(ADDRESS(2,COLUMN())),OFFSET($BN$2,0,0,ROW()-1,60),ROW()-1,FALSE))</f>
        <v>83.087000000000003</v>
      </c>
      <c r="AS90">
        <f ca="1">IF(AND(ISNUMBER($AS$404),$B$294=1),$AS$404,HLOOKUP(INDIRECT(ADDRESS(2,COLUMN())),OFFSET($BN$2,0,0,ROW()-1,60),ROW()-1,FALSE))</f>
        <v>117.09699999999999</v>
      </c>
      <c r="AT90">
        <f ca="1">IF(AND(ISNUMBER($AT$404),$B$294=1),$AT$404,HLOOKUP(INDIRECT(ADDRESS(2,COLUMN())),OFFSET($BN$2,0,0,ROW()-1,60),ROW()-1,FALSE))</f>
        <v>83.146000000000001</v>
      </c>
      <c r="AU90">
        <f ca="1">IF(AND(ISNUMBER($AU$404),$B$294=1),$AU$404,HLOOKUP(INDIRECT(ADDRESS(2,COLUMN())),OFFSET($BN$2,0,0,ROW()-1,60),ROW()-1,FALSE))</f>
        <v>76.905000000000001</v>
      </c>
      <c r="AV90">
        <f ca="1">IF(AND(ISNUMBER($AV$404),$B$294=1),$AV$404,HLOOKUP(INDIRECT(ADDRESS(2,COLUMN())),OFFSET($BN$2,0,0,ROW()-1,60),ROW()-1,FALSE))</f>
        <v>77.819999999999993</v>
      </c>
      <c r="AW90">
        <f ca="1">IF(AND(ISNUMBER($AW$404),$B$294=1),$AW$404,HLOOKUP(INDIRECT(ADDRESS(2,COLUMN())),OFFSET($BN$2,0,0,ROW()-1,60),ROW()-1,FALSE))</f>
        <v>79.513000000000005</v>
      </c>
      <c r="AX90">
        <f ca="1">IF(AND(ISNUMBER($AX$404),$B$294=1),$AX$404,HLOOKUP(INDIRECT(ADDRESS(2,COLUMN())),OFFSET($BN$2,0,0,ROW()-1,60),ROW()-1,FALSE))</f>
        <v>123.71599999999999</v>
      </c>
      <c r="AY90">
        <f ca="1">IF(AND(ISNUMBER($AY$404),$B$294=1),$AY$404,HLOOKUP(INDIRECT(ADDRESS(2,COLUMN())),OFFSET($BN$2,0,0,ROW()-1,60),ROW()-1,FALSE))</f>
        <v>60.53</v>
      </c>
      <c r="AZ90">
        <f ca="1">IF(AND(ISNUMBER($AZ$404),$B$294=1),$AZ$404,HLOOKUP(INDIRECT(ADDRESS(2,COLUMN())),OFFSET($BN$2,0,0,ROW()-1,60),ROW()-1,FALSE))</f>
        <v>55.546999999999997</v>
      </c>
      <c r="BA90">
        <f ca="1">IF(AND(ISNUMBER($BA$404),$B$294=1),$BA$404,HLOOKUP(INDIRECT(ADDRESS(2,COLUMN())),OFFSET($BN$2,0,0,ROW()-1,60),ROW()-1,FALSE))</f>
        <v>57.194000000000003</v>
      </c>
      <c r="BB90">
        <f ca="1">IF(AND(ISNUMBER($BB$404),$B$294=1),$BB$404,HLOOKUP(INDIRECT(ADDRESS(2,COLUMN())),OFFSET($BN$2,0,0,ROW()-1,60),ROW()-1,FALSE))</f>
        <v>50.357999999999997</v>
      </c>
      <c r="BC90">
        <f ca="1">IF(AND(ISNUMBER($BC$404),$B$294=1),$BC$404,HLOOKUP(INDIRECT(ADDRESS(2,COLUMN())),OFFSET($BN$2,0,0,ROW()-1,60),ROW()-1,FALSE))</f>
        <v>46.874000000000002</v>
      </c>
      <c r="BD90">
        <f ca="1">IF(AND(ISNUMBER($BD$404),$B$294=1),$BD$404,HLOOKUP(INDIRECT(ADDRESS(2,COLUMN())),OFFSET($BN$2,0,0,ROW()-1,60),ROW()-1,FALSE))</f>
        <v>51.704999999999998</v>
      </c>
      <c r="BE90">
        <f ca="1">IF(AND(ISNUMBER($BE$404),$B$294=1),$BE$404,HLOOKUP(INDIRECT(ADDRESS(2,COLUMN())),OFFSET($BN$2,0,0,ROW()-1,60),ROW()-1,FALSE))</f>
        <v>46.372</v>
      </c>
      <c r="BF90">
        <f ca="1">IF(AND(ISNUMBER($BF$404),$B$294=1),$BF$404,HLOOKUP(INDIRECT(ADDRESS(2,COLUMN())),OFFSET($BN$2,0,0,ROW()-1,60),ROW()-1,FALSE))</f>
        <v>44.561</v>
      </c>
      <c r="BG90">
        <f ca="1">IF(AND(ISNUMBER($BG$404),$B$294=1),$BG$404,HLOOKUP(INDIRECT(ADDRESS(2,COLUMN())),OFFSET($BN$2,0,0,ROW()-1,60),ROW()-1,FALSE))</f>
        <v>42.578000000000003</v>
      </c>
      <c r="BH90">
        <f ca="1">IF(AND(ISNUMBER($BH$404),$B$294=1),$BH$404,HLOOKUP(INDIRECT(ADDRESS(2,COLUMN())),OFFSET($BN$2,0,0,ROW()-1,60),ROW()-1,FALSE))</f>
        <v>40.662999999999997</v>
      </c>
      <c r="BI90">
        <f ca="1">IF(AND(ISNUMBER($BI$404),$B$294=1),$BI$404,HLOOKUP(INDIRECT(ADDRESS(2,COLUMN())),OFFSET($BN$2,0,0,ROW()-1,60),ROW()-1,FALSE))</f>
        <v>44.146000000000001</v>
      </c>
      <c r="BJ90">
        <f ca="1">IF(AND(ISNUMBER($BJ$404),$B$294=1),$BJ$404,HLOOKUP(INDIRECT(ADDRESS(2,COLUMN())),OFFSET($BN$2,0,0,ROW()-1,60),ROW()-1,FALSE))</f>
        <v>34.99</v>
      </c>
      <c r="BK90">
        <f ca="1">IF(AND(ISNUMBER($BK$404),$B$294=1),$BK$404,HLOOKUP(INDIRECT(ADDRESS(2,COLUMN())),OFFSET($BN$2,0,0,ROW()-1,60),ROW()-1,FALSE))</f>
        <v>35.242000580000003</v>
      </c>
      <c r="BL90">
        <f ca="1">IF(AND(ISNUMBER($BL$404),$B$294=1),$BL$404,HLOOKUP(INDIRECT(ADDRESS(2,COLUMN())),OFFSET($BN$2,0,0,ROW()-1,60),ROW()-1,FALSE))</f>
        <v>-32.478999999999999</v>
      </c>
      <c r="BM90">
        <f ca="1">IF(AND(ISNUMBER($BM$404),$B$294=1),$BM$404,HLOOKUP(INDIRECT(ADDRESS(2,COLUMN())),OFFSET($BN$2,0,0,ROW()-1,60),ROW()-1,FALSE))</f>
        <v>33.875999999999998</v>
      </c>
      <c r="BN90" t="str">
        <f>""</f>
        <v/>
      </c>
      <c r="BO90">
        <f>161.682</f>
        <v>161.68199999999999</v>
      </c>
      <c r="BP90">
        <f>152.865</f>
        <v>152.86500000000001</v>
      </c>
      <c r="BQ90">
        <f>186.801</f>
        <v>186.80099999999999</v>
      </c>
      <c r="BR90">
        <f>165.894</f>
        <v>165.89400000000001</v>
      </c>
      <c r="BS90">
        <f>150.759</f>
        <v>150.75899999999999</v>
      </c>
      <c r="BT90">
        <f>171.634</f>
        <v>171.63399999999999</v>
      </c>
      <c r="BU90">
        <f>355.707</f>
        <v>355.70699999999999</v>
      </c>
      <c r="BV90">
        <f>191.755</f>
        <v>191.755</v>
      </c>
      <c r="BW90">
        <f>167.241</f>
        <v>167.24100000000001</v>
      </c>
      <c r="BX90">
        <f>171.512</f>
        <v>171.512</v>
      </c>
      <c r="BY90">
        <f>168.674</f>
        <v>168.67400000000001</v>
      </c>
      <c r="BZ90">
        <f>154.398</f>
        <v>154.398</v>
      </c>
      <c r="CA90">
        <f>144.7</f>
        <v>144.69999999999999</v>
      </c>
      <c r="CB90">
        <f>127.482</f>
        <v>127.482</v>
      </c>
      <c r="CC90">
        <f>160.9</f>
        <v>160.9</v>
      </c>
      <c r="CD90">
        <f>149.954</f>
        <v>149.95400000000001</v>
      </c>
      <c r="CE90">
        <f>134.517</f>
        <v>134.517</v>
      </c>
      <c r="CF90">
        <f>127.38</f>
        <v>127.38</v>
      </c>
      <c r="CG90">
        <f>120.476</f>
        <v>120.476</v>
      </c>
      <c r="CH90">
        <f>109.224</f>
        <v>109.224</v>
      </c>
      <c r="CI90">
        <f>107.162</f>
        <v>107.16200000000001</v>
      </c>
      <c r="CJ90">
        <f>104.819</f>
        <v>104.819</v>
      </c>
      <c r="CK90">
        <f>178.994</f>
        <v>178.994</v>
      </c>
      <c r="CL90">
        <f>99.285</f>
        <v>99.284999999999997</v>
      </c>
      <c r="CM90">
        <f>90.309</f>
        <v>90.308999999999997</v>
      </c>
      <c r="CN90">
        <f>87.893</f>
        <v>87.893000000000001</v>
      </c>
      <c r="CO90">
        <f>92.856</f>
        <v>92.855999999999995</v>
      </c>
      <c r="CP90">
        <f>142.755</f>
        <v>142.755</v>
      </c>
      <c r="CQ90">
        <f>77.441</f>
        <v>77.441000000000003</v>
      </c>
      <c r="CR90">
        <f>145.314</f>
        <v>145.31399999999999</v>
      </c>
      <c r="CS90">
        <f>81.453</f>
        <v>81.453000000000003</v>
      </c>
      <c r="CT90">
        <f>84.953</f>
        <v>84.953000000000003</v>
      </c>
      <c r="CU90">
        <f>69.129</f>
        <v>69.129000000000005</v>
      </c>
      <c r="CV90">
        <f>78.057</f>
        <v>78.057000000000002</v>
      </c>
      <c r="CW90">
        <f>83.513</f>
        <v>83.513000000000005</v>
      </c>
      <c r="CX90">
        <f>88.118</f>
        <v>88.117999999999995</v>
      </c>
      <c r="CY90">
        <f>61.527</f>
        <v>61.527000000000001</v>
      </c>
      <c r="CZ90">
        <f>83.087</f>
        <v>83.087000000000003</v>
      </c>
      <c r="DA90">
        <f>117.097</f>
        <v>117.09699999999999</v>
      </c>
      <c r="DB90">
        <f>83.146</f>
        <v>83.146000000000001</v>
      </c>
      <c r="DC90">
        <f>76.905</f>
        <v>76.905000000000001</v>
      </c>
      <c r="DD90">
        <f>77.82</f>
        <v>77.819999999999993</v>
      </c>
      <c r="DE90">
        <f>79.513</f>
        <v>79.513000000000005</v>
      </c>
      <c r="DF90">
        <f>123.716</f>
        <v>123.71599999999999</v>
      </c>
      <c r="DG90">
        <f>60.53</f>
        <v>60.53</v>
      </c>
      <c r="DH90">
        <f>55.547</f>
        <v>55.546999999999997</v>
      </c>
      <c r="DI90">
        <f>57.194</f>
        <v>57.194000000000003</v>
      </c>
      <c r="DJ90">
        <f>50.358</f>
        <v>50.357999999999997</v>
      </c>
      <c r="DK90">
        <f>46.874</f>
        <v>46.874000000000002</v>
      </c>
      <c r="DL90">
        <f>51.705</f>
        <v>51.704999999999998</v>
      </c>
      <c r="DM90">
        <f>46.372</f>
        <v>46.372</v>
      </c>
      <c r="DN90">
        <f>44.561</f>
        <v>44.561</v>
      </c>
      <c r="DO90">
        <f>42.578</f>
        <v>42.578000000000003</v>
      </c>
      <c r="DP90">
        <f>40.663</f>
        <v>40.662999999999997</v>
      </c>
      <c r="DQ90">
        <f>44.146</f>
        <v>44.146000000000001</v>
      </c>
      <c r="DR90">
        <f>34.99</f>
        <v>34.99</v>
      </c>
      <c r="DS90">
        <f>35.24200058</f>
        <v>35.242000580000003</v>
      </c>
      <c r="DT90">
        <f>-32.479</f>
        <v>-32.478999999999999</v>
      </c>
      <c r="DU90">
        <f>33.876</f>
        <v>33.875999999999998</v>
      </c>
    </row>
    <row r="91" spans="1:125">
      <c r="A91" t="str">
        <f>"    Vornado Realty Trust"</f>
        <v xml:space="preserve">    Vornado Realty Trust</v>
      </c>
      <c r="B91" t="str">
        <f>"VNO US Equity"</f>
        <v>VNO US Equity</v>
      </c>
      <c r="C91" t="str">
        <f t="shared" si="21"/>
        <v>CF039</v>
      </c>
      <c r="D91" t="str">
        <f t="shared" si="22"/>
        <v>CF_FFO</v>
      </c>
      <c r="E91" t="str">
        <f t="shared" si="23"/>
        <v>动态</v>
      </c>
      <c r="F91" t="str">
        <f ca="1">IF(AND(ISNUMBER($F$405),$B$294=1),$F$405,HLOOKUP(INDIRECT(ADDRESS(2,COLUMN())),OFFSET($BN$2,0,0,ROW()-1,60),ROW()-1,FALSE))</f>
        <v/>
      </c>
      <c r="G91">
        <f ca="1">IF(AND(ISNUMBER($G$405),$B$294=1),$G$405,HLOOKUP(INDIRECT(ADDRESS(2,COLUMN())),OFFSET($BN$2,0,0,ROW()-1,60),ROW()-1,FALSE))</f>
        <v>153.15100000000001</v>
      </c>
      <c r="H91">
        <f ca="1">IF(AND(ISNUMBER($H$405),$B$294=1),$H$405,HLOOKUP(INDIRECT(ADDRESS(2,COLUMN())),OFFSET($BN$2,0,0,ROW()-1,60),ROW()-1,FALSE))</f>
        <v>100.178</v>
      </c>
      <c r="I91">
        <f ca="1">IF(AND(ISNUMBER($I$405),$B$294=1),$I$405,HLOOKUP(INDIRECT(ADDRESS(2,COLUMN())),OFFSET($BN$2,0,0,ROW()-1,60),ROW()-1,FALSE))</f>
        <v>257.673</v>
      </c>
      <c r="J91">
        <f ca="1">IF(AND(ISNUMBER($J$405),$B$294=1),$J$405,HLOOKUP(INDIRECT(ADDRESS(2,COLUMN())),OFFSET($BN$2,0,0,ROW()-1,60),ROW()-1,FALSE))</f>
        <v>205.72900000000001</v>
      </c>
      <c r="K91">
        <f ca="1">IF(AND(ISNUMBER($K$405),$B$294=1),$K$405,HLOOKUP(INDIRECT(ADDRESS(2,COLUMN())),OFFSET($BN$2,0,0,ROW()-1,60),ROW()-1,FALSE))</f>
        <v>797.73400000000004</v>
      </c>
      <c r="L91">
        <f ca="1">IF(AND(ISNUMBER($L$405),$B$294=1),$L$405,HLOOKUP(INDIRECT(ADDRESS(2,COLUMN())),OFFSET($BN$2,0,0,ROW()-1,60),ROW()-1,FALSE))</f>
        <v>225.529</v>
      </c>
      <c r="M91">
        <f ca="1">IF(AND(ISNUMBER($M$405),$B$294=1),$M$405,HLOOKUP(INDIRECT(ADDRESS(2,COLUMN())),OFFSET($BN$2,0,0,ROW()-1,60),ROW()-1,FALSE))</f>
        <v>229.43199999999999</v>
      </c>
      <c r="N91">
        <f ca="1">IF(AND(ISNUMBER($N$405),$B$294=1),$N$405,HLOOKUP(INDIRECT(ADDRESS(2,COLUMN())),OFFSET($BN$2,0,0,ROW()-1,60),ROW()-1,FALSE))</f>
        <v>203.137</v>
      </c>
      <c r="O91">
        <f ca="1">IF(AND(ISNUMBER($O$405),$B$294=1),$O$405,HLOOKUP(INDIRECT(ADDRESS(2,COLUMN())),OFFSET($BN$2,0,0,ROW()-1,60),ROW()-1,FALSE))</f>
        <v>259.52800000000002</v>
      </c>
      <c r="P91">
        <f ca="1">IF(AND(ISNUMBER($P$405),$B$294=1),$P$405,HLOOKUP(INDIRECT(ADDRESS(2,COLUMN())),OFFSET($BN$2,0,0,ROW()-1,60),ROW()-1,FALSE))</f>
        <v>236.03899999999999</v>
      </c>
      <c r="Q91">
        <f ca="1">IF(AND(ISNUMBER($Q$405),$B$294=1),$Q$405,HLOOKUP(INDIRECT(ADDRESS(2,COLUMN())),OFFSET($BN$2,0,0,ROW()-1,60),ROW()-1,FALSE))</f>
        <v>323.38099999999997</v>
      </c>
      <c r="R91">
        <f ca="1">IF(AND(ISNUMBER($R$405),$B$294=1),$R$405,HLOOKUP(INDIRECT(ADDRESS(2,COLUMN())),OFFSET($BN$2,0,0,ROW()-1,60),ROW()-1,FALSE))</f>
        <v>220.084</v>
      </c>
      <c r="S91">
        <f ca="1">IF(AND(ISNUMBER($S$405),$B$294=1),$S$405,HLOOKUP(INDIRECT(ADDRESS(2,COLUMN())),OFFSET($BN$2,0,0,ROW()-1,60),ROW()-1,FALSE))</f>
        <v>230.143</v>
      </c>
      <c r="T91">
        <f ca="1">IF(AND(ISNUMBER($T$405),$B$294=1),$T$405,HLOOKUP(INDIRECT(ADDRESS(2,COLUMN())),OFFSET($BN$2,0,0,ROW()-1,60),ROW()-1,FALSE))</f>
        <v>217.36199999999999</v>
      </c>
      <c r="U91">
        <f ca="1">IF(AND(ISNUMBER($U$405),$B$294=1),$U$405,HLOOKUP(INDIRECT(ADDRESS(2,COLUMN())),OFFSET($BN$2,0,0,ROW()-1,60),ROW()-1,FALSE))</f>
        <v>216.547</v>
      </c>
      <c r="V91">
        <f ca="1">IF(AND(ISNUMBER($V$405),$B$294=1),$V$405,HLOOKUP(INDIRECT(ADDRESS(2,COLUMN())),OFFSET($BN$2,0,0,ROW()-1,60),ROW()-1,FALSE))</f>
        <v>247.07900000000001</v>
      </c>
      <c r="W91">
        <f ca="1">IF(AND(ISNUMBER($W$405),$B$294=1),$W$405,HLOOKUP(INDIRECT(ADDRESS(2,COLUMN())),OFFSET($BN$2,0,0,ROW()-1,60),ROW()-1,FALSE))</f>
        <v>-6.7839999999999998</v>
      </c>
      <c r="X91">
        <f ca="1">IF(AND(ISNUMBER($X$405),$B$294=1),$X$405,HLOOKUP(INDIRECT(ADDRESS(2,COLUMN())),OFFSET($BN$2,0,0,ROW()-1,60),ROW()-1,FALSE))</f>
        <v>210.62700000000001</v>
      </c>
      <c r="Y91">
        <f ca="1">IF(AND(ISNUMBER($Y$405),$B$294=1),$Y$405,HLOOKUP(INDIRECT(ADDRESS(2,COLUMN())),OFFSET($BN$2,0,0,ROW()-1,60),ROW()-1,FALSE))</f>
        <v>235.34800000000001</v>
      </c>
      <c r="Z91">
        <f ca="1">IF(AND(ISNUMBER($Z$405),$B$294=1),$Z$405,HLOOKUP(INDIRECT(ADDRESS(2,COLUMN())),OFFSET($BN$2,0,0,ROW()-1,60),ROW()-1,FALSE))</f>
        <v>201.82</v>
      </c>
      <c r="AA91">
        <f ca="1">IF(AND(ISNUMBER($AA$405),$B$294=1),$AA$405,HLOOKUP(INDIRECT(ADDRESS(2,COLUMN())),OFFSET($BN$2,0,0,ROW()-1,60),ROW()-1,FALSE))</f>
        <v>55.89</v>
      </c>
      <c r="AB91">
        <f ca="1">IF(AND(ISNUMBER($AB$405),$B$294=1),$AB$405,HLOOKUP(INDIRECT(ADDRESS(2,COLUMN())),OFFSET($BN$2,0,0,ROW()-1,60),ROW()-1,FALSE))</f>
        <v>251.01900000000001</v>
      </c>
      <c r="AC91">
        <f ca="1">IF(AND(ISNUMBER($AC$405),$B$294=1),$AC$405,HLOOKUP(INDIRECT(ADDRESS(2,COLUMN())),OFFSET($BN$2,0,0,ROW()-1,60),ROW()-1,FALSE))</f>
        <v>166.672</v>
      </c>
      <c r="AD91">
        <f ca="1">IF(AND(ISNUMBER($AD$405),$B$294=1),$AD$405,HLOOKUP(INDIRECT(ADDRESS(2,COLUMN())),OFFSET($BN$2,0,0,ROW()-1,60),ROW()-1,FALSE))</f>
        <v>348.452</v>
      </c>
      <c r="AE91">
        <f ca="1">IF(AND(ISNUMBER($AE$405),$B$294=1),$AE$405,HLOOKUP(INDIRECT(ADDRESS(2,COLUMN())),OFFSET($BN$2,0,0,ROW()-1,60),ROW()-1,FALSE))</f>
        <v>280.36900000000003</v>
      </c>
      <c r="AF91">
        <f ca="1">IF(AND(ISNUMBER($AF$405),$B$294=1),$AF$405,HLOOKUP(INDIRECT(ADDRESS(2,COLUMN())),OFFSET($BN$2,0,0,ROW()-1,60),ROW()-1,FALSE))</f>
        <v>195.125</v>
      </c>
      <c r="AG91">
        <f ca="1">IF(AND(ISNUMBER($AG$405),$B$294=1),$AG$405,HLOOKUP(INDIRECT(ADDRESS(2,COLUMN())),OFFSET($BN$2,0,0,ROW()-1,60),ROW()-1,FALSE))</f>
        <v>243.41800000000001</v>
      </c>
      <c r="AH91">
        <f ca="1">IF(AND(ISNUMBER($AH$405),$B$294=1),$AH$405,HLOOKUP(INDIRECT(ADDRESS(2,COLUMN())),OFFSET($BN$2,0,0,ROW()-1,60),ROW()-1,FALSE))</f>
        <v>505.93099999999998</v>
      </c>
      <c r="AI91">
        <f ca="1">IF(AND(ISNUMBER($AI$405),$B$294=1),$AI$405,HLOOKUP(INDIRECT(ADDRESS(2,COLUMN())),OFFSET($BN$2,0,0,ROW()-1,60),ROW()-1,FALSE))</f>
        <v>432.86</v>
      </c>
      <c r="AJ91">
        <f ca="1">IF(AND(ISNUMBER($AJ$405),$B$294=1),$AJ$405,HLOOKUP(INDIRECT(ADDRESS(2,COLUMN())),OFFSET($BN$2,0,0,ROW()-1,60),ROW()-1,FALSE))</f>
        <v>248.964</v>
      </c>
      <c r="AK91">
        <f ca="1">IF(AND(ISNUMBER($AK$405),$B$294=1),$AK$405,HLOOKUP(INDIRECT(ADDRESS(2,COLUMN())),OFFSET($BN$2,0,0,ROW()-1,60),ROW()-1,FALSE))</f>
        <v>204.77199999999999</v>
      </c>
      <c r="AL91">
        <f ca="1">IF(AND(ISNUMBER($AL$405),$B$294=1),$AL$405,HLOOKUP(INDIRECT(ADDRESS(2,COLUMN())),OFFSET($BN$2,0,0,ROW()-1,60),ROW()-1,FALSE))</f>
        <v>353.82600000000002</v>
      </c>
      <c r="AM91">
        <f ca="1">IF(AND(ISNUMBER($AM$405),$B$294=1),$AM$405,HLOOKUP(INDIRECT(ADDRESS(2,COLUMN())),OFFSET($BN$2,0,0,ROW()-1,60),ROW()-1,FALSE))</f>
        <v>0.02</v>
      </c>
      <c r="AN91">
        <f ca="1">IF(AND(ISNUMBER($AN$405),$B$294=1),$AN$405,HLOOKUP(INDIRECT(ADDRESS(2,COLUMN())),OFFSET($BN$2,0,0,ROW()-1,60),ROW()-1,FALSE))</f>
        <v>234.24600000000001</v>
      </c>
      <c r="AO91">
        <f ca="1">IF(AND(ISNUMBER($AO$405),$B$294=1),$AO$405,HLOOKUP(INDIRECT(ADDRESS(2,COLUMN())),OFFSET($BN$2,0,0,ROW()-1,60),ROW()-1,FALSE))</f>
        <v>93.515000000000001</v>
      </c>
      <c r="AP91">
        <f ca="1">IF(AND(ISNUMBER($AP$405),$B$294=1),$AP$405,HLOOKUP(INDIRECT(ADDRESS(2,COLUMN())),OFFSET($BN$2,0,0,ROW()-1,60),ROW()-1,FALSE))</f>
        <v>268.58199999999999</v>
      </c>
      <c r="AQ91">
        <f ca="1">IF(AND(ISNUMBER($AQ$405),$B$294=1),$AQ$405,HLOOKUP(INDIRECT(ADDRESS(2,COLUMN())),OFFSET($BN$2,0,0,ROW()-1,60),ROW()-1,FALSE))</f>
        <v>-88.153999999999996</v>
      </c>
      <c r="AR91">
        <f ca="1">IF(AND(ISNUMBER($AR$405),$B$294=1),$AR$405,HLOOKUP(INDIRECT(ADDRESS(2,COLUMN())),OFFSET($BN$2,0,0,ROW()-1,60),ROW()-1,FALSE))</f>
        <v>159.79300000000001</v>
      </c>
      <c r="AS91">
        <f ca="1">IF(AND(ISNUMBER($AS$405),$B$294=1),$AS$405,HLOOKUP(INDIRECT(ADDRESS(2,COLUMN())),OFFSET($BN$2,0,0,ROW()-1,60),ROW()-1,FALSE))</f>
        <v>194.43</v>
      </c>
      <c r="AT91">
        <f ca="1">IF(AND(ISNUMBER($AT$405),$B$294=1),$AT$405,HLOOKUP(INDIRECT(ADDRESS(2,COLUMN())),OFFSET($BN$2,0,0,ROW()-1,60),ROW()-1,FALSE))</f>
        <v>521.54499999999996</v>
      </c>
      <c r="AU91">
        <f ca="1">IF(AND(ISNUMBER($AU$405),$B$294=1),$AU$405,HLOOKUP(INDIRECT(ADDRESS(2,COLUMN())),OFFSET($BN$2,0,0,ROW()-1,60),ROW()-1,FALSE))</f>
        <v>188.089</v>
      </c>
      <c r="AV91">
        <f ca="1">IF(AND(ISNUMBER($AV$405),$B$294=1),$AV$405,HLOOKUP(INDIRECT(ADDRESS(2,COLUMN())),OFFSET($BN$2,0,0,ROW()-1,60),ROW()-1,FALSE))</f>
        <v>215.99600000000001</v>
      </c>
      <c r="AW91">
        <f ca="1">IF(AND(ISNUMBER($AW$405),$B$294=1),$AW$405,HLOOKUP(INDIRECT(ADDRESS(2,COLUMN())),OFFSET($BN$2,0,0,ROW()-1,60),ROW()-1,FALSE))</f>
        <v>276.46899999999999</v>
      </c>
      <c r="AX91">
        <f ca="1">IF(AND(ISNUMBER($AX$405),$B$294=1),$AX$405,HLOOKUP(INDIRECT(ADDRESS(2,COLUMN())),OFFSET($BN$2,0,0,ROW()-1,60),ROW()-1,FALSE))</f>
        <v>264.78300000000002</v>
      </c>
      <c r="AY91">
        <f ca="1">IF(AND(ISNUMBER($AY$405),$B$294=1),$AY$405,HLOOKUP(INDIRECT(ADDRESS(2,COLUMN())),OFFSET($BN$2,0,0,ROW()-1,60),ROW()-1,FALSE))</f>
        <v>207.11500000000001</v>
      </c>
      <c r="AZ91">
        <f ca="1">IF(AND(ISNUMBER($AZ$405),$B$294=1),$AZ$405,HLOOKUP(INDIRECT(ADDRESS(2,COLUMN())),OFFSET($BN$2,0,0,ROW()-1,60),ROW()-1,FALSE))</f>
        <v>199.303</v>
      </c>
      <c r="BA91">
        <f ca="1">IF(AND(ISNUMBER($BA$405),$B$294=1),$BA$405,HLOOKUP(INDIRECT(ADDRESS(2,COLUMN())),OFFSET($BN$2,0,0,ROW()-1,60),ROW()-1,FALSE))</f>
        <v>225.15700000000001</v>
      </c>
      <c r="BB91">
        <f ca="1">IF(AND(ISNUMBER($BB$405),$B$294=1),$BB$405,HLOOKUP(INDIRECT(ADDRESS(2,COLUMN())),OFFSET($BN$2,0,0,ROW()-1,60),ROW()-1,FALSE))</f>
        <v>206.631</v>
      </c>
      <c r="BC91">
        <f ca="1">IF(AND(ISNUMBER($BC$405),$B$294=1),$BC$405,HLOOKUP(INDIRECT(ADDRESS(2,COLUMN())),OFFSET($BN$2,0,0,ROW()-1,60),ROW()-1,FALSE))</f>
        <v>194.12100000000001</v>
      </c>
      <c r="BD91">
        <f ca="1">IF(AND(ISNUMBER($BD$405),$B$294=1),$BD$405,HLOOKUP(INDIRECT(ADDRESS(2,COLUMN())),OFFSET($BN$2,0,0,ROW()-1,60),ROW()-1,FALSE))</f>
        <v>93.272000000000006</v>
      </c>
      <c r="BE91">
        <f ca="1">IF(AND(ISNUMBER($BE$405),$B$294=1),$BE$405,HLOOKUP(INDIRECT(ADDRESS(2,COLUMN())),OFFSET($BN$2,0,0,ROW()-1,60),ROW()-1,FALSE))</f>
        <v>215.80199999999999</v>
      </c>
      <c r="BF91">
        <f ca="1">IF(AND(ISNUMBER($BF$405),$B$294=1),$BF$405,HLOOKUP(INDIRECT(ADDRESS(2,COLUMN())),OFFSET($BN$2,0,0,ROW()-1,60),ROW()-1,FALSE))</f>
        <v>248.47</v>
      </c>
      <c r="BG91">
        <f ca="1">IF(AND(ISNUMBER($BG$405),$B$294=1),$BG$405,HLOOKUP(INDIRECT(ADDRESS(2,COLUMN())),OFFSET($BN$2,0,0,ROW()-1,60),ROW()-1,FALSE))</f>
        <v>299.44099999999997</v>
      </c>
      <c r="BH91">
        <f ca="1">IF(AND(ISNUMBER($BH$405),$B$294=1),$BH$405,HLOOKUP(INDIRECT(ADDRESS(2,COLUMN())),OFFSET($BN$2,0,0,ROW()-1,60),ROW()-1,FALSE))</f>
        <v>156.703</v>
      </c>
      <c r="BI91">
        <f ca="1">IF(AND(ISNUMBER($BI$405),$B$294=1),$BI$405,HLOOKUP(INDIRECT(ADDRESS(2,COLUMN())),OFFSET($BN$2,0,0,ROW()-1,60),ROW()-1,FALSE))</f>
        <v>159.67399599999999</v>
      </c>
      <c r="BJ91">
        <f ca="1">IF(AND(ISNUMBER($BJ$405),$B$294=1),$BJ$405,HLOOKUP(INDIRECT(ADDRESS(2,COLUMN())),OFFSET($BN$2,0,0,ROW()-1,60),ROW()-1,FALSE))</f>
        <v>128.97500600000001</v>
      </c>
      <c r="BK91">
        <f ca="1">IF(AND(ISNUMBER($BK$405),$B$294=1),$BK$405,HLOOKUP(INDIRECT(ADDRESS(2,COLUMN())),OFFSET($BN$2,0,0,ROW()-1,60),ROW()-1,FALSE))</f>
        <v>130.729004</v>
      </c>
      <c r="BL91">
        <f ca="1">IF(AND(ISNUMBER($BL$405),$B$294=1),$BL$405,HLOOKUP(INDIRECT(ADDRESS(2,COLUMN())),OFFSET($BN$2,0,0,ROW()-1,60),ROW()-1,FALSE))</f>
        <v>123.914001</v>
      </c>
      <c r="BM91">
        <f ca="1">IF(AND(ISNUMBER($BM$405),$B$294=1),$BM$405,HLOOKUP(INDIRECT(ADDRESS(2,COLUMN())),OFFSET($BN$2,0,0,ROW()-1,60),ROW()-1,FALSE))</f>
        <v>133.41</v>
      </c>
      <c r="BN91" t="str">
        <f>""</f>
        <v/>
      </c>
      <c r="BO91">
        <f>153.151</f>
        <v>153.15100000000001</v>
      </c>
      <c r="BP91">
        <f>100.178</f>
        <v>100.178</v>
      </c>
      <c r="BQ91">
        <f>257.673</f>
        <v>257.673</v>
      </c>
      <c r="BR91">
        <f>205.729</f>
        <v>205.72900000000001</v>
      </c>
      <c r="BS91">
        <f>797.734</f>
        <v>797.73400000000004</v>
      </c>
      <c r="BT91">
        <f>225.529</f>
        <v>225.529</v>
      </c>
      <c r="BU91">
        <f>229.432</f>
        <v>229.43199999999999</v>
      </c>
      <c r="BV91">
        <f>203.137</f>
        <v>203.137</v>
      </c>
      <c r="BW91">
        <f>259.528</f>
        <v>259.52800000000002</v>
      </c>
      <c r="BX91">
        <f>236.039</f>
        <v>236.03899999999999</v>
      </c>
      <c r="BY91">
        <f>323.381</f>
        <v>323.38099999999997</v>
      </c>
      <c r="BZ91">
        <f>220.084</f>
        <v>220.084</v>
      </c>
      <c r="CA91">
        <f>230.143</f>
        <v>230.143</v>
      </c>
      <c r="CB91">
        <f>217.362</f>
        <v>217.36199999999999</v>
      </c>
      <c r="CC91">
        <f>216.547</f>
        <v>216.547</v>
      </c>
      <c r="CD91">
        <f>247.079</f>
        <v>247.07900000000001</v>
      </c>
      <c r="CE91">
        <f>-6.784</f>
        <v>-6.7839999999999998</v>
      </c>
      <c r="CF91">
        <f>210.627</f>
        <v>210.62700000000001</v>
      </c>
      <c r="CG91">
        <f>235.348</f>
        <v>235.34800000000001</v>
      </c>
      <c r="CH91">
        <f>201.82</f>
        <v>201.82</v>
      </c>
      <c r="CI91">
        <f>55.89</f>
        <v>55.89</v>
      </c>
      <c r="CJ91">
        <f>251.019</f>
        <v>251.01900000000001</v>
      </c>
      <c r="CK91">
        <f>166.672</f>
        <v>166.672</v>
      </c>
      <c r="CL91">
        <f>348.452</f>
        <v>348.452</v>
      </c>
      <c r="CM91">
        <f>280.369</f>
        <v>280.36900000000003</v>
      </c>
      <c r="CN91">
        <f>195.125</f>
        <v>195.125</v>
      </c>
      <c r="CO91">
        <f>243.418</f>
        <v>243.41800000000001</v>
      </c>
      <c r="CP91">
        <f>505.931</f>
        <v>505.93099999999998</v>
      </c>
      <c r="CQ91">
        <f>432.86</f>
        <v>432.86</v>
      </c>
      <c r="CR91">
        <f>248.964</f>
        <v>248.964</v>
      </c>
      <c r="CS91">
        <f>204.772</f>
        <v>204.77199999999999</v>
      </c>
      <c r="CT91">
        <f>353.826</f>
        <v>353.82600000000002</v>
      </c>
      <c r="CU91">
        <f>0.02</f>
        <v>0.02</v>
      </c>
      <c r="CV91">
        <f>234.246</f>
        <v>234.24600000000001</v>
      </c>
      <c r="CW91">
        <f>93.515</f>
        <v>93.515000000000001</v>
      </c>
      <c r="CX91">
        <f>268.582</f>
        <v>268.58199999999999</v>
      </c>
      <c r="CY91">
        <f>-88.154</f>
        <v>-88.153999999999996</v>
      </c>
      <c r="CZ91">
        <f>159.793</f>
        <v>159.79300000000001</v>
      </c>
      <c r="DA91">
        <f>194.43</f>
        <v>194.43</v>
      </c>
      <c r="DB91">
        <f>521.545</f>
        <v>521.54499999999996</v>
      </c>
      <c r="DC91">
        <f>188.089</f>
        <v>188.089</v>
      </c>
      <c r="DD91">
        <f>215.996</f>
        <v>215.99600000000001</v>
      </c>
      <c r="DE91">
        <f>276.469</f>
        <v>276.46899999999999</v>
      </c>
      <c r="DF91">
        <f>264.783</f>
        <v>264.78300000000002</v>
      </c>
      <c r="DG91">
        <f>207.115</f>
        <v>207.11500000000001</v>
      </c>
      <c r="DH91">
        <f>199.303</f>
        <v>199.303</v>
      </c>
      <c r="DI91">
        <f>225.157</f>
        <v>225.15700000000001</v>
      </c>
      <c r="DJ91">
        <f>206.631</f>
        <v>206.631</v>
      </c>
      <c r="DK91">
        <f>194.121</f>
        <v>194.12100000000001</v>
      </c>
      <c r="DL91">
        <f>93.272</f>
        <v>93.272000000000006</v>
      </c>
      <c r="DM91">
        <f>215.802</f>
        <v>215.80199999999999</v>
      </c>
      <c r="DN91">
        <f>248.47</f>
        <v>248.47</v>
      </c>
      <c r="DO91">
        <f>299.441</f>
        <v>299.44099999999997</v>
      </c>
      <c r="DP91">
        <f>156.703</f>
        <v>156.703</v>
      </c>
      <c r="DQ91">
        <f>159.673996</f>
        <v>159.67399599999999</v>
      </c>
      <c r="DR91">
        <f>128.975006</f>
        <v>128.97500600000001</v>
      </c>
      <c r="DS91">
        <f>130.729004</f>
        <v>130.729004</v>
      </c>
      <c r="DT91">
        <f>123.914001</f>
        <v>123.914001</v>
      </c>
      <c r="DU91">
        <f>133.41</f>
        <v>133.41</v>
      </c>
    </row>
    <row r="92" spans="1:125">
      <c r="A92" t="str">
        <f>"可分配资本"</f>
        <v>可分配资本</v>
      </c>
      <c r="B92" t="str">
        <f>""</f>
        <v/>
      </c>
      <c r="E92" t="str">
        <f>"Median"</f>
        <v>Median</v>
      </c>
      <c r="F92" t="str">
        <f ca="1">IF(ISERROR(IF(MEDIAN($F$93:$F$102) = 0, "", MEDIAN($F$93:$F$102))), "", (IF(MEDIAN($F$93:$F$102) = 0, "", MEDIAN($F$93:$F$102))))</f>
        <v/>
      </c>
      <c r="G92">
        <f ca="1">IF(ISERROR(IF(MEDIAN($G$93:$G$102) = 0, "", MEDIAN($G$93:$G$102))), "", (IF(MEDIAN($G$93:$G$102) = 0, "", MEDIAN($G$93:$G$102))))</f>
        <v>49.730999999999995</v>
      </c>
      <c r="H92">
        <f ca="1">IF(ISERROR(IF(MEDIAN($H$93:$H$102) = 0, "", MEDIAN($H$93:$H$102))), "", (IF(MEDIAN($H$93:$H$102) = 0, "", MEDIAN($H$93:$H$102))))</f>
        <v>53.709000000000003</v>
      </c>
      <c r="I92">
        <f ca="1">IF(ISERROR(IF(MEDIAN($I$93:$I$102) = 0, "", MEDIAN($I$93:$I$102))), "", (IF(MEDIAN($I$93:$I$102) = 0, "", MEDIAN($I$93:$I$102))))</f>
        <v>59.881</v>
      </c>
      <c r="J92">
        <f ca="1">IF(ISERROR(IF(MEDIAN($J$93:$J$102) = 0, "", MEDIAN($J$93:$J$102))), "", (IF(MEDIAN($J$93:$J$102) = 0, "", MEDIAN($J$93:$J$102))))</f>
        <v>58.725499999999997</v>
      </c>
      <c r="K92">
        <f ca="1">IF(ISERROR(IF(MEDIAN($K$93:$K$102) = 0, "", MEDIAN($K$93:$K$102))), "", (IF(MEDIAN($K$93:$K$102) = 0, "", MEDIAN($K$93:$K$102))))</f>
        <v>47.507999999999996</v>
      </c>
      <c r="L92">
        <f ca="1">IF(ISERROR(IF(MEDIAN($L$93:$L$102) = 0, "", MEDIAN($L$93:$L$102))), "", (IF(MEDIAN($L$93:$L$102) = 0, "", MEDIAN($L$93:$L$102))))</f>
        <v>50.414999999999999</v>
      </c>
      <c r="M92">
        <f ca="1">IF(ISERROR(IF(MEDIAN($M$93:$M$102) = 0, "", MEDIAN($M$93:$M$102))), "", (IF(MEDIAN($M$93:$M$102) = 0, "", MEDIAN($M$93:$M$102))))</f>
        <v>53.721499999999999</v>
      </c>
      <c r="N92">
        <f ca="1">IF(ISERROR(IF(MEDIAN($N$93:$N$102) = 0, "", MEDIAN($N$93:$N$102))), "", (IF(MEDIAN($N$93:$N$102) = 0, "", MEDIAN($N$93:$N$102))))</f>
        <v>45.013999999999996</v>
      </c>
      <c r="O92">
        <f ca="1">IF(ISERROR(IF(MEDIAN($O$93:$O$102) = 0, "", MEDIAN($O$93:$O$102))), "", (IF(MEDIAN($O$93:$O$102) = 0, "", MEDIAN($O$93:$O$102))))</f>
        <v>37.805</v>
      </c>
      <c r="P92">
        <f ca="1">IF(ISERROR(IF(MEDIAN($P$93:$P$102) = 0, "", MEDIAN($P$93:$P$102))), "", (IF(MEDIAN($P$93:$P$102) = 0, "", MEDIAN($P$93:$P$102))))</f>
        <v>46.843499999999999</v>
      </c>
      <c r="Q92">
        <f ca="1">IF(ISERROR(IF(MEDIAN($Q$93:$Q$102) = 0, "", MEDIAN($Q$93:$Q$102))), "", (IF(MEDIAN($Q$93:$Q$102) = 0, "", MEDIAN($Q$93:$Q$102))))</f>
        <v>45.786500000000004</v>
      </c>
      <c r="R92">
        <f ca="1">IF(ISERROR(IF(MEDIAN($R$93:$R$102) = 0, "", MEDIAN($R$93:$R$102))), "", (IF(MEDIAN($R$93:$R$102) = 0, "", MEDIAN($R$93:$R$102))))</f>
        <v>45.995000000000005</v>
      </c>
      <c r="S92">
        <f ca="1">IF(ISERROR(IF(MEDIAN($S$93:$S$102) = 0, "", MEDIAN($S$93:$S$102))), "", (IF(MEDIAN($S$93:$S$102) = 0, "", MEDIAN($S$93:$S$102))))</f>
        <v>39.865000000000002</v>
      </c>
      <c r="T92">
        <f ca="1">IF(ISERROR(IF(MEDIAN($T$93:$T$102) = 0, "", MEDIAN($T$93:$T$102))), "", (IF(MEDIAN($T$93:$T$102) = 0, "", MEDIAN($T$93:$T$102))))</f>
        <v>39.859000000000002</v>
      </c>
      <c r="U92">
        <f ca="1">IF(ISERROR(IF(MEDIAN($U$93:$U$102) = 0, "", MEDIAN($U$93:$U$102))), "", (IF(MEDIAN($U$93:$U$102) = 0, "", MEDIAN($U$93:$U$102))))</f>
        <v>38.016999999999996</v>
      </c>
      <c r="V92">
        <f ca="1">IF(ISERROR(IF(MEDIAN($V$93:$V$102) = 0, "", MEDIAN($V$93:$V$102))), "", (IF(MEDIAN($V$93:$V$102) = 0, "", MEDIAN($V$93:$V$102))))</f>
        <v>38.045999999999999</v>
      </c>
      <c r="W92">
        <f ca="1">IF(ISERROR(IF(MEDIAN($W$93:$W$102) = 0, "", MEDIAN($W$93:$W$102))), "", (IF(MEDIAN($W$93:$W$102) = 0, "", MEDIAN($W$93:$W$102))))</f>
        <v>38.769500000000001</v>
      </c>
      <c r="X92">
        <f ca="1">IF(ISERROR(IF(MEDIAN($X$93:$X$102) = 0, "", MEDIAN($X$93:$X$102))), "", (IF(MEDIAN($X$93:$X$102) = 0, "", MEDIAN($X$93:$X$102))))</f>
        <v>40.033500000000004</v>
      </c>
      <c r="Y92">
        <f ca="1">IF(ISERROR(IF(MEDIAN($Y$93:$Y$102) = 0, "", MEDIAN($Y$93:$Y$102))), "", (IF(MEDIAN($Y$93:$Y$102) = 0, "", MEDIAN($Y$93:$Y$102))))</f>
        <v>43.509500000000003</v>
      </c>
      <c r="Z92">
        <f ca="1">IF(ISERROR(IF(MEDIAN($Z$93:$Z$102) = 0, "", MEDIAN($Z$93:$Z$102))), "", (IF(MEDIAN($Z$93:$Z$102) = 0, "", MEDIAN($Z$93:$Z$102))))</f>
        <v>38.0535</v>
      </c>
      <c r="AA92">
        <f ca="1">IF(ISERROR(IF(MEDIAN($AA$93:$AA$102) = 0, "", MEDIAN($AA$93:$AA$102))), "", (IF(MEDIAN($AA$93:$AA$102) = 0, "", MEDIAN($AA$93:$AA$102))))</f>
        <v>40.3035</v>
      </c>
      <c r="AB92">
        <f ca="1">IF(ISERROR(IF(MEDIAN($AB$93:$AB$102) = 0, "", MEDIAN($AB$93:$AB$102))), "", (IF(MEDIAN($AB$93:$AB$102) = 0, "", MEDIAN($AB$93:$AB$102))))</f>
        <v>36.6935</v>
      </c>
      <c r="AC92">
        <f ca="1">IF(ISERROR(IF(MEDIAN($AC$93:$AC$102) = 0, "", MEDIAN($AC$93:$AC$102))), "", (IF(MEDIAN($AC$93:$AC$102) = 0, "", MEDIAN($AC$93:$AC$102))))</f>
        <v>37.662999999999997</v>
      </c>
      <c r="AD92">
        <f ca="1">IF(ISERROR(IF(MEDIAN($AD$93:$AD$102) = 0, "", MEDIAN($AD$93:$AD$102))), "", (IF(MEDIAN($AD$93:$AD$102) = 0, "", MEDIAN($AD$93:$AD$102))))</f>
        <v>54.1145</v>
      </c>
      <c r="AE92">
        <f ca="1">IF(ISERROR(IF(MEDIAN($AE$93:$AE$102) = 0, "", MEDIAN($AE$93:$AE$102))), "", (IF(MEDIAN($AE$93:$AE$102) = 0, "", MEDIAN($AE$93:$AE$102))))</f>
        <v>45.621000000000002</v>
      </c>
      <c r="AF92">
        <f ca="1">IF(ISERROR(IF(MEDIAN($AF$93:$AF$102) = 0, "", MEDIAN($AF$93:$AF$102))), "", (IF(MEDIAN($AF$93:$AF$102) = 0, "", MEDIAN($AF$93:$AF$102))))</f>
        <v>44.653999999999996</v>
      </c>
      <c r="AG92">
        <f ca="1">IF(ISERROR(IF(MEDIAN($AG$93:$AG$102) = 0, "", MEDIAN($AG$93:$AG$102))), "", (IF(MEDIAN($AG$93:$AG$102) = 0, "", MEDIAN($AG$93:$AG$102))))</f>
        <v>51.624499999999998</v>
      </c>
      <c r="AH92">
        <f ca="1">IF(ISERROR(IF(MEDIAN($AH$93:$AH$102) = 0, "", MEDIAN($AH$93:$AH$102))), "", (IF(MEDIAN($AH$93:$AH$102) = 0, "", MEDIAN($AH$93:$AH$102))))</f>
        <v>47.935000000000002</v>
      </c>
      <c r="AI92">
        <f ca="1">IF(ISERROR(IF(MEDIAN($AI$93:$AI$102) = 0, "", MEDIAN($AI$93:$AI$102))), "", (IF(MEDIAN($AI$93:$AI$102) = 0, "", MEDIAN($AI$93:$AI$102))))</f>
        <v>34.515500000000003</v>
      </c>
      <c r="AJ92">
        <f ca="1">IF(ISERROR(IF(MEDIAN($AJ$93:$AJ$102) = 0, "", MEDIAN($AJ$93:$AJ$102))), "", (IF(MEDIAN($AJ$93:$AJ$102) = 0, "", MEDIAN($AJ$93:$AJ$102))))</f>
        <v>49.658000000000001</v>
      </c>
      <c r="AK92">
        <f ca="1">IF(ISERROR(IF(MEDIAN($AK$93:$AK$102) = 0, "", MEDIAN($AK$93:$AK$102))), "", (IF(MEDIAN($AK$93:$AK$102) = 0, "", MEDIAN($AK$93:$AK$102))))</f>
        <v>54.280500000000004</v>
      </c>
      <c r="AL92">
        <f ca="1">IF(ISERROR(IF(MEDIAN($AL$93:$AL$102) = 0, "", MEDIAN($AL$93:$AL$102))), "", (IF(MEDIAN($AL$93:$AL$102) = 0, "", MEDIAN($AL$93:$AL$102))))</f>
        <v>44.981999999999999</v>
      </c>
      <c r="AM92">
        <f ca="1">IF(ISERROR(IF(MEDIAN($AM$93:$AM$102) = 0, "", MEDIAN($AM$93:$AM$102))), "", (IF(MEDIAN($AM$93:$AM$102) = 0, "", MEDIAN($AM$93:$AM$102))))</f>
        <v>47.134500000000003</v>
      </c>
      <c r="AN92">
        <f ca="1">IF(ISERROR(IF(MEDIAN($AN$93:$AN$102) = 0, "", MEDIAN($AN$93:$AN$102))), "", (IF(MEDIAN($AN$93:$AN$102) = 0, "", MEDIAN($AN$93:$AN$102))))</f>
        <v>55.894500000000001</v>
      </c>
      <c r="AO92">
        <f ca="1">IF(ISERROR(IF(MEDIAN($AO$93:$AO$102) = 0, "", MEDIAN($AO$93:$AO$102))), "", (IF(MEDIAN($AO$93:$AO$102) = 0, "", MEDIAN($AO$93:$AO$102))))</f>
        <v>59.442999999999998</v>
      </c>
      <c r="AP92">
        <f ca="1">IF(ISERROR(IF(MEDIAN($AP$93:$AP$102) = 0, "", MEDIAN($AP$93:$AP$102))), "", (IF(MEDIAN($AP$93:$AP$102) = 0, "", MEDIAN($AP$93:$AP$102))))</f>
        <v>54.924999999999997</v>
      </c>
      <c r="AQ92">
        <f ca="1">IF(ISERROR(IF(MEDIAN($AQ$93:$AQ$102) = 0, "", MEDIAN($AQ$93:$AQ$102))), "", (IF(MEDIAN($AQ$93:$AQ$102) = 0, "", MEDIAN($AQ$93:$AQ$102))))</f>
        <v>44.176000000000002</v>
      </c>
      <c r="AR92">
        <f ca="1">IF(ISERROR(IF(MEDIAN($AR$93:$AR$102) = 0, "", MEDIAN($AR$93:$AR$102))), "", (IF(MEDIAN($AR$93:$AR$102) = 0, "", MEDIAN($AR$93:$AR$102))))</f>
        <v>55.948</v>
      </c>
      <c r="AS92">
        <f ca="1">IF(ISERROR(IF(MEDIAN($AS$93:$AS$102) = 0, "", MEDIAN($AS$93:$AS$102))), "", (IF(MEDIAN($AS$93:$AS$102) = 0, "", MEDIAN($AS$93:$AS$102))))</f>
        <v>53.878999999999998</v>
      </c>
      <c r="AT92">
        <f ca="1">IF(ISERROR(IF(MEDIAN($AT$93:$AT$102) = 0, "", MEDIAN($AT$93:$AT$102))), "", (IF(MEDIAN($AT$93:$AT$102) = 0, "", MEDIAN($AT$93:$AT$102))))</f>
        <v>51.978000000000002</v>
      </c>
      <c r="AU92">
        <f ca="1">IF(ISERROR(IF(MEDIAN($AU$93:$AU$102) = 0, "", MEDIAN($AU$93:$AU$102))), "", (IF(MEDIAN($AU$93:$AU$102) = 0, "", MEDIAN($AU$93:$AU$102))))</f>
        <v>52.389000000000003</v>
      </c>
      <c r="AV92">
        <f ca="1">IF(ISERROR(IF(MEDIAN($AV$93:$AV$102) = 0, "", MEDIAN($AV$93:$AV$102))), "", (IF(MEDIAN($AV$93:$AV$102) = 0, "", MEDIAN($AV$93:$AV$102))))</f>
        <v>45.503999999999998</v>
      </c>
      <c r="AW92">
        <f ca="1">IF(ISERROR(IF(MEDIAN($AW$93:$AW$102) = 0, "", MEDIAN($AW$93:$AW$102))), "", (IF(MEDIAN($AW$93:$AW$102) = 0, "", MEDIAN($AW$93:$AW$102))))</f>
        <v>56.997</v>
      </c>
      <c r="AX92">
        <f ca="1">IF(ISERROR(IF(MEDIAN($AX$93:$AX$102) = 0, "", MEDIAN($AX$93:$AX$102))), "", (IF(MEDIAN($AX$93:$AX$102) = 0, "", MEDIAN($AX$93:$AX$102))))</f>
        <v>50.576999999999998</v>
      </c>
      <c r="AY92">
        <f ca="1">IF(ISERROR(IF(MEDIAN($AY$93:$AY$102) = 0, "", MEDIAN($AY$93:$AY$102))), "", (IF(MEDIAN($AY$93:$AY$102) = 0, "", MEDIAN($AY$93:$AY$102))))</f>
        <v>41.369</v>
      </c>
      <c r="AZ92">
        <f ca="1">IF(ISERROR(IF(MEDIAN($AZ$93:$AZ$102) = 0, "", MEDIAN($AZ$93:$AZ$102))), "", (IF(MEDIAN($AZ$93:$AZ$102) = 0, "", MEDIAN($AZ$93:$AZ$102))))</f>
        <v>41.798000000000002</v>
      </c>
      <c r="BA92">
        <f ca="1">IF(ISERROR(IF(MEDIAN($BA$93:$BA$102) = 0, "", MEDIAN($BA$93:$BA$102))), "", (IF(MEDIAN($BA$93:$BA$102) = 0, "", MEDIAN($BA$93:$BA$102))))</f>
        <v>44.031999999999996</v>
      </c>
      <c r="BB92">
        <f ca="1">IF(ISERROR(IF(MEDIAN($BB$93:$BB$102) = 0, "", MEDIAN($BB$93:$BB$102))), "", (IF(MEDIAN($BB$93:$BB$102) = 0, "", MEDIAN($BB$93:$BB$102))))</f>
        <v>39.555</v>
      </c>
      <c r="BC92">
        <f ca="1">IF(ISERROR(IF(MEDIAN($BC$93:$BC$102) = 0, "", MEDIAN($BC$93:$BC$102))), "", (IF(MEDIAN($BC$93:$BC$102) = 0, "", MEDIAN($BC$93:$BC$102))))</f>
        <v>65.138000000000005</v>
      </c>
      <c r="BD92">
        <f ca="1">IF(ISERROR(IF(MEDIAN($BD$93:$BD$102) = 0, "", MEDIAN($BD$93:$BD$102))), "", (IF(MEDIAN($BD$93:$BD$102) = 0, "", MEDIAN($BD$93:$BD$102))))</f>
        <v>51.704999999999998</v>
      </c>
      <c r="BE92">
        <f ca="1">IF(ISERROR(IF(MEDIAN($BE$93:$BE$102) = 0, "", MEDIAN($BE$93:$BE$102))), "", (IF(MEDIAN($BE$93:$BE$102) = 0, "", MEDIAN($BE$93:$BE$102))))</f>
        <v>36.301000000000002</v>
      </c>
      <c r="BF92">
        <f ca="1">IF(ISERROR(IF(MEDIAN($BF$93:$BF$102) = 0, "", MEDIAN($BF$93:$BF$102))), "", (IF(MEDIAN($BF$93:$BF$102) = 0, "", MEDIAN($BF$93:$BF$102))))</f>
        <v>44.561</v>
      </c>
      <c r="BG92">
        <f ca="1">IF(ISERROR(IF(MEDIAN($BG$93:$BG$102) = 0, "", MEDIAN($BG$93:$BG$102))), "", (IF(MEDIAN($BG$93:$BG$102) = 0, "", MEDIAN($BG$93:$BG$102))))</f>
        <v>42.578000000000003</v>
      </c>
      <c r="BH92">
        <f ca="1">IF(ISERROR(IF(MEDIAN($BH$93:$BH$102) = 0, "", MEDIAN($BH$93:$BH$102))), "", (IF(MEDIAN($BH$93:$BH$102) = 0, "", MEDIAN($BH$93:$BH$102))))</f>
        <v>47.448</v>
      </c>
      <c r="BI92">
        <f ca="1">IF(ISERROR(IF(MEDIAN($BI$93:$BI$102) = 0, "", MEDIAN($BI$93:$BI$102))), "", (IF(MEDIAN($BI$93:$BI$102) = 0, "", MEDIAN($BI$93:$BI$102))))</f>
        <v>44.146000000000001</v>
      </c>
      <c r="BJ92">
        <f ca="1">IF(ISERROR(IF(MEDIAN($BJ$93:$BJ$102) = 0, "", MEDIAN($BJ$93:$BJ$102))), "", (IF(MEDIAN($BJ$93:$BJ$102) = 0, "", MEDIAN($BJ$93:$BJ$102))))</f>
        <v>34.99</v>
      </c>
      <c r="BK92">
        <f ca="1">IF(ISERROR(IF(MEDIAN($BK$93:$BK$102) = 0, "", MEDIAN($BK$93:$BK$102))), "", (IF(MEDIAN($BK$93:$BK$102) = 0, "", MEDIAN($BK$93:$BK$102))))</f>
        <v>66.510002139999997</v>
      </c>
      <c r="BL92">
        <f ca="1">IF(ISERROR(IF(MEDIAN($BL$93:$BL$102) = 0, "", MEDIAN($BL$93:$BL$102))), "", (IF(MEDIAN($BL$93:$BL$102) = 0, "", MEDIAN($BL$93:$BL$102))))</f>
        <v>44.804000000000002</v>
      </c>
      <c r="BM92">
        <f ca="1">IF(ISERROR(IF(MEDIAN($BM$93:$BM$102) = 0, "", MEDIAN($BM$93:$BM$102))), "", (IF(MEDIAN($BM$93:$BM$102) = 0, "", MEDIAN($BM$93:$BM$102))))</f>
        <v>33.323999999999998</v>
      </c>
      <c r="BN92" t="str">
        <f>""</f>
        <v/>
      </c>
      <c r="BO92">
        <f>49.731</f>
        <v>49.731000000000002</v>
      </c>
      <c r="BP92">
        <f>53.709</f>
        <v>53.709000000000003</v>
      </c>
      <c r="BQ92">
        <f>59.881</f>
        <v>59.881</v>
      </c>
      <c r="BR92">
        <f>58.7255</f>
        <v>58.725499999999997</v>
      </c>
      <c r="BS92">
        <f>47.508</f>
        <v>47.508000000000003</v>
      </c>
      <c r="BT92">
        <f>50.415</f>
        <v>50.414999999999999</v>
      </c>
      <c r="BU92">
        <f>53.7215</f>
        <v>53.721499999999999</v>
      </c>
      <c r="BV92">
        <f>45.014</f>
        <v>45.014000000000003</v>
      </c>
      <c r="BW92">
        <f>37.805</f>
        <v>37.805</v>
      </c>
      <c r="BX92">
        <f>46.8435</f>
        <v>46.843499999999999</v>
      </c>
      <c r="BY92">
        <f>45.7865</f>
        <v>45.786499999999997</v>
      </c>
      <c r="BZ92">
        <f>45.995</f>
        <v>45.994999999999997</v>
      </c>
      <c r="CA92">
        <f>39.865</f>
        <v>39.865000000000002</v>
      </c>
      <c r="CB92">
        <f>39.859</f>
        <v>39.859000000000002</v>
      </c>
      <c r="CC92">
        <f>38.017</f>
        <v>38.017000000000003</v>
      </c>
      <c r="CD92">
        <f>38.046</f>
        <v>38.045999999999999</v>
      </c>
      <c r="CE92">
        <f>38.7695</f>
        <v>38.769500000000001</v>
      </c>
      <c r="CF92">
        <f>40.0335</f>
        <v>40.033499999999997</v>
      </c>
      <c r="CG92">
        <f>43.5095</f>
        <v>43.509500000000003</v>
      </c>
      <c r="CH92">
        <f>38.0535</f>
        <v>38.0535</v>
      </c>
      <c r="CI92">
        <f>40.3035</f>
        <v>40.3035</v>
      </c>
      <c r="CJ92">
        <f>36.6935</f>
        <v>36.6935</v>
      </c>
      <c r="CK92">
        <f>37.663</f>
        <v>37.662999999999997</v>
      </c>
      <c r="CL92">
        <f>54.1145</f>
        <v>54.1145</v>
      </c>
      <c r="CM92">
        <f>45.621</f>
        <v>45.621000000000002</v>
      </c>
      <c r="CN92">
        <f>44.654</f>
        <v>44.654000000000003</v>
      </c>
      <c r="CO92">
        <f>51.6245</f>
        <v>51.624499999999998</v>
      </c>
      <c r="CP92">
        <f>47.935</f>
        <v>47.935000000000002</v>
      </c>
      <c r="CQ92">
        <f>34.5155</f>
        <v>34.515500000000003</v>
      </c>
      <c r="CR92">
        <f>49.658</f>
        <v>49.658000000000001</v>
      </c>
      <c r="CS92">
        <f>54.2805</f>
        <v>54.280500000000004</v>
      </c>
      <c r="CT92">
        <f>44.982</f>
        <v>44.981999999999999</v>
      </c>
      <c r="CU92">
        <f>47.1345</f>
        <v>47.134500000000003</v>
      </c>
      <c r="CV92">
        <f>55.8945</f>
        <v>55.894500000000001</v>
      </c>
      <c r="CW92">
        <f>59.443</f>
        <v>59.442999999999998</v>
      </c>
      <c r="CX92">
        <f>54.925</f>
        <v>54.924999999999997</v>
      </c>
      <c r="CY92">
        <f>44.176</f>
        <v>44.176000000000002</v>
      </c>
      <c r="CZ92">
        <f>55.948</f>
        <v>55.948</v>
      </c>
      <c r="DA92">
        <f>53.879</f>
        <v>53.878999999999998</v>
      </c>
      <c r="DB92">
        <f>51.978</f>
        <v>51.978000000000002</v>
      </c>
      <c r="DC92">
        <f>52.389</f>
        <v>52.389000000000003</v>
      </c>
      <c r="DD92">
        <f>45.504</f>
        <v>45.503999999999998</v>
      </c>
      <c r="DE92">
        <f>56.997</f>
        <v>56.997</v>
      </c>
      <c r="DF92">
        <f>50.577</f>
        <v>50.576999999999998</v>
      </c>
      <c r="DG92">
        <f>41.369</f>
        <v>41.369</v>
      </c>
      <c r="DH92">
        <f>41.798</f>
        <v>41.798000000000002</v>
      </c>
      <c r="DI92">
        <f>44.032</f>
        <v>44.031999999999996</v>
      </c>
      <c r="DJ92">
        <f>39.555</f>
        <v>39.555</v>
      </c>
      <c r="DK92">
        <f>65.138</f>
        <v>65.138000000000005</v>
      </c>
      <c r="DL92">
        <f>51.705</f>
        <v>51.704999999999998</v>
      </c>
      <c r="DM92">
        <f>36.301</f>
        <v>36.301000000000002</v>
      </c>
      <c r="DN92">
        <f>44.561</f>
        <v>44.561</v>
      </c>
      <c r="DO92">
        <f>42.578</f>
        <v>42.578000000000003</v>
      </c>
      <c r="DP92">
        <f>47.448</f>
        <v>47.448</v>
      </c>
      <c r="DQ92">
        <f>44.146</f>
        <v>44.146000000000001</v>
      </c>
      <c r="DR92">
        <f>34.99</f>
        <v>34.99</v>
      </c>
      <c r="DS92">
        <f>66.51000214</f>
        <v>66.510002139999997</v>
      </c>
      <c r="DT92">
        <f>44.804</f>
        <v>44.804000000000002</v>
      </c>
      <c r="DU92">
        <f>33.324</f>
        <v>33.323999999999998</v>
      </c>
    </row>
    <row r="93" spans="1:125">
      <c r="A93" t="str">
        <f>"    Boston Properties Inc"</f>
        <v xml:space="preserve">    Boston Properties Inc</v>
      </c>
      <c r="B93" t="str">
        <f>"BXP US Equity"</f>
        <v>BXP US Equity</v>
      </c>
      <c r="C93" t="str">
        <f t="shared" ref="C93:C102" si="24">"F0578"</f>
        <v>F0578</v>
      </c>
      <c r="D93" t="str">
        <f t="shared" ref="D93:D102" si="25">"FUNDS_AVAILABLE_FOR_DISTRIBUTION"</f>
        <v>FUNDS_AVAILABLE_FOR_DISTRIBUTION</v>
      </c>
      <c r="E93" t="str">
        <f t="shared" ref="E93:E102" si="26">"动态"</f>
        <v>动态</v>
      </c>
      <c r="F93" t="str">
        <f ca="1">IF(AND(ISNUMBER($F$406),$B$294=1),$F$406,HLOOKUP(INDIRECT(ADDRESS(2,COLUMN())),OFFSET($BN$2,0,0,ROW()-1,60),ROW()-1,FALSE))</f>
        <v/>
      </c>
      <c r="G93">
        <f ca="1">IF(AND(ISNUMBER($G$406),$B$294=1),$G$406,HLOOKUP(INDIRECT(ADDRESS(2,COLUMN())),OFFSET($BN$2,0,0,ROW()-1,60),ROW()-1,FALSE))</f>
        <v>143.65600000000001</v>
      </c>
      <c r="H93">
        <f ca="1">IF(AND(ISNUMBER($H$406),$B$294=1),$H$406,HLOOKUP(INDIRECT(ADDRESS(2,COLUMN())),OFFSET($BN$2,0,0,ROW()-1,60),ROW()-1,FALSE))</f>
        <v>165.89</v>
      </c>
      <c r="I93">
        <f ca="1">IF(AND(ISNUMBER($I$406),$B$294=1),$I$406,HLOOKUP(INDIRECT(ADDRESS(2,COLUMN())),OFFSET($BN$2,0,0,ROW()-1,60),ROW()-1,FALSE))</f>
        <v>137.738</v>
      </c>
      <c r="J93">
        <f ca="1">IF(AND(ISNUMBER($J$406),$B$294=1),$J$406,HLOOKUP(INDIRECT(ADDRESS(2,COLUMN())),OFFSET($BN$2,0,0,ROW()-1,60),ROW()-1,FALSE))</f>
        <v>147.91399999999999</v>
      </c>
      <c r="K93">
        <f ca="1">IF(AND(ISNUMBER($K$406),$B$294=1),$K$406,HLOOKUP(INDIRECT(ADDRESS(2,COLUMN())),OFFSET($BN$2,0,0,ROW()-1,60),ROW()-1,FALSE))</f>
        <v>131.233</v>
      </c>
      <c r="L93">
        <f ca="1">IF(AND(ISNUMBER($L$406),$B$294=1),$L$406,HLOOKUP(INDIRECT(ADDRESS(2,COLUMN())),OFFSET($BN$2,0,0,ROW()-1,60),ROW()-1,FALSE))</f>
        <v>124.556</v>
      </c>
      <c r="M93">
        <f ca="1">IF(AND(ISNUMBER($M$406),$B$294=1),$M$406,HLOOKUP(INDIRECT(ADDRESS(2,COLUMN())),OFFSET($BN$2,0,0,ROW()-1,60),ROW()-1,FALSE))</f>
        <v>135.56800000000001</v>
      </c>
      <c r="N93">
        <f ca="1">IF(AND(ISNUMBER($N$406),$B$294=1),$N$406,HLOOKUP(INDIRECT(ADDRESS(2,COLUMN())),OFFSET($BN$2,0,0,ROW()-1,60),ROW()-1,FALSE))</f>
        <v>159.35</v>
      </c>
      <c r="O93">
        <f ca="1">IF(AND(ISNUMBER($O$406),$B$294=1),$O$406,HLOOKUP(INDIRECT(ADDRESS(2,COLUMN())),OFFSET($BN$2,0,0,ROW()-1,60),ROW()-1,FALSE))</f>
        <v>135.91300000000001</v>
      </c>
      <c r="P93">
        <f ca="1">IF(AND(ISNUMBER($P$406),$B$294=1),$P$406,HLOOKUP(INDIRECT(ADDRESS(2,COLUMN())),OFFSET($BN$2,0,0,ROW()-1,60),ROW()-1,FALSE))</f>
        <v>115.854</v>
      </c>
      <c r="Q93">
        <f ca="1">IF(AND(ISNUMBER($Q$406),$B$294=1),$Q$406,HLOOKUP(INDIRECT(ADDRESS(2,COLUMN())),OFFSET($BN$2,0,0,ROW()-1,60),ROW()-1,FALSE))</f>
        <v>121.86499999999999</v>
      </c>
      <c r="R93">
        <f ca="1">IF(AND(ISNUMBER($R$406),$B$294=1),$R$406,HLOOKUP(INDIRECT(ADDRESS(2,COLUMN())),OFFSET($BN$2,0,0,ROW()-1,60),ROW()-1,FALSE))</f>
        <v>123.78700000000001</v>
      </c>
      <c r="S93">
        <f ca="1">IF(AND(ISNUMBER($S$406),$B$294=1),$S$406,HLOOKUP(INDIRECT(ADDRESS(2,COLUMN())),OFFSET($BN$2,0,0,ROW()-1,60),ROW()-1,FALSE))</f>
        <v>140.34899999999999</v>
      </c>
      <c r="T93">
        <f ca="1">IF(AND(ISNUMBER($T$406),$B$294=1),$T$406,HLOOKUP(INDIRECT(ADDRESS(2,COLUMN())),OFFSET($BN$2,0,0,ROW()-1,60),ROW()-1,FALSE))</f>
        <v>155.89400000000001</v>
      </c>
      <c r="U93">
        <f ca="1">IF(AND(ISNUMBER($U$406),$B$294=1),$U$406,HLOOKUP(INDIRECT(ADDRESS(2,COLUMN())),OFFSET($BN$2,0,0,ROW()-1,60),ROW()-1,FALSE))</f>
        <v>159.54</v>
      </c>
      <c r="V93">
        <f ca="1">IF(AND(ISNUMBER($V$406),$B$294=1),$V$406,HLOOKUP(INDIRECT(ADDRESS(2,COLUMN())),OFFSET($BN$2,0,0,ROW()-1,60),ROW()-1,FALSE))</f>
        <v>143.738</v>
      </c>
      <c r="W93">
        <f ca="1">IF(AND(ISNUMBER($W$406),$B$294=1),$W$406,HLOOKUP(INDIRECT(ADDRESS(2,COLUMN())),OFFSET($BN$2,0,0,ROW()-1,60),ROW()-1,FALSE))</f>
        <v>138.339</v>
      </c>
      <c r="X93">
        <f ca="1">IF(AND(ISNUMBER($X$406),$B$294=1),$X$406,HLOOKUP(INDIRECT(ADDRESS(2,COLUMN())),OFFSET($BN$2,0,0,ROW()-1,60),ROW()-1,FALSE))</f>
        <v>128.43700000000001</v>
      </c>
      <c r="Y93">
        <f ca="1">IF(AND(ISNUMBER($Y$406),$B$294=1),$Y$406,HLOOKUP(INDIRECT(ADDRESS(2,COLUMN())),OFFSET($BN$2,0,0,ROW()-1,60),ROW()-1,FALSE))</f>
        <v>148.45099999999999</v>
      </c>
      <c r="Z93">
        <f ca="1">IF(AND(ISNUMBER($Z$406),$B$294=1),$Z$406,HLOOKUP(INDIRECT(ADDRESS(2,COLUMN())),OFFSET($BN$2,0,0,ROW()-1,60),ROW()-1,FALSE))</f>
        <v>127.31</v>
      </c>
      <c r="AA93">
        <f ca="1">IF(AND(ISNUMBER($AA$406),$B$294=1),$AA$406,HLOOKUP(INDIRECT(ADDRESS(2,COLUMN())),OFFSET($BN$2,0,0,ROW()-1,60),ROW()-1,FALSE))</f>
        <v>125.069</v>
      </c>
      <c r="AB93">
        <f ca="1">IF(AND(ISNUMBER($AB$406),$B$294=1),$AB$406,HLOOKUP(INDIRECT(ADDRESS(2,COLUMN())),OFFSET($BN$2,0,0,ROW()-1,60),ROW()-1,FALSE))</f>
        <v>108.23399999999999</v>
      </c>
      <c r="AC93">
        <f ca="1">IF(AND(ISNUMBER($AC$406),$B$294=1),$AC$406,HLOOKUP(INDIRECT(ADDRESS(2,COLUMN())),OFFSET($BN$2,0,0,ROW()-1,60),ROW()-1,FALSE))</f>
        <v>150.20599999999999</v>
      </c>
      <c r="AD93">
        <f ca="1">IF(AND(ISNUMBER($AD$406),$B$294=1),$AD$406,HLOOKUP(INDIRECT(ADDRESS(2,COLUMN())),OFFSET($BN$2,0,0,ROW()-1,60),ROW()-1,FALSE))</f>
        <v>99.756</v>
      </c>
      <c r="AE93">
        <f ca="1">IF(AND(ISNUMBER($AE$406),$B$294=1),$AE$406,HLOOKUP(INDIRECT(ADDRESS(2,COLUMN())),OFFSET($BN$2,0,0,ROW()-1,60),ROW()-1,FALSE))</f>
        <v>81.811999999999998</v>
      </c>
      <c r="AF93">
        <f ca="1">IF(AND(ISNUMBER($AF$406),$B$294=1),$AF$406,HLOOKUP(INDIRECT(ADDRESS(2,COLUMN())),OFFSET($BN$2,0,0,ROW()-1,60),ROW()-1,FALSE))</f>
        <v>138.923</v>
      </c>
      <c r="AG93">
        <f ca="1">IF(AND(ISNUMBER($AG$406),$B$294=1),$AG$406,HLOOKUP(INDIRECT(ADDRESS(2,COLUMN())),OFFSET($BN$2,0,0,ROW()-1,60),ROW()-1,FALSE))</f>
        <v>133.03899999999999</v>
      </c>
      <c r="AH93">
        <f ca="1">IF(AND(ISNUMBER($AH$406),$B$294=1),$AH$406,HLOOKUP(INDIRECT(ADDRESS(2,COLUMN())),OFFSET($BN$2,0,0,ROW()-1,60),ROW()-1,FALSE))</f>
        <v>105.28</v>
      </c>
      <c r="AI93">
        <f ca="1">IF(AND(ISNUMBER($AI$406),$B$294=1),$AI$406,HLOOKUP(INDIRECT(ADDRESS(2,COLUMN())),OFFSET($BN$2,0,0,ROW()-1,60),ROW()-1,FALSE))</f>
        <v>120.586</v>
      </c>
      <c r="AJ93">
        <f ca="1">IF(AND(ISNUMBER($AJ$406),$B$294=1),$AJ$406,HLOOKUP(INDIRECT(ADDRESS(2,COLUMN())),OFFSET($BN$2,0,0,ROW()-1,60),ROW()-1,FALSE))</f>
        <v>92.105000000000004</v>
      </c>
      <c r="AK93">
        <f ca="1">IF(AND(ISNUMBER($AK$406),$B$294=1),$AK$406,HLOOKUP(INDIRECT(ADDRESS(2,COLUMN())),OFFSET($BN$2,0,0,ROW()-1,60),ROW()-1,FALSE))</f>
        <v>98.659000000000006</v>
      </c>
      <c r="AL93">
        <f ca="1">IF(AND(ISNUMBER($AL$406),$B$294=1),$AL$406,HLOOKUP(INDIRECT(ADDRESS(2,COLUMN())),OFFSET($BN$2,0,0,ROW()-1,60),ROW()-1,FALSE))</f>
        <v>33.210999999999999</v>
      </c>
      <c r="AM93">
        <f ca="1">IF(AND(ISNUMBER($AM$406),$B$294=1),$AM$406,HLOOKUP(INDIRECT(ADDRESS(2,COLUMN())),OFFSET($BN$2,0,0,ROW()-1,60),ROW()-1,FALSE))</f>
        <v>99.456000000000003</v>
      </c>
      <c r="AN93">
        <f ca="1">IF(AND(ISNUMBER($AN$406),$B$294=1),$AN$406,HLOOKUP(INDIRECT(ADDRESS(2,COLUMN())),OFFSET($BN$2,0,0,ROW()-1,60),ROW()-1,FALSE))</f>
        <v>108.10299999999999</v>
      </c>
      <c r="AO93">
        <f ca="1">IF(AND(ISNUMBER($AO$406),$B$294=1),$AO$406,HLOOKUP(INDIRECT(ADDRESS(2,COLUMN())),OFFSET($BN$2,0,0,ROW()-1,60),ROW()-1,FALSE))</f>
        <v>114.39400000000001</v>
      </c>
      <c r="AP93">
        <f ca="1">IF(AND(ISNUMBER($AP$406),$B$294=1),$AP$406,HLOOKUP(INDIRECT(ADDRESS(2,COLUMN())),OFFSET($BN$2,0,0,ROW()-1,60),ROW()-1,FALSE))</f>
        <v>107.238</v>
      </c>
      <c r="AQ93">
        <f ca="1">IF(AND(ISNUMBER($AQ$406),$B$294=1),$AQ$406,HLOOKUP(INDIRECT(ADDRESS(2,COLUMN())),OFFSET($BN$2,0,0,ROW()-1,60),ROW()-1,FALSE))</f>
        <v>133.97</v>
      </c>
      <c r="AR93">
        <f ca="1">IF(AND(ISNUMBER($AR$406),$B$294=1),$AR$406,HLOOKUP(INDIRECT(ADDRESS(2,COLUMN())),OFFSET($BN$2,0,0,ROW()-1,60),ROW()-1,FALSE))</f>
        <v>132.93600000000001</v>
      </c>
      <c r="AS93">
        <f ca="1">IF(AND(ISNUMBER($AS$406),$B$294=1),$AS$406,HLOOKUP(INDIRECT(ADDRESS(2,COLUMN())),OFFSET($BN$2,0,0,ROW()-1,60),ROW()-1,FALSE))</f>
        <v>136.36799999999999</v>
      </c>
      <c r="AT93">
        <f ca="1">IF(AND(ISNUMBER($AT$406),$B$294=1),$AT$406,HLOOKUP(INDIRECT(ADDRESS(2,COLUMN())),OFFSET($BN$2,0,0,ROW()-1,60),ROW()-1,FALSE))</f>
        <v>115.604</v>
      </c>
      <c r="AU93">
        <f ca="1">IF(AND(ISNUMBER($AU$406),$B$294=1),$AU$406,HLOOKUP(INDIRECT(ADDRESS(2,COLUMN())),OFFSET($BN$2,0,0,ROW()-1,60),ROW()-1,FALSE))</f>
        <v>119.836</v>
      </c>
      <c r="AV93">
        <f ca="1">IF(AND(ISNUMBER($AV$406),$B$294=1),$AV$406,HLOOKUP(INDIRECT(ADDRESS(2,COLUMN())),OFFSET($BN$2,0,0,ROW()-1,60),ROW()-1,FALSE))</f>
        <v>120.754</v>
      </c>
      <c r="AW93">
        <f ca="1">IF(AND(ISNUMBER($AW$406),$B$294=1),$AW$406,HLOOKUP(INDIRECT(ADDRESS(2,COLUMN())),OFFSET($BN$2,0,0,ROW()-1,60),ROW()-1,FALSE))</f>
        <v>134.345</v>
      </c>
      <c r="AX93">
        <f ca="1">IF(AND(ISNUMBER($AX$406),$B$294=1),$AX$406,HLOOKUP(INDIRECT(ADDRESS(2,COLUMN())),OFFSET($BN$2,0,0,ROW()-1,60),ROW()-1,FALSE))</f>
        <v>129.16200000000001</v>
      </c>
      <c r="AY93">
        <f ca="1">IF(AND(ISNUMBER($AY$406),$B$294=1),$AY$406,HLOOKUP(INDIRECT(ADDRESS(2,COLUMN())),OFFSET($BN$2,0,0,ROW()-1,60),ROW()-1,FALSE))</f>
        <v>125.053</v>
      </c>
      <c r="AZ93">
        <f ca="1">IF(AND(ISNUMBER($AZ$406),$B$294=1),$AZ$406,HLOOKUP(INDIRECT(ADDRESS(2,COLUMN())),OFFSET($BN$2,0,0,ROW()-1,60),ROW()-1,FALSE))</f>
        <v>120.919</v>
      </c>
      <c r="BA93">
        <f ca="1">IF(AND(ISNUMBER($BA$406),$B$294=1),$BA$406,HLOOKUP(INDIRECT(ADDRESS(2,COLUMN())),OFFSET($BN$2,0,0,ROW()-1,60),ROW()-1,FALSE))</f>
        <v>78.863</v>
      </c>
      <c r="BB93">
        <f ca="1">IF(AND(ISNUMBER($BB$406),$B$294=1),$BB$406,HLOOKUP(INDIRECT(ADDRESS(2,COLUMN())),OFFSET($BN$2,0,0,ROW()-1,60),ROW()-1,FALSE))</f>
        <v>104.527</v>
      </c>
      <c r="BC93">
        <f ca="1">IF(AND(ISNUMBER($BC$406),$B$294=1),$BC$406,HLOOKUP(INDIRECT(ADDRESS(2,COLUMN())),OFFSET($BN$2,0,0,ROW()-1,60),ROW()-1,FALSE))</f>
        <v>102.886</v>
      </c>
      <c r="BD93">
        <f ca="1">IF(AND(ISNUMBER($BD$406),$B$294=1),$BD$406,HLOOKUP(INDIRECT(ADDRESS(2,COLUMN())),OFFSET($BN$2,0,0,ROW()-1,60),ROW()-1,FALSE))</f>
        <v>147.57400000000001</v>
      </c>
      <c r="BE93">
        <f ca="1">IF(AND(ISNUMBER($BE$406),$B$294=1),$BE$406,HLOOKUP(INDIRECT(ADDRESS(2,COLUMN())),OFFSET($BN$2,0,0,ROW()-1,60),ROW()-1,FALSE))</f>
        <v>-6.2389999999999999</v>
      </c>
      <c r="BF93">
        <f ca="1">IF(AND(ISNUMBER($BF$406),$B$294=1),$BF$406,HLOOKUP(INDIRECT(ADDRESS(2,COLUMN())),OFFSET($BN$2,0,0,ROW()-1,60),ROW()-1,FALSE))</f>
        <v>140.33600000000001</v>
      </c>
      <c r="BG93">
        <f ca="1">IF(AND(ISNUMBER($BG$406),$B$294=1),$BG$406,HLOOKUP(INDIRECT(ADDRESS(2,COLUMN())),OFFSET($BN$2,0,0,ROW()-1,60),ROW()-1,FALSE))</f>
        <v>118.89100000000001</v>
      </c>
      <c r="BH93">
        <f ca="1">IF(AND(ISNUMBER($BH$406),$B$294=1),$BH$406,HLOOKUP(INDIRECT(ADDRESS(2,COLUMN())),OFFSET($BN$2,0,0,ROW()-1,60),ROW()-1,FALSE))</f>
        <v>119.937</v>
      </c>
      <c r="BI93">
        <f ca="1">IF(AND(ISNUMBER($BI$406),$B$294=1),$BI$406,HLOOKUP(INDIRECT(ADDRESS(2,COLUMN())),OFFSET($BN$2,0,0,ROW()-1,60),ROW()-1,FALSE))</f>
        <v>116.903999</v>
      </c>
      <c r="BJ93">
        <f ca="1">IF(AND(ISNUMBER($BJ$406),$B$294=1),$BJ$406,HLOOKUP(INDIRECT(ADDRESS(2,COLUMN())),OFFSET($BN$2,0,0,ROW()-1,60),ROW()-1,FALSE))</f>
        <v>103.831001</v>
      </c>
      <c r="BK93">
        <f ca="1">IF(AND(ISNUMBER($BK$406),$B$294=1),$BK$406,HLOOKUP(INDIRECT(ADDRESS(2,COLUMN())),OFFSET($BN$2,0,0,ROW()-1,60),ROW()-1,FALSE))</f>
        <v>106.931</v>
      </c>
      <c r="BL93">
        <f ca="1">IF(AND(ISNUMBER($BL$406),$B$294=1),$BL$406,HLOOKUP(INDIRECT(ADDRESS(2,COLUMN())),OFFSET($BN$2,0,0,ROW()-1,60),ROW()-1,FALSE))</f>
        <v>99.056999000000005</v>
      </c>
      <c r="BM93">
        <f ca="1">IF(AND(ISNUMBER($BM$406),$B$294=1),$BM$406,HLOOKUP(INDIRECT(ADDRESS(2,COLUMN())),OFFSET($BN$2,0,0,ROW()-1,60),ROW()-1,FALSE))</f>
        <v>0.625</v>
      </c>
      <c r="BN93" t="str">
        <f>""</f>
        <v/>
      </c>
      <c r="BO93">
        <f>143.656</f>
        <v>143.65600000000001</v>
      </c>
      <c r="BP93">
        <f>165.89</f>
        <v>165.89</v>
      </c>
      <c r="BQ93">
        <f>137.738</f>
        <v>137.738</v>
      </c>
      <c r="BR93">
        <f>147.914</f>
        <v>147.91399999999999</v>
      </c>
      <c r="BS93">
        <f>131.233</f>
        <v>131.233</v>
      </c>
      <c r="BT93">
        <f>124.556</f>
        <v>124.556</v>
      </c>
      <c r="BU93">
        <f>135.568</f>
        <v>135.56800000000001</v>
      </c>
      <c r="BV93">
        <f>159.35</f>
        <v>159.35</v>
      </c>
      <c r="BW93">
        <f>135.913</f>
        <v>135.91300000000001</v>
      </c>
      <c r="BX93">
        <f>115.854</f>
        <v>115.854</v>
      </c>
      <c r="BY93">
        <f>121.865</f>
        <v>121.86499999999999</v>
      </c>
      <c r="BZ93">
        <f>123.787</f>
        <v>123.78700000000001</v>
      </c>
      <c r="CA93">
        <f>140.349</f>
        <v>140.34899999999999</v>
      </c>
      <c r="CB93">
        <f>155.894</f>
        <v>155.89400000000001</v>
      </c>
      <c r="CC93">
        <f>159.54</f>
        <v>159.54</v>
      </c>
      <c r="CD93">
        <f>143.738</f>
        <v>143.738</v>
      </c>
      <c r="CE93">
        <f>138.339</f>
        <v>138.339</v>
      </c>
      <c r="CF93">
        <f>128.437</f>
        <v>128.43700000000001</v>
      </c>
      <c r="CG93">
        <f>148.451</f>
        <v>148.45099999999999</v>
      </c>
      <c r="CH93">
        <f>127.31</f>
        <v>127.31</v>
      </c>
      <c r="CI93">
        <f>125.069</f>
        <v>125.069</v>
      </c>
      <c r="CJ93">
        <f>108.234</f>
        <v>108.23399999999999</v>
      </c>
      <c r="CK93">
        <f>150.206</f>
        <v>150.20599999999999</v>
      </c>
      <c r="CL93">
        <f>99.756</f>
        <v>99.756</v>
      </c>
      <c r="CM93">
        <f>81.812</f>
        <v>81.811999999999998</v>
      </c>
      <c r="CN93">
        <f>138.923</f>
        <v>138.923</v>
      </c>
      <c r="CO93">
        <f>133.039</f>
        <v>133.03899999999999</v>
      </c>
      <c r="CP93">
        <f>105.28</f>
        <v>105.28</v>
      </c>
      <c r="CQ93">
        <f>120.586</f>
        <v>120.586</v>
      </c>
      <c r="CR93">
        <f>92.105</f>
        <v>92.105000000000004</v>
      </c>
      <c r="CS93">
        <f>98.659</f>
        <v>98.659000000000006</v>
      </c>
      <c r="CT93">
        <f>33.211</f>
        <v>33.210999999999999</v>
      </c>
      <c r="CU93">
        <f>99.456</f>
        <v>99.456000000000003</v>
      </c>
      <c r="CV93">
        <f>108.103</f>
        <v>108.10299999999999</v>
      </c>
      <c r="CW93">
        <f>114.394</f>
        <v>114.39400000000001</v>
      </c>
      <c r="CX93">
        <f>107.238</f>
        <v>107.238</v>
      </c>
      <c r="CY93">
        <f>133.97</f>
        <v>133.97</v>
      </c>
      <c r="CZ93">
        <f>132.936</f>
        <v>132.93600000000001</v>
      </c>
      <c r="DA93">
        <f>136.368</f>
        <v>136.36799999999999</v>
      </c>
      <c r="DB93">
        <f>115.604</f>
        <v>115.604</v>
      </c>
      <c r="DC93">
        <f>119.836</f>
        <v>119.836</v>
      </c>
      <c r="DD93">
        <f>120.754</f>
        <v>120.754</v>
      </c>
      <c r="DE93">
        <f>134.345</f>
        <v>134.345</v>
      </c>
      <c r="DF93">
        <f>129.162</f>
        <v>129.16200000000001</v>
      </c>
      <c r="DG93">
        <f>125.053</f>
        <v>125.053</v>
      </c>
      <c r="DH93">
        <f>120.919</f>
        <v>120.919</v>
      </c>
      <c r="DI93">
        <f>78.863</f>
        <v>78.863</v>
      </c>
      <c r="DJ93">
        <f>104.527</f>
        <v>104.527</v>
      </c>
      <c r="DK93">
        <f>102.886</f>
        <v>102.886</v>
      </c>
      <c r="DL93">
        <f>147.574</f>
        <v>147.57400000000001</v>
      </c>
      <c r="DM93">
        <f>-6.239</f>
        <v>-6.2389999999999999</v>
      </c>
      <c r="DN93">
        <f>140.336</f>
        <v>140.33600000000001</v>
      </c>
      <c r="DO93">
        <f>118.891</f>
        <v>118.89100000000001</v>
      </c>
      <c r="DP93">
        <f>119.937</f>
        <v>119.937</v>
      </c>
      <c r="DQ93">
        <f>116.903999</f>
        <v>116.903999</v>
      </c>
      <c r="DR93">
        <f>103.831001</f>
        <v>103.831001</v>
      </c>
      <c r="DS93">
        <f>106.931</f>
        <v>106.931</v>
      </c>
      <c r="DT93">
        <f>99.056999</f>
        <v>99.056999000000005</v>
      </c>
      <c r="DU93">
        <f>0.625</f>
        <v>0.625</v>
      </c>
    </row>
    <row r="94" spans="1:125">
      <c r="A94" t="str">
        <f>"    Brandywine Realty Trust"</f>
        <v xml:space="preserve">    Brandywine Realty Trust</v>
      </c>
      <c r="B94" t="str">
        <f>"BDN US Equity"</f>
        <v>BDN US Equity</v>
      </c>
      <c r="C94" t="str">
        <f t="shared" si="24"/>
        <v>F0578</v>
      </c>
      <c r="D94" t="str">
        <f t="shared" si="25"/>
        <v>FUNDS_AVAILABLE_FOR_DISTRIBUTION</v>
      </c>
      <c r="E94" t="str">
        <f t="shared" si="26"/>
        <v>动态</v>
      </c>
      <c r="F94" t="str">
        <f ca="1">IF(AND(ISNUMBER($F$407),$B$294=1),$F$407,HLOOKUP(INDIRECT(ADDRESS(2,COLUMN())),OFFSET($BN$2,0,0,ROW()-1,60),ROW()-1,FALSE))</f>
        <v/>
      </c>
      <c r="G94">
        <f ca="1">IF(AND(ISNUMBER($G$407),$B$294=1),$G$407,HLOOKUP(INDIRECT(ADDRESS(2,COLUMN())),OFFSET($BN$2,0,0,ROW()-1,60),ROW()-1,FALSE))</f>
        <v>38.427999999999997</v>
      </c>
      <c r="H94">
        <f ca="1">IF(AND(ISNUMBER($H$407),$B$294=1),$H$407,HLOOKUP(INDIRECT(ADDRESS(2,COLUMN())),OFFSET($BN$2,0,0,ROW()-1,60),ROW()-1,FALSE))</f>
        <v>42.707000000000001</v>
      </c>
      <c r="I94">
        <f ca="1">IF(AND(ISNUMBER($I$407),$B$294=1),$I$407,HLOOKUP(INDIRECT(ADDRESS(2,COLUMN())),OFFSET($BN$2,0,0,ROW()-1,60),ROW()-1,FALSE))</f>
        <v>42.918999999999997</v>
      </c>
      <c r="J94">
        <f ca="1">IF(AND(ISNUMBER($J$407),$B$294=1),$J$407,HLOOKUP(INDIRECT(ADDRESS(2,COLUMN())),OFFSET($BN$2,0,0,ROW()-1,60),ROW()-1,FALSE))</f>
        <v>41.683</v>
      </c>
      <c r="K94">
        <f ca="1">IF(AND(ISNUMBER($K$407),$B$294=1),$K$407,HLOOKUP(INDIRECT(ADDRESS(2,COLUMN())),OFFSET($BN$2,0,0,ROW()-1,60),ROW()-1,FALSE))</f>
        <v>49.375</v>
      </c>
      <c r="L94">
        <f ca="1">IF(AND(ISNUMBER($L$407),$B$294=1),$L$407,HLOOKUP(INDIRECT(ADDRESS(2,COLUMN())),OFFSET($BN$2,0,0,ROW()-1,60),ROW()-1,FALSE))</f>
        <v>37.533000000000001</v>
      </c>
      <c r="M94">
        <f ca="1">IF(AND(ISNUMBER($M$407),$B$294=1),$M$407,HLOOKUP(INDIRECT(ADDRESS(2,COLUMN())),OFFSET($BN$2,0,0,ROW()-1,60),ROW()-1,FALSE))</f>
        <v>37.058</v>
      </c>
      <c r="N94">
        <f ca="1">IF(AND(ISNUMBER($N$407),$B$294=1),$N$407,HLOOKUP(INDIRECT(ADDRESS(2,COLUMN())),OFFSET($BN$2,0,0,ROW()-1,60),ROW()-1,FALSE))</f>
        <v>35.463999999999999</v>
      </c>
      <c r="O94">
        <f ca="1">IF(AND(ISNUMBER($O$407),$B$294=1),$O$407,HLOOKUP(INDIRECT(ADDRESS(2,COLUMN())),OFFSET($BN$2,0,0,ROW()-1,60),ROW()-1,FALSE))</f>
        <v>23.119</v>
      </c>
      <c r="P94">
        <f ca="1">IF(AND(ISNUMBER($P$407),$B$294=1),$P$407,HLOOKUP(INDIRECT(ADDRESS(2,COLUMN())),OFFSET($BN$2,0,0,ROW()-1,60),ROW()-1,FALSE))</f>
        <v>43.424999999999997</v>
      </c>
      <c r="Q94">
        <f ca="1">IF(AND(ISNUMBER($Q$407),$B$294=1),$Q$407,HLOOKUP(INDIRECT(ADDRESS(2,COLUMN())),OFFSET($BN$2,0,0,ROW()-1,60),ROW()-1,FALSE))</f>
        <v>34.667000000000002</v>
      </c>
      <c r="R94">
        <f ca="1">IF(AND(ISNUMBER($R$407),$B$294=1),$R$407,HLOOKUP(INDIRECT(ADDRESS(2,COLUMN())),OFFSET($BN$2,0,0,ROW()-1,60),ROW()-1,FALSE))</f>
        <v>39.476999999999997</v>
      </c>
      <c r="S94">
        <f ca="1">IF(AND(ISNUMBER($S$407),$B$294=1),$S$407,HLOOKUP(INDIRECT(ADDRESS(2,COLUMN())),OFFSET($BN$2,0,0,ROW()-1,60),ROW()-1,FALSE))</f>
        <v>19.722999999999999</v>
      </c>
      <c r="T94">
        <f ca="1">IF(AND(ISNUMBER($T$407),$B$294=1),$T$407,HLOOKUP(INDIRECT(ADDRESS(2,COLUMN())),OFFSET($BN$2,0,0,ROW()-1,60),ROW()-1,FALSE))</f>
        <v>46.536999999999999</v>
      </c>
      <c r="U94">
        <f ca="1">IF(AND(ISNUMBER($U$407),$B$294=1),$U$407,HLOOKUP(INDIRECT(ADDRESS(2,COLUMN())),OFFSET($BN$2,0,0,ROW()-1,60),ROW()-1,FALSE))</f>
        <v>28.369</v>
      </c>
      <c r="V94">
        <f ca="1">IF(AND(ISNUMBER($V$407),$B$294=1),$V$407,HLOOKUP(INDIRECT(ADDRESS(2,COLUMN())),OFFSET($BN$2,0,0,ROW()-1,60),ROW()-1,FALSE))</f>
        <v>34.546999999999997</v>
      </c>
      <c r="W94">
        <f ca="1">IF(AND(ISNUMBER($W$407),$B$294=1),$W$407,HLOOKUP(INDIRECT(ADDRESS(2,COLUMN())),OFFSET($BN$2,0,0,ROW()-1,60),ROW()-1,FALSE))</f>
        <v>23.376000000000001</v>
      </c>
      <c r="X94">
        <f ca="1">IF(AND(ISNUMBER($X$407),$B$294=1),$X$407,HLOOKUP(INDIRECT(ADDRESS(2,COLUMN())),OFFSET($BN$2,0,0,ROW()-1,60),ROW()-1,FALSE))</f>
        <v>27.135999999999999</v>
      </c>
      <c r="Y94">
        <f ca="1">IF(AND(ISNUMBER($Y$407),$B$294=1),$Y$407,HLOOKUP(INDIRECT(ADDRESS(2,COLUMN())),OFFSET($BN$2,0,0,ROW()-1,60),ROW()-1,FALSE))</f>
        <v>30.347999999999999</v>
      </c>
      <c r="Z94">
        <f ca="1">IF(AND(ISNUMBER($Z$407),$B$294=1),$Z$407,HLOOKUP(INDIRECT(ADDRESS(2,COLUMN())),OFFSET($BN$2,0,0,ROW()-1,60),ROW()-1,FALSE))</f>
        <v>38.15</v>
      </c>
      <c r="AA94">
        <f ca="1">IF(AND(ISNUMBER($AA$407),$B$294=1),$AA$407,HLOOKUP(INDIRECT(ADDRESS(2,COLUMN())),OFFSET($BN$2,0,0,ROW()-1,60),ROW()-1,FALSE))</f>
        <v>24.873999999999999</v>
      </c>
      <c r="AB94">
        <f ca="1">IF(AND(ISNUMBER($AB$407),$B$294=1),$AB$407,HLOOKUP(INDIRECT(ADDRESS(2,COLUMN())),OFFSET($BN$2,0,0,ROW()-1,60),ROW()-1,FALSE))</f>
        <v>30.324000000000002</v>
      </c>
      <c r="AC94">
        <f ca="1">IF(AND(ISNUMBER($AC$407),$B$294=1),$AC$407,HLOOKUP(INDIRECT(ADDRESS(2,COLUMN())),OFFSET($BN$2,0,0,ROW()-1,60),ROW()-1,FALSE))</f>
        <v>30.402000000000001</v>
      </c>
      <c r="AD94">
        <f ca="1">IF(AND(ISNUMBER($AD$407),$B$294=1),$AD$407,HLOOKUP(INDIRECT(ADDRESS(2,COLUMN())),OFFSET($BN$2,0,0,ROW()-1,60),ROW()-1,FALSE))</f>
        <v>27.981000000000002</v>
      </c>
      <c r="AE94">
        <f ca="1">IF(AND(ISNUMBER($AE$407),$B$294=1),$AE$407,HLOOKUP(INDIRECT(ADDRESS(2,COLUMN())),OFFSET($BN$2,0,0,ROW()-1,60),ROW()-1,FALSE))</f>
        <v>24.550999999999998</v>
      </c>
      <c r="AF94">
        <f ca="1">IF(AND(ISNUMBER($AF$407),$B$294=1),$AF$407,HLOOKUP(INDIRECT(ADDRESS(2,COLUMN())),OFFSET($BN$2,0,0,ROW()-1,60),ROW()-1,FALSE))</f>
        <v>10.071</v>
      </c>
      <c r="AG94">
        <f ca="1">IF(AND(ISNUMBER($AG$407),$B$294=1),$AG$407,HLOOKUP(INDIRECT(ADDRESS(2,COLUMN())),OFFSET($BN$2,0,0,ROW()-1,60),ROW()-1,FALSE))</f>
        <v>20.475000000000001</v>
      </c>
      <c r="AH94">
        <f ca="1">IF(AND(ISNUMBER($AH$407),$B$294=1),$AH$407,HLOOKUP(INDIRECT(ADDRESS(2,COLUMN())),OFFSET($BN$2,0,0,ROW()-1,60),ROW()-1,FALSE))</f>
        <v>25.411000000000001</v>
      </c>
      <c r="AI94">
        <f ca="1">IF(AND(ISNUMBER($AI$407),$B$294=1),$AI$407,HLOOKUP(INDIRECT(ADDRESS(2,COLUMN())),OFFSET($BN$2,0,0,ROW()-1,60),ROW()-1,FALSE))</f>
        <v>26.454999999999998</v>
      </c>
      <c r="AJ94">
        <f ca="1">IF(AND(ISNUMBER($AJ$407),$B$294=1),$AJ$407,HLOOKUP(INDIRECT(ADDRESS(2,COLUMN())),OFFSET($BN$2,0,0,ROW()-1,60),ROW()-1,FALSE))</f>
        <v>29.666</v>
      </c>
      <c r="AK94">
        <f ca="1">IF(AND(ISNUMBER($AK$407),$B$294=1),$AK$407,HLOOKUP(INDIRECT(ADDRESS(2,COLUMN())),OFFSET($BN$2,0,0,ROW()-1,60),ROW()-1,FALSE))</f>
        <v>31.925999999999998</v>
      </c>
      <c r="AL94">
        <f ca="1">IF(AND(ISNUMBER($AL$407),$B$294=1),$AL$407,HLOOKUP(INDIRECT(ADDRESS(2,COLUMN())),OFFSET($BN$2,0,0,ROW()-1,60),ROW()-1,FALSE))</f>
        <v>34.581000000000003</v>
      </c>
      <c r="AM94">
        <f ca="1">IF(AND(ISNUMBER($AM$407),$B$294=1),$AM$407,HLOOKUP(INDIRECT(ADDRESS(2,COLUMN())),OFFSET($BN$2,0,0,ROW()-1,60),ROW()-1,FALSE))</f>
        <v>33.503999999999998</v>
      </c>
      <c r="AN94">
        <f ca="1">IF(AND(ISNUMBER($AN$407),$B$294=1),$AN$407,HLOOKUP(INDIRECT(ADDRESS(2,COLUMN())),OFFSET($BN$2,0,0,ROW()-1,60),ROW()-1,FALSE))</f>
        <v>45.633000000000003</v>
      </c>
      <c r="AO94">
        <f ca="1">IF(AND(ISNUMBER($AO$407),$B$294=1),$AO$407,HLOOKUP(INDIRECT(ADDRESS(2,COLUMN())),OFFSET($BN$2,0,0,ROW()-1,60),ROW()-1,FALSE))</f>
        <v>44.607999999999997</v>
      </c>
      <c r="AP94">
        <f ca="1">IF(AND(ISNUMBER($AP$407),$B$294=1),$AP$407,HLOOKUP(INDIRECT(ADDRESS(2,COLUMN())),OFFSET($BN$2,0,0,ROW()-1,60),ROW()-1,FALSE))</f>
        <v>43.924999999999997</v>
      </c>
      <c r="AQ94">
        <f ca="1">IF(AND(ISNUMBER($AQ$407),$B$294=1),$AQ$407,HLOOKUP(INDIRECT(ADDRESS(2,COLUMN())),OFFSET($BN$2,0,0,ROW()-1,60),ROW()-1,FALSE))</f>
        <v>52.064999999999998</v>
      </c>
      <c r="AR94">
        <f ca="1">IF(AND(ISNUMBER($AR$407),$B$294=1),$AR$407,HLOOKUP(INDIRECT(ADDRESS(2,COLUMN())),OFFSET($BN$2,0,0,ROW()-1,60),ROW()-1,FALSE))</f>
        <v>41.543999999999997</v>
      </c>
      <c r="AS94">
        <f ca="1">IF(AND(ISNUMBER($AS$407),$B$294=1),$AS$407,HLOOKUP(INDIRECT(ADDRESS(2,COLUMN())),OFFSET($BN$2,0,0,ROW()-1,60),ROW()-1,FALSE))</f>
        <v>43.073999999999998</v>
      </c>
      <c r="AT94">
        <f ca="1">IF(AND(ISNUMBER($AT$407),$B$294=1),$AT$407,HLOOKUP(INDIRECT(ADDRESS(2,COLUMN())),OFFSET($BN$2,0,0,ROW()-1,60),ROW()-1,FALSE))</f>
        <v>46.621000000000002</v>
      </c>
      <c r="AU94">
        <f ca="1">IF(AND(ISNUMBER($AU$407),$B$294=1),$AU$407,HLOOKUP(INDIRECT(ADDRESS(2,COLUMN())),OFFSET($BN$2,0,0,ROW()-1,60),ROW()-1,FALSE))</f>
        <v>36.648000000000003</v>
      </c>
      <c r="AV94">
        <f ca="1">IF(AND(ISNUMBER($AV$407),$B$294=1),$AV$407,HLOOKUP(INDIRECT(ADDRESS(2,COLUMN())),OFFSET($BN$2,0,0,ROW()-1,60),ROW()-1,FALSE))</f>
        <v>40.283000000000001</v>
      </c>
      <c r="AW94">
        <f ca="1">IF(AND(ISNUMBER($AW$407),$B$294=1),$AW$407,HLOOKUP(INDIRECT(ADDRESS(2,COLUMN())),OFFSET($BN$2,0,0,ROW()-1,60),ROW()-1,FALSE))</f>
        <v>37.203000000000003</v>
      </c>
      <c r="AX94">
        <f ca="1">IF(AND(ISNUMBER($AX$407),$B$294=1),$AX$407,HLOOKUP(INDIRECT(ADDRESS(2,COLUMN())),OFFSET($BN$2,0,0,ROW()-1,60),ROW()-1,FALSE))</f>
        <v>38.775387000000002</v>
      </c>
      <c r="AY94">
        <f ca="1">IF(AND(ISNUMBER($AY$407),$B$294=1),$AY$407,HLOOKUP(INDIRECT(ADDRESS(2,COLUMN())),OFFSET($BN$2,0,0,ROW()-1,60),ROW()-1,FALSE))</f>
        <v>44.225000000000001</v>
      </c>
      <c r="AZ94">
        <f ca="1">IF(AND(ISNUMBER($AZ$407),$B$294=1),$AZ$407,HLOOKUP(INDIRECT(ADDRESS(2,COLUMN())),OFFSET($BN$2,0,0,ROW()-1,60),ROW()-1,FALSE))</f>
        <v>41.798000000000002</v>
      </c>
      <c r="BA94">
        <f ca="1">IF(AND(ISNUMBER($BA$407),$B$294=1),$BA$407,HLOOKUP(INDIRECT(ADDRESS(2,COLUMN())),OFFSET($BN$2,0,0,ROW()-1,60),ROW()-1,FALSE))</f>
        <v>40.445</v>
      </c>
      <c r="BB94">
        <f ca="1">IF(AND(ISNUMBER($BB$407),$B$294=1),$BB$407,HLOOKUP(INDIRECT(ADDRESS(2,COLUMN())),OFFSET($BN$2,0,0,ROW()-1,60),ROW()-1,FALSE))</f>
        <v>39.555</v>
      </c>
      <c r="BC94">
        <f ca="1">IF(AND(ISNUMBER($BC$407),$B$294=1),$BC$407,HLOOKUP(INDIRECT(ADDRESS(2,COLUMN())),OFFSET($BN$2,0,0,ROW()-1,60),ROW()-1,FALSE))</f>
        <v>58.965000000000003</v>
      </c>
      <c r="BD94">
        <f ca="1">IF(AND(ISNUMBER($BD$407),$B$294=1),$BD$407,HLOOKUP(INDIRECT(ADDRESS(2,COLUMN())),OFFSET($BN$2,0,0,ROW()-1,60),ROW()-1,FALSE))</f>
        <v>36.200000000000003</v>
      </c>
      <c r="BE94">
        <f ca="1">IF(AND(ISNUMBER($BE$407),$B$294=1),$BE$407,HLOOKUP(INDIRECT(ADDRESS(2,COLUMN())),OFFSET($BN$2,0,0,ROW()-1,60),ROW()-1,FALSE))</f>
        <v>35.283999999999999</v>
      </c>
      <c r="BF94">
        <f ca="1">IF(AND(ISNUMBER($BF$407),$B$294=1),$BF$407,HLOOKUP(INDIRECT(ADDRESS(2,COLUMN())),OFFSET($BN$2,0,0,ROW()-1,60),ROW()-1,FALSE))</f>
        <v>36.253999999999998</v>
      </c>
      <c r="BG94">
        <f ca="1">IF(AND(ISNUMBER($BG$407),$B$294=1),$BG$407,HLOOKUP(INDIRECT(ADDRESS(2,COLUMN())),OFFSET($BN$2,0,0,ROW()-1,60),ROW()-1,FALSE))</f>
        <v>35.921999999999997</v>
      </c>
      <c r="BH94">
        <f ca="1">IF(AND(ISNUMBER($BH$407),$B$294=1),$BH$407,HLOOKUP(INDIRECT(ADDRESS(2,COLUMN())),OFFSET($BN$2,0,0,ROW()-1,60),ROW()-1,FALSE))</f>
        <v>33.700000000000003</v>
      </c>
      <c r="BI94">
        <f ca="1">IF(AND(ISNUMBER($BI$407),$B$294=1),$BI$407,HLOOKUP(INDIRECT(ADDRESS(2,COLUMN())),OFFSET($BN$2,0,0,ROW()-1,60),ROW()-1,FALSE))</f>
        <v>32.737000000000002</v>
      </c>
      <c r="BJ94">
        <f ca="1">IF(AND(ISNUMBER($BJ$407),$B$294=1),$BJ$407,HLOOKUP(INDIRECT(ADDRESS(2,COLUMN())),OFFSET($BN$2,0,0,ROW()-1,60),ROW()-1,FALSE))</f>
        <v>33.064</v>
      </c>
      <c r="BK94">
        <f ca="1">IF(AND(ISNUMBER($BK$407),$B$294=1),$BK$407,HLOOKUP(INDIRECT(ADDRESS(2,COLUMN())),OFFSET($BN$2,0,0,ROW()-1,60),ROW()-1,FALSE))</f>
        <v>14.005000000000001</v>
      </c>
      <c r="BL94">
        <f ca="1">IF(AND(ISNUMBER($BL$407),$B$294=1),$BL$407,HLOOKUP(INDIRECT(ADDRESS(2,COLUMN())),OFFSET($BN$2,0,0,ROW()-1,60),ROW()-1,FALSE))</f>
        <v>34.420999999999999</v>
      </c>
      <c r="BM94">
        <f ca="1">IF(AND(ISNUMBER($BM$407),$B$294=1),$BM$407,HLOOKUP(INDIRECT(ADDRESS(2,COLUMN())),OFFSET($BN$2,0,0,ROW()-1,60),ROW()-1,FALSE))</f>
        <v>31.265000000000001</v>
      </c>
      <c r="BN94" t="str">
        <f>""</f>
        <v/>
      </c>
      <c r="BO94">
        <f>38.428</f>
        <v>38.427999999999997</v>
      </c>
      <c r="BP94">
        <f>42.707</f>
        <v>42.707000000000001</v>
      </c>
      <c r="BQ94">
        <f>42.919</f>
        <v>42.918999999999997</v>
      </c>
      <c r="BR94">
        <f>41.683</f>
        <v>41.683</v>
      </c>
      <c r="BS94">
        <f>49.375</f>
        <v>49.375</v>
      </c>
      <c r="BT94">
        <f>37.533</f>
        <v>37.533000000000001</v>
      </c>
      <c r="BU94">
        <f>37.058</f>
        <v>37.058</v>
      </c>
      <c r="BV94">
        <f>35.464</f>
        <v>35.463999999999999</v>
      </c>
      <c r="BW94">
        <f>23.119</f>
        <v>23.119</v>
      </c>
      <c r="BX94">
        <f>43.425</f>
        <v>43.424999999999997</v>
      </c>
      <c r="BY94">
        <f>34.667</f>
        <v>34.667000000000002</v>
      </c>
      <c r="BZ94">
        <f>39.477</f>
        <v>39.476999999999997</v>
      </c>
      <c r="CA94">
        <f>19.723</f>
        <v>19.722999999999999</v>
      </c>
      <c r="CB94">
        <f>46.537</f>
        <v>46.536999999999999</v>
      </c>
      <c r="CC94">
        <f>28.369</f>
        <v>28.369</v>
      </c>
      <c r="CD94">
        <f>34.547</f>
        <v>34.546999999999997</v>
      </c>
      <c r="CE94">
        <f>23.376</f>
        <v>23.376000000000001</v>
      </c>
      <c r="CF94">
        <f>27.136</f>
        <v>27.135999999999999</v>
      </c>
      <c r="CG94">
        <f>30.348</f>
        <v>30.347999999999999</v>
      </c>
      <c r="CH94">
        <f>38.15</f>
        <v>38.15</v>
      </c>
      <c r="CI94">
        <f>24.874</f>
        <v>24.873999999999999</v>
      </c>
      <c r="CJ94">
        <f>30.324</f>
        <v>30.324000000000002</v>
      </c>
      <c r="CK94">
        <f>30.402</f>
        <v>30.402000000000001</v>
      </c>
      <c r="CL94">
        <f>27.981</f>
        <v>27.981000000000002</v>
      </c>
      <c r="CM94">
        <f>24.551</f>
        <v>24.550999999999998</v>
      </c>
      <c r="CN94">
        <f>10.071</f>
        <v>10.071</v>
      </c>
      <c r="CO94">
        <f>20.475</f>
        <v>20.475000000000001</v>
      </c>
      <c r="CP94">
        <f>25.411</f>
        <v>25.411000000000001</v>
      </c>
      <c r="CQ94">
        <f>26.455</f>
        <v>26.454999999999998</v>
      </c>
      <c r="CR94">
        <f>29.666</f>
        <v>29.666</v>
      </c>
      <c r="CS94">
        <f>31.926</f>
        <v>31.925999999999998</v>
      </c>
      <c r="CT94">
        <f>34.581</f>
        <v>34.581000000000003</v>
      </c>
      <c r="CU94">
        <f>33.504</f>
        <v>33.503999999999998</v>
      </c>
      <c r="CV94">
        <f>45.633</f>
        <v>45.633000000000003</v>
      </c>
      <c r="CW94">
        <f>44.608</f>
        <v>44.607999999999997</v>
      </c>
      <c r="CX94">
        <f>43.925</f>
        <v>43.924999999999997</v>
      </c>
      <c r="CY94">
        <f>52.065</f>
        <v>52.064999999999998</v>
      </c>
      <c r="CZ94">
        <f>41.544</f>
        <v>41.543999999999997</v>
      </c>
      <c r="DA94">
        <f>43.074</f>
        <v>43.073999999999998</v>
      </c>
      <c r="DB94">
        <f>46.621</f>
        <v>46.621000000000002</v>
      </c>
      <c r="DC94">
        <f>36.648</f>
        <v>36.648000000000003</v>
      </c>
      <c r="DD94">
        <f>40.283</f>
        <v>40.283000000000001</v>
      </c>
      <c r="DE94">
        <f>37.203</f>
        <v>37.203000000000003</v>
      </c>
      <c r="DF94">
        <f>38.775387</f>
        <v>38.775387000000002</v>
      </c>
      <c r="DG94">
        <f>44.225</f>
        <v>44.225000000000001</v>
      </c>
      <c r="DH94">
        <f>41.798</f>
        <v>41.798000000000002</v>
      </c>
      <c r="DI94">
        <f>40.445</f>
        <v>40.445</v>
      </c>
      <c r="DJ94">
        <f>39.555</f>
        <v>39.555</v>
      </c>
      <c r="DK94">
        <f>58.965</f>
        <v>58.965000000000003</v>
      </c>
      <c r="DL94">
        <f>36.2</f>
        <v>36.200000000000003</v>
      </c>
      <c r="DM94">
        <f>35.284</f>
        <v>35.283999999999999</v>
      </c>
      <c r="DN94">
        <f>36.254</f>
        <v>36.253999999999998</v>
      </c>
      <c r="DO94">
        <f>35.922</f>
        <v>35.921999999999997</v>
      </c>
      <c r="DP94">
        <f>33.7</f>
        <v>33.700000000000003</v>
      </c>
      <c r="DQ94">
        <f>32.737</f>
        <v>32.737000000000002</v>
      </c>
      <c r="DR94">
        <f>33.064</f>
        <v>33.064</v>
      </c>
      <c r="DS94">
        <f>14.005</f>
        <v>14.005000000000001</v>
      </c>
      <c r="DT94">
        <f>34.421</f>
        <v>34.420999999999999</v>
      </c>
      <c r="DU94">
        <f>31.265</f>
        <v>31.265000000000001</v>
      </c>
    </row>
    <row r="95" spans="1:125">
      <c r="A95" t="str">
        <f>"    Columbia Property Trust Inc"</f>
        <v xml:space="preserve">    Columbia Property Trust Inc</v>
      </c>
      <c r="B95" t="str">
        <f>"CXP US Equity"</f>
        <v>CXP US Equity</v>
      </c>
      <c r="C95" t="str">
        <f t="shared" si="24"/>
        <v>F0578</v>
      </c>
      <c r="D95" t="str">
        <f t="shared" si="25"/>
        <v>FUNDS_AVAILABLE_FOR_DISTRIBUTION</v>
      </c>
      <c r="E95" t="str">
        <f t="shared" si="26"/>
        <v>动态</v>
      </c>
      <c r="F95" t="str">
        <f ca="1">IF(AND(ISNUMBER($F$408),$B$294=1),$F$408,HLOOKUP(INDIRECT(ADDRESS(2,COLUMN())),OFFSET($BN$2,0,0,ROW()-1,60),ROW()-1,FALSE))</f>
        <v/>
      </c>
      <c r="G95">
        <f ca="1">IF(AND(ISNUMBER($G$408),$B$294=1),$G$408,HLOOKUP(INDIRECT(ADDRESS(2,COLUMN())),OFFSET($BN$2,0,0,ROW()-1,60),ROW()-1,FALSE))</f>
        <v>40.853999999999999</v>
      </c>
      <c r="H95">
        <f ca="1">IF(AND(ISNUMBER($H$408),$B$294=1),$H$408,HLOOKUP(INDIRECT(ADDRESS(2,COLUMN())),OFFSET($BN$2,0,0,ROW()-1,60),ROW()-1,FALSE))</f>
        <v>37.545999999999999</v>
      </c>
      <c r="I95">
        <f ca="1">IF(AND(ISNUMBER($I$408),$B$294=1),$I$408,HLOOKUP(INDIRECT(ADDRESS(2,COLUMN())),OFFSET($BN$2,0,0,ROW()-1,60),ROW()-1,FALSE))</f>
        <v>19.989000000000001</v>
      </c>
      <c r="J95">
        <f ca="1">IF(AND(ISNUMBER($J$408),$B$294=1),$J$408,HLOOKUP(INDIRECT(ADDRESS(2,COLUMN())),OFFSET($BN$2,0,0,ROW()-1,60),ROW()-1,FALSE))</f>
        <v>57.305</v>
      </c>
      <c r="K95">
        <f ca="1">IF(AND(ISNUMBER($K$408),$B$294=1),$K$408,HLOOKUP(INDIRECT(ADDRESS(2,COLUMN())),OFFSET($BN$2,0,0,ROW()-1,60),ROW()-1,FALSE))</f>
        <v>-40.21</v>
      </c>
      <c r="L95">
        <f ca="1">IF(AND(ISNUMBER($L$408),$B$294=1),$L$408,HLOOKUP(INDIRECT(ADDRESS(2,COLUMN())),OFFSET($BN$2,0,0,ROW()-1,60),ROW()-1,FALSE))</f>
        <v>17.126999999999999</v>
      </c>
      <c r="M95">
        <f ca="1">IF(AND(ISNUMBER($M$408),$B$294=1),$M$408,HLOOKUP(INDIRECT(ADDRESS(2,COLUMN())),OFFSET($BN$2,0,0,ROW()-1,60),ROW()-1,FALSE))</f>
        <v>54.402000000000001</v>
      </c>
      <c r="N95">
        <f ca="1">IF(AND(ISNUMBER($N$408),$B$294=1),$N$408,HLOOKUP(INDIRECT(ADDRESS(2,COLUMN())),OFFSET($BN$2,0,0,ROW()-1,60),ROW()-1,FALSE))</f>
        <v>46.466000000000001</v>
      </c>
      <c r="O95">
        <f ca="1">IF(AND(ISNUMBER($O$408),$B$294=1),$O$408,HLOOKUP(INDIRECT(ADDRESS(2,COLUMN())),OFFSET($BN$2,0,0,ROW()-1,60),ROW()-1,FALSE))</f>
        <v>33.896000000000001</v>
      </c>
      <c r="P95">
        <f ca="1">IF(AND(ISNUMBER($P$408),$B$294=1),$P$408,HLOOKUP(INDIRECT(ADDRESS(2,COLUMN())),OFFSET($BN$2,0,0,ROW()-1,60),ROW()-1,FALSE))</f>
        <v>43.682000000000002</v>
      </c>
      <c r="Q95">
        <f ca="1">IF(AND(ISNUMBER($Q$408),$B$294=1),$Q$408,HLOOKUP(INDIRECT(ADDRESS(2,COLUMN())),OFFSET($BN$2,0,0,ROW()-1,60),ROW()-1,FALSE))</f>
        <v>45.835999999999999</v>
      </c>
      <c r="R95">
        <f ca="1">IF(AND(ISNUMBER($R$408),$B$294=1),$R$408,HLOOKUP(INDIRECT(ADDRESS(2,COLUMN())),OFFSET($BN$2,0,0,ROW()-1,60),ROW()-1,FALSE))</f>
        <v>46.238</v>
      </c>
      <c r="S95">
        <f ca="1">IF(AND(ISNUMBER($S$408),$B$294=1),$S$408,HLOOKUP(INDIRECT(ADDRESS(2,COLUMN())),OFFSET($BN$2,0,0,ROW()-1,60),ROW()-1,FALSE))</f>
        <v>35.107999999999997</v>
      </c>
      <c r="T95">
        <f ca="1">IF(AND(ISNUMBER($T$408),$B$294=1),$T$408,HLOOKUP(INDIRECT(ADDRESS(2,COLUMN())),OFFSET($BN$2,0,0,ROW()-1,60),ROW()-1,FALSE))</f>
        <v>49.4</v>
      </c>
      <c r="U95">
        <f ca="1">IF(AND(ISNUMBER($U$408),$B$294=1),$U$408,HLOOKUP(INDIRECT(ADDRESS(2,COLUMN())),OFFSET($BN$2,0,0,ROW()-1,60),ROW()-1,FALSE))</f>
        <v>56.033999999999999</v>
      </c>
      <c r="V95">
        <f ca="1">IF(AND(ISNUMBER($V$408),$B$294=1),$V$408,HLOOKUP(INDIRECT(ADDRESS(2,COLUMN())),OFFSET($BN$2,0,0,ROW()-1,60),ROW()-1,FALSE))</f>
        <v>41.273000000000003</v>
      </c>
      <c r="W95">
        <f ca="1">IF(AND(ISNUMBER($W$408),$B$294=1),$W$408,HLOOKUP(INDIRECT(ADDRESS(2,COLUMN())),OFFSET($BN$2,0,0,ROW()-1,60),ROW()-1,FALSE))</f>
        <v>45.942999999999998</v>
      </c>
      <c r="X95">
        <f ca="1">IF(AND(ISNUMBER($X$408),$B$294=1),$X$408,HLOOKUP(INDIRECT(ADDRESS(2,COLUMN())),OFFSET($BN$2,0,0,ROW()-1,60),ROW()-1,FALSE))</f>
        <v>50.625999999999998</v>
      </c>
      <c r="Y95">
        <f ca="1">IF(AND(ISNUMBER($Y$408),$B$294=1),$Y$408,HLOOKUP(INDIRECT(ADDRESS(2,COLUMN())),OFFSET($BN$2,0,0,ROW()-1,60),ROW()-1,FALSE))</f>
        <v>44.601999999999997</v>
      </c>
      <c r="Z95">
        <f ca="1">IF(AND(ISNUMBER($Z$408),$B$294=1),$Z$408,HLOOKUP(INDIRECT(ADDRESS(2,COLUMN())),OFFSET($BN$2,0,0,ROW()-1,60),ROW()-1,FALSE))</f>
        <v>48.613</v>
      </c>
      <c r="AA95">
        <f ca="1">IF(AND(ISNUMBER($AA$408),$B$294=1),$AA$408,HLOOKUP(INDIRECT(ADDRESS(2,COLUMN())),OFFSET($BN$2,0,0,ROW()-1,60),ROW()-1,FALSE))</f>
        <v>42.383000000000003</v>
      </c>
      <c r="AB95">
        <f ca="1">IF(AND(ISNUMBER($AB$408),$B$294=1),$AB$408,HLOOKUP(INDIRECT(ADDRESS(2,COLUMN())),OFFSET($BN$2,0,0,ROW()-1,60),ROW()-1,FALSE))</f>
        <v>66.025000000000006</v>
      </c>
      <c r="AC95">
        <f ca="1">IF(AND(ISNUMBER($AC$408),$B$294=1),$AC$408,HLOOKUP(INDIRECT(ADDRESS(2,COLUMN())),OFFSET($BN$2,0,0,ROW()-1,60),ROW()-1,FALSE))</f>
        <v>68.278000000000006</v>
      </c>
      <c r="AD95">
        <f ca="1">IF(AND(ISNUMBER($AD$408),$B$294=1),$AD$408,HLOOKUP(INDIRECT(ADDRESS(2,COLUMN())),OFFSET($BN$2,0,0,ROW()-1,60),ROW()-1,FALSE))</f>
        <v>71.031999999999996</v>
      </c>
      <c r="AE95">
        <f ca="1">IF(AND(ISNUMBER($AE$408),$B$294=1),$AE$408,HLOOKUP(INDIRECT(ADDRESS(2,COLUMN())),OFFSET($BN$2,0,0,ROW()-1,60),ROW()-1,FALSE))</f>
        <v>69.007000000000005</v>
      </c>
      <c r="AF95">
        <f ca="1">IF(AND(ISNUMBER($AF$408),$B$294=1),$AF$408,HLOOKUP(INDIRECT(ADDRESS(2,COLUMN())),OFFSET($BN$2,0,0,ROW()-1,60),ROW()-1,FALSE))</f>
        <v>70.442999999999998</v>
      </c>
      <c r="AG95">
        <f ca="1">IF(AND(ISNUMBER($AG$408),$B$294=1),$AG$408,HLOOKUP(INDIRECT(ADDRESS(2,COLUMN())),OFFSET($BN$2,0,0,ROW()-1,60),ROW()-1,FALSE))</f>
        <v>66.287000000000006</v>
      </c>
      <c r="AH95">
        <f ca="1">IF(AND(ISNUMBER($AH$408),$B$294=1),$AH$408,HLOOKUP(INDIRECT(ADDRESS(2,COLUMN())),OFFSET($BN$2,0,0,ROW()-1,60),ROW()-1,FALSE))</f>
        <v>74.447999999999993</v>
      </c>
      <c r="AI95">
        <f ca="1">IF(AND(ISNUMBER($AI$408),$B$294=1),$AI$408,HLOOKUP(INDIRECT(ADDRESS(2,COLUMN())),OFFSET($BN$2,0,0,ROW()-1,60),ROW()-1,FALSE))</f>
        <v>85.504999999999995</v>
      </c>
      <c r="AJ95">
        <f ca="1">IF(AND(ISNUMBER($AJ$408),$B$294=1),$AJ$408,HLOOKUP(INDIRECT(ADDRESS(2,COLUMN())),OFFSET($BN$2,0,0,ROW()-1,60),ROW()-1,FALSE))</f>
        <v>75.765000000000001</v>
      </c>
      <c r="AK95">
        <f ca="1">IF(AND(ISNUMBER($AK$408),$B$294=1),$AK$408,HLOOKUP(INDIRECT(ADDRESS(2,COLUMN())),OFFSET($BN$2,0,0,ROW()-1,60),ROW()-1,FALSE))</f>
        <v>62.920999999999999</v>
      </c>
      <c r="AL95">
        <f ca="1">IF(AND(ISNUMBER($AL$408),$B$294=1),$AL$408,HLOOKUP(INDIRECT(ADDRESS(2,COLUMN())),OFFSET($BN$2,0,0,ROW()-1,60),ROW()-1,FALSE))</f>
        <v>59.448999999999998</v>
      </c>
      <c r="AM95">
        <f ca="1">IF(AND(ISNUMBER($AM$408),$B$294=1),$AM$408,HLOOKUP(INDIRECT(ADDRESS(2,COLUMN())),OFFSET($BN$2,0,0,ROW()-1,60),ROW()-1,FALSE))</f>
        <v>82.287999999999997</v>
      </c>
      <c r="AN95">
        <f ca="1">IF(AND(ISNUMBER($AN$408),$B$294=1),$AN$408,HLOOKUP(INDIRECT(ADDRESS(2,COLUMN())),OFFSET($BN$2,0,0,ROW()-1,60),ROW()-1,FALSE))</f>
        <v>64.945999999999998</v>
      </c>
      <c r="AO95" t="str">
        <f ca="1">IF(AND(ISNUMBER($AO$408),$B$294=1),$AO$408,HLOOKUP(INDIRECT(ADDRESS(2,COLUMN())),OFFSET($BN$2,0,0,ROW()-1,60),ROW()-1,FALSE))</f>
        <v/>
      </c>
      <c r="AP95" t="str">
        <f ca="1">IF(AND(ISNUMBER($AP$408),$B$294=1),$AP$408,HLOOKUP(INDIRECT(ADDRESS(2,COLUMN())),OFFSET($BN$2,0,0,ROW()-1,60),ROW()-1,FALSE))</f>
        <v/>
      </c>
      <c r="AQ95" t="str">
        <f ca="1">IF(AND(ISNUMBER($AQ$408),$B$294=1),$AQ$408,HLOOKUP(INDIRECT(ADDRESS(2,COLUMN())),OFFSET($BN$2,0,0,ROW()-1,60),ROW()-1,FALSE))</f>
        <v/>
      </c>
      <c r="AR95" t="str">
        <f ca="1">IF(AND(ISNUMBER($AR$408),$B$294=1),$AR$408,HLOOKUP(INDIRECT(ADDRESS(2,COLUMN())),OFFSET($BN$2,0,0,ROW()-1,60),ROW()-1,FALSE))</f>
        <v/>
      </c>
      <c r="AS95" t="str">
        <f ca="1">IF(AND(ISNUMBER($AS$408),$B$294=1),$AS$408,HLOOKUP(INDIRECT(ADDRESS(2,COLUMN())),OFFSET($BN$2,0,0,ROW()-1,60),ROW()-1,FALSE))</f>
        <v/>
      </c>
      <c r="AT95" t="str">
        <f ca="1">IF(AND(ISNUMBER($AT$408),$B$294=1),$AT$408,HLOOKUP(INDIRECT(ADDRESS(2,COLUMN())),OFFSET($BN$2,0,0,ROW()-1,60),ROW()-1,FALSE))</f>
        <v/>
      </c>
      <c r="AU95" t="str">
        <f ca="1">IF(AND(ISNUMBER($AU$408),$B$294=1),$AU$408,HLOOKUP(INDIRECT(ADDRESS(2,COLUMN())),OFFSET($BN$2,0,0,ROW()-1,60),ROW()-1,FALSE))</f>
        <v/>
      </c>
      <c r="AV95" t="str">
        <f ca="1">IF(AND(ISNUMBER($AV$408),$B$294=1),$AV$408,HLOOKUP(INDIRECT(ADDRESS(2,COLUMN())),OFFSET($BN$2,0,0,ROW()-1,60),ROW()-1,FALSE))</f>
        <v/>
      </c>
      <c r="AW95" t="str">
        <f ca="1">IF(AND(ISNUMBER($AW$408),$B$294=1),$AW$408,HLOOKUP(INDIRECT(ADDRESS(2,COLUMN())),OFFSET($BN$2,0,0,ROW()-1,60),ROW()-1,FALSE))</f>
        <v/>
      </c>
      <c r="AX95" t="str">
        <f ca="1">IF(AND(ISNUMBER($AX$408),$B$294=1),$AX$408,HLOOKUP(INDIRECT(ADDRESS(2,COLUMN())),OFFSET($BN$2,0,0,ROW()-1,60),ROW()-1,FALSE))</f>
        <v/>
      </c>
      <c r="AY95" t="str">
        <f ca="1">IF(AND(ISNUMBER($AY$408),$B$294=1),$AY$408,HLOOKUP(INDIRECT(ADDRESS(2,COLUMN())),OFFSET($BN$2,0,0,ROW()-1,60),ROW()-1,FALSE))</f>
        <v/>
      </c>
      <c r="AZ95" t="str">
        <f ca="1">IF(AND(ISNUMBER($AZ$408),$B$294=1),$AZ$408,HLOOKUP(INDIRECT(ADDRESS(2,COLUMN())),OFFSET($BN$2,0,0,ROW()-1,60),ROW()-1,FALSE))</f>
        <v/>
      </c>
      <c r="BA95" t="str">
        <f ca="1">IF(AND(ISNUMBER($BA$408),$B$294=1),$BA$408,HLOOKUP(INDIRECT(ADDRESS(2,COLUMN())),OFFSET($BN$2,0,0,ROW()-1,60),ROW()-1,FALSE))</f>
        <v/>
      </c>
      <c r="BB95" t="str">
        <f ca="1">IF(AND(ISNUMBER($BB$408),$B$294=1),$BB$408,HLOOKUP(INDIRECT(ADDRESS(2,COLUMN())),OFFSET($BN$2,0,0,ROW()-1,60),ROW()-1,FALSE))</f>
        <v/>
      </c>
      <c r="BC95" t="str">
        <f ca="1">IF(AND(ISNUMBER($BC$408),$B$294=1),$BC$408,HLOOKUP(INDIRECT(ADDRESS(2,COLUMN())),OFFSET($BN$2,0,0,ROW()-1,60),ROW()-1,FALSE))</f>
        <v/>
      </c>
      <c r="BD95" t="str">
        <f ca="1">IF(AND(ISNUMBER($BD$408),$B$294=1),$BD$408,HLOOKUP(INDIRECT(ADDRESS(2,COLUMN())),OFFSET($BN$2,0,0,ROW()-1,60),ROW()-1,FALSE))</f>
        <v/>
      </c>
      <c r="BE95" t="str">
        <f ca="1">IF(AND(ISNUMBER($BE$408),$B$294=1),$BE$408,HLOOKUP(INDIRECT(ADDRESS(2,COLUMN())),OFFSET($BN$2,0,0,ROW()-1,60),ROW()-1,FALSE))</f>
        <v/>
      </c>
      <c r="BF95" t="str">
        <f ca="1">IF(AND(ISNUMBER($BF$408),$B$294=1),$BF$408,HLOOKUP(INDIRECT(ADDRESS(2,COLUMN())),OFFSET($BN$2,0,0,ROW()-1,60),ROW()-1,FALSE))</f>
        <v/>
      </c>
      <c r="BG95" t="str">
        <f ca="1">IF(AND(ISNUMBER($BG$408),$B$294=1),$BG$408,HLOOKUP(INDIRECT(ADDRESS(2,COLUMN())),OFFSET($BN$2,0,0,ROW()-1,60),ROW()-1,FALSE))</f>
        <v/>
      </c>
      <c r="BH95" t="str">
        <f ca="1">IF(AND(ISNUMBER($BH$408),$B$294=1),$BH$408,HLOOKUP(INDIRECT(ADDRESS(2,COLUMN())),OFFSET($BN$2,0,0,ROW()-1,60),ROW()-1,FALSE))</f>
        <v/>
      </c>
      <c r="BI95" t="str">
        <f ca="1">IF(AND(ISNUMBER($BI$408),$B$294=1),$BI$408,HLOOKUP(INDIRECT(ADDRESS(2,COLUMN())),OFFSET($BN$2,0,0,ROW()-1,60),ROW()-1,FALSE))</f>
        <v/>
      </c>
      <c r="BJ95" t="str">
        <f ca="1">IF(AND(ISNUMBER($BJ$408),$B$294=1),$BJ$408,HLOOKUP(INDIRECT(ADDRESS(2,COLUMN())),OFFSET($BN$2,0,0,ROW()-1,60),ROW()-1,FALSE))</f>
        <v/>
      </c>
      <c r="BK95" t="str">
        <f ca="1">IF(AND(ISNUMBER($BK$408),$B$294=1),$BK$408,HLOOKUP(INDIRECT(ADDRESS(2,COLUMN())),OFFSET($BN$2,0,0,ROW()-1,60),ROW()-1,FALSE))</f>
        <v/>
      </c>
      <c r="BL95" t="str">
        <f ca="1">IF(AND(ISNUMBER($BL$408),$B$294=1),$BL$408,HLOOKUP(INDIRECT(ADDRESS(2,COLUMN())),OFFSET($BN$2,0,0,ROW()-1,60),ROW()-1,FALSE))</f>
        <v/>
      </c>
      <c r="BM95" t="str">
        <f ca="1">IF(AND(ISNUMBER($BM$408),$B$294=1),$BM$408,HLOOKUP(INDIRECT(ADDRESS(2,COLUMN())),OFFSET($BN$2,0,0,ROW()-1,60),ROW()-1,FALSE))</f>
        <v/>
      </c>
      <c r="BN95" t="str">
        <f>""</f>
        <v/>
      </c>
      <c r="BO95">
        <f>40.854</f>
        <v>40.853999999999999</v>
      </c>
      <c r="BP95">
        <f>37.546</f>
        <v>37.545999999999999</v>
      </c>
      <c r="BQ95">
        <f>19.989</f>
        <v>19.989000000000001</v>
      </c>
      <c r="BR95">
        <f>57.305</f>
        <v>57.305</v>
      </c>
      <c r="BS95">
        <f>-40.21</f>
        <v>-40.21</v>
      </c>
      <c r="BT95">
        <f>17.127</f>
        <v>17.126999999999999</v>
      </c>
      <c r="BU95">
        <f>54.402</f>
        <v>54.402000000000001</v>
      </c>
      <c r="BV95">
        <f>46.466</f>
        <v>46.466000000000001</v>
      </c>
      <c r="BW95">
        <f>33.896</f>
        <v>33.896000000000001</v>
      </c>
      <c r="BX95">
        <f>43.682</f>
        <v>43.682000000000002</v>
      </c>
      <c r="BY95">
        <f>45.836</f>
        <v>45.835999999999999</v>
      </c>
      <c r="BZ95">
        <f>46.238</f>
        <v>46.238</v>
      </c>
      <c r="CA95">
        <f>35.108</f>
        <v>35.107999999999997</v>
      </c>
      <c r="CB95">
        <f>49.4</f>
        <v>49.4</v>
      </c>
      <c r="CC95">
        <f>56.034</f>
        <v>56.033999999999999</v>
      </c>
      <c r="CD95">
        <f>41.273</f>
        <v>41.273000000000003</v>
      </c>
      <c r="CE95">
        <f>45.943</f>
        <v>45.942999999999998</v>
      </c>
      <c r="CF95">
        <f>50.626</f>
        <v>50.625999999999998</v>
      </c>
      <c r="CG95">
        <f>44.602</f>
        <v>44.601999999999997</v>
      </c>
      <c r="CH95">
        <f>48.613</f>
        <v>48.613</v>
      </c>
      <c r="CI95">
        <f>42.383</f>
        <v>42.383000000000003</v>
      </c>
      <c r="CJ95">
        <f>66.025</f>
        <v>66.025000000000006</v>
      </c>
      <c r="CK95">
        <f>68.278</f>
        <v>68.278000000000006</v>
      </c>
      <c r="CL95">
        <f>71.032</f>
        <v>71.031999999999996</v>
      </c>
      <c r="CM95">
        <f>69.007</f>
        <v>69.007000000000005</v>
      </c>
      <c r="CN95">
        <f>70.443</f>
        <v>70.442999999999998</v>
      </c>
      <c r="CO95">
        <f>66.287</f>
        <v>66.287000000000006</v>
      </c>
      <c r="CP95">
        <f>74.448</f>
        <v>74.447999999999993</v>
      </c>
      <c r="CQ95">
        <f>85.505</f>
        <v>85.504999999999995</v>
      </c>
      <c r="CR95">
        <f>75.765</f>
        <v>75.765000000000001</v>
      </c>
      <c r="CS95">
        <f>62.921</f>
        <v>62.920999999999999</v>
      </c>
      <c r="CT95">
        <f>59.449</f>
        <v>59.448999999999998</v>
      </c>
      <c r="CU95">
        <f>82.288</f>
        <v>82.287999999999997</v>
      </c>
      <c r="CV95">
        <f>64.946</f>
        <v>64.945999999999998</v>
      </c>
      <c r="CW95" t="str">
        <f>""</f>
        <v/>
      </c>
      <c r="CX95" t="str">
        <f>""</f>
        <v/>
      </c>
      <c r="CY95" t="str">
        <f>""</f>
        <v/>
      </c>
      <c r="CZ95" t="str">
        <f>""</f>
        <v/>
      </c>
      <c r="DA95" t="str">
        <f>""</f>
        <v/>
      </c>
      <c r="DB95" t="str">
        <f>""</f>
        <v/>
      </c>
      <c r="DC95" t="str">
        <f>""</f>
        <v/>
      </c>
      <c r="DD95" t="str">
        <f>""</f>
        <v/>
      </c>
      <c r="DE95" t="str">
        <f>""</f>
        <v/>
      </c>
      <c r="DF95" t="str">
        <f>""</f>
        <v/>
      </c>
      <c r="DG95" t="str">
        <f>""</f>
        <v/>
      </c>
      <c r="DH95" t="str">
        <f>""</f>
        <v/>
      </c>
      <c r="DI95" t="str">
        <f>""</f>
        <v/>
      </c>
      <c r="DJ95" t="str">
        <f>""</f>
        <v/>
      </c>
      <c r="DK95" t="str">
        <f>""</f>
        <v/>
      </c>
      <c r="DL95" t="str">
        <f>""</f>
        <v/>
      </c>
      <c r="DM95" t="str">
        <f>""</f>
        <v/>
      </c>
      <c r="DN95" t="str">
        <f>""</f>
        <v/>
      </c>
      <c r="DO95" t="str">
        <f>""</f>
        <v/>
      </c>
      <c r="DP95" t="str">
        <f>""</f>
        <v/>
      </c>
      <c r="DQ95" t="str">
        <f>""</f>
        <v/>
      </c>
      <c r="DR95" t="str">
        <f>""</f>
        <v/>
      </c>
      <c r="DS95" t="str">
        <f>""</f>
        <v/>
      </c>
      <c r="DT95" t="str">
        <f>""</f>
        <v/>
      </c>
      <c r="DU95" t="str">
        <f>""</f>
        <v/>
      </c>
    </row>
    <row r="96" spans="1:125">
      <c r="A96" t="str">
        <f>"    Corporate Office Properties Tr"</f>
        <v xml:space="preserve">    Corporate Office Properties Tr</v>
      </c>
      <c r="B96" t="str">
        <f>"OFC US Equity"</f>
        <v>OFC US Equity</v>
      </c>
      <c r="C96" t="str">
        <f t="shared" si="24"/>
        <v>F0578</v>
      </c>
      <c r="D96" t="str">
        <f t="shared" si="25"/>
        <v>FUNDS_AVAILABLE_FOR_DISTRIBUTION</v>
      </c>
      <c r="E96" t="str">
        <f t="shared" si="26"/>
        <v>动态</v>
      </c>
      <c r="F96" t="str">
        <f ca="1">IF(AND(ISNUMBER($F$409),$B$294=1),$F$409,HLOOKUP(INDIRECT(ADDRESS(2,COLUMN())),OFFSET($BN$2,0,0,ROW()-1,60),ROW()-1,FALSE))</f>
        <v/>
      </c>
      <c r="G96">
        <f ca="1">IF(AND(ISNUMBER($G$409),$B$294=1),$G$409,HLOOKUP(INDIRECT(ADDRESS(2,COLUMN())),OFFSET($BN$2,0,0,ROW()-1,60),ROW()-1,FALSE))</f>
        <v>31.92</v>
      </c>
      <c r="H96">
        <f ca="1">IF(AND(ISNUMBER($H$409),$B$294=1),$H$409,HLOOKUP(INDIRECT(ADDRESS(2,COLUMN())),OFFSET($BN$2,0,0,ROW()-1,60),ROW()-1,FALSE))</f>
        <v>41.100999999999999</v>
      </c>
      <c r="I96">
        <f ca="1">IF(AND(ISNUMBER($I$409),$B$294=1),$I$409,HLOOKUP(INDIRECT(ADDRESS(2,COLUMN())),OFFSET($BN$2,0,0,ROW()-1,60),ROW()-1,FALSE))</f>
        <v>43.686999999999998</v>
      </c>
      <c r="J96">
        <f ca="1">IF(AND(ISNUMBER($J$409),$B$294=1),$J$409,HLOOKUP(INDIRECT(ADDRESS(2,COLUMN())),OFFSET($BN$2,0,0,ROW()-1,60),ROW()-1,FALSE))</f>
        <v>39.499000000000002</v>
      </c>
      <c r="K96">
        <f ca="1">IF(AND(ISNUMBER($K$409),$B$294=1),$K$409,HLOOKUP(INDIRECT(ADDRESS(2,COLUMN())),OFFSET($BN$2,0,0,ROW()-1,60),ROW()-1,FALSE))</f>
        <v>40.716999999999999</v>
      </c>
      <c r="L96">
        <f ca="1">IF(AND(ISNUMBER($L$409),$B$294=1),$L$409,HLOOKUP(INDIRECT(ADDRESS(2,COLUMN())),OFFSET($BN$2,0,0,ROW()-1,60),ROW()-1,FALSE))</f>
        <v>37.997999999999998</v>
      </c>
      <c r="M96">
        <f ca="1">IF(AND(ISNUMBER($M$409),$B$294=1),$M$409,HLOOKUP(INDIRECT(ADDRESS(2,COLUMN())),OFFSET($BN$2,0,0,ROW()-1,60),ROW()-1,FALSE))</f>
        <v>42.936999999999998</v>
      </c>
      <c r="N96">
        <f ca="1">IF(AND(ISNUMBER($N$409),$B$294=1),$N$409,HLOOKUP(INDIRECT(ADDRESS(2,COLUMN())),OFFSET($BN$2,0,0,ROW()-1,60),ROW()-1,FALSE))</f>
        <v>36.835000000000001</v>
      </c>
      <c r="O96">
        <f ca="1">IF(AND(ISNUMBER($O$409),$B$294=1),$O$409,HLOOKUP(INDIRECT(ADDRESS(2,COLUMN())),OFFSET($BN$2,0,0,ROW()-1,60),ROW()-1,FALSE))</f>
        <v>31.591999999999999</v>
      </c>
      <c r="P96">
        <f ca="1">IF(AND(ISNUMBER($P$409),$B$294=1),$P$409,HLOOKUP(INDIRECT(ADDRESS(2,COLUMN())),OFFSET($BN$2,0,0,ROW()-1,60),ROW()-1,FALSE))</f>
        <v>37.106999999999999</v>
      </c>
      <c r="Q96">
        <f ca="1">IF(AND(ISNUMBER($Q$409),$B$294=1),$Q$409,HLOOKUP(INDIRECT(ADDRESS(2,COLUMN())),OFFSET($BN$2,0,0,ROW()-1,60),ROW()-1,FALSE))</f>
        <v>40.811999999999998</v>
      </c>
      <c r="R96">
        <f ca="1">IF(AND(ISNUMBER($R$409),$B$294=1),$R$409,HLOOKUP(INDIRECT(ADDRESS(2,COLUMN())),OFFSET($BN$2,0,0,ROW()-1,60),ROW()-1,FALSE))</f>
        <v>37.723999999999997</v>
      </c>
      <c r="S96">
        <f ca="1">IF(AND(ISNUMBER($S$409),$B$294=1),$S$409,HLOOKUP(INDIRECT(ADDRESS(2,COLUMN())),OFFSET($BN$2,0,0,ROW()-1,60),ROW()-1,FALSE))</f>
        <v>40.136000000000003</v>
      </c>
      <c r="T96">
        <f ca="1">IF(AND(ISNUMBER($T$409),$B$294=1),$T$409,HLOOKUP(INDIRECT(ADDRESS(2,COLUMN())),OFFSET($BN$2,0,0,ROW()-1,60),ROW()-1,FALSE))</f>
        <v>28.977</v>
      </c>
      <c r="U96">
        <f ca="1">IF(AND(ISNUMBER($U$409),$B$294=1),$U$409,HLOOKUP(INDIRECT(ADDRESS(2,COLUMN())),OFFSET($BN$2,0,0,ROW()-1,60),ROW()-1,FALSE))</f>
        <v>27.561</v>
      </c>
      <c r="V96">
        <f ca="1">IF(AND(ISNUMBER($V$409),$B$294=1),$V$409,HLOOKUP(INDIRECT(ADDRESS(2,COLUMN())),OFFSET($BN$2,0,0,ROW()-1,60),ROW()-1,FALSE))</f>
        <v>36.506999999999998</v>
      </c>
      <c r="W96">
        <f ca="1">IF(AND(ISNUMBER($W$409),$B$294=1),$W$409,HLOOKUP(INDIRECT(ADDRESS(2,COLUMN())),OFFSET($BN$2,0,0,ROW()-1,60),ROW()-1,FALSE))</f>
        <v>28.193999999999999</v>
      </c>
      <c r="X96">
        <f ca="1">IF(AND(ISNUMBER($X$409),$B$294=1),$X$409,HLOOKUP(INDIRECT(ADDRESS(2,COLUMN())),OFFSET($BN$2,0,0,ROW()-1,60),ROW()-1,FALSE))</f>
        <v>35.503</v>
      </c>
      <c r="Y96">
        <f ca="1">IF(AND(ISNUMBER($Y$409),$B$294=1),$Y$409,HLOOKUP(INDIRECT(ADDRESS(2,COLUMN())),OFFSET($BN$2,0,0,ROW()-1,60),ROW()-1,FALSE))</f>
        <v>42.417000000000002</v>
      </c>
      <c r="Z96">
        <f ca="1">IF(AND(ISNUMBER($Z$409),$B$294=1),$Z$409,HLOOKUP(INDIRECT(ADDRESS(2,COLUMN())),OFFSET($BN$2,0,0,ROW()-1,60),ROW()-1,FALSE))</f>
        <v>35.890999999999998</v>
      </c>
      <c r="AA96">
        <f ca="1">IF(AND(ISNUMBER($AA$409),$B$294=1),$AA$409,HLOOKUP(INDIRECT(ADDRESS(2,COLUMN())),OFFSET($BN$2,0,0,ROW()-1,60),ROW()-1,FALSE))</f>
        <v>15.86</v>
      </c>
      <c r="AB96">
        <f ca="1">IF(AND(ISNUMBER($AB$409),$B$294=1),$AB$409,HLOOKUP(INDIRECT(ADDRESS(2,COLUMN())),OFFSET($BN$2,0,0,ROW()-1,60),ROW()-1,FALSE))</f>
        <v>33.71</v>
      </c>
      <c r="AC96">
        <f ca="1">IF(AND(ISNUMBER($AC$409),$B$294=1),$AC$409,HLOOKUP(INDIRECT(ADDRESS(2,COLUMN())),OFFSET($BN$2,0,0,ROW()-1,60),ROW()-1,FALSE))</f>
        <v>39.026000000000003</v>
      </c>
      <c r="AD96">
        <f ca="1">IF(AND(ISNUMBER($AD$409),$B$294=1),$AD$409,HLOOKUP(INDIRECT(ADDRESS(2,COLUMN())),OFFSET($BN$2,0,0,ROW()-1,60),ROW()-1,FALSE))</f>
        <v>41.603000000000002</v>
      </c>
      <c r="AE96">
        <f ca="1">IF(AND(ISNUMBER($AE$409),$B$294=1),$AE$409,HLOOKUP(INDIRECT(ADDRESS(2,COLUMN())),OFFSET($BN$2,0,0,ROW()-1,60),ROW()-1,FALSE))</f>
        <v>38.277999999999999</v>
      </c>
      <c r="AF96">
        <f ca="1">IF(AND(ISNUMBER($AF$409),$B$294=1),$AF$409,HLOOKUP(INDIRECT(ADDRESS(2,COLUMN())),OFFSET($BN$2,0,0,ROW()-1,60),ROW()-1,FALSE))</f>
        <v>36.189</v>
      </c>
      <c r="AG96">
        <f ca="1">IF(AND(ISNUMBER($AG$409),$B$294=1),$AG$409,HLOOKUP(INDIRECT(ADDRESS(2,COLUMN())),OFFSET($BN$2,0,0,ROW()-1,60),ROW()-1,FALSE))</f>
        <v>34.643999999999998</v>
      </c>
      <c r="AH96">
        <f ca="1">IF(AND(ISNUMBER($AH$409),$B$294=1),$AH$409,HLOOKUP(INDIRECT(ADDRESS(2,COLUMN())),OFFSET($BN$2,0,0,ROW()-1,60),ROW()-1,FALSE))</f>
        <v>28.766999999999999</v>
      </c>
      <c r="AI96">
        <f ca="1">IF(AND(ISNUMBER($AI$409),$B$294=1),$AI$409,HLOOKUP(INDIRECT(ADDRESS(2,COLUMN())),OFFSET($BN$2,0,0,ROW()-1,60),ROW()-1,FALSE))</f>
        <v>35.01</v>
      </c>
      <c r="AJ96">
        <f ca="1">IF(AND(ISNUMBER($AJ$409),$B$294=1),$AJ$409,HLOOKUP(INDIRECT(ADDRESS(2,COLUMN())),OFFSET($BN$2,0,0,ROW()-1,60),ROW()-1,FALSE))</f>
        <v>33.642000000000003</v>
      </c>
      <c r="AK96">
        <f ca="1">IF(AND(ISNUMBER($AK$409),$B$294=1),$AK$409,HLOOKUP(INDIRECT(ADDRESS(2,COLUMN())),OFFSET($BN$2,0,0,ROW()-1,60),ROW()-1,FALSE))</f>
        <v>26.992000000000001</v>
      </c>
      <c r="AL96">
        <f ca="1">IF(AND(ISNUMBER($AL$409),$B$294=1),$AL$409,HLOOKUP(INDIRECT(ADDRESS(2,COLUMN())),OFFSET($BN$2,0,0,ROW()-1,60),ROW()-1,FALSE))</f>
        <v>25.215</v>
      </c>
      <c r="AM96">
        <f ca="1">IF(AND(ISNUMBER($AM$409),$B$294=1),$AM$409,HLOOKUP(INDIRECT(ADDRESS(2,COLUMN())),OFFSET($BN$2,0,0,ROW()-1,60),ROW()-1,FALSE))</f>
        <v>22.422000000000001</v>
      </c>
      <c r="AN96">
        <f ca="1">IF(AND(ISNUMBER($AN$409),$B$294=1),$AN$409,HLOOKUP(INDIRECT(ADDRESS(2,COLUMN())),OFFSET($BN$2,0,0,ROW()-1,60),ROW()-1,FALSE))</f>
        <v>27.846</v>
      </c>
      <c r="AO96">
        <f ca="1">IF(AND(ISNUMBER($AO$409),$B$294=1),$AO$409,HLOOKUP(INDIRECT(ADDRESS(2,COLUMN())),OFFSET($BN$2,0,0,ROW()-1,60),ROW()-1,FALSE))</f>
        <v>36.203000000000003</v>
      </c>
      <c r="AP96">
        <f ca="1">IF(AND(ISNUMBER($AP$409),$B$294=1),$AP$409,HLOOKUP(INDIRECT(ADDRESS(2,COLUMN())),OFFSET($BN$2,0,0,ROW()-1,60),ROW()-1,FALSE))</f>
        <v>33.366</v>
      </c>
      <c r="AQ96">
        <f ca="1">IF(AND(ISNUMBER($AQ$409),$B$294=1),$AQ$409,HLOOKUP(INDIRECT(ADDRESS(2,COLUMN())),OFFSET($BN$2,0,0,ROW()-1,60),ROW()-1,FALSE))</f>
        <v>44.176000000000002</v>
      </c>
      <c r="AR96">
        <f ca="1">IF(AND(ISNUMBER($AR$409),$B$294=1),$AR$409,HLOOKUP(INDIRECT(ADDRESS(2,COLUMN())),OFFSET($BN$2,0,0,ROW()-1,60),ROW()-1,FALSE))</f>
        <v>35.037999999999997</v>
      </c>
      <c r="AS96">
        <f ca="1">IF(AND(ISNUMBER($AS$409),$B$294=1),$AS$409,HLOOKUP(INDIRECT(ADDRESS(2,COLUMN())),OFFSET($BN$2,0,0,ROW()-1,60),ROW()-1,FALSE))</f>
        <v>33.082000000000001</v>
      </c>
      <c r="AT96">
        <f ca="1">IF(AND(ISNUMBER($AT$409),$B$294=1),$AT$409,HLOOKUP(INDIRECT(ADDRESS(2,COLUMN())),OFFSET($BN$2,0,0,ROW()-1,60),ROW()-1,FALSE))</f>
        <v>24.216000000000001</v>
      </c>
      <c r="AU96">
        <f ca="1">IF(AND(ISNUMBER($AU$409),$B$294=1),$AU$409,HLOOKUP(INDIRECT(ADDRESS(2,COLUMN())),OFFSET($BN$2,0,0,ROW()-1,60),ROW()-1,FALSE))</f>
        <v>32.832000000000001</v>
      </c>
      <c r="AV96">
        <f ca="1">IF(AND(ISNUMBER($AV$409),$B$294=1),$AV$409,HLOOKUP(INDIRECT(ADDRESS(2,COLUMN())),OFFSET($BN$2,0,0,ROW()-1,60),ROW()-1,FALSE))</f>
        <v>32.351999999999997</v>
      </c>
      <c r="AW96">
        <f ca="1">IF(AND(ISNUMBER($AW$409),$B$294=1),$AW$409,HLOOKUP(INDIRECT(ADDRESS(2,COLUMN())),OFFSET($BN$2,0,0,ROW()-1,60),ROW()-1,FALSE))</f>
        <v>31.837</v>
      </c>
      <c r="AX96">
        <f ca="1">IF(AND(ISNUMBER($AX$409),$B$294=1),$AX$409,HLOOKUP(INDIRECT(ADDRESS(2,COLUMN())),OFFSET($BN$2,0,0,ROW()-1,60),ROW()-1,FALSE))</f>
        <v>28.288</v>
      </c>
      <c r="AY96">
        <f ca="1">IF(AND(ISNUMBER($AY$409),$B$294=1),$AY$409,HLOOKUP(INDIRECT(ADDRESS(2,COLUMN())),OFFSET($BN$2,0,0,ROW()-1,60),ROW()-1,FALSE))</f>
        <v>25.077000000000002</v>
      </c>
      <c r="AZ96">
        <f ca="1">IF(AND(ISNUMBER($AZ$409),$B$294=1),$AZ$409,HLOOKUP(INDIRECT(ADDRESS(2,COLUMN())),OFFSET($BN$2,0,0,ROW()-1,60),ROW()-1,FALSE))</f>
        <v>24.329000000000001</v>
      </c>
      <c r="BA96">
        <f ca="1">IF(AND(ISNUMBER($BA$409),$B$294=1),$BA$409,HLOOKUP(INDIRECT(ADDRESS(2,COLUMN())),OFFSET($BN$2,0,0,ROW()-1,60),ROW()-1,FALSE))</f>
        <v>25.181000000000001</v>
      </c>
      <c r="BB96">
        <f ca="1">IF(AND(ISNUMBER($BB$409),$B$294=1),$BB$409,HLOOKUP(INDIRECT(ADDRESS(2,COLUMN())),OFFSET($BN$2,0,0,ROW()-1,60),ROW()-1,FALSE))</f>
        <v>24.35</v>
      </c>
      <c r="BC96">
        <f ca="1">IF(AND(ISNUMBER($BC$409),$B$294=1),$BC$409,HLOOKUP(INDIRECT(ADDRESS(2,COLUMN())),OFFSET($BN$2,0,0,ROW()-1,60),ROW()-1,FALSE))</f>
        <v>66.674000000000007</v>
      </c>
      <c r="BD96">
        <f ca="1">IF(AND(ISNUMBER($BD$409),$B$294=1),$BD$409,HLOOKUP(INDIRECT(ADDRESS(2,COLUMN())),OFFSET($BN$2,0,0,ROW()-1,60),ROW()-1,FALSE))</f>
        <v>28.719000000000001</v>
      </c>
      <c r="BE96">
        <f ca="1">IF(AND(ISNUMBER($BE$409),$B$294=1),$BE$409,HLOOKUP(INDIRECT(ADDRESS(2,COLUMN())),OFFSET($BN$2,0,0,ROW()-1,60),ROW()-1,FALSE))</f>
        <v>21.834</v>
      </c>
      <c r="BF96">
        <f ca="1">IF(AND(ISNUMBER($BF$409),$B$294=1),$BF$409,HLOOKUP(INDIRECT(ADDRESS(2,COLUMN())),OFFSET($BN$2,0,0,ROW()-1,60),ROW()-1,FALSE))</f>
        <v>21.143000000000001</v>
      </c>
      <c r="BG96">
        <f ca="1">IF(AND(ISNUMBER($BG$409),$B$294=1),$BG$409,HLOOKUP(INDIRECT(ADDRESS(2,COLUMN())),OFFSET($BN$2,0,0,ROW()-1,60),ROW()-1,FALSE))</f>
        <v>20.879000000000001</v>
      </c>
      <c r="BH96">
        <f ca="1">IF(AND(ISNUMBER($BH$409),$B$294=1),$BH$409,HLOOKUP(INDIRECT(ADDRESS(2,COLUMN())),OFFSET($BN$2,0,0,ROW()-1,60),ROW()-1,FALSE))</f>
        <v>17.367999999999999</v>
      </c>
      <c r="BI96">
        <f ca="1">IF(AND(ISNUMBER($BI$409),$B$294=1),$BI$409,HLOOKUP(INDIRECT(ADDRESS(2,COLUMN())),OFFSET($BN$2,0,0,ROW()-1,60),ROW()-1,FALSE))</f>
        <v>21.41</v>
      </c>
      <c r="BJ96">
        <f ca="1">IF(AND(ISNUMBER($BJ$409),$B$294=1),$BJ$409,HLOOKUP(INDIRECT(ADDRESS(2,COLUMN())),OFFSET($BN$2,0,0,ROW()-1,60),ROW()-1,FALSE))</f>
        <v>16.306999999999999</v>
      </c>
      <c r="BK96">
        <f ca="1">IF(AND(ISNUMBER($BK$409),$B$294=1),$BK$409,HLOOKUP(INDIRECT(ADDRESS(2,COLUMN())),OFFSET($BN$2,0,0,ROW()-1,60),ROW()-1,FALSE))</f>
        <v>16.187000269999999</v>
      </c>
      <c r="BL96">
        <f ca="1">IF(AND(ISNUMBER($BL$409),$B$294=1),$BL$409,HLOOKUP(INDIRECT(ADDRESS(2,COLUMN())),OFFSET($BN$2,0,0,ROW()-1,60),ROW()-1,FALSE))</f>
        <v>16.751999999999999</v>
      </c>
      <c r="BM96">
        <f ca="1">IF(AND(ISNUMBER($BM$409),$B$294=1),$BM$409,HLOOKUP(INDIRECT(ADDRESS(2,COLUMN())),OFFSET($BN$2,0,0,ROW()-1,60),ROW()-1,FALSE))</f>
        <v>14.909000000000001</v>
      </c>
      <c r="BN96" t="str">
        <f>""</f>
        <v/>
      </c>
      <c r="BO96">
        <f>31.92</f>
        <v>31.92</v>
      </c>
      <c r="BP96">
        <f>41.101</f>
        <v>41.100999999999999</v>
      </c>
      <c r="BQ96">
        <f>43.687</f>
        <v>43.686999999999998</v>
      </c>
      <c r="BR96">
        <f>39.499</f>
        <v>39.499000000000002</v>
      </c>
      <c r="BS96">
        <f>40.717</f>
        <v>40.716999999999999</v>
      </c>
      <c r="BT96">
        <f>37.998</f>
        <v>37.997999999999998</v>
      </c>
      <c r="BU96">
        <f>42.937</f>
        <v>42.936999999999998</v>
      </c>
      <c r="BV96">
        <f>36.835</f>
        <v>36.835000000000001</v>
      </c>
      <c r="BW96">
        <f>31.592</f>
        <v>31.591999999999999</v>
      </c>
      <c r="BX96">
        <f>37.107</f>
        <v>37.106999999999999</v>
      </c>
      <c r="BY96">
        <f>40.812</f>
        <v>40.811999999999998</v>
      </c>
      <c r="BZ96">
        <f>37.724</f>
        <v>37.723999999999997</v>
      </c>
      <c r="CA96">
        <f>40.136</f>
        <v>40.136000000000003</v>
      </c>
      <c r="CB96">
        <f>28.977</f>
        <v>28.977</v>
      </c>
      <c r="CC96">
        <f>27.561</f>
        <v>27.561</v>
      </c>
      <c r="CD96">
        <f>36.507</f>
        <v>36.506999999999998</v>
      </c>
      <c r="CE96">
        <f>28.194</f>
        <v>28.193999999999999</v>
      </c>
      <c r="CF96">
        <f>35.503</f>
        <v>35.503</v>
      </c>
      <c r="CG96">
        <f>42.417</f>
        <v>42.417000000000002</v>
      </c>
      <c r="CH96">
        <f>35.891</f>
        <v>35.890999999999998</v>
      </c>
      <c r="CI96">
        <f>15.86</f>
        <v>15.86</v>
      </c>
      <c r="CJ96">
        <f>33.71</f>
        <v>33.71</v>
      </c>
      <c r="CK96">
        <f>39.026</f>
        <v>39.026000000000003</v>
      </c>
      <c r="CL96">
        <f>41.603</f>
        <v>41.603000000000002</v>
      </c>
      <c r="CM96">
        <f>38.278</f>
        <v>38.277999999999999</v>
      </c>
      <c r="CN96">
        <f>36.189</f>
        <v>36.189</v>
      </c>
      <c r="CO96">
        <f>34.644</f>
        <v>34.643999999999998</v>
      </c>
      <c r="CP96">
        <f>28.767</f>
        <v>28.766999999999999</v>
      </c>
      <c r="CQ96">
        <f>35.01</f>
        <v>35.01</v>
      </c>
      <c r="CR96">
        <f>33.642</f>
        <v>33.642000000000003</v>
      </c>
      <c r="CS96">
        <f>26.992</f>
        <v>26.992000000000001</v>
      </c>
      <c r="CT96">
        <f>25.215</f>
        <v>25.215</v>
      </c>
      <c r="CU96">
        <f>22.422</f>
        <v>22.422000000000001</v>
      </c>
      <c r="CV96">
        <f>27.846</f>
        <v>27.846</v>
      </c>
      <c r="CW96">
        <f>36.203</f>
        <v>36.203000000000003</v>
      </c>
      <c r="CX96">
        <f>33.366</f>
        <v>33.366</v>
      </c>
      <c r="CY96">
        <f>44.176</f>
        <v>44.176000000000002</v>
      </c>
      <c r="CZ96">
        <f>35.038</f>
        <v>35.037999999999997</v>
      </c>
      <c r="DA96">
        <f>33.082</f>
        <v>33.082000000000001</v>
      </c>
      <c r="DB96">
        <f>24.216</f>
        <v>24.216000000000001</v>
      </c>
      <c r="DC96">
        <f>32.832</f>
        <v>32.832000000000001</v>
      </c>
      <c r="DD96">
        <f>32.352</f>
        <v>32.351999999999997</v>
      </c>
      <c r="DE96">
        <f>31.837</f>
        <v>31.837</v>
      </c>
      <c r="DF96">
        <f>28.288</f>
        <v>28.288</v>
      </c>
      <c r="DG96">
        <f>25.077</f>
        <v>25.077000000000002</v>
      </c>
      <c r="DH96">
        <f>24.329</f>
        <v>24.329000000000001</v>
      </c>
      <c r="DI96">
        <f>25.181</f>
        <v>25.181000000000001</v>
      </c>
      <c r="DJ96">
        <f>24.35</f>
        <v>24.35</v>
      </c>
      <c r="DK96">
        <f>66.674</f>
        <v>66.674000000000007</v>
      </c>
      <c r="DL96">
        <f>28.719</f>
        <v>28.719000000000001</v>
      </c>
      <c r="DM96">
        <f>21.834</f>
        <v>21.834</v>
      </c>
      <c r="DN96">
        <f>21.143</f>
        <v>21.143000000000001</v>
      </c>
      <c r="DO96">
        <f>20.879</f>
        <v>20.879000000000001</v>
      </c>
      <c r="DP96">
        <f>17.368</f>
        <v>17.367999999999999</v>
      </c>
      <c r="DQ96">
        <f>21.41</f>
        <v>21.41</v>
      </c>
      <c r="DR96">
        <f>16.307</f>
        <v>16.306999999999999</v>
      </c>
      <c r="DS96">
        <f>16.18700027</f>
        <v>16.187000269999999</v>
      </c>
      <c r="DT96">
        <f>16.752</f>
        <v>16.751999999999999</v>
      </c>
      <c r="DU96">
        <f>14.909</f>
        <v>14.909000000000001</v>
      </c>
    </row>
    <row r="97" spans="1:125">
      <c r="A97" t="str">
        <f>"    Highwoods Properties Inc"</f>
        <v xml:space="preserve">    Highwoods Properties Inc</v>
      </c>
      <c r="B97" t="str">
        <f>"HIW US Equity"</f>
        <v>HIW US Equity</v>
      </c>
      <c r="C97" t="str">
        <f t="shared" si="24"/>
        <v>F0578</v>
      </c>
      <c r="D97" t="str">
        <f t="shared" si="25"/>
        <v>FUNDS_AVAILABLE_FOR_DISTRIBUTION</v>
      </c>
      <c r="E97" t="str">
        <f t="shared" si="26"/>
        <v>动态</v>
      </c>
      <c r="F97" t="str">
        <f ca="1">IF(AND(ISNUMBER($F$410),$B$294=1),$F$410,HLOOKUP(INDIRECT(ADDRESS(2,COLUMN())),OFFSET($BN$2,0,0,ROW()-1,60),ROW()-1,FALSE))</f>
        <v/>
      </c>
      <c r="G97">
        <f ca="1">IF(AND(ISNUMBER($G$410),$B$294=1),$G$410,HLOOKUP(INDIRECT(ADDRESS(2,COLUMN())),OFFSET($BN$2,0,0,ROW()-1,60),ROW()-1,FALSE))</f>
        <v>38.119</v>
      </c>
      <c r="H97">
        <f ca="1">IF(AND(ISNUMBER($H$410),$B$294=1),$H$410,HLOOKUP(INDIRECT(ADDRESS(2,COLUMN())),OFFSET($BN$2,0,0,ROW()-1,60),ROW()-1,FALSE))</f>
        <v>55.048000000000002</v>
      </c>
      <c r="I97">
        <f ca="1">IF(AND(ISNUMBER($I$410),$B$294=1),$I$410,HLOOKUP(INDIRECT(ADDRESS(2,COLUMN())),OFFSET($BN$2,0,0,ROW()-1,60),ROW()-1,FALSE))</f>
        <v>63.890999999999998</v>
      </c>
      <c r="J97">
        <f ca="1">IF(AND(ISNUMBER($J$410),$B$294=1),$J$410,HLOOKUP(INDIRECT(ADDRESS(2,COLUMN())),OFFSET($BN$2,0,0,ROW()-1,60),ROW()-1,FALSE))</f>
        <v>61.133000000000003</v>
      </c>
      <c r="K97">
        <f ca="1">IF(AND(ISNUMBER($K$410),$B$294=1),$K$410,HLOOKUP(INDIRECT(ADDRESS(2,COLUMN())),OFFSET($BN$2,0,0,ROW()-1,60),ROW()-1,FALSE))</f>
        <v>44.335999999999999</v>
      </c>
      <c r="L97">
        <f ca="1">IF(AND(ISNUMBER($L$410),$B$294=1),$L$410,HLOOKUP(INDIRECT(ADDRESS(2,COLUMN())),OFFSET($BN$2,0,0,ROW()-1,60),ROW()-1,FALSE))</f>
        <v>48.436</v>
      </c>
      <c r="M97">
        <f ca="1">IF(AND(ISNUMBER($M$410),$B$294=1),$M$410,HLOOKUP(INDIRECT(ADDRESS(2,COLUMN())),OFFSET($BN$2,0,0,ROW()-1,60),ROW()-1,FALSE))</f>
        <v>53.040999999999997</v>
      </c>
      <c r="N97">
        <f ca="1">IF(AND(ISNUMBER($N$410),$B$294=1),$N$410,HLOOKUP(INDIRECT(ADDRESS(2,COLUMN())),OFFSET($BN$2,0,0,ROW()-1,60),ROW()-1,FALSE))</f>
        <v>38.424999999999997</v>
      </c>
      <c r="O97">
        <f ca="1">IF(AND(ISNUMBER($O$410),$B$294=1),$O$410,HLOOKUP(INDIRECT(ADDRESS(2,COLUMN())),OFFSET($BN$2,0,0,ROW()-1,60),ROW()-1,FALSE))</f>
        <v>46.186999999999998</v>
      </c>
      <c r="P97">
        <f ca="1">IF(AND(ISNUMBER($P$410),$B$294=1),$P$410,HLOOKUP(INDIRECT(ADDRESS(2,COLUMN())),OFFSET($BN$2,0,0,ROW()-1,60),ROW()-1,FALSE))</f>
        <v>45.366</v>
      </c>
      <c r="Q97">
        <f ca="1">IF(AND(ISNUMBER($Q$410),$B$294=1),$Q$410,HLOOKUP(INDIRECT(ADDRESS(2,COLUMN())),OFFSET($BN$2,0,0,ROW()-1,60),ROW()-1,FALSE))</f>
        <v>50.886000000000003</v>
      </c>
      <c r="R97">
        <f ca="1">IF(AND(ISNUMBER($R$410),$B$294=1),$R$410,HLOOKUP(INDIRECT(ADDRESS(2,COLUMN())),OFFSET($BN$2,0,0,ROW()-1,60),ROW()-1,FALSE))</f>
        <v>42.548000000000002</v>
      </c>
      <c r="S97">
        <f ca="1">IF(AND(ISNUMBER($S$410),$B$294=1),$S$410,HLOOKUP(INDIRECT(ADDRESS(2,COLUMN())),OFFSET($BN$2,0,0,ROW()-1,60),ROW()-1,FALSE))</f>
        <v>39.594000000000001</v>
      </c>
      <c r="T97">
        <f ca="1">IF(AND(ISNUMBER($T$410),$B$294=1),$T$410,HLOOKUP(INDIRECT(ADDRESS(2,COLUMN())),OFFSET($BN$2,0,0,ROW()-1,60),ROW()-1,FALSE))</f>
        <v>42.051000000000002</v>
      </c>
      <c r="U97">
        <f ca="1">IF(AND(ISNUMBER($U$410),$B$294=1),$U$410,HLOOKUP(INDIRECT(ADDRESS(2,COLUMN())),OFFSET($BN$2,0,0,ROW()-1,60),ROW()-1,FALSE))</f>
        <v>41.533000000000001</v>
      </c>
      <c r="V97">
        <f ca="1">IF(AND(ISNUMBER($V$410),$B$294=1),$V$410,HLOOKUP(INDIRECT(ADDRESS(2,COLUMN())),OFFSET($BN$2,0,0,ROW()-1,60),ROW()-1,FALSE))</f>
        <v>37.744</v>
      </c>
      <c r="W97">
        <f ca="1">IF(AND(ISNUMBER($W$410),$B$294=1),$W$410,HLOOKUP(INDIRECT(ADDRESS(2,COLUMN())),OFFSET($BN$2,0,0,ROW()-1,60),ROW()-1,FALSE))</f>
        <v>49.793999999999997</v>
      </c>
      <c r="X97">
        <f ca="1">IF(AND(ISNUMBER($X$410),$B$294=1),$X$410,HLOOKUP(INDIRECT(ADDRESS(2,COLUMN())),OFFSET($BN$2,0,0,ROW()-1,60),ROW()-1,FALSE))</f>
        <v>37.677999999999997</v>
      </c>
      <c r="Y97">
        <f ca="1">IF(AND(ISNUMBER($Y$410),$B$294=1),$Y$410,HLOOKUP(INDIRECT(ADDRESS(2,COLUMN())),OFFSET($BN$2,0,0,ROW()-1,60),ROW()-1,FALSE))</f>
        <v>36.332999999999998</v>
      </c>
      <c r="Z97">
        <f ca="1">IF(AND(ISNUMBER($Z$410),$B$294=1),$Z$410,HLOOKUP(INDIRECT(ADDRESS(2,COLUMN())),OFFSET($BN$2,0,0,ROW()-1,60),ROW()-1,FALSE))</f>
        <v>36.027999999999999</v>
      </c>
      <c r="AA97">
        <f ca="1">IF(AND(ISNUMBER($AA$410),$B$294=1),$AA$410,HLOOKUP(INDIRECT(ADDRESS(2,COLUMN())),OFFSET($BN$2,0,0,ROW()-1,60),ROW()-1,FALSE))</f>
        <v>36.923999999999999</v>
      </c>
      <c r="AB97">
        <f ca="1">IF(AND(ISNUMBER($AB$410),$B$294=1),$AB$410,HLOOKUP(INDIRECT(ADDRESS(2,COLUMN())),OFFSET($BN$2,0,0,ROW()-1,60),ROW()-1,FALSE))</f>
        <v>34.216999999999999</v>
      </c>
      <c r="AC97">
        <f ca="1">IF(AND(ISNUMBER($AC$410),$B$294=1),$AC$410,HLOOKUP(INDIRECT(ADDRESS(2,COLUMN())),OFFSET($BN$2,0,0,ROW()-1,60),ROW()-1,FALSE))</f>
        <v>32.969000000000001</v>
      </c>
      <c r="AD97">
        <f ca="1">IF(AND(ISNUMBER($AD$410),$B$294=1),$AD$410,HLOOKUP(INDIRECT(ADDRESS(2,COLUMN())),OFFSET($BN$2,0,0,ROW()-1,60),ROW()-1,FALSE))</f>
        <v>34.149000000000001</v>
      </c>
      <c r="AE97">
        <f ca="1">IF(AND(ISNUMBER($AE$410),$B$294=1),$AE$410,HLOOKUP(INDIRECT(ADDRESS(2,COLUMN())),OFFSET($BN$2,0,0,ROW()-1,60),ROW()-1,FALSE))</f>
        <v>22.167999999999999</v>
      </c>
      <c r="AF97">
        <f ca="1">IF(AND(ISNUMBER($AF$410),$B$294=1),$AF$410,HLOOKUP(INDIRECT(ADDRESS(2,COLUMN())),OFFSET($BN$2,0,0,ROW()-1,60),ROW()-1,FALSE))</f>
        <v>28.276</v>
      </c>
      <c r="AG97">
        <f ca="1">IF(AND(ISNUMBER($AG$410),$B$294=1),$AG$410,HLOOKUP(INDIRECT(ADDRESS(2,COLUMN())),OFFSET($BN$2,0,0,ROW()-1,60),ROW()-1,FALSE))</f>
        <v>34.046999999999997</v>
      </c>
      <c r="AH97">
        <f ca="1">IF(AND(ISNUMBER($AH$410),$B$294=1),$AH$410,HLOOKUP(INDIRECT(ADDRESS(2,COLUMN())),OFFSET($BN$2,0,0,ROW()-1,60),ROW()-1,FALSE))</f>
        <v>32.115000000000002</v>
      </c>
      <c r="AI97">
        <f ca="1">IF(AND(ISNUMBER($AI$410),$B$294=1),$AI$410,HLOOKUP(INDIRECT(ADDRESS(2,COLUMN())),OFFSET($BN$2,0,0,ROW()-1,60),ROW()-1,FALSE))</f>
        <v>26.718</v>
      </c>
      <c r="AJ97">
        <f ca="1">IF(AND(ISNUMBER($AJ$410),$B$294=1),$AJ$410,HLOOKUP(INDIRECT(ADDRESS(2,COLUMN())),OFFSET($BN$2,0,0,ROW()-1,60),ROW()-1,FALSE))</f>
        <v>28.361999999999998</v>
      </c>
      <c r="AK97">
        <f ca="1">IF(AND(ISNUMBER($AK$410),$B$294=1),$AK$410,HLOOKUP(INDIRECT(ADDRESS(2,COLUMN())),OFFSET($BN$2,0,0,ROW()-1,60),ROW()-1,FALSE))</f>
        <v>30.766999999999999</v>
      </c>
      <c r="AL97">
        <f ca="1">IF(AND(ISNUMBER($AL$410),$B$294=1),$AL$410,HLOOKUP(INDIRECT(ADDRESS(2,COLUMN())),OFFSET($BN$2,0,0,ROW()-1,60),ROW()-1,FALSE))</f>
        <v>35.142000000000003</v>
      </c>
      <c r="AM97">
        <f ca="1">IF(AND(ISNUMBER($AM$410),$B$294=1),$AM$410,HLOOKUP(INDIRECT(ADDRESS(2,COLUMN())),OFFSET($BN$2,0,0,ROW()-1,60),ROW()-1,FALSE))</f>
        <v>12.558</v>
      </c>
      <c r="AN97">
        <f ca="1">IF(AND(ISNUMBER($AN$410),$B$294=1),$AN$410,HLOOKUP(INDIRECT(ADDRESS(2,COLUMN())),OFFSET($BN$2,0,0,ROW()-1,60),ROW()-1,FALSE))</f>
        <v>38.030999999999999</v>
      </c>
      <c r="AO97">
        <f ca="1">IF(AND(ISNUMBER($AO$410),$B$294=1),$AO$410,HLOOKUP(INDIRECT(ADDRESS(2,COLUMN())),OFFSET($BN$2,0,0,ROW()-1,60),ROW()-1,FALSE))</f>
        <v>42.527999999999999</v>
      </c>
      <c r="AP97">
        <f ca="1">IF(AND(ISNUMBER($AP$410),$B$294=1),$AP$410,HLOOKUP(INDIRECT(ADDRESS(2,COLUMN())),OFFSET($BN$2,0,0,ROW()-1,60),ROW()-1,FALSE))</f>
        <v>40.616999999999997</v>
      </c>
      <c r="AQ97">
        <f ca="1">IF(AND(ISNUMBER($AQ$410),$B$294=1),$AQ$410,HLOOKUP(INDIRECT(ADDRESS(2,COLUMN())),OFFSET($BN$2,0,0,ROW()-1,60),ROW()-1,FALSE))</f>
        <v>25.053000000000001</v>
      </c>
      <c r="AR97">
        <f ca="1">IF(AND(ISNUMBER($AR$410),$B$294=1),$AR$410,HLOOKUP(INDIRECT(ADDRESS(2,COLUMN())),OFFSET($BN$2,0,0,ROW()-1,60),ROW()-1,FALSE))</f>
        <v>34.04</v>
      </c>
      <c r="AS97">
        <f ca="1">IF(AND(ISNUMBER($AS$410),$B$294=1),$AS$410,HLOOKUP(INDIRECT(ADDRESS(2,COLUMN())),OFFSET($BN$2,0,0,ROW()-1,60),ROW()-1,FALSE))</f>
        <v>32.819000000000003</v>
      </c>
      <c r="AT97">
        <f ca="1">IF(AND(ISNUMBER($AT$410),$B$294=1),$AT$410,HLOOKUP(INDIRECT(ADDRESS(2,COLUMN())),OFFSET($BN$2,0,0,ROW()-1,60),ROW()-1,FALSE))</f>
        <v>28.576000000000001</v>
      </c>
      <c r="AU97">
        <f ca="1">IF(AND(ISNUMBER($AU$410),$B$294=1),$AU$410,HLOOKUP(INDIRECT(ADDRESS(2,COLUMN())),OFFSET($BN$2,0,0,ROW()-1,60),ROW()-1,FALSE))</f>
        <v>27.731000000000002</v>
      </c>
      <c r="AV97">
        <f ca="1">IF(AND(ISNUMBER($AV$410),$B$294=1),$AV$410,HLOOKUP(INDIRECT(ADDRESS(2,COLUMN())),OFFSET($BN$2,0,0,ROW()-1,60),ROW()-1,FALSE))</f>
        <v>17.356000000000002</v>
      </c>
      <c r="AW97">
        <f ca="1">IF(AND(ISNUMBER($AW$410),$B$294=1),$AW$410,HLOOKUP(INDIRECT(ADDRESS(2,COLUMN())),OFFSET($BN$2,0,0,ROW()-1,60),ROW()-1,FALSE))</f>
        <v>22.882999999999999</v>
      </c>
      <c r="AX97">
        <f ca="1">IF(AND(ISNUMBER($AX$410),$B$294=1),$AX$410,HLOOKUP(INDIRECT(ADDRESS(2,COLUMN())),OFFSET($BN$2,0,0,ROW()-1,60),ROW()-1,FALSE))</f>
        <v>34.622999999999998</v>
      </c>
      <c r="AY97">
        <f ca="1">IF(AND(ISNUMBER($AY$410),$B$294=1),$AY$410,HLOOKUP(INDIRECT(ADDRESS(2,COLUMN())),OFFSET($BN$2,0,0,ROW()-1,60),ROW()-1,FALSE))</f>
        <v>41.369</v>
      </c>
      <c r="AZ97">
        <f ca="1">IF(AND(ISNUMBER($AZ$410),$B$294=1),$AZ$410,HLOOKUP(INDIRECT(ADDRESS(2,COLUMN())),OFFSET($BN$2,0,0,ROW()-1,60),ROW()-1,FALSE))</f>
        <v>33.432000000000002</v>
      </c>
      <c r="BA97">
        <f ca="1">IF(AND(ISNUMBER($BA$410),$B$294=1),$BA$410,HLOOKUP(INDIRECT(ADDRESS(2,COLUMN())),OFFSET($BN$2,0,0,ROW()-1,60),ROW()-1,FALSE))</f>
        <v>30.875</v>
      </c>
      <c r="BB97">
        <f ca="1">IF(AND(ISNUMBER($BB$410),$B$294=1),$BB$410,HLOOKUP(INDIRECT(ADDRESS(2,COLUMN())),OFFSET($BN$2,0,0,ROW()-1,60),ROW()-1,FALSE))</f>
        <v>33.247</v>
      </c>
      <c r="BC97">
        <f ca="1">IF(AND(ISNUMBER($BC$410),$B$294=1),$BC$410,HLOOKUP(INDIRECT(ADDRESS(2,COLUMN())),OFFSET($BN$2,0,0,ROW()-1,60),ROW()-1,FALSE))</f>
        <v>25.689</v>
      </c>
      <c r="BD97">
        <f ca="1">IF(AND(ISNUMBER($BD$410),$B$294=1),$BD$410,HLOOKUP(INDIRECT(ADDRESS(2,COLUMN())),OFFSET($BN$2,0,0,ROW()-1,60),ROW()-1,FALSE))</f>
        <v>29.003</v>
      </c>
      <c r="BE97">
        <f ca="1">IF(AND(ISNUMBER($BE$410),$B$294=1),$BE$410,HLOOKUP(INDIRECT(ADDRESS(2,COLUMN())),OFFSET($BN$2,0,0,ROW()-1,60),ROW()-1,FALSE))</f>
        <v>36.301000000000002</v>
      </c>
      <c r="BF97">
        <f ca="1">IF(AND(ISNUMBER($BF$410),$B$294=1),$BF$410,HLOOKUP(INDIRECT(ADDRESS(2,COLUMN())),OFFSET($BN$2,0,0,ROW()-1,60),ROW()-1,FALSE))</f>
        <v>36.228000000000002</v>
      </c>
      <c r="BG97">
        <f ca="1">IF(AND(ISNUMBER($BG$410),$B$294=1),$BG$410,HLOOKUP(INDIRECT(ADDRESS(2,COLUMN())),OFFSET($BN$2,0,0,ROW()-1,60),ROW()-1,FALSE))</f>
        <v>30.638000000000002</v>
      </c>
      <c r="BH97">
        <f ca="1">IF(AND(ISNUMBER($BH$410),$B$294=1),$BH$410,HLOOKUP(INDIRECT(ADDRESS(2,COLUMN())),OFFSET($BN$2,0,0,ROW()-1,60),ROW()-1,FALSE))</f>
        <v>47.448</v>
      </c>
      <c r="BI97">
        <f ca="1">IF(AND(ISNUMBER($BI$410),$B$294=1),$BI$410,HLOOKUP(INDIRECT(ADDRESS(2,COLUMN())),OFFSET($BN$2,0,0,ROW()-1,60),ROW()-1,FALSE))</f>
        <v>16.917000000000002</v>
      </c>
      <c r="BJ97">
        <f ca="1">IF(AND(ISNUMBER($BJ$410),$B$294=1),$BJ$410,HLOOKUP(INDIRECT(ADDRESS(2,COLUMN())),OFFSET($BN$2,0,0,ROW()-1,60),ROW()-1,FALSE))</f>
        <v>29.157</v>
      </c>
      <c r="BK97">
        <f ca="1">IF(AND(ISNUMBER($BK$410),$B$294=1),$BK$410,HLOOKUP(INDIRECT(ADDRESS(2,COLUMN())),OFFSET($BN$2,0,0,ROW()-1,60),ROW()-1,FALSE))</f>
        <v>95.06</v>
      </c>
      <c r="BL97">
        <f ca="1">IF(AND(ISNUMBER($BL$410),$B$294=1),$BL$410,HLOOKUP(INDIRECT(ADDRESS(2,COLUMN())),OFFSET($BN$2,0,0,ROW()-1,60),ROW()-1,FALSE))</f>
        <v>44.804000000000002</v>
      </c>
      <c r="BM97">
        <f ca="1">IF(AND(ISNUMBER($BM$410),$B$294=1),$BM$410,HLOOKUP(INDIRECT(ADDRESS(2,COLUMN())),OFFSET($BN$2,0,0,ROW()-1,60),ROW()-1,FALSE))</f>
        <v>33.323999999999998</v>
      </c>
      <c r="BN97" t="str">
        <f>""</f>
        <v/>
      </c>
      <c r="BO97">
        <f>38.119</f>
        <v>38.119</v>
      </c>
      <c r="BP97">
        <f>55.048</f>
        <v>55.048000000000002</v>
      </c>
      <c r="BQ97">
        <f>63.891</f>
        <v>63.890999999999998</v>
      </c>
      <c r="BR97">
        <f>61.133</f>
        <v>61.133000000000003</v>
      </c>
      <c r="BS97">
        <f>44.336</f>
        <v>44.335999999999999</v>
      </c>
      <c r="BT97">
        <f>48.436</f>
        <v>48.436</v>
      </c>
      <c r="BU97">
        <f>53.041</f>
        <v>53.040999999999997</v>
      </c>
      <c r="BV97">
        <f>38.425</f>
        <v>38.424999999999997</v>
      </c>
      <c r="BW97">
        <f>46.187</f>
        <v>46.186999999999998</v>
      </c>
      <c r="BX97">
        <f>45.366</f>
        <v>45.366</v>
      </c>
      <c r="BY97">
        <f>50.886</f>
        <v>50.886000000000003</v>
      </c>
      <c r="BZ97">
        <f>42.548</f>
        <v>42.548000000000002</v>
      </c>
      <c r="CA97">
        <f>39.594</f>
        <v>39.594000000000001</v>
      </c>
      <c r="CB97">
        <f>42.051</f>
        <v>42.051000000000002</v>
      </c>
      <c r="CC97">
        <f>41.533</f>
        <v>41.533000000000001</v>
      </c>
      <c r="CD97">
        <f>37.744</f>
        <v>37.744</v>
      </c>
      <c r="CE97">
        <f>49.794</f>
        <v>49.793999999999997</v>
      </c>
      <c r="CF97">
        <f>37.678</f>
        <v>37.677999999999997</v>
      </c>
      <c r="CG97">
        <f>36.333</f>
        <v>36.332999999999998</v>
      </c>
      <c r="CH97">
        <f>36.028</f>
        <v>36.027999999999999</v>
      </c>
      <c r="CI97">
        <f>36.924</f>
        <v>36.923999999999999</v>
      </c>
      <c r="CJ97">
        <f>34.217</f>
        <v>34.216999999999999</v>
      </c>
      <c r="CK97">
        <f>32.969</f>
        <v>32.969000000000001</v>
      </c>
      <c r="CL97">
        <f>34.149</f>
        <v>34.149000000000001</v>
      </c>
      <c r="CM97">
        <f>22.168</f>
        <v>22.167999999999999</v>
      </c>
      <c r="CN97">
        <f>28.276</f>
        <v>28.276</v>
      </c>
      <c r="CO97">
        <f>34.047</f>
        <v>34.046999999999997</v>
      </c>
      <c r="CP97">
        <f>32.115</f>
        <v>32.115000000000002</v>
      </c>
      <c r="CQ97">
        <f>26.718</f>
        <v>26.718</v>
      </c>
      <c r="CR97">
        <f>28.362</f>
        <v>28.361999999999998</v>
      </c>
      <c r="CS97">
        <f>30.767</f>
        <v>30.766999999999999</v>
      </c>
      <c r="CT97">
        <f>35.142</f>
        <v>35.142000000000003</v>
      </c>
      <c r="CU97">
        <f>12.558</f>
        <v>12.558</v>
      </c>
      <c r="CV97">
        <f>38.031</f>
        <v>38.030999999999999</v>
      </c>
      <c r="CW97">
        <f>42.528</f>
        <v>42.527999999999999</v>
      </c>
      <c r="CX97">
        <f>40.617</f>
        <v>40.616999999999997</v>
      </c>
      <c r="CY97">
        <f>25.053</f>
        <v>25.053000000000001</v>
      </c>
      <c r="CZ97">
        <f>34.04</f>
        <v>34.04</v>
      </c>
      <c r="DA97">
        <f>32.819</f>
        <v>32.819000000000003</v>
      </c>
      <c r="DB97">
        <f>28.576</f>
        <v>28.576000000000001</v>
      </c>
      <c r="DC97">
        <f>27.731</f>
        <v>27.731000000000002</v>
      </c>
      <c r="DD97">
        <f>17.356</f>
        <v>17.356000000000002</v>
      </c>
      <c r="DE97">
        <f>22.883</f>
        <v>22.882999999999999</v>
      </c>
      <c r="DF97">
        <f>34.623</f>
        <v>34.622999999999998</v>
      </c>
      <c r="DG97">
        <f>41.369</f>
        <v>41.369</v>
      </c>
      <c r="DH97">
        <f>33.432</f>
        <v>33.432000000000002</v>
      </c>
      <c r="DI97">
        <f>30.875</f>
        <v>30.875</v>
      </c>
      <c r="DJ97">
        <f>33.247</f>
        <v>33.247</v>
      </c>
      <c r="DK97">
        <f>25.689</f>
        <v>25.689</v>
      </c>
      <c r="DL97">
        <f>29.003</f>
        <v>29.003</v>
      </c>
      <c r="DM97">
        <f>36.301</f>
        <v>36.301000000000002</v>
      </c>
      <c r="DN97">
        <f>36.228</f>
        <v>36.228000000000002</v>
      </c>
      <c r="DO97">
        <f>30.638</f>
        <v>30.638000000000002</v>
      </c>
      <c r="DP97">
        <f>47.448</f>
        <v>47.448</v>
      </c>
      <c r="DQ97">
        <f>16.917</f>
        <v>16.917000000000002</v>
      </c>
      <c r="DR97">
        <f>29.157</f>
        <v>29.157</v>
      </c>
      <c r="DS97">
        <f>95.06</f>
        <v>95.06</v>
      </c>
      <c r="DT97">
        <f>44.804</f>
        <v>44.804000000000002</v>
      </c>
      <c r="DU97">
        <f>33.324</f>
        <v>33.323999999999998</v>
      </c>
    </row>
    <row r="98" spans="1:125">
      <c r="A98" t="str">
        <f>"    Kilroy Realty Corp"</f>
        <v xml:space="preserve">    Kilroy Realty Corp</v>
      </c>
      <c r="B98" t="str">
        <f>"KRC US Equity"</f>
        <v>KRC US Equity</v>
      </c>
      <c r="C98" t="str">
        <f t="shared" si="24"/>
        <v>F0578</v>
      </c>
      <c r="D98" t="str">
        <f t="shared" si="25"/>
        <v>FUNDS_AVAILABLE_FOR_DISTRIBUTION</v>
      </c>
      <c r="E98" t="str">
        <f t="shared" si="26"/>
        <v>动态</v>
      </c>
      <c r="F98" t="str">
        <f ca="1">IF(AND(ISNUMBER($F$411),$B$294=1),$F$411,HLOOKUP(INDIRECT(ADDRESS(2,COLUMN())),OFFSET($BN$2,0,0,ROW()-1,60),ROW()-1,FALSE))</f>
        <v/>
      </c>
      <c r="G98">
        <f ca="1">IF(AND(ISNUMBER($G$411),$B$294=1),$G$411,HLOOKUP(INDIRECT(ADDRESS(2,COLUMN())),OFFSET($BN$2,0,0,ROW()-1,60),ROW()-1,FALSE))</f>
        <v>51.177</v>
      </c>
      <c r="H98">
        <f ca="1">IF(AND(ISNUMBER($H$411),$B$294=1),$H$411,HLOOKUP(INDIRECT(ADDRESS(2,COLUMN())),OFFSET($BN$2,0,0,ROW()-1,60),ROW()-1,FALSE))</f>
        <v>60.508000000000003</v>
      </c>
      <c r="I98">
        <f ca="1">IF(AND(ISNUMBER($I$411),$B$294=1),$I$411,HLOOKUP(INDIRECT(ADDRESS(2,COLUMN())),OFFSET($BN$2,0,0,ROW()-1,60),ROW()-1,FALSE))</f>
        <v>63.654000000000003</v>
      </c>
      <c r="J98">
        <f ca="1">IF(AND(ISNUMBER($J$411),$B$294=1),$J$411,HLOOKUP(INDIRECT(ADDRESS(2,COLUMN())),OFFSET($BN$2,0,0,ROW()-1,60),ROW()-1,FALSE))</f>
        <v>60.146000000000001</v>
      </c>
      <c r="K98">
        <f ca="1">IF(AND(ISNUMBER($K$411),$B$294=1),$K$411,HLOOKUP(INDIRECT(ADDRESS(2,COLUMN())),OFFSET($BN$2,0,0,ROW()-1,60),ROW()-1,FALSE))</f>
        <v>57.02</v>
      </c>
      <c r="L98">
        <f ca="1">IF(AND(ISNUMBER($L$411),$B$294=1),$L$411,HLOOKUP(INDIRECT(ADDRESS(2,COLUMN())),OFFSET($BN$2,0,0,ROW()-1,60),ROW()-1,FALSE))</f>
        <v>63.072000000000003</v>
      </c>
      <c r="M98">
        <f ca="1">IF(AND(ISNUMBER($M$411),$B$294=1),$M$411,HLOOKUP(INDIRECT(ADDRESS(2,COLUMN())),OFFSET($BN$2,0,0,ROW()-1,60),ROW()-1,FALSE))</f>
        <v>63.185000000000002</v>
      </c>
      <c r="N98">
        <f ca="1">IF(AND(ISNUMBER($N$411),$B$294=1),$N$411,HLOOKUP(INDIRECT(ADDRESS(2,COLUMN())),OFFSET($BN$2,0,0,ROW()-1,60),ROW()-1,FALSE))</f>
        <v>56.421999999999997</v>
      </c>
      <c r="O98">
        <f ca="1">IF(AND(ISNUMBER($O$411),$B$294=1),$O$411,HLOOKUP(INDIRECT(ADDRESS(2,COLUMN())),OFFSET($BN$2,0,0,ROW()-1,60),ROW()-1,FALSE))</f>
        <v>44.389000000000003</v>
      </c>
      <c r="P98">
        <f ca="1">IF(AND(ISNUMBER($P$411),$B$294=1),$P$411,HLOOKUP(INDIRECT(ADDRESS(2,COLUMN())),OFFSET($BN$2,0,0,ROW()-1,60),ROW()-1,FALSE))</f>
        <v>48.320999999999998</v>
      </c>
      <c r="Q98">
        <f ca="1">IF(AND(ISNUMBER($Q$411),$B$294=1),$Q$411,HLOOKUP(INDIRECT(ADDRESS(2,COLUMN())),OFFSET($BN$2,0,0,ROW()-1,60),ROW()-1,FALSE))</f>
        <v>44.987000000000002</v>
      </c>
      <c r="R98">
        <f ca="1">IF(AND(ISNUMBER($R$411),$B$294=1),$R$411,HLOOKUP(INDIRECT(ADDRESS(2,COLUMN())),OFFSET($BN$2,0,0,ROW()-1,60),ROW()-1,FALSE))</f>
        <v>61.277000000000001</v>
      </c>
      <c r="S98">
        <f ca="1">IF(AND(ISNUMBER($S$411),$B$294=1),$S$411,HLOOKUP(INDIRECT(ADDRESS(2,COLUMN())),OFFSET($BN$2,0,0,ROW()-1,60),ROW()-1,FALSE))</f>
        <v>26.187000000000001</v>
      </c>
      <c r="T98">
        <f ca="1">IF(AND(ISNUMBER($T$411),$B$294=1),$T$411,HLOOKUP(INDIRECT(ADDRESS(2,COLUMN())),OFFSET($BN$2,0,0,ROW()-1,60),ROW()-1,FALSE))</f>
        <v>37.667000000000002</v>
      </c>
      <c r="U98">
        <f ca="1">IF(AND(ISNUMBER($U$411),$B$294=1),$U$411,HLOOKUP(INDIRECT(ADDRESS(2,COLUMN())),OFFSET($BN$2,0,0,ROW()-1,60),ROW()-1,FALSE))</f>
        <v>34.500999999999998</v>
      </c>
      <c r="V98">
        <f ca="1">IF(AND(ISNUMBER($V$411),$B$294=1),$V$411,HLOOKUP(INDIRECT(ADDRESS(2,COLUMN())),OFFSET($BN$2,0,0,ROW()-1,60),ROW()-1,FALSE))</f>
        <v>38.347999999999999</v>
      </c>
      <c r="W98">
        <f ca="1">IF(AND(ISNUMBER($W$411),$B$294=1),$W$411,HLOOKUP(INDIRECT(ADDRESS(2,COLUMN())),OFFSET($BN$2,0,0,ROW()-1,60),ROW()-1,FALSE))</f>
        <v>26.206</v>
      </c>
      <c r="X98">
        <f ca="1">IF(AND(ISNUMBER($X$411),$B$294=1),$X$411,HLOOKUP(INDIRECT(ADDRESS(2,COLUMN())),OFFSET($BN$2,0,0,ROW()-1,60),ROW()-1,FALSE))</f>
        <v>20.766999999999999</v>
      </c>
      <c r="Y98">
        <f ca="1">IF(AND(ISNUMBER($Y$411),$B$294=1),$Y$411,HLOOKUP(INDIRECT(ADDRESS(2,COLUMN())),OFFSET($BN$2,0,0,ROW()-1,60),ROW()-1,FALSE))</f>
        <v>24.265000000000001</v>
      </c>
      <c r="Z98">
        <f ca="1">IF(AND(ISNUMBER($Z$411),$B$294=1),$Z$411,HLOOKUP(INDIRECT(ADDRESS(2,COLUMN())),OFFSET($BN$2,0,0,ROW()-1,60),ROW()-1,FALSE))</f>
        <v>28.103000000000002</v>
      </c>
      <c r="AA98">
        <f ca="1">IF(AND(ISNUMBER($AA$411),$B$294=1),$AA$411,HLOOKUP(INDIRECT(ADDRESS(2,COLUMN())),OFFSET($BN$2,0,0,ROW()-1,60),ROW()-1,FALSE))</f>
        <v>30.562000000000001</v>
      </c>
      <c r="AB98">
        <f ca="1">IF(AND(ISNUMBER($AB$411),$B$294=1),$AB$411,HLOOKUP(INDIRECT(ADDRESS(2,COLUMN())),OFFSET($BN$2,0,0,ROW()-1,60),ROW()-1,FALSE))</f>
        <v>32.921999999999997</v>
      </c>
      <c r="AC98">
        <f ca="1">IF(AND(ISNUMBER($AC$411),$B$294=1),$AC$411,HLOOKUP(INDIRECT(ADDRESS(2,COLUMN())),OFFSET($BN$2,0,0,ROW()-1,60),ROW()-1,FALSE))</f>
        <v>22.911999999999999</v>
      </c>
      <c r="AD98">
        <f ca="1">IF(AND(ISNUMBER($AD$411),$B$294=1),$AD$411,HLOOKUP(INDIRECT(ADDRESS(2,COLUMN())),OFFSET($BN$2,0,0,ROW()-1,60),ROW()-1,FALSE))</f>
        <v>23.428000000000001</v>
      </c>
      <c r="AE98">
        <f ca="1">IF(AND(ISNUMBER($AE$411),$B$294=1),$AE$411,HLOOKUP(INDIRECT(ADDRESS(2,COLUMN())),OFFSET($BN$2,0,0,ROW()-1,60),ROW()-1,FALSE))</f>
        <v>23.798999999999999</v>
      </c>
      <c r="AF98">
        <f ca="1">IF(AND(ISNUMBER($AF$411),$B$294=1),$AF$411,HLOOKUP(INDIRECT(ADDRESS(2,COLUMN())),OFFSET($BN$2,0,0,ROW()-1,60),ROW()-1,FALSE))</f>
        <v>18.853999999999999</v>
      </c>
      <c r="AG98">
        <f ca="1">IF(AND(ISNUMBER($AG$411),$B$294=1),$AG$411,HLOOKUP(INDIRECT(ADDRESS(2,COLUMN())),OFFSET($BN$2,0,0,ROW()-1,60),ROW()-1,FALSE))</f>
        <v>18.047999999999998</v>
      </c>
      <c r="AH98">
        <f ca="1">IF(AND(ISNUMBER($AH$411),$B$294=1),$AH$411,HLOOKUP(INDIRECT(ADDRESS(2,COLUMN())),OFFSET($BN$2,0,0,ROW()-1,60),ROW()-1,FALSE))</f>
        <v>20.315000000000001</v>
      </c>
      <c r="AI98">
        <f ca="1">IF(AND(ISNUMBER($AI$411),$B$294=1),$AI$411,HLOOKUP(INDIRECT(ADDRESS(2,COLUMN())),OFFSET($BN$2,0,0,ROW()-1,60),ROW()-1,FALSE))</f>
        <v>15.919</v>
      </c>
      <c r="AJ98">
        <f ca="1">IF(AND(ISNUMBER($AJ$411),$B$294=1),$AJ$411,HLOOKUP(INDIRECT(ADDRESS(2,COLUMN())),OFFSET($BN$2,0,0,ROW()-1,60),ROW()-1,FALSE))</f>
        <v>14.76</v>
      </c>
      <c r="AK98">
        <f ca="1">IF(AND(ISNUMBER($AK$411),$B$294=1),$AK$411,HLOOKUP(INDIRECT(ADDRESS(2,COLUMN())),OFFSET($BN$2,0,0,ROW()-1,60),ROW()-1,FALSE))</f>
        <v>10.695</v>
      </c>
      <c r="AL98">
        <f ca="1">IF(AND(ISNUMBER($AL$411),$B$294=1),$AL$411,HLOOKUP(INDIRECT(ADDRESS(2,COLUMN())),OFFSET($BN$2,0,0,ROW()-1,60),ROW()-1,FALSE))</f>
        <v>13.791</v>
      </c>
      <c r="AM98">
        <f ca="1">IF(AND(ISNUMBER($AM$411),$B$294=1),$AM$411,HLOOKUP(INDIRECT(ADDRESS(2,COLUMN())),OFFSET($BN$2,0,0,ROW()-1,60),ROW()-1,FALSE))</f>
        <v>12.919</v>
      </c>
      <c r="AN98">
        <f ca="1">IF(AND(ISNUMBER($AN$411),$B$294=1),$AN$411,HLOOKUP(INDIRECT(ADDRESS(2,COLUMN())),OFFSET($BN$2,0,0,ROW()-1,60),ROW()-1,FALSE))</f>
        <v>23.917999999999999</v>
      </c>
      <c r="AO98">
        <f ca="1">IF(AND(ISNUMBER($AO$411),$B$294=1),$AO$411,HLOOKUP(INDIRECT(ADDRESS(2,COLUMN())),OFFSET($BN$2,0,0,ROW()-1,60),ROW()-1,FALSE))</f>
        <v>25.068000000000001</v>
      </c>
      <c r="AP98">
        <f ca="1">IF(AND(ISNUMBER($AP$411),$B$294=1),$AP$411,HLOOKUP(INDIRECT(ADDRESS(2,COLUMN())),OFFSET($BN$2,0,0,ROW()-1,60),ROW()-1,FALSE))</f>
        <v>23.978999999999999</v>
      </c>
      <c r="AQ98">
        <f ca="1">IF(AND(ISNUMBER($AQ$411),$B$294=1),$AQ$411,HLOOKUP(INDIRECT(ADDRESS(2,COLUMN())),OFFSET($BN$2,0,0,ROW()-1,60),ROW()-1,FALSE))</f>
        <v>20.076000000000001</v>
      </c>
      <c r="AR98">
        <f ca="1">IF(AND(ISNUMBER($AR$411),$B$294=1),$AR$411,HLOOKUP(INDIRECT(ADDRESS(2,COLUMN())),OFFSET($BN$2,0,0,ROW()-1,60),ROW()-1,FALSE))</f>
        <v>28.341000000000001</v>
      </c>
      <c r="AS98">
        <f ca="1">IF(AND(ISNUMBER($AS$411),$B$294=1),$AS$411,HLOOKUP(INDIRECT(ADDRESS(2,COLUMN())),OFFSET($BN$2,0,0,ROW()-1,60),ROW()-1,FALSE))</f>
        <v>24.905999999999999</v>
      </c>
      <c r="AT98">
        <f ca="1">IF(AND(ISNUMBER($AT$411),$B$294=1),$AT$411,HLOOKUP(INDIRECT(ADDRESS(2,COLUMN())),OFFSET($BN$2,0,0,ROW()-1,60),ROW()-1,FALSE))</f>
        <v>25.747</v>
      </c>
      <c r="AU98">
        <f ca="1">IF(AND(ISNUMBER($AU$411),$B$294=1),$AU$411,HLOOKUP(INDIRECT(ADDRESS(2,COLUMN())),OFFSET($BN$2,0,0,ROW()-1,60),ROW()-1,FALSE))</f>
        <v>23.31</v>
      </c>
      <c r="AV98">
        <f ca="1">IF(AND(ISNUMBER($AV$411),$B$294=1),$AV$411,HLOOKUP(INDIRECT(ADDRESS(2,COLUMN())),OFFSET($BN$2,0,0,ROW()-1,60),ROW()-1,FALSE))</f>
        <v>18.309000000000001</v>
      </c>
      <c r="AW98">
        <f ca="1">IF(AND(ISNUMBER($AW$411),$B$294=1),$AW$411,HLOOKUP(INDIRECT(ADDRESS(2,COLUMN())),OFFSET($BN$2,0,0,ROW()-1,60),ROW()-1,FALSE))</f>
        <v>29.562999999999999</v>
      </c>
      <c r="AX98">
        <f ca="1">IF(AND(ISNUMBER($AX$411),$B$294=1),$AX$411,HLOOKUP(INDIRECT(ADDRESS(2,COLUMN())),OFFSET($BN$2,0,0,ROW()-1,60),ROW()-1,FALSE))</f>
        <v>23.460999999999999</v>
      </c>
      <c r="AY98">
        <f ca="1">IF(AND(ISNUMBER($AY$411),$B$294=1),$AY$411,HLOOKUP(INDIRECT(ADDRESS(2,COLUMN())),OFFSET($BN$2,0,0,ROW()-1,60),ROW()-1,FALSE))</f>
        <v>21.574999999999999</v>
      </c>
      <c r="AZ98">
        <f ca="1">IF(AND(ISNUMBER($AZ$411),$B$294=1),$AZ$411,HLOOKUP(INDIRECT(ADDRESS(2,COLUMN())),OFFSET($BN$2,0,0,ROW()-1,60),ROW()-1,FALSE))</f>
        <v>20.998000000000001</v>
      </c>
      <c r="BA98">
        <f ca="1">IF(AND(ISNUMBER($BA$411),$B$294=1),$BA$411,HLOOKUP(INDIRECT(ADDRESS(2,COLUMN())),OFFSET($BN$2,0,0,ROW()-1,60),ROW()-1,FALSE))</f>
        <v>29.763999999999999</v>
      </c>
      <c r="BB98">
        <f ca="1">IF(AND(ISNUMBER($BB$411),$B$294=1),$BB$411,HLOOKUP(INDIRECT(ADDRESS(2,COLUMN())),OFFSET($BN$2,0,0,ROW()-1,60),ROW()-1,FALSE))</f>
        <v>22.01</v>
      </c>
      <c r="BC98">
        <f ca="1">IF(AND(ISNUMBER($BC$411),$B$294=1),$BC$411,HLOOKUP(INDIRECT(ADDRESS(2,COLUMN())),OFFSET($BN$2,0,0,ROW()-1,60),ROW()-1,FALSE))</f>
        <v>8.5060000000000002</v>
      </c>
      <c r="BD98">
        <f ca="1">IF(AND(ISNUMBER($BD$411),$B$294=1),$BD$411,HLOOKUP(INDIRECT(ADDRESS(2,COLUMN())),OFFSET($BN$2,0,0,ROW()-1,60),ROW()-1,FALSE))</f>
        <v>14.15</v>
      </c>
      <c r="BE98">
        <f ca="1">IF(AND(ISNUMBER($BE$411),$B$294=1),$BE$411,HLOOKUP(INDIRECT(ADDRESS(2,COLUMN())),OFFSET($BN$2,0,0,ROW()-1,60),ROW()-1,FALSE))</f>
        <v>14.695</v>
      </c>
      <c r="BF98">
        <f ca="1">IF(AND(ISNUMBER($BF$411),$B$294=1),$BF$411,HLOOKUP(INDIRECT(ADDRESS(2,COLUMN())),OFFSET($BN$2,0,0,ROW()-1,60),ROW()-1,FALSE))</f>
        <v>26.25</v>
      </c>
      <c r="BG98">
        <f ca="1">IF(AND(ISNUMBER($BG$411),$B$294=1),$BG$411,HLOOKUP(INDIRECT(ADDRESS(2,COLUMN())),OFFSET($BN$2,0,0,ROW()-1,60),ROW()-1,FALSE))</f>
        <v>17.36</v>
      </c>
      <c r="BH98">
        <f ca="1">IF(AND(ISNUMBER($BH$411),$B$294=1),$BH$411,HLOOKUP(INDIRECT(ADDRESS(2,COLUMN())),OFFSET($BN$2,0,0,ROW()-1,60),ROW()-1,FALSE))</f>
        <v>20.722000000000001</v>
      </c>
      <c r="BI98">
        <f ca="1">IF(AND(ISNUMBER($BI$411),$B$294=1),$BI$411,HLOOKUP(INDIRECT(ADDRESS(2,COLUMN())),OFFSET($BN$2,0,0,ROW()-1,60),ROW()-1,FALSE))</f>
        <v>23.385000000000002</v>
      </c>
      <c r="BJ98">
        <f ca="1">IF(AND(ISNUMBER($BJ$411),$B$294=1),$BJ$411,HLOOKUP(INDIRECT(ADDRESS(2,COLUMN())),OFFSET($BN$2,0,0,ROW()-1,60),ROW()-1,FALSE))</f>
        <v>20.956</v>
      </c>
      <c r="BK98">
        <f ca="1">IF(AND(ISNUMBER($BK$411),$B$294=1),$BK$411,HLOOKUP(INDIRECT(ADDRESS(2,COLUMN())),OFFSET($BN$2,0,0,ROW()-1,60),ROW()-1,FALSE))</f>
        <v>20.197000500000001</v>
      </c>
      <c r="BL98">
        <f ca="1">IF(AND(ISNUMBER($BL$411),$B$294=1),$BL$411,HLOOKUP(INDIRECT(ADDRESS(2,COLUMN())),OFFSET($BN$2,0,0,ROW()-1,60),ROW()-1,FALSE))</f>
        <v>37.473999999999997</v>
      </c>
      <c r="BM98">
        <f ca="1">IF(AND(ISNUMBER($BM$411),$B$294=1),$BM$411,HLOOKUP(INDIRECT(ADDRESS(2,COLUMN())),OFFSET($BN$2,0,0,ROW()-1,60),ROW()-1,FALSE))</f>
        <v>24.89</v>
      </c>
      <c r="BN98" t="str">
        <f>""</f>
        <v/>
      </c>
      <c r="BO98">
        <f>51.177</f>
        <v>51.177</v>
      </c>
      <c r="BP98">
        <f>60.508</f>
        <v>60.508000000000003</v>
      </c>
      <c r="BQ98">
        <f>63.654</f>
        <v>63.654000000000003</v>
      </c>
      <c r="BR98">
        <f>60.146</f>
        <v>60.146000000000001</v>
      </c>
      <c r="BS98">
        <f>57.02</f>
        <v>57.02</v>
      </c>
      <c r="BT98">
        <f>63.072</f>
        <v>63.072000000000003</v>
      </c>
      <c r="BU98">
        <f>63.185</f>
        <v>63.185000000000002</v>
      </c>
      <c r="BV98">
        <f>56.422</f>
        <v>56.421999999999997</v>
      </c>
      <c r="BW98">
        <f>44.389</f>
        <v>44.389000000000003</v>
      </c>
      <c r="BX98">
        <f>48.321</f>
        <v>48.320999999999998</v>
      </c>
      <c r="BY98">
        <f>44.987</f>
        <v>44.987000000000002</v>
      </c>
      <c r="BZ98">
        <f>61.277</f>
        <v>61.277000000000001</v>
      </c>
      <c r="CA98">
        <f>26.187</f>
        <v>26.187000000000001</v>
      </c>
      <c r="CB98">
        <f>37.667</f>
        <v>37.667000000000002</v>
      </c>
      <c r="CC98">
        <f>34.501</f>
        <v>34.500999999999998</v>
      </c>
      <c r="CD98">
        <f>38.348</f>
        <v>38.347999999999999</v>
      </c>
      <c r="CE98">
        <f>26.206</f>
        <v>26.206</v>
      </c>
      <c r="CF98">
        <f>20.767</f>
        <v>20.766999999999999</v>
      </c>
      <c r="CG98">
        <f>24.265</f>
        <v>24.265000000000001</v>
      </c>
      <c r="CH98">
        <f>28.103</f>
        <v>28.103000000000002</v>
      </c>
      <c r="CI98">
        <f>30.562</f>
        <v>30.562000000000001</v>
      </c>
      <c r="CJ98">
        <f>32.922</f>
        <v>32.921999999999997</v>
      </c>
      <c r="CK98">
        <f>22.912</f>
        <v>22.911999999999999</v>
      </c>
      <c r="CL98">
        <f>23.428</f>
        <v>23.428000000000001</v>
      </c>
      <c r="CM98">
        <f>23.799</f>
        <v>23.798999999999999</v>
      </c>
      <c r="CN98">
        <f>18.854</f>
        <v>18.853999999999999</v>
      </c>
      <c r="CO98">
        <f>18.048</f>
        <v>18.047999999999998</v>
      </c>
      <c r="CP98">
        <f>20.315</f>
        <v>20.315000000000001</v>
      </c>
      <c r="CQ98">
        <f>15.919</f>
        <v>15.919</v>
      </c>
      <c r="CR98">
        <f>14.76</f>
        <v>14.76</v>
      </c>
      <c r="CS98">
        <f>10.695</f>
        <v>10.695</v>
      </c>
      <c r="CT98">
        <f>13.791</f>
        <v>13.791</v>
      </c>
      <c r="CU98">
        <f>12.919</f>
        <v>12.919</v>
      </c>
      <c r="CV98">
        <f>23.918</f>
        <v>23.917999999999999</v>
      </c>
      <c r="CW98">
        <f>25.068</f>
        <v>25.068000000000001</v>
      </c>
      <c r="CX98">
        <f>23.979</f>
        <v>23.978999999999999</v>
      </c>
      <c r="CY98">
        <f>20.076</f>
        <v>20.076000000000001</v>
      </c>
      <c r="CZ98">
        <f>28.341</f>
        <v>28.341000000000001</v>
      </c>
      <c r="DA98">
        <f>24.906</f>
        <v>24.905999999999999</v>
      </c>
      <c r="DB98">
        <f>25.747</f>
        <v>25.747</v>
      </c>
      <c r="DC98">
        <f>23.31</f>
        <v>23.31</v>
      </c>
      <c r="DD98">
        <f>18.309</f>
        <v>18.309000000000001</v>
      </c>
      <c r="DE98">
        <f>29.563</f>
        <v>29.562999999999999</v>
      </c>
      <c r="DF98">
        <f>23.461</f>
        <v>23.460999999999999</v>
      </c>
      <c r="DG98">
        <f>21.575</f>
        <v>21.574999999999999</v>
      </c>
      <c r="DH98">
        <f>20.998</f>
        <v>20.998000000000001</v>
      </c>
      <c r="DI98">
        <f>29.764</f>
        <v>29.763999999999999</v>
      </c>
      <c r="DJ98">
        <f>22.01</f>
        <v>22.01</v>
      </c>
      <c r="DK98">
        <f>8.506</f>
        <v>8.5060000000000002</v>
      </c>
      <c r="DL98">
        <f>14.15</f>
        <v>14.15</v>
      </c>
      <c r="DM98">
        <f>14.695</f>
        <v>14.695</v>
      </c>
      <c r="DN98">
        <f>26.25</f>
        <v>26.25</v>
      </c>
      <c r="DO98">
        <f>17.36</f>
        <v>17.36</v>
      </c>
      <c r="DP98">
        <f>20.722</f>
        <v>20.722000000000001</v>
      </c>
      <c r="DQ98">
        <f>23.385</f>
        <v>23.385000000000002</v>
      </c>
      <c r="DR98">
        <f>20.956</f>
        <v>20.956</v>
      </c>
      <c r="DS98">
        <f>20.1970005</f>
        <v>20.197000500000001</v>
      </c>
      <c r="DT98">
        <f>37.474</f>
        <v>37.473999999999997</v>
      </c>
      <c r="DU98">
        <f>24.89</f>
        <v>24.89</v>
      </c>
    </row>
    <row r="99" spans="1:125">
      <c r="A99" t="str">
        <f>"    Mack-Cali Realty Corp"</f>
        <v xml:space="preserve">    Mack-Cali Realty Corp</v>
      </c>
      <c r="B99" t="str">
        <f>"CLI US Equity"</f>
        <v>CLI US Equity</v>
      </c>
      <c r="C99" t="str">
        <f t="shared" si="24"/>
        <v>F0578</v>
      </c>
      <c r="D99" t="str">
        <f t="shared" si="25"/>
        <v>FUNDS_AVAILABLE_FOR_DISTRIBUTION</v>
      </c>
      <c r="E99" t="str">
        <f t="shared" si="26"/>
        <v>动态</v>
      </c>
      <c r="F99" t="str">
        <f ca="1">IF(AND(ISNUMBER($F$412),$B$294=1),$F$412,HLOOKUP(INDIRECT(ADDRESS(2,COLUMN())),OFFSET($BN$2,0,0,ROW()-1,60),ROW()-1,FALSE))</f>
        <v/>
      </c>
      <c r="G99">
        <f ca="1">IF(AND(ISNUMBER($G$412),$B$294=1),$G$412,HLOOKUP(INDIRECT(ADDRESS(2,COLUMN())),OFFSET($BN$2,0,0,ROW()-1,60),ROW()-1,FALSE))</f>
        <v>48.284999999999997</v>
      </c>
      <c r="H99">
        <f ca="1">IF(AND(ISNUMBER($H$412),$B$294=1),$H$412,HLOOKUP(INDIRECT(ADDRESS(2,COLUMN())),OFFSET($BN$2,0,0,ROW()-1,60),ROW()-1,FALSE))</f>
        <v>51.930999999999997</v>
      </c>
      <c r="I99">
        <f ca="1">IF(AND(ISNUMBER($I$412),$B$294=1),$I$412,HLOOKUP(INDIRECT(ADDRESS(2,COLUMN())),OFFSET($BN$2,0,0,ROW()-1,60),ROW()-1,FALSE))</f>
        <v>56.107999999999997</v>
      </c>
      <c r="J99">
        <f ca="1">IF(AND(ISNUMBER($J$412),$B$294=1),$J$412,HLOOKUP(INDIRECT(ADDRESS(2,COLUMN())),OFFSET($BN$2,0,0,ROW()-1,60),ROW()-1,FALSE))</f>
        <v>48.62</v>
      </c>
      <c r="K99">
        <f ca="1">IF(AND(ISNUMBER($K$412),$B$294=1),$K$412,HLOOKUP(INDIRECT(ADDRESS(2,COLUMN())),OFFSET($BN$2,0,0,ROW()-1,60),ROW()-1,FALSE))</f>
        <v>34.576999999999998</v>
      </c>
      <c r="L99">
        <f ca="1">IF(AND(ISNUMBER($L$412),$B$294=1),$L$412,HLOOKUP(INDIRECT(ADDRESS(2,COLUMN())),OFFSET($BN$2,0,0,ROW()-1,60),ROW()-1,FALSE))</f>
        <v>43.997</v>
      </c>
      <c r="M99">
        <f ca="1">IF(AND(ISNUMBER($M$412),$B$294=1),$M$412,HLOOKUP(INDIRECT(ADDRESS(2,COLUMN())),OFFSET($BN$2,0,0,ROW()-1,60),ROW()-1,FALSE))</f>
        <v>40.761000000000003</v>
      </c>
      <c r="N99">
        <f ca="1">IF(AND(ISNUMBER($N$412),$B$294=1),$N$412,HLOOKUP(INDIRECT(ADDRESS(2,COLUMN())),OFFSET($BN$2,0,0,ROW()-1,60),ROW()-1,FALSE))</f>
        <v>32.473999999999997</v>
      </c>
      <c r="O99">
        <f ca="1">IF(AND(ISNUMBER($O$412),$B$294=1),$O$412,HLOOKUP(INDIRECT(ADDRESS(2,COLUMN())),OFFSET($BN$2,0,0,ROW()-1,60),ROW()-1,FALSE))</f>
        <v>27.722999999999999</v>
      </c>
      <c r="P99">
        <f ca="1">IF(AND(ISNUMBER($P$412),$B$294=1),$P$412,HLOOKUP(INDIRECT(ADDRESS(2,COLUMN())),OFFSET($BN$2,0,0,ROW()-1,60),ROW()-1,FALSE))</f>
        <v>36.808</v>
      </c>
      <c r="Q99">
        <f ca="1">IF(AND(ISNUMBER($Q$412),$B$294=1),$Q$412,HLOOKUP(INDIRECT(ADDRESS(2,COLUMN())),OFFSET($BN$2,0,0,ROW()-1,60),ROW()-1,FALSE))</f>
        <v>32.735999999999997</v>
      </c>
      <c r="R99">
        <f ca="1">IF(AND(ISNUMBER($R$412),$B$294=1),$R$412,HLOOKUP(INDIRECT(ADDRESS(2,COLUMN())),OFFSET($BN$2,0,0,ROW()-1,60),ROW()-1,FALSE))</f>
        <v>31.402000000000001</v>
      </c>
      <c r="S99">
        <f ca="1">IF(AND(ISNUMBER($S$412),$B$294=1),$S$412,HLOOKUP(INDIRECT(ADDRESS(2,COLUMN())),OFFSET($BN$2,0,0,ROW()-1,60),ROW()-1,FALSE))</f>
        <v>22.675000000000001</v>
      </c>
      <c r="T99">
        <f ca="1">IF(AND(ISNUMBER($T$412),$B$294=1),$T$412,HLOOKUP(INDIRECT(ADDRESS(2,COLUMN())),OFFSET($BN$2,0,0,ROW()-1,60),ROW()-1,FALSE))</f>
        <v>30.463999999999999</v>
      </c>
      <c r="U99">
        <f ca="1">IF(AND(ISNUMBER($U$412),$B$294=1),$U$412,HLOOKUP(INDIRECT(ADDRESS(2,COLUMN())),OFFSET($BN$2,0,0,ROW()-1,60),ROW()-1,FALSE))</f>
        <v>31.158999999999999</v>
      </c>
      <c r="V99">
        <f ca="1">IF(AND(ISNUMBER($V$412),$B$294=1),$V$412,HLOOKUP(INDIRECT(ADDRESS(2,COLUMN())),OFFSET($BN$2,0,0,ROW()-1,60),ROW()-1,FALSE))</f>
        <v>29.119</v>
      </c>
      <c r="W99">
        <f ca="1">IF(AND(ISNUMBER($W$412),$B$294=1),$W$412,HLOOKUP(INDIRECT(ADDRESS(2,COLUMN())),OFFSET($BN$2,0,0,ROW()-1,60),ROW()-1,FALSE))</f>
        <v>31.596</v>
      </c>
      <c r="X99">
        <f ca="1">IF(AND(ISNUMBER($X$412),$B$294=1),$X$412,HLOOKUP(INDIRECT(ADDRESS(2,COLUMN())),OFFSET($BN$2,0,0,ROW()-1,60),ROW()-1,FALSE))</f>
        <v>42.389000000000003</v>
      </c>
      <c r="Y99">
        <f ca="1">IF(AND(ISNUMBER($Y$412),$B$294=1),$Y$412,HLOOKUP(INDIRECT(ADDRESS(2,COLUMN())),OFFSET($BN$2,0,0,ROW()-1,60),ROW()-1,FALSE))</f>
        <v>48.62</v>
      </c>
      <c r="Z99">
        <f ca="1">IF(AND(ISNUMBER($Z$412),$B$294=1),$Z$412,HLOOKUP(INDIRECT(ADDRESS(2,COLUMN())),OFFSET($BN$2,0,0,ROW()-1,60),ROW()-1,FALSE))</f>
        <v>37.957000000000001</v>
      </c>
      <c r="AA99">
        <f ca="1">IF(AND(ISNUMBER($AA$412),$B$294=1),$AA$412,HLOOKUP(INDIRECT(ADDRESS(2,COLUMN())),OFFSET($BN$2,0,0,ROW()-1,60),ROW()-1,FALSE))</f>
        <v>38.223999999999997</v>
      </c>
      <c r="AB99">
        <f ca="1">IF(AND(ISNUMBER($AB$412),$B$294=1),$AB$412,HLOOKUP(INDIRECT(ADDRESS(2,COLUMN())),OFFSET($BN$2,0,0,ROW()-1,60),ROW()-1,FALSE))</f>
        <v>39.17</v>
      </c>
      <c r="AC99">
        <f ca="1">IF(AND(ISNUMBER($AC$412),$B$294=1),$AC$412,HLOOKUP(INDIRECT(ADDRESS(2,COLUMN())),OFFSET($BN$2,0,0,ROW()-1,60),ROW()-1,FALSE))</f>
        <v>44.606999999999999</v>
      </c>
      <c r="AD99">
        <f ca="1">IF(AND(ISNUMBER($AD$412),$B$294=1),$AD$412,HLOOKUP(INDIRECT(ADDRESS(2,COLUMN())),OFFSET($BN$2,0,0,ROW()-1,60),ROW()-1,FALSE))</f>
        <v>58.119</v>
      </c>
      <c r="AE99">
        <f ca="1">IF(AND(ISNUMBER($AE$412),$B$294=1),$AE$412,HLOOKUP(INDIRECT(ADDRESS(2,COLUMN())),OFFSET($BN$2,0,0,ROW()-1,60),ROW()-1,FALSE))</f>
        <v>46.514000000000003</v>
      </c>
      <c r="AF99">
        <f ca="1">IF(AND(ISNUMBER($AF$412),$B$294=1),$AF$412,HLOOKUP(INDIRECT(ADDRESS(2,COLUMN())),OFFSET($BN$2,0,0,ROW()-1,60),ROW()-1,FALSE))</f>
        <v>52.171999999999997</v>
      </c>
      <c r="AG99">
        <f ca="1">IF(AND(ISNUMBER($AG$412),$B$294=1),$AG$412,HLOOKUP(INDIRECT(ADDRESS(2,COLUMN())),OFFSET($BN$2,0,0,ROW()-1,60),ROW()-1,FALSE))</f>
        <v>51.954999999999998</v>
      </c>
      <c r="AH99">
        <f ca="1">IF(AND(ISNUMBER($AH$412),$B$294=1),$AH$412,HLOOKUP(INDIRECT(ADDRESS(2,COLUMN())),OFFSET($BN$2,0,0,ROW()-1,60),ROW()-1,FALSE))</f>
        <v>52.542000000000002</v>
      </c>
      <c r="AI99">
        <f ca="1">IF(AND(ISNUMBER($AI$412),$B$294=1),$AI$412,HLOOKUP(INDIRECT(ADDRESS(2,COLUMN())),OFFSET($BN$2,0,0,ROW()-1,60),ROW()-1,FALSE))</f>
        <v>44.054000000000002</v>
      </c>
      <c r="AJ99">
        <f ca="1">IF(AND(ISNUMBER($AJ$412),$B$294=1),$AJ$412,HLOOKUP(INDIRECT(ADDRESS(2,COLUMN())),OFFSET($BN$2,0,0,ROW()-1,60),ROW()-1,FALSE))</f>
        <v>48.85</v>
      </c>
      <c r="AK99">
        <f ca="1">IF(AND(ISNUMBER($AK$412),$B$294=1),$AK$412,HLOOKUP(INDIRECT(ADDRESS(2,COLUMN())),OFFSET($BN$2,0,0,ROW()-1,60),ROW()-1,FALSE))</f>
        <v>52.701000000000001</v>
      </c>
      <c r="AL99">
        <f ca="1">IF(AND(ISNUMBER($AL$412),$B$294=1),$AL$412,HLOOKUP(INDIRECT(ADDRESS(2,COLUMN())),OFFSET($BN$2,0,0,ROW()-1,60),ROW()-1,FALSE))</f>
        <v>54.906999999999996</v>
      </c>
      <c r="AM99">
        <f ca="1">IF(AND(ISNUMBER($AM$412),$B$294=1),$AM$412,HLOOKUP(INDIRECT(ADDRESS(2,COLUMN())),OFFSET($BN$2,0,0,ROW()-1,60),ROW()-1,FALSE))</f>
        <v>50.906999999999996</v>
      </c>
      <c r="AN99">
        <f ca="1">IF(AND(ISNUMBER($AN$412),$B$294=1),$AN$412,HLOOKUP(INDIRECT(ADDRESS(2,COLUMN())),OFFSET($BN$2,0,0,ROW()-1,60),ROW()-1,FALSE))</f>
        <v>51.573</v>
      </c>
      <c r="AO99">
        <f ca="1">IF(AND(ISNUMBER($AO$412),$B$294=1),$AO$412,HLOOKUP(INDIRECT(ADDRESS(2,COLUMN())),OFFSET($BN$2,0,0,ROW()-1,60),ROW()-1,FALSE))</f>
        <v>64.337000000000003</v>
      </c>
      <c r="AP99">
        <f ca="1">IF(AND(ISNUMBER($AP$412),$B$294=1),$AP$412,HLOOKUP(INDIRECT(ADDRESS(2,COLUMN())),OFFSET($BN$2,0,0,ROW()-1,60),ROW()-1,FALSE))</f>
        <v>55.168999999999997</v>
      </c>
      <c r="AQ99">
        <f ca="1">IF(AND(ISNUMBER($AQ$412),$B$294=1),$AQ$412,HLOOKUP(INDIRECT(ADDRESS(2,COLUMN())),OFFSET($BN$2,0,0,ROW()-1,60),ROW()-1,FALSE))</f>
        <v>29.193999999999999</v>
      </c>
      <c r="AR99">
        <f ca="1">IF(AND(ISNUMBER($AR$412),$B$294=1),$AR$412,HLOOKUP(INDIRECT(ADDRESS(2,COLUMN())),OFFSET($BN$2,0,0,ROW()-1,60),ROW()-1,FALSE))</f>
        <v>65.555000000000007</v>
      </c>
      <c r="AS99">
        <f ca="1">IF(AND(ISNUMBER($AS$412),$B$294=1),$AS$412,HLOOKUP(INDIRECT(ADDRESS(2,COLUMN())),OFFSET($BN$2,0,0,ROW()-1,60),ROW()-1,FALSE))</f>
        <v>53.878999999999998</v>
      </c>
      <c r="AT99">
        <f ca="1">IF(AND(ISNUMBER($AT$412),$B$294=1),$AT$412,HLOOKUP(INDIRECT(ADDRESS(2,COLUMN())),OFFSET($BN$2,0,0,ROW()-1,60),ROW()-1,FALSE))</f>
        <v>51.978000000000002</v>
      </c>
      <c r="AU99">
        <f ca="1">IF(AND(ISNUMBER($AU$412),$B$294=1),$AU$412,HLOOKUP(INDIRECT(ADDRESS(2,COLUMN())),OFFSET($BN$2,0,0,ROW()-1,60),ROW()-1,FALSE))</f>
        <v>52.615000000000002</v>
      </c>
      <c r="AV99">
        <f ca="1">IF(AND(ISNUMBER($AV$412),$B$294=1),$AV$412,HLOOKUP(INDIRECT(ADDRESS(2,COLUMN())),OFFSET($BN$2,0,0,ROW()-1,60),ROW()-1,FALSE))</f>
        <v>45.503999999999998</v>
      </c>
      <c r="AW99">
        <f ca="1">IF(AND(ISNUMBER($AW$412),$B$294=1),$AW$412,HLOOKUP(INDIRECT(ADDRESS(2,COLUMN())),OFFSET($BN$2,0,0,ROW()-1,60),ROW()-1,FALSE))</f>
        <v>56.997</v>
      </c>
      <c r="AX99">
        <f ca="1">IF(AND(ISNUMBER($AX$412),$B$294=1),$AX$412,HLOOKUP(INDIRECT(ADDRESS(2,COLUMN())),OFFSET($BN$2,0,0,ROW()-1,60),ROW()-1,FALSE))</f>
        <v>50.576999999999998</v>
      </c>
      <c r="AY99">
        <f ca="1">IF(AND(ISNUMBER($AY$412),$B$294=1),$AY$412,HLOOKUP(INDIRECT(ADDRESS(2,COLUMN())),OFFSET($BN$2,0,0,ROW()-1,60),ROW()-1,FALSE))</f>
        <v>36.340000000000003</v>
      </c>
      <c r="AZ99">
        <f ca="1">IF(AND(ISNUMBER($AZ$412),$B$294=1),$AZ$412,HLOOKUP(INDIRECT(ADDRESS(2,COLUMN())),OFFSET($BN$2,0,0,ROW()-1,60),ROW()-1,FALSE))</f>
        <v>42.99</v>
      </c>
      <c r="BA99">
        <f ca="1">IF(AND(ISNUMBER($BA$412),$B$294=1),$BA$412,HLOOKUP(INDIRECT(ADDRESS(2,COLUMN())),OFFSET($BN$2,0,0,ROW()-1,60),ROW()-1,FALSE))</f>
        <v>46.707999999999998</v>
      </c>
      <c r="BB99">
        <f ca="1">IF(AND(ISNUMBER($BB$412),$B$294=1),$BB$412,HLOOKUP(INDIRECT(ADDRESS(2,COLUMN())),OFFSET($BN$2,0,0,ROW()-1,60),ROW()-1,FALSE))</f>
        <v>43.783999999999999</v>
      </c>
      <c r="BC99">
        <f ca="1">IF(AND(ISNUMBER($BC$412),$B$294=1),$BC$412,HLOOKUP(INDIRECT(ADDRESS(2,COLUMN())),OFFSET($BN$2,0,0,ROW()-1,60),ROW()-1,FALSE))</f>
        <v>65.138000000000005</v>
      </c>
      <c r="BD99">
        <f ca="1">IF(AND(ISNUMBER($BD$412),$B$294=1),$BD$412,HLOOKUP(INDIRECT(ADDRESS(2,COLUMN())),OFFSET($BN$2,0,0,ROW()-1,60),ROW()-1,FALSE))</f>
        <v>66.682000000000002</v>
      </c>
      <c r="BE99">
        <f ca="1">IF(AND(ISNUMBER($BE$412),$B$294=1),$BE$412,HLOOKUP(INDIRECT(ADDRESS(2,COLUMN())),OFFSET($BN$2,0,0,ROW()-1,60),ROW()-1,FALSE))</f>
        <v>71.444000000000003</v>
      </c>
      <c r="BF99">
        <f ca="1">IF(AND(ISNUMBER($BF$412),$B$294=1),$BF$412,HLOOKUP(INDIRECT(ADDRESS(2,COLUMN())),OFFSET($BN$2,0,0,ROW()-1,60),ROW()-1,FALSE))</f>
        <v>67.069999999999993</v>
      </c>
      <c r="BG99">
        <f ca="1">IF(AND(ISNUMBER($BG$412),$B$294=1),$BG$412,HLOOKUP(INDIRECT(ADDRESS(2,COLUMN())),OFFSET($BN$2,0,0,ROW()-1,60),ROW()-1,FALSE))</f>
        <v>67.911000000000001</v>
      </c>
      <c r="BH99">
        <f ca="1">IF(AND(ISNUMBER($BH$412),$B$294=1),$BH$412,HLOOKUP(INDIRECT(ADDRESS(2,COLUMN())),OFFSET($BN$2,0,0,ROW()-1,60),ROW()-1,FALSE))</f>
        <v>69.715000000000003</v>
      </c>
      <c r="BI99">
        <f ca="1">IF(AND(ISNUMBER($BI$412),$B$294=1),$BI$412,HLOOKUP(INDIRECT(ADDRESS(2,COLUMN())),OFFSET($BN$2,0,0,ROW()-1,60),ROW()-1,FALSE))</f>
        <v>67.555000000000007</v>
      </c>
      <c r="BJ99">
        <f ca="1">IF(AND(ISNUMBER($BJ$412),$B$294=1),$BJ$412,HLOOKUP(INDIRECT(ADDRESS(2,COLUMN())),OFFSET($BN$2,0,0,ROW()-1,60),ROW()-1,FALSE))</f>
        <v>64.948997000000006</v>
      </c>
      <c r="BK99">
        <f ca="1">IF(AND(ISNUMBER($BK$412),$B$294=1),$BK$412,HLOOKUP(INDIRECT(ADDRESS(2,COLUMN())),OFFSET($BN$2,0,0,ROW()-1,60),ROW()-1,FALSE))</f>
        <v>66.510002139999997</v>
      </c>
      <c r="BL99">
        <f ca="1">IF(AND(ISNUMBER($BL$412),$B$294=1),$BL$412,HLOOKUP(INDIRECT(ADDRESS(2,COLUMN())),OFFSET($BN$2,0,0,ROW()-1,60),ROW()-1,FALSE))</f>
        <v>69.582001000000005</v>
      </c>
      <c r="BM99">
        <f ca="1">IF(AND(ISNUMBER($BM$412),$B$294=1),$BM$412,HLOOKUP(INDIRECT(ADDRESS(2,COLUMN())),OFFSET($BN$2,0,0,ROW()-1,60),ROW()-1,FALSE))</f>
        <v>70.680000000000007</v>
      </c>
      <c r="BN99" t="str">
        <f>""</f>
        <v/>
      </c>
      <c r="BO99">
        <f>48.285</f>
        <v>48.284999999999997</v>
      </c>
      <c r="BP99">
        <f>51.931</f>
        <v>51.930999999999997</v>
      </c>
      <c r="BQ99">
        <f>56.108</f>
        <v>56.107999999999997</v>
      </c>
      <c r="BR99">
        <f>48.62</f>
        <v>48.62</v>
      </c>
      <c r="BS99">
        <f>34.577</f>
        <v>34.576999999999998</v>
      </c>
      <c r="BT99">
        <f>43.997</f>
        <v>43.997</v>
      </c>
      <c r="BU99">
        <f>40.761</f>
        <v>40.761000000000003</v>
      </c>
      <c r="BV99">
        <f>32.474</f>
        <v>32.473999999999997</v>
      </c>
      <c r="BW99">
        <f>27.723</f>
        <v>27.722999999999999</v>
      </c>
      <c r="BX99">
        <f>36.808</f>
        <v>36.808</v>
      </c>
      <c r="BY99">
        <f>32.736</f>
        <v>32.735999999999997</v>
      </c>
      <c r="BZ99">
        <f>31.402</f>
        <v>31.402000000000001</v>
      </c>
      <c r="CA99">
        <f>22.675</f>
        <v>22.675000000000001</v>
      </c>
      <c r="CB99">
        <f>30.464</f>
        <v>30.463999999999999</v>
      </c>
      <c r="CC99">
        <f>31.159</f>
        <v>31.158999999999999</v>
      </c>
      <c r="CD99">
        <f>29.119</f>
        <v>29.119</v>
      </c>
      <c r="CE99">
        <f>31.596</f>
        <v>31.596</v>
      </c>
      <c r="CF99">
        <f>42.389</f>
        <v>42.389000000000003</v>
      </c>
      <c r="CG99">
        <f>48.62</f>
        <v>48.62</v>
      </c>
      <c r="CH99">
        <f>37.957</f>
        <v>37.957000000000001</v>
      </c>
      <c r="CI99">
        <f>38.224</f>
        <v>38.223999999999997</v>
      </c>
      <c r="CJ99">
        <f>39.17</f>
        <v>39.17</v>
      </c>
      <c r="CK99">
        <f>44.607</f>
        <v>44.606999999999999</v>
      </c>
      <c r="CL99">
        <f>58.119</f>
        <v>58.119</v>
      </c>
      <c r="CM99">
        <f>46.514</f>
        <v>46.514000000000003</v>
      </c>
      <c r="CN99">
        <f>52.172</f>
        <v>52.171999999999997</v>
      </c>
      <c r="CO99">
        <f>51.955</f>
        <v>51.954999999999998</v>
      </c>
      <c r="CP99">
        <f>52.542</f>
        <v>52.542000000000002</v>
      </c>
      <c r="CQ99">
        <f>44.054</f>
        <v>44.054000000000002</v>
      </c>
      <c r="CR99">
        <f>48.85</f>
        <v>48.85</v>
      </c>
      <c r="CS99">
        <f>52.701</f>
        <v>52.701000000000001</v>
      </c>
      <c r="CT99">
        <f>54.907</f>
        <v>54.906999999999996</v>
      </c>
      <c r="CU99">
        <f>50.907</f>
        <v>50.906999999999996</v>
      </c>
      <c r="CV99">
        <f>51.573</f>
        <v>51.573</v>
      </c>
      <c r="CW99">
        <f>64.337</f>
        <v>64.337000000000003</v>
      </c>
      <c r="CX99">
        <f>55.169</f>
        <v>55.168999999999997</v>
      </c>
      <c r="CY99">
        <f>29.194</f>
        <v>29.193999999999999</v>
      </c>
      <c r="CZ99">
        <f>65.555</f>
        <v>65.555000000000007</v>
      </c>
      <c r="DA99">
        <f>53.879</f>
        <v>53.878999999999998</v>
      </c>
      <c r="DB99">
        <f>51.978</f>
        <v>51.978000000000002</v>
      </c>
      <c r="DC99">
        <f>52.615</f>
        <v>52.615000000000002</v>
      </c>
      <c r="DD99">
        <f>45.504</f>
        <v>45.503999999999998</v>
      </c>
      <c r="DE99">
        <f>56.997</f>
        <v>56.997</v>
      </c>
      <c r="DF99">
        <f>50.577</f>
        <v>50.576999999999998</v>
      </c>
      <c r="DG99">
        <f>36.34</f>
        <v>36.340000000000003</v>
      </c>
      <c r="DH99">
        <f>42.99</f>
        <v>42.99</v>
      </c>
      <c r="DI99">
        <f>46.708</f>
        <v>46.707999999999998</v>
      </c>
      <c r="DJ99">
        <f>43.784</f>
        <v>43.783999999999999</v>
      </c>
      <c r="DK99">
        <f>65.138</f>
        <v>65.138000000000005</v>
      </c>
      <c r="DL99">
        <f>66.682</f>
        <v>66.682000000000002</v>
      </c>
      <c r="DM99">
        <f>71.444</f>
        <v>71.444000000000003</v>
      </c>
      <c r="DN99">
        <f>67.07</f>
        <v>67.069999999999993</v>
      </c>
      <c r="DO99">
        <f>67.911</f>
        <v>67.911000000000001</v>
      </c>
      <c r="DP99">
        <f>69.715</f>
        <v>69.715000000000003</v>
      </c>
      <c r="DQ99">
        <f>67.555</f>
        <v>67.555000000000007</v>
      </c>
      <c r="DR99">
        <f>64.948997</f>
        <v>64.948997000000006</v>
      </c>
      <c r="DS99">
        <f>66.51000214</f>
        <v>66.510002139999997</v>
      </c>
      <c r="DT99">
        <f>69.582001</f>
        <v>69.582001000000005</v>
      </c>
      <c r="DU99">
        <f>70.68</f>
        <v>70.680000000000007</v>
      </c>
    </row>
    <row r="100" spans="1:125">
      <c r="A100" t="str">
        <f>"    Piedmont Office Realty Trust I"</f>
        <v xml:space="preserve">    Piedmont Office Realty Trust I</v>
      </c>
      <c r="B100" t="str">
        <f>"PDM US Equity"</f>
        <v>PDM US Equity</v>
      </c>
      <c r="C100" t="str">
        <f t="shared" si="24"/>
        <v>F0578</v>
      </c>
      <c r="D100" t="str">
        <f t="shared" si="25"/>
        <v>FUNDS_AVAILABLE_FOR_DISTRIBUTION</v>
      </c>
      <c r="E100" t="str">
        <f t="shared" si="26"/>
        <v>动态</v>
      </c>
      <c r="F100" t="str">
        <f ca="1">IF(AND(ISNUMBER($F$413),$B$294=1),$F$413,HLOOKUP(INDIRECT(ADDRESS(2,COLUMN())),OFFSET($BN$2,0,0,ROW()-1,60),ROW()-1,FALSE))</f>
        <v/>
      </c>
      <c r="G100">
        <f ca="1">IF(AND(ISNUMBER($G$413),$B$294=1),$G$413,HLOOKUP(INDIRECT(ADDRESS(2,COLUMN())),OFFSET($BN$2,0,0,ROW()-1,60),ROW()-1,FALSE))</f>
        <v>63.436999999999998</v>
      </c>
      <c r="H100">
        <f ca="1">IF(AND(ISNUMBER($H$413),$B$294=1),$H$413,HLOOKUP(INDIRECT(ADDRESS(2,COLUMN())),OFFSET($BN$2,0,0,ROW()-1,60),ROW()-1,FALSE))</f>
        <v>52.37</v>
      </c>
      <c r="I100">
        <f ca="1">IF(AND(ISNUMBER($I$413),$B$294=1),$I$413,HLOOKUP(INDIRECT(ADDRESS(2,COLUMN())),OFFSET($BN$2,0,0,ROW()-1,60),ROW()-1,FALSE))</f>
        <v>50.87</v>
      </c>
      <c r="J100">
        <f ca="1">IF(AND(ISNUMBER($J$413),$B$294=1),$J$413,HLOOKUP(INDIRECT(ADDRESS(2,COLUMN())),OFFSET($BN$2,0,0,ROW()-1,60),ROW()-1,FALSE))</f>
        <v>54.124000000000002</v>
      </c>
      <c r="K100">
        <f ca="1">IF(AND(ISNUMBER($K$413),$B$294=1),$K$413,HLOOKUP(INDIRECT(ADDRESS(2,COLUMN())),OFFSET($BN$2,0,0,ROW()-1,60),ROW()-1,FALSE))</f>
        <v>45.640999999999998</v>
      </c>
      <c r="L100">
        <f ca="1">IF(AND(ISNUMBER($L$413),$B$294=1),$L$413,HLOOKUP(INDIRECT(ADDRESS(2,COLUMN())),OFFSET($BN$2,0,0,ROW()-1,60),ROW()-1,FALSE))</f>
        <v>52.393999999999998</v>
      </c>
      <c r="M100">
        <f ca="1">IF(AND(ISNUMBER($M$413),$B$294=1),$M$413,HLOOKUP(INDIRECT(ADDRESS(2,COLUMN())),OFFSET($BN$2,0,0,ROW()-1,60),ROW()-1,FALSE))</f>
        <v>49.670999999999999</v>
      </c>
      <c r="N100">
        <f ca="1">IF(AND(ISNUMBER($N$413),$B$294=1),$N$413,HLOOKUP(INDIRECT(ADDRESS(2,COLUMN())),OFFSET($BN$2,0,0,ROW()-1,60),ROW()-1,FALSE))</f>
        <v>43.561999999999998</v>
      </c>
      <c r="O100">
        <f ca="1">IF(AND(ISNUMBER($O$413),$B$294=1),$O$413,HLOOKUP(INDIRECT(ADDRESS(2,COLUMN())),OFFSET($BN$2,0,0,ROW()-1,60),ROW()-1,FALSE))</f>
        <v>41.713999999999999</v>
      </c>
      <c r="P100">
        <f ca="1">IF(AND(ISNUMBER($P$413),$B$294=1),$P$413,HLOOKUP(INDIRECT(ADDRESS(2,COLUMN())),OFFSET($BN$2,0,0,ROW()-1,60),ROW()-1,FALSE))</f>
        <v>52.433</v>
      </c>
      <c r="Q100">
        <f ca="1">IF(AND(ISNUMBER($Q$413),$B$294=1),$Q$413,HLOOKUP(INDIRECT(ADDRESS(2,COLUMN())),OFFSET($BN$2,0,0,ROW()-1,60),ROW()-1,FALSE))</f>
        <v>45.737000000000002</v>
      </c>
      <c r="R100">
        <f ca="1">IF(AND(ISNUMBER($R$413),$B$294=1),$R$413,HLOOKUP(INDIRECT(ADDRESS(2,COLUMN())),OFFSET($BN$2,0,0,ROW()-1,60),ROW()-1,FALSE))</f>
        <v>45.752000000000002</v>
      </c>
      <c r="S100">
        <f ca="1">IF(AND(ISNUMBER($S$413),$B$294=1),$S$413,HLOOKUP(INDIRECT(ADDRESS(2,COLUMN())),OFFSET($BN$2,0,0,ROW()-1,60),ROW()-1,FALSE))</f>
        <v>41.225999999999999</v>
      </c>
      <c r="T100">
        <f ca="1">IF(AND(ISNUMBER($T$413),$B$294=1),$T$413,HLOOKUP(INDIRECT(ADDRESS(2,COLUMN())),OFFSET($BN$2,0,0,ROW()-1,60),ROW()-1,FALSE))</f>
        <v>21.939</v>
      </c>
      <c r="U100">
        <f ca="1">IF(AND(ISNUMBER($U$413),$B$294=1),$U$413,HLOOKUP(INDIRECT(ADDRESS(2,COLUMN())),OFFSET($BN$2,0,0,ROW()-1,60),ROW()-1,FALSE))</f>
        <v>23.468</v>
      </c>
      <c r="V100">
        <f ca="1">IF(AND(ISNUMBER($V$413),$B$294=1),$V$413,HLOOKUP(INDIRECT(ADDRESS(2,COLUMN())),OFFSET($BN$2,0,0,ROW()-1,60),ROW()-1,FALSE))</f>
        <v>32.103999999999999</v>
      </c>
      <c r="W100">
        <f ca="1">IF(AND(ISNUMBER($W$413),$B$294=1),$W$413,HLOOKUP(INDIRECT(ADDRESS(2,COLUMN())),OFFSET($BN$2,0,0,ROW()-1,60),ROW()-1,FALSE))</f>
        <v>13.141</v>
      </c>
      <c r="X100">
        <f ca="1">IF(AND(ISNUMBER($X$413),$B$294=1),$X$413,HLOOKUP(INDIRECT(ADDRESS(2,COLUMN())),OFFSET($BN$2,0,0,ROW()-1,60),ROW()-1,FALSE))</f>
        <v>34.106000000000002</v>
      </c>
      <c r="Y100">
        <f ca="1">IF(AND(ISNUMBER($Y$413),$B$294=1),$Y$413,HLOOKUP(INDIRECT(ADDRESS(2,COLUMN())),OFFSET($BN$2,0,0,ROW()-1,60),ROW()-1,FALSE))</f>
        <v>33.701000000000001</v>
      </c>
      <c r="Z100">
        <f ca="1">IF(AND(ISNUMBER($Z$413),$B$294=1),$Z$413,HLOOKUP(INDIRECT(ADDRESS(2,COLUMN())),OFFSET($BN$2,0,0,ROW()-1,60),ROW()-1,FALSE))</f>
        <v>37.832999999999998</v>
      </c>
      <c r="AA100">
        <f ca="1">IF(AND(ISNUMBER($AA$413),$B$294=1),$AA$413,HLOOKUP(INDIRECT(ADDRESS(2,COLUMN())),OFFSET($BN$2,0,0,ROW()-1,60),ROW()-1,FALSE))</f>
        <v>54.555</v>
      </c>
      <c r="AB100">
        <f ca="1">IF(AND(ISNUMBER($AB$413),$B$294=1),$AB$413,HLOOKUP(INDIRECT(ADDRESS(2,COLUMN())),OFFSET($BN$2,0,0,ROW()-1,60),ROW()-1,FALSE))</f>
        <v>20.358000000000001</v>
      </c>
      <c r="AC100">
        <f ca="1">IF(AND(ISNUMBER($AC$413),$B$294=1),$AC$413,HLOOKUP(INDIRECT(ADDRESS(2,COLUMN())),OFFSET($BN$2,0,0,ROW()-1,60),ROW()-1,FALSE))</f>
        <v>36.299999999999997</v>
      </c>
      <c r="AD100">
        <f ca="1">IF(AND(ISNUMBER($AD$413),$B$294=1),$AD$413,HLOOKUP(INDIRECT(ADDRESS(2,COLUMN())),OFFSET($BN$2,0,0,ROW()-1,60),ROW()-1,FALSE))</f>
        <v>50.11</v>
      </c>
      <c r="AE100">
        <f ca="1">IF(AND(ISNUMBER($AE$413),$B$294=1),$AE$413,HLOOKUP(INDIRECT(ADDRESS(2,COLUMN())),OFFSET($BN$2,0,0,ROW()-1,60),ROW()-1,FALSE))</f>
        <v>44.728000000000002</v>
      </c>
      <c r="AF100">
        <f ca="1">IF(AND(ISNUMBER($AF$413),$B$294=1),$AF$413,HLOOKUP(INDIRECT(ADDRESS(2,COLUMN())),OFFSET($BN$2,0,0,ROW()-1,60),ROW()-1,FALSE))</f>
        <v>50.703000000000003</v>
      </c>
      <c r="AG100">
        <f ca="1">IF(AND(ISNUMBER($AG$413),$B$294=1),$AG$413,HLOOKUP(INDIRECT(ADDRESS(2,COLUMN())),OFFSET($BN$2,0,0,ROW()-1,60),ROW()-1,FALSE))</f>
        <v>51.293999999999997</v>
      </c>
      <c r="AH100">
        <f ca="1">IF(AND(ISNUMBER($AH$413),$B$294=1),$AH$413,HLOOKUP(INDIRECT(ADDRESS(2,COLUMN())),OFFSET($BN$2,0,0,ROW()-1,60),ROW()-1,FALSE))</f>
        <v>56.284999999999997</v>
      </c>
      <c r="AI100">
        <f ca="1">IF(AND(ISNUMBER($AI$413),$B$294=1),$AI$413,HLOOKUP(INDIRECT(ADDRESS(2,COLUMN())),OFFSET($BN$2,0,0,ROW()-1,60),ROW()-1,FALSE))</f>
        <v>42.287999999999997</v>
      </c>
      <c r="AJ100">
        <f ca="1">IF(AND(ISNUMBER($AJ$413),$B$294=1),$AJ$413,HLOOKUP(INDIRECT(ADDRESS(2,COLUMN())),OFFSET($BN$2,0,0,ROW()-1,60),ROW()-1,FALSE))</f>
        <v>67.084000000000003</v>
      </c>
      <c r="AK100">
        <f ca="1">IF(AND(ISNUMBER($AK$413),$B$294=1),$AK$413,HLOOKUP(INDIRECT(ADDRESS(2,COLUMN())),OFFSET($BN$2,0,0,ROW()-1,60),ROW()-1,FALSE))</f>
        <v>55.86</v>
      </c>
      <c r="AL100">
        <f ca="1">IF(AND(ISNUMBER($AL$413),$B$294=1),$AL$413,HLOOKUP(INDIRECT(ADDRESS(2,COLUMN())),OFFSET($BN$2,0,0,ROW()-1,60),ROW()-1,FALSE))</f>
        <v>60.290999999999997</v>
      </c>
      <c r="AM100">
        <f ca="1">IF(AND(ISNUMBER($AM$413),$B$294=1),$AM$413,HLOOKUP(INDIRECT(ADDRESS(2,COLUMN())),OFFSET($BN$2,0,0,ROW()-1,60),ROW()-1,FALSE))</f>
        <v>47.433</v>
      </c>
      <c r="AN100">
        <f ca="1">IF(AND(ISNUMBER($AN$413),$B$294=1),$AN$413,HLOOKUP(INDIRECT(ADDRESS(2,COLUMN())),OFFSET($BN$2,0,0,ROW()-1,60),ROW()-1,FALSE))</f>
        <v>61.363999999999997</v>
      </c>
      <c r="AO100">
        <f ca="1">IF(AND(ISNUMBER($AO$413),$B$294=1),$AO$413,HLOOKUP(INDIRECT(ADDRESS(2,COLUMN())),OFFSET($BN$2,0,0,ROW()-1,60),ROW()-1,FALSE))</f>
        <v>59.442999999999998</v>
      </c>
      <c r="AP100">
        <f ca="1">IF(AND(ISNUMBER($AP$413),$B$294=1),$AP$413,HLOOKUP(INDIRECT(ADDRESS(2,COLUMN())),OFFSET($BN$2,0,0,ROW()-1,60),ROW()-1,FALSE))</f>
        <v>64.885000000000005</v>
      </c>
      <c r="AQ100">
        <f ca="1">IF(AND(ISNUMBER($AQ$413),$B$294=1),$AQ$413,HLOOKUP(INDIRECT(ADDRESS(2,COLUMN())),OFFSET($BN$2,0,0,ROW()-1,60),ROW()-1,FALSE))</f>
        <v>77.308999999999997</v>
      </c>
      <c r="AR100">
        <f ca="1">IF(AND(ISNUMBER($AR$413),$B$294=1),$AR$413,HLOOKUP(INDIRECT(ADDRESS(2,COLUMN())),OFFSET($BN$2,0,0,ROW()-1,60),ROW()-1,FALSE))</f>
        <v>74.290999999999997</v>
      </c>
      <c r="AS100">
        <f ca="1">IF(AND(ISNUMBER($AS$413),$B$294=1),$AS$413,HLOOKUP(INDIRECT(ADDRESS(2,COLUMN())),OFFSET($BN$2,0,0,ROW()-1,60),ROW()-1,FALSE))</f>
        <v>69.581999999999994</v>
      </c>
      <c r="AT100">
        <f ca="1">IF(AND(ISNUMBER($AT$413),$B$294=1),$AT$413,HLOOKUP(INDIRECT(ADDRESS(2,COLUMN())),OFFSET($BN$2,0,0,ROW()-1,60),ROW()-1,FALSE))</f>
        <v>76.680999999999997</v>
      </c>
      <c r="AU100">
        <f ca="1">IF(AND(ISNUMBER($AU$413),$B$294=1),$AU$413,HLOOKUP(INDIRECT(ADDRESS(2,COLUMN())),OFFSET($BN$2,0,0,ROW()-1,60),ROW()-1,FALSE))</f>
        <v>73.611999999999995</v>
      </c>
      <c r="AV100">
        <f ca="1">IF(AND(ISNUMBER($AV$413),$B$294=1),$AV$413,HLOOKUP(INDIRECT(ADDRESS(2,COLUMN())),OFFSET($BN$2,0,0,ROW()-1,60),ROW()-1,FALSE))</f>
        <v>69.563000000000002</v>
      </c>
      <c r="AW100">
        <f ca="1">IF(AND(ISNUMBER($AW$413),$B$294=1),$AW$413,HLOOKUP(INDIRECT(ADDRESS(2,COLUMN())),OFFSET($BN$2,0,0,ROW()-1,60),ROW()-1,FALSE))</f>
        <v>67.040000000000006</v>
      </c>
      <c r="AX100">
        <f ca="1">IF(AND(ISNUMBER($AX$413),$B$294=1),$AX$413,HLOOKUP(INDIRECT(ADDRESS(2,COLUMN())),OFFSET($BN$2,0,0,ROW()-1,60),ROW()-1,FALSE))</f>
        <v>69.888999999999996</v>
      </c>
      <c r="AY100">
        <f ca="1">IF(AND(ISNUMBER($AY$413),$B$294=1),$AY$413,HLOOKUP(INDIRECT(ADDRESS(2,COLUMN())),OFFSET($BN$2,0,0,ROW()-1,60),ROW()-1,FALSE))</f>
        <v>65.942999999999998</v>
      </c>
      <c r="AZ100">
        <f ca="1">IF(AND(ISNUMBER($AZ$413),$B$294=1),$AZ$413,HLOOKUP(INDIRECT(ADDRESS(2,COLUMN())),OFFSET($BN$2,0,0,ROW()-1,60),ROW()-1,FALSE))</f>
        <v>73.036000000000001</v>
      </c>
      <c r="BA100">
        <f ca="1">IF(AND(ISNUMBER($BA$413),$B$294=1),$BA$413,HLOOKUP(INDIRECT(ADDRESS(2,COLUMN())),OFFSET($BN$2,0,0,ROW()-1,60),ROW()-1,FALSE))</f>
        <v>64.506</v>
      </c>
      <c r="BB100">
        <f ca="1">IF(AND(ISNUMBER($BB$413),$B$294=1),$BB$413,HLOOKUP(INDIRECT(ADDRESS(2,COLUMN())),OFFSET($BN$2,0,0,ROW()-1,60),ROW()-1,FALSE))</f>
        <v>68.057000000000002</v>
      </c>
      <c r="BC100">
        <f ca="1">IF(AND(ISNUMBER($BC$413),$B$294=1),$BC$413,HLOOKUP(INDIRECT(ADDRESS(2,COLUMN())),OFFSET($BN$2,0,0,ROW()-1,60),ROW()-1,FALSE))</f>
        <v>68.087000000000003</v>
      </c>
      <c r="BD100">
        <f ca="1">IF(AND(ISNUMBER($BD$413),$B$294=1),$BD$413,HLOOKUP(INDIRECT(ADDRESS(2,COLUMN())),OFFSET($BN$2,0,0,ROW()-1,60),ROW()-1,FALSE))</f>
        <v>72.972999999999999</v>
      </c>
      <c r="BE100">
        <f ca="1">IF(AND(ISNUMBER($BE$413),$B$294=1),$BE$413,HLOOKUP(INDIRECT(ADDRESS(2,COLUMN())),OFFSET($BN$2,0,0,ROW()-1,60),ROW()-1,FALSE))</f>
        <v>67.010000000000005</v>
      </c>
      <c r="BF100">
        <f ca="1">IF(AND(ISNUMBER($BF$413),$B$294=1),$BF$413,HLOOKUP(INDIRECT(ADDRESS(2,COLUMN())),OFFSET($BN$2,0,0,ROW()-1,60),ROW()-1,FALSE))</f>
        <v>93.05</v>
      </c>
      <c r="BG100">
        <f ca="1">IF(AND(ISNUMBER($BG$413),$B$294=1),$BG$413,HLOOKUP(INDIRECT(ADDRESS(2,COLUMN())),OFFSET($BN$2,0,0,ROW()-1,60),ROW()-1,FALSE))</f>
        <v>98.649000000000001</v>
      </c>
      <c r="BH100">
        <f ca="1">IF(AND(ISNUMBER($BH$413),$B$294=1),$BH$413,HLOOKUP(INDIRECT(ADDRESS(2,COLUMN())),OFFSET($BN$2,0,0,ROW()-1,60),ROW()-1,FALSE))</f>
        <v>85.756</v>
      </c>
      <c r="BI100">
        <f ca="1">IF(AND(ISNUMBER($BI$413),$B$294=1),$BI$413,HLOOKUP(INDIRECT(ADDRESS(2,COLUMN())),OFFSET($BN$2,0,0,ROW()-1,60),ROW()-1,FALSE))</f>
        <v>95.262001040000001</v>
      </c>
      <c r="BJ100">
        <f ca="1">IF(AND(ISNUMBER($BJ$413),$B$294=1),$BJ$413,HLOOKUP(INDIRECT(ADDRESS(2,COLUMN())),OFFSET($BN$2,0,0,ROW()-1,60),ROW()-1,FALSE))</f>
        <v>83.623001099999996</v>
      </c>
      <c r="BK100">
        <f ca="1">IF(AND(ISNUMBER($BK$413),$B$294=1),$BK$413,HLOOKUP(INDIRECT(ADDRESS(2,COLUMN())),OFFSET($BN$2,0,0,ROW()-1,60),ROW()-1,FALSE))</f>
        <v>71.882003780000005</v>
      </c>
      <c r="BL100">
        <f ca="1">IF(AND(ISNUMBER($BL$413),$B$294=1),$BL$413,HLOOKUP(INDIRECT(ADDRESS(2,COLUMN())),OFFSET($BN$2,0,0,ROW()-1,60),ROW()-1,FALSE))</f>
        <v>64.483001709999996</v>
      </c>
      <c r="BM100">
        <f ca="1">IF(AND(ISNUMBER($BM$413),$B$294=1),$BM$413,HLOOKUP(INDIRECT(ADDRESS(2,COLUMN())),OFFSET($BN$2,0,0,ROW()-1,60),ROW()-1,FALSE))</f>
        <v>54.09500122</v>
      </c>
      <c r="BN100" t="str">
        <f>""</f>
        <v/>
      </c>
      <c r="BO100">
        <f>63.437</f>
        <v>63.436999999999998</v>
      </c>
      <c r="BP100">
        <f>52.37</f>
        <v>52.37</v>
      </c>
      <c r="BQ100">
        <f>50.87</f>
        <v>50.87</v>
      </c>
      <c r="BR100">
        <f>54.124</f>
        <v>54.124000000000002</v>
      </c>
      <c r="BS100">
        <f>45.641</f>
        <v>45.640999999999998</v>
      </c>
      <c r="BT100">
        <f>52.394</f>
        <v>52.393999999999998</v>
      </c>
      <c r="BU100">
        <f>49.671</f>
        <v>49.670999999999999</v>
      </c>
      <c r="BV100">
        <f>43.562</f>
        <v>43.561999999999998</v>
      </c>
      <c r="BW100">
        <f>41.714</f>
        <v>41.713999999999999</v>
      </c>
      <c r="BX100">
        <f>52.433</f>
        <v>52.433</v>
      </c>
      <c r="BY100">
        <f>45.737</f>
        <v>45.737000000000002</v>
      </c>
      <c r="BZ100">
        <f>45.752</f>
        <v>45.752000000000002</v>
      </c>
      <c r="CA100">
        <f>41.226</f>
        <v>41.225999999999999</v>
      </c>
      <c r="CB100">
        <f>21.939</f>
        <v>21.939</v>
      </c>
      <c r="CC100">
        <f>23.468</f>
        <v>23.468</v>
      </c>
      <c r="CD100">
        <f>32.104</f>
        <v>32.103999999999999</v>
      </c>
      <c r="CE100">
        <f>13.141</f>
        <v>13.141</v>
      </c>
      <c r="CF100">
        <f>34.106</f>
        <v>34.106000000000002</v>
      </c>
      <c r="CG100">
        <f>33.701</f>
        <v>33.701000000000001</v>
      </c>
      <c r="CH100">
        <f>37.833</f>
        <v>37.832999999999998</v>
      </c>
      <c r="CI100">
        <f>54.555</f>
        <v>54.555</v>
      </c>
      <c r="CJ100">
        <f>20.358</f>
        <v>20.358000000000001</v>
      </c>
      <c r="CK100">
        <f>36.3</f>
        <v>36.299999999999997</v>
      </c>
      <c r="CL100">
        <f>50.11</f>
        <v>50.11</v>
      </c>
      <c r="CM100">
        <f>44.728</f>
        <v>44.728000000000002</v>
      </c>
      <c r="CN100">
        <f>50.703</f>
        <v>50.703000000000003</v>
      </c>
      <c r="CO100">
        <f>51.294</f>
        <v>51.293999999999997</v>
      </c>
      <c r="CP100">
        <f>56.285</f>
        <v>56.284999999999997</v>
      </c>
      <c r="CQ100">
        <f>42.288</f>
        <v>42.287999999999997</v>
      </c>
      <c r="CR100">
        <f>67.084</f>
        <v>67.084000000000003</v>
      </c>
      <c r="CS100">
        <f>55.86</f>
        <v>55.86</v>
      </c>
      <c r="CT100">
        <f>60.291</f>
        <v>60.290999999999997</v>
      </c>
      <c r="CU100">
        <f>47.433</f>
        <v>47.433</v>
      </c>
      <c r="CV100">
        <f>61.364</f>
        <v>61.363999999999997</v>
      </c>
      <c r="CW100">
        <f>59.443</f>
        <v>59.442999999999998</v>
      </c>
      <c r="CX100">
        <f>64.885</f>
        <v>64.885000000000005</v>
      </c>
      <c r="CY100">
        <f>77.309</f>
        <v>77.308999999999997</v>
      </c>
      <c r="CZ100">
        <f>74.291</f>
        <v>74.290999999999997</v>
      </c>
      <c r="DA100">
        <f>69.582</f>
        <v>69.581999999999994</v>
      </c>
      <c r="DB100">
        <f>76.681</f>
        <v>76.680999999999997</v>
      </c>
      <c r="DC100">
        <f>73.612</f>
        <v>73.611999999999995</v>
      </c>
      <c r="DD100">
        <f>69.563</f>
        <v>69.563000000000002</v>
      </c>
      <c r="DE100">
        <f>67.04</f>
        <v>67.040000000000006</v>
      </c>
      <c r="DF100">
        <f>69.889</f>
        <v>69.888999999999996</v>
      </c>
      <c r="DG100">
        <f>65.943</f>
        <v>65.942999999999998</v>
      </c>
      <c r="DH100">
        <f>73.036</f>
        <v>73.036000000000001</v>
      </c>
      <c r="DI100">
        <f>64.506</f>
        <v>64.506</v>
      </c>
      <c r="DJ100">
        <f>68.057</f>
        <v>68.057000000000002</v>
      </c>
      <c r="DK100">
        <f>68.087</f>
        <v>68.087000000000003</v>
      </c>
      <c r="DL100">
        <f>72.973</f>
        <v>72.972999999999999</v>
      </c>
      <c r="DM100">
        <f>67.01</f>
        <v>67.010000000000005</v>
      </c>
      <c r="DN100">
        <f>93.05</f>
        <v>93.05</v>
      </c>
      <c r="DO100">
        <f>98.649</f>
        <v>98.649000000000001</v>
      </c>
      <c r="DP100">
        <f>85.756</f>
        <v>85.756</v>
      </c>
      <c r="DQ100">
        <f>95.26200104</f>
        <v>95.262001040000001</v>
      </c>
      <c r="DR100">
        <f>83.6230011</f>
        <v>83.623001099999996</v>
      </c>
      <c r="DS100">
        <f>71.88200378</f>
        <v>71.882003780000005</v>
      </c>
      <c r="DT100">
        <f>64.48300171</f>
        <v>64.483001709999996</v>
      </c>
      <c r="DU100">
        <f>54.09500122</f>
        <v>54.09500122</v>
      </c>
    </row>
    <row r="101" spans="1:125">
      <c r="A101" t="str">
        <f>"    SL Green Realty Corp"</f>
        <v xml:space="preserve">    SL Green Realty Corp</v>
      </c>
      <c r="B101" t="str">
        <f>"SLG US Equity"</f>
        <v>SLG US Equity</v>
      </c>
      <c r="C101" t="str">
        <f t="shared" si="24"/>
        <v>F0578</v>
      </c>
      <c r="D101" t="str">
        <f t="shared" si="25"/>
        <v>FUNDS_AVAILABLE_FOR_DISTRIBUTION</v>
      </c>
      <c r="E101" t="str">
        <f t="shared" si="26"/>
        <v>动态</v>
      </c>
      <c r="F101" t="str">
        <f ca="1">IF(AND(ISNUMBER($F$414),$B$294=1),$F$414,HLOOKUP(INDIRECT(ADDRESS(2,COLUMN())),OFFSET($BN$2,0,0,ROW()-1,60),ROW()-1,FALSE))</f>
        <v/>
      </c>
      <c r="G101">
        <f ca="1">IF(AND(ISNUMBER($G$414),$B$294=1),$G$414,HLOOKUP(INDIRECT(ADDRESS(2,COLUMN())),OFFSET($BN$2,0,0,ROW()-1,60),ROW()-1,FALSE))</f>
        <v>85.347999999999999</v>
      </c>
      <c r="H101">
        <f ca="1">IF(AND(ISNUMBER($H$414),$B$294=1),$H$414,HLOOKUP(INDIRECT(ADDRESS(2,COLUMN())),OFFSET($BN$2,0,0,ROW()-1,60),ROW()-1,FALSE))</f>
        <v>80.563000000000002</v>
      </c>
      <c r="I101">
        <f ca="1">IF(AND(ISNUMBER($I$414),$B$294=1),$I$414,HLOOKUP(INDIRECT(ADDRESS(2,COLUMN())),OFFSET($BN$2,0,0,ROW()-1,60),ROW()-1,FALSE))</f>
        <v>122.452</v>
      </c>
      <c r="J101">
        <f ca="1">IF(AND(ISNUMBER($J$414),$B$294=1),$J$414,HLOOKUP(INDIRECT(ADDRESS(2,COLUMN())),OFFSET($BN$2,0,0,ROW()-1,60),ROW()-1,FALSE))</f>
        <v>134.63800000000001</v>
      </c>
      <c r="K101">
        <f ca="1">IF(AND(ISNUMBER($K$414),$B$294=1),$K$414,HLOOKUP(INDIRECT(ADDRESS(2,COLUMN())),OFFSET($BN$2,0,0,ROW()-1,60),ROW()-1,FALSE))</f>
        <v>75.515000000000001</v>
      </c>
      <c r="L101">
        <f ca="1">IF(AND(ISNUMBER($L$414),$B$294=1),$L$414,HLOOKUP(INDIRECT(ADDRESS(2,COLUMN())),OFFSET($BN$2,0,0,ROW()-1,60),ROW()-1,FALSE))</f>
        <v>90.082999999999998</v>
      </c>
      <c r="M101">
        <f ca="1">IF(AND(ISNUMBER($M$414),$B$294=1),$M$414,HLOOKUP(INDIRECT(ADDRESS(2,COLUMN())),OFFSET($BN$2,0,0,ROW()-1,60),ROW()-1,FALSE))</f>
        <v>123.54</v>
      </c>
      <c r="N101">
        <f ca="1">IF(AND(ISNUMBER($N$414),$B$294=1),$N$414,HLOOKUP(INDIRECT(ADDRESS(2,COLUMN())),OFFSET($BN$2,0,0,ROW()-1,60),ROW()-1,FALSE))</f>
        <v>157.309</v>
      </c>
      <c r="O101">
        <f ca="1">IF(AND(ISNUMBER($O$414),$B$294=1),$O$414,HLOOKUP(INDIRECT(ADDRESS(2,COLUMN())),OFFSET($BN$2,0,0,ROW()-1,60),ROW()-1,FALSE))</f>
        <v>24.544</v>
      </c>
      <c r="P101">
        <f ca="1">IF(AND(ISNUMBER($P$414),$B$294=1),$P$414,HLOOKUP(INDIRECT(ADDRESS(2,COLUMN())),OFFSET($BN$2,0,0,ROW()-1,60),ROW()-1,FALSE))</f>
        <v>108.875</v>
      </c>
      <c r="Q101">
        <f ca="1">IF(AND(ISNUMBER($Q$414),$B$294=1),$Q$414,HLOOKUP(INDIRECT(ADDRESS(2,COLUMN())),OFFSET($BN$2,0,0,ROW()-1,60),ROW()-1,FALSE))</f>
        <v>97.09</v>
      </c>
      <c r="R101">
        <f ca="1">IF(AND(ISNUMBER($R$414),$B$294=1),$R$414,HLOOKUP(INDIRECT(ADDRESS(2,COLUMN())),OFFSET($BN$2,0,0,ROW()-1,60),ROW()-1,FALSE))</f>
        <v>108.693</v>
      </c>
      <c r="S101">
        <f ca="1">IF(AND(ISNUMBER($S$414),$B$294=1),$S$414,HLOOKUP(INDIRECT(ADDRESS(2,COLUMN())),OFFSET($BN$2,0,0,ROW()-1,60),ROW()-1,FALSE))</f>
        <v>104.252</v>
      </c>
      <c r="T101">
        <f ca="1">IF(AND(ISNUMBER($T$414),$B$294=1),$T$414,HLOOKUP(INDIRECT(ADDRESS(2,COLUMN())),OFFSET($BN$2,0,0,ROW()-1,60),ROW()-1,FALSE))</f>
        <v>20.57</v>
      </c>
      <c r="U101">
        <f ca="1">IF(AND(ISNUMBER($U$414),$B$294=1),$U$414,HLOOKUP(INDIRECT(ADDRESS(2,COLUMN())),OFFSET($BN$2,0,0,ROW()-1,60),ROW()-1,FALSE))</f>
        <v>100.313</v>
      </c>
      <c r="V101">
        <f ca="1">IF(AND(ISNUMBER($V$414),$B$294=1),$V$414,HLOOKUP(INDIRECT(ADDRESS(2,COLUMN())),OFFSET($BN$2,0,0,ROW()-1,60),ROW()-1,FALSE))</f>
        <v>108.815</v>
      </c>
      <c r="W101">
        <f ca="1">IF(AND(ISNUMBER($W$414),$B$294=1),$W$414,HLOOKUP(INDIRECT(ADDRESS(2,COLUMN())),OFFSET($BN$2,0,0,ROW()-1,60),ROW()-1,FALSE))</f>
        <v>102.045</v>
      </c>
      <c r="X101">
        <f ca="1">IF(AND(ISNUMBER($X$414),$B$294=1),$X$414,HLOOKUP(INDIRECT(ADDRESS(2,COLUMN())),OFFSET($BN$2,0,0,ROW()-1,60),ROW()-1,FALSE))</f>
        <v>108.43300000000001</v>
      </c>
      <c r="Y101">
        <f ca="1">IF(AND(ISNUMBER($Y$414),$B$294=1),$Y$414,HLOOKUP(INDIRECT(ADDRESS(2,COLUMN())),OFFSET($BN$2,0,0,ROW()-1,60),ROW()-1,FALSE))</f>
        <v>100.047</v>
      </c>
      <c r="Z101">
        <f ca="1">IF(AND(ISNUMBER($Z$414),$B$294=1),$Z$414,HLOOKUP(INDIRECT(ADDRESS(2,COLUMN())),OFFSET($BN$2,0,0,ROW()-1,60),ROW()-1,FALSE))</f>
        <v>109.401</v>
      </c>
      <c r="AA101">
        <f ca="1">IF(AND(ISNUMBER($AA$414),$B$294=1),$AA$414,HLOOKUP(INDIRECT(ADDRESS(2,COLUMN())),OFFSET($BN$2,0,0,ROW()-1,60),ROW()-1,FALSE))</f>
        <v>70.861000000000004</v>
      </c>
      <c r="AB101">
        <f ca="1">IF(AND(ISNUMBER($AB$414),$B$294=1),$AB$414,HLOOKUP(INDIRECT(ADDRESS(2,COLUMN())),OFFSET($BN$2,0,0,ROW()-1,60),ROW()-1,FALSE))</f>
        <v>77.747</v>
      </c>
      <c r="AC101">
        <f ca="1">IF(AND(ISNUMBER($AC$414),$B$294=1),$AC$414,HLOOKUP(INDIRECT(ADDRESS(2,COLUMN())),OFFSET($BN$2,0,0,ROW()-1,60),ROW()-1,FALSE))</f>
        <v>0.46400000000000002</v>
      </c>
      <c r="AD101">
        <f ca="1">IF(AND(ISNUMBER($AD$414),$B$294=1),$AD$414,HLOOKUP(INDIRECT(ADDRESS(2,COLUMN())),OFFSET($BN$2,0,0,ROW()-1,60),ROW()-1,FALSE))</f>
        <v>80.191000000000003</v>
      </c>
      <c r="AE101">
        <f ca="1">IF(AND(ISNUMBER($AE$414),$B$294=1),$AE$414,HLOOKUP(INDIRECT(ADDRESS(2,COLUMN())),OFFSET($BN$2,0,0,ROW()-1,60),ROW()-1,FALSE))</f>
        <v>48.107999999999997</v>
      </c>
      <c r="AF101">
        <f ca="1">IF(AND(ISNUMBER($AF$414),$B$294=1),$AF$414,HLOOKUP(INDIRECT(ADDRESS(2,COLUMN())),OFFSET($BN$2,0,0,ROW()-1,60),ROW()-1,FALSE))</f>
        <v>38.604999999999997</v>
      </c>
      <c r="AG101">
        <f ca="1">IF(AND(ISNUMBER($AG$414),$B$294=1),$AG$414,HLOOKUP(INDIRECT(ADDRESS(2,COLUMN())),OFFSET($BN$2,0,0,ROW()-1,60),ROW()-1,FALSE))</f>
        <v>52.212000000000003</v>
      </c>
      <c r="AH101">
        <f ca="1">IF(AND(ISNUMBER($AH$414),$B$294=1),$AH$414,HLOOKUP(INDIRECT(ADDRESS(2,COLUMN())),OFFSET($BN$2,0,0,ROW()-1,60),ROW()-1,FALSE))</f>
        <v>43.328000000000003</v>
      </c>
      <c r="AI101">
        <f ca="1">IF(AND(ISNUMBER($AI$414),$B$294=1),$AI$414,HLOOKUP(INDIRECT(ADDRESS(2,COLUMN())),OFFSET($BN$2,0,0,ROW()-1,60),ROW()-1,FALSE))</f>
        <v>34.021000000000001</v>
      </c>
      <c r="AJ101">
        <f ca="1">IF(AND(ISNUMBER($AJ$414),$B$294=1),$AJ$414,HLOOKUP(INDIRECT(ADDRESS(2,COLUMN())),OFFSET($BN$2,0,0,ROW()-1,60),ROW()-1,FALSE))</f>
        <v>50.466000000000001</v>
      </c>
      <c r="AK101">
        <f ca="1">IF(AND(ISNUMBER($AK$414),$B$294=1),$AK$414,HLOOKUP(INDIRECT(ADDRESS(2,COLUMN())),OFFSET($BN$2,0,0,ROW()-1,60),ROW()-1,FALSE))</f>
        <v>57.889000000000003</v>
      </c>
      <c r="AL101">
        <f ca="1">IF(AND(ISNUMBER($AL$414),$B$294=1),$AL$414,HLOOKUP(INDIRECT(ADDRESS(2,COLUMN())),OFFSET($BN$2,0,0,ROW()-1,60),ROW()-1,FALSE))</f>
        <v>54.822000000000003</v>
      </c>
      <c r="AM101">
        <f ca="1">IF(AND(ISNUMBER($AM$414),$B$294=1),$AM$414,HLOOKUP(INDIRECT(ADDRESS(2,COLUMN())),OFFSET($BN$2,0,0,ROW()-1,60),ROW()-1,FALSE))</f>
        <v>46.835999999999999</v>
      </c>
      <c r="AN101">
        <f ca="1">IF(AND(ISNUMBER($AN$414),$B$294=1),$AN$414,HLOOKUP(INDIRECT(ADDRESS(2,COLUMN())),OFFSET($BN$2,0,0,ROW()-1,60),ROW()-1,FALSE))</f>
        <v>60.216000000000001</v>
      </c>
      <c r="AO101">
        <f ca="1">IF(AND(ISNUMBER($AO$414),$B$294=1),$AO$414,HLOOKUP(INDIRECT(ADDRESS(2,COLUMN())),OFFSET($BN$2,0,0,ROW()-1,60),ROW()-1,FALSE))</f>
        <v>66.653999999999996</v>
      </c>
      <c r="AP101">
        <f ca="1">IF(AND(ISNUMBER($AP$414),$B$294=1),$AP$414,HLOOKUP(INDIRECT(ADDRESS(2,COLUMN())),OFFSET($BN$2,0,0,ROW()-1,60),ROW()-1,FALSE))</f>
        <v>54.924999999999997</v>
      </c>
      <c r="AQ101">
        <f ca="1">IF(AND(ISNUMBER($AQ$414),$B$294=1),$AQ$414,HLOOKUP(INDIRECT(ADDRESS(2,COLUMN())),OFFSET($BN$2,0,0,ROW()-1,60),ROW()-1,FALSE))</f>
        <v>57.603999999999999</v>
      </c>
      <c r="AR101">
        <f ca="1">IF(AND(ISNUMBER($AR$414),$B$294=1),$AR$414,HLOOKUP(INDIRECT(ADDRESS(2,COLUMN())),OFFSET($BN$2,0,0,ROW()-1,60),ROW()-1,FALSE))</f>
        <v>55.948</v>
      </c>
      <c r="AS101">
        <f ca="1">IF(AND(ISNUMBER($AS$414),$B$294=1),$AS$414,HLOOKUP(INDIRECT(ADDRESS(2,COLUMN())),OFFSET($BN$2,0,0,ROW()-1,60),ROW()-1,FALSE))</f>
        <v>94.811000000000007</v>
      </c>
      <c r="AT101">
        <f ca="1">IF(AND(ISNUMBER($AT$414),$B$294=1),$AT$414,HLOOKUP(INDIRECT(ADDRESS(2,COLUMN())),OFFSET($BN$2,0,0,ROW()-1,60),ROW()-1,FALSE))</f>
        <v>61.384</v>
      </c>
      <c r="AU101">
        <f ca="1">IF(AND(ISNUMBER($AU$414),$B$294=1),$AU$414,HLOOKUP(INDIRECT(ADDRESS(2,COLUMN())),OFFSET($BN$2,0,0,ROW()-1,60),ROW()-1,FALSE))</f>
        <v>52.389000000000003</v>
      </c>
      <c r="AV101">
        <f ca="1">IF(AND(ISNUMBER($AV$414),$B$294=1),$AV$414,HLOOKUP(INDIRECT(ADDRESS(2,COLUMN())),OFFSET($BN$2,0,0,ROW()-1,60),ROW()-1,FALSE))</f>
        <v>53.088999999999999</v>
      </c>
      <c r="AW101">
        <f ca="1">IF(AND(ISNUMBER($AW$414),$B$294=1),$AW$414,HLOOKUP(INDIRECT(ADDRESS(2,COLUMN())),OFFSET($BN$2,0,0,ROW()-1,60),ROW()-1,FALSE))</f>
        <v>61.444000000000003</v>
      </c>
      <c r="AX101">
        <f ca="1">IF(AND(ISNUMBER($AX$414),$B$294=1),$AX$414,HLOOKUP(INDIRECT(ADDRESS(2,COLUMN())),OFFSET($BN$2,0,0,ROW()-1,60),ROW()-1,FALSE))</f>
        <v>117.801</v>
      </c>
      <c r="AY101">
        <f ca="1">IF(AND(ISNUMBER($AY$414),$B$294=1),$AY$414,HLOOKUP(INDIRECT(ADDRESS(2,COLUMN())),OFFSET($BN$2,0,0,ROW()-1,60),ROW()-1,FALSE))</f>
        <v>36.94</v>
      </c>
      <c r="AZ101">
        <f ca="1">IF(AND(ISNUMBER($AZ$414),$B$294=1),$AZ$414,HLOOKUP(INDIRECT(ADDRESS(2,COLUMN())),OFFSET($BN$2,0,0,ROW()-1,60),ROW()-1,FALSE))</f>
        <v>40.037999999999997</v>
      </c>
      <c r="BA101">
        <f ca="1">IF(AND(ISNUMBER($BA$414),$B$294=1),$BA$414,HLOOKUP(INDIRECT(ADDRESS(2,COLUMN())),OFFSET($BN$2,0,0,ROW()-1,60),ROW()-1,FALSE))</f>
        <v>44.031999999999996</v>
      </c>
      <c r="BB101">
        <f ca="1">IF(AND(ISNUMBER($BB$414),$B$294=1),$BB$414,HLOOKUP(INDIRECT(ADDRESS(2,COLUMN())),OFFSET($BN$2,0,0,ROW()-1,60),ROW()-1,FALSE))</f>
        <v>37.087000000000003</v>
      </c>
      <c r="BC101">
        <f ca="1">IF(AND(ISNUMBER($BC$414),$B$294=1),$BC$414,HLOOKUP(INDIRECT(ADDRESS(2,COLUMN())),OFFSET($BN$2,0,0,ROW()-1,60),ROW()-1,FALSE))</f>
        <v>46.874000000000002</v>
      </c>
      <c r="BD101">
        <f ca="1">IF(AND(ISNUMBER($BD$414),$B$294=1),$BD$414,HLOOKUP(INDIRECT(ADDRESS(2,COLUMN())),OFFSET($BN$2,0,0,ROW()-1,60),ROW()-1,FALSE))</f>
        <v>51.704999999999998</v>
      </c>
      <c r="BE101">
        <f ca="1">IF(AND(ISNUMBER($BE$414),$B$294=1),$BE$414,HLOOKUP(INDIRECT(ADDRESS(2,COLUMN())),OFFSET($BN$2,0,0,ROW()-1,60),ROW()-1,FALSE))</f>
        <v>46.372</v>
      </c>
      <c r="BF101">
        <f ca="1">IF(AND(ISNUMBER($BF$414),$B$294=1),$BF$414,HLOOKUP(INDIRECT(ADDRESS(2,COLUMN())),OFFSET($BN$2,0,0,ROW()-1,60),ROW()-1,FALSE))</f>
        <v>44.561</v>
      </c>
      <c r="BG101">
        <f ca="1">IF(AND(ISNUMBER($BG$414),$B$294=1),$BG$414,HLOOKUP(INDIRECT(ADDRESS(2,COLUMN())),OFFSET($BN$2,0,0,ROW()-1,60),ROW()-1,FALSE))</f>
        <v>42.578000000000003</v>
      </c>
      <c r="BH101">
        <f ca="1">IF(AND(ISNUMBER($BH$414),$B$294=1),$BH$414,HLOOKUP(INDIRECT(ADDRESS(2,COLUMN())),OFFSET($BN$2,0,0,ROW()-1,60),ROW()-1,FALSE))</f>
        <v>40.662999999999997</v>
      </c>
      <c r="BI101">
        <f ca="1">IF(AND(ISNUMBER($BI$414),$B$294=1),$BI$414,HLOOKUP(INDIRECT(ADDRESS(2,COLUMN())),OFFSET($BN$2,0,0,ROW()-1,60),ROW()-1,FALSE))</f>
        <v>44.146000000000001</v>
      </c>
      <c r="BJ101">
        <f ca="1">IF(AND(ISNUMBER($BJ$414),$B$294=1),$BJ$414,HLOOKUP(INDIRECT(ADDRESS(2,COLUMN())),OFFSET($BN$2,0,0,ROW()-1,60),ROW()-1,FALSE))</f>
        <v>34.99</v>
      </c>
      <c r="BK101">
        <f ca="1">IF(AND(ISNUMBER($BK$414),$B$294=1),$BK$414,HLOOKUP(INDIRECT(ADDRESS(2,COLUMN())),OFFSET($BN$2,0,0,ROW()-1,60),ROW()-1,FALSE))</f>
        <v>35.242000580000003</v>
      </c>
      <c r="BL101">
        <f ca="1">IF(AND(ISNUMBER($BL$414),$B$294=1),$BL$414,HLOOKUP(INDIRECT(ADDRESS(2,COLUMN())),OFFSET($BN$2,0,0,ROW()-1,60),ROW()-1,FALSE))</f>
        <v>-32.478999999999999</v>
      </c>
      <c r="BM101">
        <f ca="1">IF(AND(ISNUMBER($BM$414),$B$294=1),$BM$414,HLOOKUP(INDIRECT(ADDRESS(2,COLUMN())),OFFSET($BN$2,0,0,ROW()-1,60),ROW()-1,FALSE))</f>
        <v>33.875999999999998</v>
      </c>
      <c r="BN101" t="str">
        <f>""</f>
        <v/>
      </c>
      <c r="BO101">
        <f>85.348</f>
        <v>85.347999999999999</v>
      </c>
      <c r="BP101">
        <f>80.563</f>
        <v>80.563000000000002</v>
      </c>
      <c r="BQ101">
        <f>122.452</f>
        <v>122.452</v>
      </c>
      <c r="BR101">
        <f>134.638</f>
        <v>134.63800000000001</v>
      </c>
      <c r="BS101">
        <f>75.515</f>
        <v>75.515000000000001</v>
      </c>
      <c r="BT101">
        <f>90.083</f>
        <v>90.082999999999998</v>
      </c>
      <c r="BU101">
        <f>123.54</f>
        <v>123.54</v>
      </c>
      <c r="BV101">
        <f>157.309</f>
        <v>157.309</v>
      </c>
      <c r="BW101">
        <f>24.544</f>
        <v>24.544</v>
      </c>
      <c r="BX101">
        <f>108.875</f>
        <v>108.875</v>
      </c>
      <c r="BY101">
        <f>97.09</f>
        <v>97.09</v>
      </c>
      <c r="BZ101">
        <f>108.693</f>
        <v>108.693</v>
      </c>
      <c r="CA101">
        <f>104.252</f>
        <v>104.252</v>
      </c>
      <c r="CB101">
        <f>20.57</f>
        <v>20.57</v>
      </c>
      <c r="CC101">
        <f>100.313</f>
        <v>100.313</v>
      </c>
      <c r="CD101">
        <f>108.815</f>
        <v>108.815</v>
      </c>
      <c r="CE101">
        <f>102.045</f>
        <v>102.045</v>
      </c>
      <c r="CF101">
        <f>108.433</f>
        <v>108.43300000000001</v>
      </c>
      <c r="CG101">
        <f>100.047</f>
        <v>100.047</v>
      </c>
      <c r="CH101">
        <f>109.401</f>
        <v>109.401</v>
      </c>
      <c r="CI101">
        <f>70.861</f>
        <v>70.861000000000004</v>
      </c>
      <c r="CJ101">
        <f>77.747</f>
        <v>77.747</v>
      </c>
      <c r="CK101">
        <f>0.464</f>
        <v>0.46400000000000002</v>
      </c>
      <c r="CL101">
        <f>80.191</f>
        <v>80.191000000000003</v>
      </c>
      <c r="CM101">
        <f>48.108</f>
        <v>48.107999999999997</v>
      </c>
      <c r="CN101">
        <f>38.605</f>
        <v>38.604999999999997</v>
      </c>
      <c r="CO101">
        <f>52.212</f>
        <v>52.212000000000003</v>
      </c>
      <c r="CP101">
        <f>43.328</f>
        <v>43.328000000000003</v>
      </c>
      <c r="CQ101">
        <f>34.021</f>
        <v>34.021000000000001</v>
      </c>
      <c r="CR101">
        <f>50.466</f>
        <v>50.466000000000001</v>
      </c>
      <c r="CS101">
        <f>57.889</f>
        <v>57.889000000000003</v>
      </c>
      <c r="CT101">
        <f>54.822</f>
        <v>54.822000000000003</v>
      </c>
      <c r="CU101">
        <f>46.836</f>
        <v>46.835999999999999</v>
      </c>
      <c r="CV101">
        <f>60.216</f>
        <v>60.216000000000001</v>
      </c>
      <c r="CW101">
        <f>66.654</f>
        <v>66.653999999999996</v>
      </c>
      <c r="CX101">
        <f>54.925</f>
        <v>54.924999999999997</v>
      </c>
      <c r="CY101">
        <f>57.604</f>
        <v>57.603999999999999</v>
      </c>
      <c r="CZ101">
        <f>55.948</f>
        <v>55.948</v>
      </c>
      <c r="DA101">
        <f>94.811</f>
        <v>94.811000000000007</v>
      </c>
      <c r="DB101">
        <f>61.384</f>
        <v>61.384</v>
      </c>
      <c r="DC101">
        <f>52.389</f>
        <v>52.389000000000003</v>
      </c>
      <c r="DD101">
        <f>53.089</f>
        <v>53.088999999999999</v>
      </c>
      <c r="DE101">
        <f>61.444</f>
        <v>61.444000000000003</v>
      </c>
      <c r="DF101">
        <f>117.801</f>
        <v>117.801</v>
      </c>
      <c r="DG101">
        <f>36.94</f>
        <v>36.94</v>
      </c>
      <c r="DH101">
        <f>40.038</f>
        <v>40.037999999999997</v>
      </c>
      <c r="DI101">
        <f>44.032</f>
        <v>44.031999999999996</v>
      </c>
      <c r="DJ101">
        <f>37.087</f>
        <v>37.087000000000003</v>
      </c>
      <c r="DK101">
        <f>46.874</f>
        <v>46.874000000000002</v>
      </c>
      <c r="DL101">
        <f>51.705</f>
        <v>51.704999999999998</v>
      </c>
      <c r="DM101">
        <f>46.372</f>
        <v>46.372</v>
      </c>
      <c r="DN101">
        <f>44.561</f>
        <v>44.561</v>
      </c>
      <c r="DO101">
        <f>42.578</f>
        <v>42.578000000000003</v>
      </c>
      <c r="DP101">
        <f>40.663</f>
        <v>40.662999999999997</v>
      </c>
      <c r="DQ101">
        <f>44.146</f>
        <v>44.146000000000001</v>
      </c>
      <c r="DR101">
        <f>34.99</f>
        <v>34.99</v>
      </c>
      <c r="DS101">
        <f>35.24200058</f>
        <v>35.242000580000003</v>
      </c>
      <c r="DT101">
        <f>-32.479</f>
        <v>-32.478999999999999</v>
      </c>
      <c r="DU101">
        <f>33.876</f>
        <v>33.875999999999998</v>
      </c>
    </row>
    <row r="102" spans="1:125">
      <c r="A102" t="str">
        <f>"    Vornado Realty Trust"</f>
        <v xml:space="preserve">    Vornado Realty Trust</v>
      </c>
      <c r="B102" t="str">
        <f>"VNO US Equity"</f>
        <v>VNO US Equity</v>
      </c>
      <c r="C102" t="str">
        <f t="shared" si="24"/>
        <v>F0578</v>
      </c>
      <c r="D102" t="str">
        <f t="shared" si="25"/>
        <v>FUNDS_AVAILABLE_FOR_DISTRIBUTION</v>
      </c>
      <c r="E102" t="str">
        <f t="shared" si="26"/>
        <v>动态</v>
      </c>
      <c r="F102" t="str">
        <f ca="1">IF(AND(ISNUMBER($F$415),$B$294=1),$F$415,HLOOKUP(INDIRECT(ADDRESS(2,COLUMN())),OFFSET($BN$2,0,0,ROW()-1,60),ROW()-1,FALSE))</f>
        <v/>
      </c>
      <c r="G102">
        <f ca="1">IF(AND(ISNUMBER($G$415),$B$294=1),$G$415,HLOOKUP(INDIRECT(ADDRESS(2,COLUMN())),OFFSET($BN$2,0,0,ROW()-1,60),ROW()-1,FALSE))</f>
        <v>157.33699999999999</v>
      </c>
      <c r="H102">
        <f ca="1">IF(AND(ISNUMBER($H$415),$B$294=1),$H$415,HLOOKUP(INDIRECT(ADDRESS(2,COLUMN())),OFFSET($BN$2,0,0,ROW()-1,60),ROW()-1,FALSE))</f>
        <v>107.989</v>
      </c>
      <c r="I102">
        <f ca="1">IF(AND(ISNUMBER($I$415),$B$294=1),$I$415,HLOOKUP(INDIRECT(ADDRESS(2,COLUMN())),OFFSET($BN$2,0,0,ROW()-1,60),ROW()-1,FALSE))</f>
        <v>141.803</v>
      </c>
      <c r="J102">
        <f ca="1">IF(AND(ISNUMBER($J$415),$B$294=1),$J$415,HLOOKUP(INDIRECT(ADDRESS(2,COLUMN())),OFFSET($BN$2,0,0,ROW()-1,60),ROW()-1,FALSE))</f>
        <v>163.77500000000001</v>
      </c>
      <c r="K102">
        <f ca="1">IF(AND(ISNUMBER($K$415),$B$294=1),$K$415,HLOOKUP(INDIRECT(ADDRESS(2,COLUMN())),OFFSET($BN$2,0,0,ROW()-1,60),ROW()-1,FALSE))</f>
        <v>164.83699999999999</v>
      </c>
      <c r="L102">
        <f ca="1">IF(AND(ISNUMBER($L$415),$B$294=1),$L$415,HLOOKUP(INDIRECT(ADDRESS(2,COLUMN())),OFFSET($BN$2,0,0,ROW()-1,60),ROW()-1,FALSE))</f>
        <v>128.39099999999999</v>
      </c>
      <c r="M102">
        <f ca="1">IF(AND(ISNUMBER($M$415),$B$294=1),$M$415,HLOOKUP(INDIRECT(ADDRESS(2,COLUMN())),OFFSET($BN$2,0,0,ROW()-1,60),ROW()-1,FALSE))</f>
        <v>96.872</v>
      </c>
      <c r="N102">
        <f ca="1">IF(AND(ISNUMBER($N$415),$B$294=1),$N$415,HLOOKUP(INDIRECT(ADDRESS(2,COLUMN())),OFFSET($BN$2,0,0,ROW()-1,60),ROW()-1,FALSE))</f>
        <v>105.786</v>
      </c>
      <c r="O102">
        <f ca="1">IF(AND(ISNUMBER($O$415),$B$294=1),$O$415,HLOOKUP(INDIRECT(ADDRESS(2,COLUMN())),OFFSET($BN$2,0,0,ROW()-1,60),ROW()-1,FALSE))</f>
        <v>374.40600000000001</v>
      </c>
      <c r="P102">
        <f ca="1">IF(AND(ISNUMBER($P$415),$B$294=1),$P$415,HLOOKUP(INDIRECT(ADDRESS(2,COLUMN())),OFFSET($BN$2,0,0,ROW()-1,60),ROW()-1,FALSE))</f>
        <v>151.14400000000001</v>
      </c>
      <c r="Q102">
        <f ca="1">IF(AND(ISNUMBER($Q$415),$B$294=1),$Q$415,HLOOKUP(INDIRECT(ADDRESS(2,COLUMN())),OFFSET($BN$2,0,0,ROW()-1,60),ROW()-1,FALSE))</f>
        <v>58.517000000000003</v>
      </c>
      <c r="R102">
        <f ca="1">IF(AND(ISNUMBER($R$415),$B$294=1),$R$415,HLOOKUP(INDIRECT(ADDRESS(2,COLUMN())),OFFSET($BN$2,0,0,ROW()-1,60),ROW()-1,FALSE))</f>
        <v>153.012</v>
      </c>
      <c r="S102">
        <f ca="1">IF(AND(ISNUMBER($S$415),$B$294=1),$S$415,HLOOKUP(INDIRECT(ADDRESS(2,COLUMN())),OFFSET($BN$2,0,0,ROW()-1,60),ROW()-1,FALSE))</f>
        <v>270.87400000000002</v>
      </c>
      <c r="T102">
        <f ca="1">IF(AND(ISNUMBER($T$415),$B$294=1),$T$415,HLOOKUP(INDIRECT(ADDRESS(2,COLUMN())),OFFSET($BN$2,0,0,ROW()-1,60),ROW()-1,FALSE))</f>
        <v>158.16900000000001</v>
      </c>
      <c r="U102">
        <f ca="1">IF(AND(ISNUMBER($U$415),$B$294=1),$U$415,HLOOKUP(INDIRECT(ADDRESS(2,COLUMN())),OFFSET($BN$2,0,0,ROW()-1,60),ROW()-1,FALSE))</f>
        <v>260.14600000000002</v>
      </c>
      <c r="V102">
        <f ca="1">IF(AND(ISNUMBER($V$415),$B$294=1),$V$415,HLOOKUP(INDIRECT(ADDRESS(2,COLUMN())),OFFSET($BN$2,0,0,ROW()-1,60),ROW()-1,FALSE))</f>
        <v>92.289000000000001</v>
      </c>
      <c r="W102">
        <f ca="1">IF(AND(ISNUMBER($W$415),$B$294=1),$W$415,HLOOKUP(INDIRECT(ADDRESS(2,COLUMN())),OFFSET($BN$2,0,0,ROW()-1,60),ROW()-1,FALSE))</f>
        <v>425.86599999999999</v>
      </c>
      <c r="X102">
        <f ca="1">IF(AND(ISNUMBER($X$415),$B$294=1),$X$415,HLOOKUP(INDIRECT(ADDRESS(2,COLUMN())),OFFSET($BN$2,0,0,ROW()-1,60),ROW()-1,FALSE))</f>
        <v>181.066</v>
      </c>
      <c r="Y102">
        <f ca="1">IF(AND(ISNUMBER($Y$415),$B$294=1),$Y$415,HLOOKUP(INDIRECT(ADDRESS(2,COLUMN())),OFFSET($BN$2,0,0,ROW()-1,60),ROW()-1,FALSE))</f>
        <v>188.31399999999999</v>
      </c>
      <c r="Z102">
        <f ca="1">IF(AND(ISNUMBER($Z$415),$B$294=1),$Z$415,HLOOKUP(INDIRECT(ADDRESS(2,COLUMN())),OFFSET($BN$2,0,0,ROW()-1,60),ROW()-1,FALSE))</f>
        <v>143.02699999999999</v>
      </c>
      <c r="AA102">
        <f ca="1">IF(AND(ISNUMBER($AA$415),$B$294=1),$AA$415,HLOOKUP(INDIRECT(ADDRESS(2,COLUMN())),OFFSET($BN$2,0,0,ROW()-1,60),ROW()-1,FALSE))</f>
        <v>112.76</v>
      </c>
      <c r="AB102">
        <f ca="1">IF(AND(ISNUMBER($AB$415),$B$294=1),$AB$415,HLOOKUP(INDIRECT(ADDRESS(2,COLUMN())),OFFSET($BN$2,0,0,ROW()-1,60),ROW()-1,FALSE))</f>
        <v>132.684</v>
      </c>
      <c r="AC102">
        <f ca="1">IF(AND(ISNUMBER($AC$415),$B$294=1),$AC$415,HLOOKUP(INDIRECT(ADDRESS(2,COLUMN())),OFFSET($BN$2,0,0,ROW()-1,60),ROW()-1,FALSE))</f>
        <v>180.56</v>
      </c>
      <c r="AD102">
        <f ca="1">IF(AND(ISNUMBER($AD$415),$B$294=1),$AD$415,HLOOKUP(INDIRECT(ADDRESS(2,COLUMN())),OFFSET($BN$2,0,0,ROW()-1,60),ROW()-1,FALSE))</f>
        <v>189.23099999999999</v>
      </c>
      <c r="AE102">
        <f ca="1">IF(AND(ISNUMBER($AE$415),$B$294=1),$AE$415,HLOOKUP(INDIRECT(ADDRESS(2,COLUMN())),OFFSET($BN$2,0,0,ROW()-1,60),ROW()-1,FALSE))</f>
        <v>145.66200000000001</v>
      </c>
      <c r="AF102">
        <f ca="1">IF(AND(ISNUMBER($AF$415),$B$294=1),$AF$415,HLOOKUP(INDIRECT(ADDRESS(2,COLUMN())),OFFSET($BN$2,0,0,ROW()-1,60),ROW()-1,FALSE))</f>
        <v>173.744</v>
      </c>
      <c r="AG102">
        <f ca="1">IF(AND(ISNUMBER($AG$415),$B$294=1),$AG$415,HLOOKUP(INDIRECT(ADDRESS(2,COLUMN())),OFFSET($BN$2,0,0,ROW()-1,60),ROW()-1,FALSE))</f>
        <v>169.465</v>
      </c>
      <c r="AH102">
        <f ca="1">IF(AND(ISNUMBER($AH$415),$B$294=1),$AH$415,HLOOKUP(INDIRECT(ADDRESS(2,COLUMN())),OFFSET($BN$2,0,0,ROW()-1,60),ROW()-1,FALSE))</f>
        <v>305.18700000000001</v>
      </c>
      <c r="AI102">
        <f ca="1">IF(AND(ISNUMBER($AI$415),$B$294=1),$AI$415,HLOOKUP(INDIRECT(ADDRESS(2,COLUMN())),OFFSET($BN$2,0,0,ROW()-1,60),ROW()-1,FALSE))</f>
        <v>26.376000000000001</v>
      </c>
      <c r="AJ102">
        <f ca="1">IF(AND(ISNUMBER($AJ$415),$B$294=1),$AJ$415,HLOOKUP(INDIRECT(ADDRESS(2,COLUMN())),OFFSET($BN$2,0,0,ROW()-1,60),ROW()-1,FALSE))</f>
        <v>183.43</v>
      </c>
      <c r="AK102">
        <f ca="1">IF(AND(ISNUMBER($AK$415),$B$294=1),$AK$415,HLOOKUP(INDIRECT(ADDRESS(2,COLUMN())),OFFSET($BN$2,0,0,ROW()-1,60),ROW()-1,FALSE))</f>
        <v>169.31399999999999</v>
      </c>
      <c r="AL102">
        <f ca="1">IF(AND(ISNUMBER($AL$415),$B$294=1),$AL$415,HLOOKUP(INDIRECT(ADDRESS(2,COLUMN())),OFFSET($BN$2,0,0,ROW()-1,60),ROW()-1,FALSE))</f>
        <v>305.52</v>
      </c>
      <c r="AM102">
        <f ca="1">IF(AND(ISNUMBER($AM$415),$B$294=1),$AM$415,HLOOKUP(INDIRECT(ADDRESS(2,COLUMN())),OFFSET($BN$2,0,0,ROW()-1,60),ROW()-1,FALSE))</f>
        <v>138.52699999999999</v>
      </c>
      <c r="AN102">
        <f ca="1">IF(AND(ISNUMBER($AN$415),$B$294=1),$AN$415,HLOOKUP(INDIRECT(ADDRESS(2,COLUMN())),OFFSET($BN$2,0,0,ROW()-1,60),ROW()-1,FALSE))</f>
        <v>132.96799999999999</v>
      </c>
      <c r="AO102">
        <f ca="1">IF(AND(ISNUMBER($AO$415),$B$294=1),$AO$415,HLOOKUP(INDIRECT(ADDRESS(2,COLUMN())),OFFSET($BN$2,0,0,ROW()-1,60),ROW()-1,FALSE))</f>
        <v>129.66499999999999</v>
      </c>
      <c r="AP102">
        <f ca="1">IF(AND(ISNUMBER($AP$415),$B$294=1),$AP$415,HLOOKUP(INDIRECT(ADDRESS(2,COLUMN())),OFFSET($BN$2,0,0,ROW()-1,60),ROW()-1,FALSE))</f>
        <v>240.219447</v>
      </c>
      <c r="AQ102">
        <f ca="1">IF(AND(ISNUMBER($AQ$415),$B$294=1),$AQ$415,HLOOKUP(INDIRECT(ADDRESS(2,COLUMN())),OFFSET($BN$2,0,0,ROW()-1,60),ROW()-1,FALSE))</f>
        <v>-88.153999999999996</v>
      </c>
      <c r="AR102">
        <f ca="1">IF(AND(ISNUMBER($AR$415),$B$294=1),$AR$415,HLOOKUP(INDIRECT(ADDRESS(2,COLUMN())),OFFSET($BN$2,0,0,ROW()-1,60),ROW()-1,FALSE))</f>
        <v>193.24700000000001</v>
      </c>
      <c r="AS102">
        <f ca="1">IF(AND(ISNUMBER($AS$415),$B$294=1),$AS$415,HLOOKUP(INDIRECT(ADDRESS(2,COLUMN())),OFFSET($BN$2,0,0,ROW()-1,60),ROW()-1,FALSE))</f>
        <v>194.43</v>
      </c>
      <c r="AT102">
        <f ca="1">IF(AND(ISNUMBER($AT$415),$B$294=1),$AT$415,HLOOKUP(INDIRECT(ADDRESS(2,COLUMN())),OFFSET($BN$2,0,0,ROW()-1,60),ROW()-1,FALSE))</f>
        <v>521.54499999999996</v>
      </c>
      <c r="AU102">
        <f ca="1">IF(AND(ISNUMBER($AU$415),$B$294=1),$AU$415,HLOOKUP(INDIRECT(ADDRESS(2,COLUMN())),OFFSET($BN$2,0,0,ROW()-1,60),ROW()-1,FALSE))</f>
        <v>188.089</v>
      </c>
      <c r="AV102">
        <f ca="1">IF(AND(ISNUMBER($AV$415),$B$294=1),$AV$415,HLOOKUP(INDIRECT(ADDRESS(2,COLUMN())),OFFSET($BN$2,0,0,ROW()-1,60),ROW()-1,FALSE))</f>
        <v>215.99600000000001</v>
      </c>
      <c r="AW102">
        <f ca="1">IF(AND(ISNUMBER($AW$415),$B$294=1),$AW$415,HLOOKUP(INDIRECT(ADDRESS(2,COLUMN())),OFFSET($BN$2,0,0,ROW()-1,60),ROW()-1,FALSE))</f>
        <v>276.46899999999999</v>
      </c>
      <c r="AX102">
        <f ca="1">IF(AND(ISNUMBER($AX$415),$B$294=1),$AX$415,HLOOKUP(INDIRECT(ADDRESS(2,COLUMN())),OFFSET($BN$2,0,0,ROW()-1,60),ROW()-1,FALSE))</f>
        <v>264.78300000000002</v>
      </c>
      <c r="AY102">
        <f ca="1">IF(AND(ISNUMBER($AY$415),$B$294=1),$AY$415,HLOOKUP(INDIRECT(ADDRESS(2,COLUMN())),OFFSET($BN$2,0,0,ROW()-1,60),ROW()-1,FALSE))</f>
        <v>207.11500000000001</v>
      </c>
      <c r="AZ102">
        <f ca="1">IF(AND(ISNUMBER($AZ$415),$B$294=1),$AZ$415,HLOOKUP(INDIRECT(ADDRESS(2,COLUMN())),OFFSET($BN$2,0,0,ROW()-1,60),ROW()-1,FALSE))</f>
        <v>199.303</v>
      </c>
      <c r="BA102">
        <f ca="1">IF(AND(ISNUMBER($BA$415),$B$294=1),$BA$415,HLOOKUP(INDIRECT(ADDRESS(2,COLUMN())),OFFSET($BN$2,0,0,ROW()-1,60),ROW()-1,FALSE))</f>
        <v>225.15700000000001</v>
      </c>
      <c r="BB102">
        <f ca="1">IF(AND(ISNUMBER($BB$415),$B$294=1),$BB$415,HLOOKUP(INDIRECT(ADDRESS(2,COLUMN())),OFFSET($BN$2,0,0,ROW()-1,60),ROW()-1,FALSE))</f>
        <v>206.631</v>
      </c>
      <c r="BC102">
        <f ca="1">IF(AND(ISNUMBER($BC$415),$B$294=1),$BC$415,HLOOKUP(INDIRECT(ADDRESS(2,COLUMN())),OFFSET($BN$2,0,0,ROW()-1,60),ROW()-1,FALSE))</f>
        <v>194.12100000000001</v>
      </c>
      <c r="BD102">
        <f ca="1">IF(AND(ISNUMBER($BD$415),$B$294=1),$BD$415,HLOOKUP(INDIRECT(ADDRESS(2,COLUMN())),OFFSET($BN$2,0,0,ROW()-1,60),ROW()-1,FALSE))</f>
        <v>93.272000000000006</v>
      </c>
      <c r="BE102">
        <f ca="1">IF(AND(ISNUMBER($BE$415),$B$294=1),$BE$415,HLOOKUP(INDIRECT(ADDRESS(2,COLUMN())),OFFSET($BN$2,0,0,ROW()-1,60),ROW()-1,FALSE))</f>
        <v>215.80199999999999</v>
      </c>
      <c r="BF102">
        <f ca="1">IF(AND(ISNUMBER($BF$415),$B$294=1),$BF$415,HLOOKUP(INDIRECT(ADDRESS(2,COLUMN())),OFFSET($BN$2,0,0,ROW()-1,60),ROW()-1,FALSE))</f>
        <v>248.47</v>
      </c>
      <c r="BG102">
        <f ca="1">IF(AND(ISNUMBER($BG$415),$B$294=1),$BG$415,HLOOKUP(INDIRECT(ADDRESS(2,COLUMN())),OFFSET($BN$2,0,0,ROW()-1,60),ROW()-1,FALSE))</f>
        <v>299.44099999999997</v>
      </c>
      <c r="BH102">
        <f ca="1">IF(AND(ISNUMBER($BH$415),$B$294=1),$BH$415,HLOOKUP(INDIRECT(ADDRESS(2,COLUMN())),OFFSET($BN$2,0,0,ROW()-1,60),ROW()-1,FALSE))</f>
        <v>156.703</v>
      </c>
      <c r="BI102">
        <f ca="1">IF(AND(ISNUMBER($BI$415),$B$294=1),$BI$415,HLOOKUP(INDIRECT(ADDRESS(2,COLUMN())),OFFSET($BN$2,0,0,ROW()-1,60),ROW()-1,FALSE))</f>
        <v>159.67399599999999</v>
      </c>
      <c r="BJ102">
        <f ca="1">IF(AND(ISNUMBER($BJ$415),$B$294=1),$BJ$415,HLOOKUP(INDIRECT(ADDRESS(2,COLUMN())),OFFSET($BN$2,0,0,ROW()-1,60),ROW()-1,FALSE))</f>
        <v>128.97500600000001</v>
      </c>
      <c r="BK102">
        <f ca="1">IF(AND(ISNUMBER($BK$415),$B$294=1),$BK$415,HLOOKUP(INDIRECT(ADDRESS(2,COLUMN())),OFFSET($BN$2,0,0,ROW()-1,60),ROW()-1,FALSE))</f>
        <v>130.729004</v>
      </c>
      <c r="BL102">
        <f ca="1">IF(AND(ISNUMBER($BL$415),$B$294=1),$BL$415,HLOOKUP(INDIRECT(ADDRESS(2,COLUMN())),OFFSET($BN$2,0,0,ROW()-1,60),ROW()-1,FALSE))</f>
        <v>123.914001</v>
      </c>
      <c r="BM102">
        <f ca="1">IF(AND(ISNUMBER($BM$415),$B$294=1),$BM$415,HLOOKUP(INDIRECT(ADDRESS(2,COLUMN())),OFFSET($BN$2,0,0,ROW()-1,60),ROW()-1,FALSE))</f>
        <v>133.41</v>
      </c>
      <c r="BN102" t="str">
        <f>""</f>
        <v/>
      </c>
      <c r="BO102">
        <f>157.337</f>
        <v>157.33699999999999</v>
      </c>
      <c r="BP102">
        <f>107.989</f>
        <v>107.989</v>
      </c>
      <c r="BQ102">
        <f>141.803</f>
        <v>141.803</v>
      </c>
      <c r="BR102">
        <f>163.775</f>
        <v>163.77500000000001</v>
      </c>
      <c r="BS102">
        <f>164.837</f>
        <v>164.83699999999999</v>
      </c>
      <c r="BT102">
        <f>128.391</f>
        <v>128.39099999999999</v>
      </c>
      <c r="BU102">
        <f>96.872</f>
        <v>96.872</v>
      </c>
      <c r="BV102">
        <f>105.786</f>
        <v>105.786</v>
      </c>
      <c r="BW102">
        <f>374.406</f>
        <v>374.40600000000001</v>
      </c>
      <c r="BX102">
        <f>151.144</f>
        <v>151.14400000000001</v>
      </c>
      <c r="BY102">
        <f>58.517</f>
        <v>58.517000000000003</v>
      </c>
      <c r="BZ102">
        <f>153.012</f>
        <v>153.012</v>
      </c>
      <c r="CA102">
        <f>270.874</f>
        <v>270.87400000000002</v>
      </c>
      <c r="CB102">
        <f>158.169</f>
        <v>158.16900000000001</v>
      </c>
      <c r="CC102">
        <f>260.146</f>
        <v>260.14600000000002</v>
      </c>
      <c r="CD102">
        <f>92.289</f>
        <v>92.289000000000001</v>
      </c>
      <c r="CE102">
        <f>425.866</f>
        <v>425.86599999999999</v>
      </c>
      <c r="CF102">
        <f>181.066</f>
        <v>181.066</v>
      </c>
      <c r="CG102">
        <f>188.314</f>
        <v>188.31399999999999</v>
      </c>
      <c r="CH102">
        <f>143.027</f>
        <v>143.02699999999999</v>
      </c>
      <c r="CI102">
        <f>112.76</f>
        <v>112.76</v>
      </c>
      <c r="CJ102">
        <f>132.684</f>
        <v>132.684</v>
      </c>
      <c r="CK102">
        <f>180.56</f>
        <v>180.56</v>
      </c>
      <c r="CL102">
        <f>189.231</f>
        <v>189.23099999999999</v>
      </c>
      <c r="CM102">
        <f>145.662</f>
        <v>145.66200000000001</v>
      </c>
      <c r="CN102">
        <f>173.744</f>
        <v>173.744</v>
      </c>
      <c r="CO102">
        <f>169.465</f>
        <v>169.465</v>
      </c>
      <c r="CP102">
        <f>305.187</f>
        <v>305.18700000000001</v>
      </c>
      <c r="CQ102">
        <f>26.376</f>
        <v>26.376000000000001</v>
      </c>
      <c r="CR102">
        <f>183.43</f>
        <v>183.43</v>
      </c>
      <c r="CS102">
        <f>169.314</f>
        <v>169.31399999999999</v>
      </c>
      <c r="CT102">
        <f>305.52</f>
        <v>305.52</v>
      </c>
      <c r="CU102">
        <f>138.527</f>
        <v>138.52699999999999</v>
      </c>
      <c r="CV102">
        <f>132.968</f>
        <v>132.96799999999999</v>
      </c>
      <c r="CW102">
        <f>129.665</f>
        <v>129.66499999999999</v>
      </c>
      <c r="CX102">
        <f>240.219447</f>
        <v>240.219447</v>
      </c>
      <c r="CY102">
        <f>-88.154</f>
        <v>-88.153999999999996</v>
      </c>
      <c r="CZ102">
        <f>193.247</f>
        <v>193.24700000000001</v>
      </c>
      <c r="DA102">
        <f>194.43</f>
        <v>194.43</v>
      </c>
      <c r="DB102">
        <f>521.545</f>
        <v>521.54499999999996</v>
      </c>
      <c r="DC102">
        <f>188.089</f>
        <v>188.089</v>
      </c>
      <c r="DD102">
        <f>215.996</f>
        <v>215.99600000000001</v>
      </c>
      <c r="DE102">
        <f>276.469</f>
        <v>276.46899999999999</v>
      </c>
      <c r="DF102">
        <f>264.783</f>
        <v>264.78300000000002</v>
      </c>
      <c r="DG102">
        <f>207.115</f>
        <v>207.11500000000001</v>
      </c>
      <c r="DH102">
        <f>199.303</f>
        <v>199.303</v>
      </c>
      <c r="DI102">
        <f>225.157</f>
        <v>225.15700000000001</v>
      </c>
      <c r="DJ102">
        <f>206.631</f>
        <v>206.631</v>
      </c>
      <c r="DK102">
        <f>194.121</f>
        <v>194.12100000000001</v>
      </c>
      <c r="DL102">
        <f>93.272</f>
        <v>93.272000000000006</v>
      </c>
      <c r="DM102">
        <f>215.802</f>
        <v>215.80199999999999</v>
      </c>
      <c r="DN102">
        <f>248.47</f>
        <v>248.47</v>
      </c>
      <c r="DO102">
        <f>299.441</f>
        <v>299.44099999999997</v>
      </c>
      <c r="DP102">
        <f>156.703</f>
        <v>156.703</v>
      </c>
      <c r="DQ102">
        <f>159.673996</f>
        <v>159.67399599999999</v>
      </c>
      <c r="DR102">
        <f>128.975006</f>
        <v>128.97500600000001</v>
      </c>
      <c r="DS102">
        <f>130.729004</f>
        <v>130.729004</v>
      </c>
      <c r="DT102">
        <f>123.914001</f>
        <v>123.914001</v>
      </c>
      <c r="DU102">
        <f>133.41</f>
        <v>133.41</v>
      </c>
    </row>
    <row r="103" spans="1:125">
      <c r="A103" t="str">
        <f>"收入增长同比(%)"</f>
        <v>收入增长同比(%)</v>
      </c>
      <c r="B103" t="str">
        <f>""</f>
        <v/>
      </c>
      <c r="E103" t="str">
        <f>"Median"</f>
        <v>Median</v>
      </c>
      <c r="F103" t="str">
        <f ca="1">IF(ISERROR(IF(MEDIAN($F$104:$F$113) = 0, "", MEDIAN($F$104:$F$113))), "", (IF(MEDIAN($F$104:$F$113) = 0, "", MEDIAN($F$104:$F$113))))</f>
        <v/>
      </c>
      <c r="G103">
        <f ca="1">IF(ISERROR(IF(MEDIAN($G$104:$G$113) = 0, "", MEDIAN($G$104:$G$113))), "", (IF(MEDIAN($G$104:$G$113) = 0, "", MEDIAN($G$104:$G$113))))</f>
        <v>1.9829786185</v>
      </c>
      <c r="H103">
        <f ca="1">IF(ISERROR(IF(MEDIAN($H$104:$H$113) = 0, "", MEDIAN($H$104:$H$113))), "", (IF(MEDIAN($H$104:$H$113) = 0, "", MEDIAN($H$104:$H$113))))</f>
        <v>3.3798442599999996</v>
      </c>
      <c r="I103">
        <f ca="1">IF(ISERROR(IF(MEDIAN($I$104:$I$113) = 0, "", MEDIAN($I$104:$I$113))), "", (IF(MEDIAN($I$104:$I$113) = 0, "", MEDIAN($I$104:$I$113))))</f>
        <v>4.562348353</v>
      </c>
      <c r="J103">
        <f ca="1">IF(ISERROR(IF(MEDIAN($J$104:$J$113) = 0, "", MEDIAN($J$104:$J$113))), "", (IF(MEDIAN($J$104:$J$113) = 0, "", MEDIAN($J$104:$J$113))))</f>
        <v>-2.55391126</v>
      </c>
      <c r="K103">
        <f ca="1">IF(ISERROR(IF(MEDIAN($K$104:$K$113) = 0, "", MEDIAN($K$104:$K$113))), "", (IF(MEDIAN($K$104:$K$113) = 0, "", MEDIAN($K$104:$K$113))))</f>
        <v>0.48145545299999992</v>
      </c>
      <c r="L103">
        <f ca="1">IF(ISERROR(IF(MEDIAN($L$104:$L$113) = 0, "", MEDIAN($L$104:$L$113))), "", (IF(MEDIAN($L$104:$L$113) = 0, "", MEDIAN($L$104:$L$113))))</f>
        <v>-2.1499911525000002</v>
      </c>
      <c r="M103">
        <f ca="1">IF(ISERROR(IF(MEDIAN($M$104:$M$113) = 0, "", MEDIAN($M$104:$M$113))), "", (IF(MEDIAN($M$104:$M$113) = 0, "", MEDIAN($M$104:$M$113))))</f>
        <v>0.652793238</v>
      </c>
      <c r="N103">
        <f ca="1">IF(ISERROR(IF(MEDIAN($N$104:$N$113) = 0, "", MEDIAN($N$104:$N$113))), "", (IF(MEDIAN($N$104:$N$113) = 0, "", MEDIAN($N$104:$N$113))))</f>
        <v>-0.47530557800000006</v>
      </c>
      <c r="O103">
        <f ca="1">IF(ISERROR(IF(MEDIAN($O$104:$O$113) = 0, "", MEDIAN($O$104:$O$113))), "", (IF(MEDIAN($O$104:$O$113) = 0, "", MEDIAN($O$104:$O$113))))</f>
        <v>2.8501747245000004</v>
      </c>
      <c r="P103">
        <f ca="1">IF(ISERROR(IF(MEDIAN($P$104:$P$113) = 0, "", MEDIAN($P$104:$P$113))), "", (IF(MEDIAN($P$104:$P$113) = 0, "", MEDIAN($P$104:$P$113))))</f>
        <v>3.4990652584999999</v>
      </c>
      <c r="Q103">
        <f ca="1">IF(ISERROR(IF(MEDIAN($Q$104:$Q$113) = 0, "", MEDIAN($Q$104:$Q$113))), "", (IF(MEDIAN($Q$104:$Q$113) = 0, "", MEDIAN($Q$104:$Q$113))))</f>
        <v>6.5871951959999997</v>
      </c>
      <c r="R103">
        <f ca="1">IF(ISERROR(IF(MEDIAN($R$104:$R$113) = 0, "", MEDIAN($R$104:$R$113))), "", (IF(MEDIAN($R$104:$R$113) = 0, "", MEDIAN($R$104:$R$113))))</f>
        <v>8.6195946719999998</v>
      </c>
      <c r="S103">
        <f ca="1">IF(ISERROR(IF(MEDIAN($S$104:$S$113) = 0, "", MEDIAN($S$104:$S$113))), "", (IF(MEDIAN($S$104:$S$113) = 0, "", MEDIAN($S$104:$S$113))))</f>
        <v>5.0946556150000006</v>
      </c>
      <c r="T103">
        <f ca="1">IF(ISERROR(IF(MEDIAN($T$104:$T$113) = 0, "", MEDIAN($T$104:$T$113))), "", (IF(MEDIAN($T$104:$T$113) = 0, "", MEDIAN($T$104:$T$113))))</f>
        <v>4.3837216889999997</v>
      </c>
      <c r="U103">
        <f ca="1">IF(ISERROR(IF(MEDIAN($U$104:$U$113) = 0, "", MEDIAN($U$104:$U$113))), "", (IF(MEDIAN($U$104:$U$113) = 0, "", MEDIAN($U$104:$U$113))))</f>
        <v>5.7725805164999997</v>
      </c>
      <c r="V103">
        <f ca="1">IF(ISERROR(IF(MEDIAN($V$104:$V$113) = 0, "", MEDIAN($V$104:$V$113))), "", (IF(MEDIAN($V$104:$V$113) = 0, "", MEDIAN($V$104:$V$113))))</f>
        <v>6.0774124199999999</v>
      </c>
      <c r="W103">
        <f ca="1">IF(ISERROR(IF(MEDIAN($W$104:$W$113) = 0, "", MEDIAN($W$104:$W$113))), "", (IF(MEDIAN($W$104:$W$113) = 0, "", MEDIAN($W$104:$W$113))))</f>
        <v>3.9705366379999996</v>
      </c>
      <c r="X103">
        <f ca="1">IF(ISERROR(IF(MEDIAN($X$104:$X$113) = 0, "", MEDIAN($X$104:$X$113))), "", (IF(MEDIAN($X$104:$X$113) = 0, "", MEDIAN($X$104:$X$113))))</f>
        <v>5.1037144989999996</v>
      </c>
      <c r="Y103">
        <f ca="1">IF(ISERROR(IF(MEDIAN($Y$104:$Y$113) = 0, "", MEDIAN($Y$104:$Y$113))), "", (IF(MEDIAN($Y$104:$Y$113) = 0, "", MEDIAN($Y$104:$Y$113))))</f>
        <v>3.6893383515</v>
      </c>
      <c r="Z103">
        <f ca="1">IF(ISERROR(IF(MEDIAN($Z$104:$Z$113) = 0, "", MEDIAN($Z$104:$Z$113))), "", (IF(MEDIAN($Z$104:$Z$113) = 0, "", MEDIAN($Z$104:$Z$113))))</f>
        <v>4.0588332549999997</v>
      </c>
      <c r="AA103">
        <f ca="1">IF(ISERROR(IF(MEDIAN($AA$104:$AA$113) = 0, "", MEDIAN($AA$104:$AA$113))), "", (IF(MEDIAN($AA$104:$AA$113) = 0, "", MEDIAN($AA$104:$AA$113))))</f>
        <v>2.226566799</v>
      </c>
      <c r="AB103">
        <f ca="1">IF(ISERROR(IF(MEDIAN($AB$104:$AB$113) = 0, "", MEDIAN($AB$104:$AB$113))), "", (IF(MEDIAN($AB$104:$AB$113) = 0, "", MEDIAN($AB$104:$AB$113))))</f>
        <v>2.4605731369999999</v>
      </c>
      <c r="AC103">
        <f ca="1">IF(ISERROR(IF(MEDIAN($AC$104:$AC$113) = 0, "", MEDIAN($AC$104:$AC$113))), "", (IF(MEDIAN($AC$104:$AC$113) = 0, "", MEDIAN($AC$104:$AC$113))))</f>
        <v>-2.7366208329999999</v>
      </c>
      <c r="AD103">
        <f ca="1">IF(ISERROR(IF(MEDIAN($AD$104:$AD$113) = 0, "", MEDIAN($AD$104:$AD$113))), "", (IF(MEDIAN($AD$104:$AD$113) = 0, "", MEDIAN($AD$104:$AD$113))))</f>
        <v>-1.0480896795000001</v>
      </c>
      <c r="AE103">
        <f ca="1">IF(ISERROR(IF(MEDIAN($AE$104:$AE$113) = 0, "", MEDIAN($AE$104:$AE$113))), "", (IF(MEDIAN($AE$104:$AE$113) = 0, "", MEDIAN($AE$104:$AE$113))))</f>
        <v>0.56114661350000006</v>
      </c>
      <c r="AF103">
        <f ca="1">IF(ISERROR(IF(MEDIAN($AF$104:$AF$113) = 0, "", MEDIAN($AF$104:$AF$113))), "", (IF(MEDIAN($AF$104:$AF$113) = 0, "", MEDIAN($AF$104:$AF$113))))</f>
        <v>0.80524952400000005</v>
      </c>
      <c r="AG103">
        <f ca="1">IF(ISERROR(IF(MEDIAN($AG$104:$AG$113) = 0, "", MEDIAN($AG$104:$AG$113))), "", (IF(MEDIAN($AG$104:$AG$113) = 0, "", MEDIAN($AG$104:$AG$113))))</f>
        <v>3.0118650589999998</v>
      </c>
      <c r="AH103">
        <f ca="1">IF(ISERROR(IF(MEDIAN($AH$104:$AH$113) = 0, "", MEDIAN($AH$104:$AH$113))), "", (IF(MEDIAN($AH$104:$AH$113) = 0, "", MEDIAN($AH$104:$AH$113))))</f>
        <v>4.0453297285000005</v>
      </c>
      <c r="AI103">
        <f ca="1">IF(ISERROR(IF(MEDIAN($AI$104:$AI$113) = 0, "", MEDIAN($AI$104:$AI$113))), "", (IF(MEDIAN($AI$104:$AI$113) = 0, "", MEDIAN($AI$104:$AI$113))))</f>
        <v>-0.222464836</v>
      </c>
      <c r="AJ103">
        <f ca="1">IF(ISERROR(IF(MEDIAN($AJ$104:$AJ$113) = 0, "", MEDIAN($AJ$104:$AJ$113))), "", (IF(MEDIAN($AJ$104:$AJ$113) = 0, "", MEDIAN($AJ$104:$AJ$113))))</f>
        <v>2.6321045065000002</v>
      </c>
      <c r="AK103">
        <f ca="1">IF(ISERROR(IF(MEDIAN($AK$104:$AK$113) = 0, "", MEDIAN($AK$104:$AK$113))), "", (IF(MEDIAN($AK$104:$AK$113) = 0, "", MEDIAN($AK$104:$AK$113))))</f>
        <v>0.91293937749999998</v>
      </c>
      <c r="AL103">
        <f ca="1">IF(ISERROR(IF(MEDIAN($AL$104:$AL$113) = 0, "", MEDIAN($AL$104:$AL$113))), "", (IF(MEDIAN($AL$104:$AL$113) = 0, "", MEDIAN($AL$104:$AL$113))))</f>
        <v>-2.4468555094999997</v>
      </c>
      <c r="AM103">
        <f ca="1">IF(ISERROR(IF(MEDIAN($AM$104:$AM$113) = 0, "", MEDIAN($AM$104:$AM$113))), "", (IF(MEDIAN($AM$104:$AM$113) = 0, "", MEDIAN($AM$104:$AM$113))))</f>
        <v>-1.6598484339999999</v>
      </c>
      <c r="AN103">
        <f ca="1">IF(ISERROR(IF(MEDIAN($AN$104:$AN$113) = 0, "", MEDIAN($AN$104:$AN$113))), "", (IF(MEDIAN($AN$104:$AN$113) = 0, "", MEDIAN($AN$104:$AN$113))))</f>
        <v>-0.717235544</v>
      </c>
      <c r="AO103">
        <f ca="1">IF(ISERROR(IF(MEDIAN($AO$104:$AO$113) = 0, "", MEDIAN($AO$104:$AO$113))), "", (IF(MEDIAN($AO$104:$AO$113) = 0, "", MEDIAN($AO$104:$AO$113))))</f>
        <v>-0.81008260399999998</v>
      </c>
      <c r="AP103">
        <f ca="1">IF(ISERROR(IF(MEDIAN($AP$104:$AP$113) = 0, "", MEDIAN($AP$104:$AP$113))), "", (IF(MEDIAN($AP$104:$AP$113) = 0, "", MEDIAN($AP$104:$AP$113))))</f>
        <v>1.6455232719999999</v>
      </c>
      <c r="AQ103">
        <f ca="1">IF(ISERROR(IF(MEDIAN($AQ$104:$AQ$113) = 0, "", MEDIAN($AQ$104:$AQ$113))), "", (IF(MEDIAN($AQ$104:$AQ$113) = 0, "", MEDIAN($AQ$104:$AQ$113))))</f>
        <v>5.7804268629999997</v>
      </c>
      <c r="AR103">
        <f ca="1">IF(ISERROR(IF(MEDIAN($AR$104:$AR$113) = 0, "", MEDIAN($AR$104:$AR$113))), "", (IF(MEDIAN($AR$104:$AR$113) = 0, "", MEDIAN($AR$104:$AR$113))))</f>
        <v>4.8103736750000001</v>
      </c>
      <c r="AS103">
        <f ca="1">IF(ISERROR(IF(MEDIAN($AS$104:$AS$113) = 0, "", MEDIAN($AS$104:$AS$113))), "", (IF(MEDIAN($AS$104:$AS$113) = 0, "", MEDIAN($AS$104:$AS$113))))</f>
        <v>5.1901436680000002</v>
      </c>
      <c r="AT103">
        <f ca="1">IF(ISERROR(IF(MEDIAN($AT$104:$AT$113) = 0, "", MEDIAN($AT$104:$AT$113))), "", (IF(MEDIAN($AT$104:$AT$113) = 0, "", MEDIAN($AT$104:$AT$113))))</f>
        <v>5.3948077530000003</v>
      </c>
      <c r="AU103">
        <f ca="1">IF(ISERROR(IF(MEDIAN($AU$104:$AU$113) = 0, "", MEDIAN($AU$104:$AU$113))), "", (IF(MEDIAN($AU$104:$AU$113) = 0, "", MEDIAN($AU$104:$AU$113))))</f>
        <v>7.9737657689999999</v>
      </c>
      <c r="AV103">
        <f ca="1">IF(ISERROR(IF(MEDIAN($AV$104:$AV$113) = 0, "", MEDIAN($AV$104:$AV$113))), "", (IF(MEDIAN($AV$104:$AV$113) = 0, "", MEDIAN($AV$104:$AV$113))))</f>
        <v>2.879438457</v>
      </c>
      <c r="AW103">
        <f ca="1">IF(ISERROR(IF(MEDIAN($AW$104:$AW$113) = 0, "", MEDIAN($AW$104:$AW$113))), "", (IF(MEDIAN($AW$104:$AW$113) = 0, "", MEDIAN($AW$104:$AW$113))))</f>
        <v>3.2491153220000002</v>
      </c>
      <c r="AX103">
        <f ca="1">IF(ISERROR(IF(MEDIAN($AX$104:$AX$113) = 0, "", MEDIAN($AX$104:$AX$113))), "", (IF(MEDIAN($AX$104:$AX$113) = 0, "", MEDIAN($AX$104:$AX$113))))</f>
        <v>6.2037833190000002</v>
      </c>
      <c r="AY103">
        <f ca="1">IF(ISERROR(IF(MEDIAN($AY$104:$AY$113) = 0, "", MEDIAN($AY$104:$AY$113))), "", (IF(MEDIAN($AY$104:$AY$113) = 0, "", MEDIAN($AY$104:$AY$113))))</f>
        <v>3.6343378610000001</v>
      </c>
      <c r="AZ103">
        <f ca="1">IF(ISERROR(IF(MEDIAN($AZ$104:$AZ$113) = 0, "", MEDIAN($AZ$104:$AZ$113))), "", (IF(MEDIAN($AZ$104:$AZ$113) = 0, "", MEDIAN($AZ$104:$AZ$113))))</f>
        <v>7.4299194530000001</v>
      </c>
      <c r="BA103">
        <f ca="1">IF(ISERROR(IF(MEDIAN($BA$104:$BA$113) = 0, "", MEDIAN($BA$104:$BA$113))), "", (IF(MEDIAN($BA$104:$BA$113) = 0, "", MEDIAN($BA$104:$BA$113))))</f>
        <v>9.5939387679999992</v>
      </c>
      <c r="BB103">
        <f ca="1">IF(ISERROR(IF(MEDIAN($BB$104:$BB$113) = 0, "", MEDIAN($BB$104:$BB$113))), "", (IF(MEDIAN($BB$104:$BB$113) = 0, "", MEDIAN($BB$104:$BB$113))))</f>
        <v>4.7149030620000003</v>
      </c>
      <c r="BC103">
        <f ca="1">IF(ISERROR(IF(MEDIAN($BC$104:$BC$113) = 0, "", MEDIAN($BC$104:$BC$113))), "", (IF(MEDIAN($BC$104:$BC$113) = 0, "", MEDIAN($BC$104:$BC$113))))</f>
        <v>4.1598912889999999</v>
      </c>
      <c r="BD103">
        <f ca="1">IF(ISERROR(IF(MEDIAN($BD$104:$BD$113) = 0, "", MEDIAN($BD$104:$BD$113))), "", (IF(MEDIAN($BD$104:$BD$113) = 0, "", MEDIAN($BD$104:$BD$113))))</f>
        <v>9.0552623860000008</v>
      </c>
      <c r="BE103">
        <f ca="1">IF(ISERROR(IF(MEDIAN($BE$104:$BE$113) = 0, "", MEDIAN($BE$104:$BE$113))), "", (IF(MEDIAN($BE$104:$BE$113) = 0, "", MEDIAN($BE$104:$BE$113))))</f>
        <v>10.566533229999999</v>
      </c>
      <c r="BF103">
        <f ca="1">IF(ISERROR(IF(MEDIAN($BF$104:$BF$113) = 0, "", MEDIAN($BF$104:$BF$113))), "", (IF(MEDIAN($BF$104:$BF$113) = 0, "", MEDIAN($BF$104:$BF$113))))</f>
        <v>8.5021911140000004</v>
      </c>
      <c r="BG103">
        <f ca="1">IF(ISERROR(IF(MEDIAN($BG$104:$BG$113) = 0, "", MEDIAN($BG$104:$BG$113))), "", (IF(MEDIAN($BG$104:$BG$113) = 0, "", MEDIAN($BG$104:$BG$113))))</f>
        <v>9.4846742269999993</v>
      </c>
      <c r="BH103">
        <f ca="1">IF(ISERROR(IF(MEDIAN($BH$104:$BH$113) = 0, "", MEDIAN($BH$104:$BH$113))), "", (IF(MEDIAN($BH$104:$BH$113) = 0, "", MEDIAN($BH$104:$BH$113))))</f>
        <v>3.4403715269999999</v>
      </c>
      <c r="BI103">
        <f ca="1">IF(ISERROR(IF(MEDIAN($BI$104:$BI$113) = 0, "", MEDIAN($BI$104:$BI$113))), "", (IF(MEDIAN($BI$104:$BI$113) = 0, "", MEDIAN($BI$104:$BI$113))))</f>
        <v>9.0297059740000005</v>
      </c>
      <c r="BJ103">
        <f ca="1">IF(ISERROR(IF(MEDIAN($BJ$104:$BJ$113) = 0, "", MEDIAN($BJ$104:$BJ$113))), "", (IF(MEDIAN($BJ$104:$BJ$113) = 0, "", MEDIAN($BJ$104:$BJ$113))))</f>
        <v>7.3436459579999998</v>
      </c>
      <c r="BK103">
        <f ca="1">IF(ISERROR(IF(MEDIAN($BK$104:$BK$113) = 0, "", MEDIAN($BK$104:$BK$113))), "", (IF(MEDIAN($BK$104:$BK$113) = 0, "", MEDIAN($BK$104:$BK$113))))</f>
        <v>9.0917905680000004</v>
      </c>
      <c r="BL103">
        <f ca="1">IF(ISERROR(IF(MEDIAN($BL$104:$BL$113) = 0, "", MEDIAN($BL$104:$BL$113))), "", (IF(MEDIAN($BL$104:$BL$113) = 0, "", MEDIAN($BL$104:$BL$113))))</f>
        <v>22.840963129999999</v>
      </c>
      <c r="BM103">
        <f ca="1">IF(ISERROR(IF(MEDIAN($BM$104:$BM$113) = 0, "", MEDIAN($BM$104:$BM$113))), "", (IF(MEDIAN($BM$104:$BM$113) = 0, "", MEDIAN($BM$104:$BM$113))))</f>
        <v>12.56926294</v>
      </c>
      <c r="BN103" t="str">
        <f>""</f>
        <v/>
      </c>
      <c r="BO103">
        <f>1.982978618</f>
        <v>1.982978618</v>
      </c>
      <c r="BP103">
        <f>3.37984426</f>
        <v>3.37984426</v>
      </c>
      <c r="BQ103">
        <f>4.562348353</f>
        <v>4.562348353</v>
      </c>
      <c r="BR103">
        <f>-2.55391126</f>
        <v>-2.55391126</v>
      </c>
      <c r="BS103">
        <f>0.481455453</f>
        <v>0.48145545299999998</v>
      </c>
      <c r="BT103">
        <f>-2.149991152</f>
        <v>-2.1499911520000001</v>
      </c>
      <c r="BU103">
        <f>0.652793238</f>
        <v>0.652793238</v>
      </c>
      <c r="BV103">
        <f>-0.475305578</f>
        <v>-0.47530557800000001</v>
      </c>
      <c r="BW103">
        <f>2.850174725</f>
        <v>2.850174725</v>
      </c>
      <c r="BX103">
        <f>3.499065259</f>
        <v>3.499065259</v>
      </c>
      <c r="BY103">
        <f>6.587195196</f>
        <v>6.5871951959999997</v>
      </c>
      <c r="BZ103">
        <f>8.619594672</f>
        <v>8.6195946719999998</v>
      </c>
      <c r="CA103">
        <f>5.094655615</f>
        <v>5.0946556149999997</v>
      </c>
      <c r="CB103">
        <f>4.383721689</f>
        <v>4.3837216889999997</v>
      </c>
      <c r="CC103">
        <f>5.772580517</f>
        <v>5.7725805169999997</v>
      </c>
      <c r="CD103">
        <f>6.07741242</f>
        <v>6.0774124199999999</v>
      </c>
      <c r="CE103">
        <f>3.970536638</f>
        <v>3.970536638</v>
      </c>
      <c r="CF103">
        <f>5.103714499</f>
        <v>5.1037144989999996</v>
      </c>
      <c r="CG103">
        <f>3.689338351</f>
        <v>3.689338351</v>
      </c>
      <c r="CH103">
        <f>4.058833255</f>
        <v>4.0588332549999997</v>
      </c>
      <c r="CI103">
        <f>2.226566799</f>
        <v>2.226566799</v>
      </c>
      <c r="CJ103">
        <f>2.460573137</f>
        <v>2.4605731369999999</v>
      </c>
      <c r="CK103">
        <f>-2.736620833</f>
        <v>-2.7366208329999999</v>
      </c>
      <c r="CL103">
        <f>-1.04808968</f>
        <v>-1.0480896799999999</v>
      </c>
      <c r="CM103">
        <f>0.561146614</f>
        <v>0.56114661399999999</v>
      </c>
      <c r="CN103">
        <f>0.805249524</f>
        <v>0.80524952400000005</v>
      </c>
      <c r="CO103">
        <f>3.011865059</f>
        <v>3.0118650589999998</v>
      </c>
      <c r="CP103">
        <f>4.045329728</f>
        <v>4.0453297279999996</v>
      </c>
      <c r="CQ103">
        <f>-0.222464836</f>
        <v>-0.222464836</v>
      </c>
      <c r="CR103">
        <f>2.632104506</f>
        <v>2.6321045060000001</v>
      </c>
      <c r="CS103">
        <f>0.912939378</f>
        <v>0.91293937800000002</v>
      </c>
      <c r="CT103">
        <f>-2.446855509</f>
        <v>-2.4468555090000002</v>
      </c>
      <c r="CU103">
        <f>-1.659848434</f>
        <v>-1.6598484339999999</v>
      </c>
      <c r="CV103">
        <f>-0.717235544</f>
        <v>-0.717235544</v>
      </c>
      <c r="CW103">
        <f>-0.810082604</f>
        <v>-0.81008260399999998</v>
      </c>
      <c r="CX103">
        <f>1.645523272</f>
        <v>1.6455232719999999</v>
      </c>
      <c r="CY103">
        <f>5.780426863</f>
        <v>5.7804268629999997</v>
      </c>
      <c r="CZ103">
        <f>4.810373675</f>
        <v>4.8103736750000001</v>
      </c>
      <c r="DA103">
        <f>5.190143668</f>
        <v>5.1901436680000002</v>
      </c>
      <c r="DB103">
        <f>5.394807753</f>
        <v>5.3948077530000003</v>
      </c>
      <c r="DC103">
        <f>7.973765769</f>
        <v>7.9737657689999999</v>
      </c>
      <c r="DD103">
        <f>2.879438457</f>
        <v>2.879438457</v>
      </c>
      <c r="DE103">
        <f>3.249115322</f>
        <v>3.2491153220000002</v>
      </c>
      <c r="DF103">
        <f>6.203783319</f>
        <v>6.2037833190000002</v>
      </c>
      <c r="DG103">
        <f>3.634337861</f>
        <v>3.6343378610000001</v>
      </c>
      <c r="DH103">
        <f>7.429919453</f>
        <v>7.4299194530000001</v>
      </c>
      <c r="DI103">
        <f>9.593938768</f>
        <v>9.5939387679999992</v>
      </c>
      <c r="DJ103">
        <f>4.714903062</f>
        <v>4.7149030620000003</v>
      </c>
      <c r="DK103">
        <f>4.159891289</f>
        <v>4.1598912889999999</v>
      </c>
      <c r="DL103">
        <f>9.055262386</f>
        <v>9.0552623860000008</v>
      </c>
      <c r="DM103">
        <f>10.56653323</f>
        <v>10.566533229999999</v>
      </c>
      <c r="DN103">
        <f>8.502191114</f>
        <v>8.5021911140000004</v>
      </c>
      <c r="DO103">
        <f>9.484674227</f>
        <v>9.4846742269999993</v>
      </c>
      <c r="DP103">
        <f>3.440371527</f>
        <v>3.4403715269999999</v>
      </c>
      <c r="DQ103">
        <f>9.029705974</f>
        <v>9.0297059740000005</v>
      </c>
      <c r="DR103">
        <f>7.343645958</f>
        <v>7.3436459579999998</v>
      </c>
      <c r="DS103">
        <f>9.091790568</f>
        <v>9.0917905680000004</v>
      </c>
      <c r="DT103">
        <f>22.84096313</f>
        <v>22.840963129999999</v>
      </c>
      <c r="DU103">
        <f>12.56926294</f>
        <v>12.56926294</v>
      </c>
    </row>
    <row r="104" spans="1:125">
      <c r="A104" t="str">
        <f>"    Boston Properties Inc"</f>
        <v xml:space="preserve">    Boston Properties Inc</v>
      </c>
      <c r="B104" t="str">
        <f>"BXP US Equity"</f>
        <v>BXP US Equity</v>
      </c>
      <c r="C104" t="str">
        <f t="shared" ref="C104:C113" si="27">"RR033"</f>
        <v>RR033</v>
      </c>
      <c r="D104" t="str">
        <f t="shared" ref="D104:D113" si="28">"SALES_GROWTH"</f>
        <v>SALES_GROWTH</v>
      </c>
      <c r="E104" t="str">
        <f t="shared" ref="E104:E113" si="29">"动态"</f>
        <v>动态</v>
      </c>
      <c r="F104" t="str">
        <f ca="1">IF(AND(ISNUMBER($F$416),$B$294=1),$F$416,HLOOKUP(INDIRECT(ADDRESS(2,COLUMN())),OFFSET($BN$2,0,0,ROW()-1,60),ROW()-1,FALSE))</f>
        <v/>
      </c>
      <c r="G104">
        <f ca="1">IF(AND(ISNUMBER($G$416),$B$294=1),$G$416,HLOOKUP(INDIRECT(ADDRESS(2,COLUMN())),OFFSET($BN$2,0,0,ROW()-1,60),ROW()-1,FALSE))</f>
        <v>3.0135474430000002</v>
      </c>
      <c r="H104">
        <f ca="1">IF(AND(ISNUMBER($H$416),$B$294=1),$H$416,HLOOKUP(INDIRECT(ADDRESS(2,COLUMN())),OFFSET($BN$2,0,0,ROW()-1,60),ROW()-1,FALSE))</f>
        <v>5.1955446649999999</v>
      </c>
      <c r="I104">
        <f ca="1">IF(AND(ISNUMBER($I$416),$B$294=1),$I$416,HLOOKUP(INDIRECT(ADDRESS(2,COLUMN())),OFFSET($BN$2,0,0,ROW()-1,60),ROW()-1,FALSE))</f>
        <v>5.3502067210000002</v>
      </c>
      <c r="J104">
        <f ca="1">IF(AND(ISNUMBER($J$416),$B$294=1),$J$416,HLOOKUP(INDIRECT(ADDRESS(2,COLUMN())),OFFSET($BN$2,0,0,ROW()-1,60),ROW()-1,FALSE))</f>
        <v>-5.0687327790000003</v>
      </c>
      <c r="K104">
        <f ca="1">IF(AND(ISNUMBER($K$416),$B$294=1),$K$416,HLOOKUP(INDIRECT(ADDRESS(2,COLUMN())),OFFSET($BN$2,0,0,ROW()-1,60),ROW()-1,FALSE))</f>
        <v>1.8936626940000001</v>
      </c>
      <c r="L104">
        <f ca="1">IF(AND(ISNUMBER($L$416),$B$294=1),$L$416,HLOOKUP(INDIRECT(ADDRESS(2,COLUMN())),OFFSET($BN$2,0,0,ROW()-1,60),ROW()-1,FALSE))</f>
        <v>-0.73918372300000001</v>
      </c>
      <c r="M104">
        <f ca="1">IF(AND(ISNUMBER($M$416),$B$294=1),$M$416,HLOOKUP(INDIRECT(ADDRESS(2,COLUMN())),OFFSET($BN$2,0,0,ROW()-1,60),ROW()-1,FALSE))</f>
        <v>0.861342465</v>
      </c>
      <c r="N104">
        <f ca="1">IF(AND(ISNUMBER($N$416),$B$294=1),$N$416,HLOOKUP(INDIRECT(ADDRESS(2,COLUMN())),OFFSET($BN$2,0,0,ROW()-1,60),ROW()-1,FALSE))</f>
        <v>7.6816238630000004</v>
      </c>
      <c r="O104">
        <f ca="1">IF(AND(ISNUMBER($O$416),$B$294=1),$O$416,HLOOKUP(INDIRECT(ADDRESS(2,COLUMN())),OFFSET($BN$2,0,0,ROW()-1,60),ROW()-1,FALSE))</f>
        <v>1.716291325</v>
      </c>
      <c r="P104">
        <f ca="1">IF(AND(ISNUMBER($P$416),$B$294=1),$P$416,HLOOKUP(INDIRECT(ADDRESS(2,COLUMN())),OFFSET($BN$2,0,0,ROW()-1,60),ROW()-1,FALSE))</f>
        <v>1.7907153</v>
      </c>
      <c r="Q104">
        <f ca="1">IF(AND(ISNUMBER($Q$416),$B$294=1),$Q$416,HLOOKUP(INDIRECT(ADDRESS(2,COLUMN())),OFFSET($BN$2,0,0,ROW()-1,60),ROW()-1,FALSE))</f>
        <v>4.8198184450000001</v>
      </c>
      <c r="R104">
        <f ca="1">IF(AND(ISNUMBER($R$416),$B$294=1),$R$416,HLOOKUP(INDIRECT(ADDRESS(2,COLUMN())),OFFSET($BN$2,0,0,ROW()-1,60),ROW()-1,FALSE))</f>
        <v>7.6183151379999998</v>
      </c>
      <c r="S104">
        <f ca="1">IF(AND(ISNUMBER($S$416),$B$294=1),$S$416,HLOOKUP(INDIRECT(ADDRESS(2,COLUMN())),OFFSET($BN$2,0,0,ROW()-1,60),ROW()-1,FALSE))</f>
        <v>6.5095565940000002</v>
      </c>
      <c r="T104">
        <f ca="1">IF(AND(ISNUMBER($T$416),$B$294=1),$T$416,HLOOKUP(INDIRECT(ADDRESS(2,COLUMN())),OFFSET($BN$2,0,0,ROW()-1,60),ROW()-1,FALSE))</f>
        <v>7.790002125</v>
      </c>
      <c r="U104">
        <f ca="1">IF(AND(ISNUMBER($U$416),$B$294=1),$U$416,HLOOKUP(INDIRECT(ADDRESS(2,COLUMN())),OFFSET($BN$2,0,0,ROW()-1,60),ROW()-1,FALSE))</f>
        <v>15.638399870000001</v>
      </c>
      <c r="V104">
        <f ca="1">IF(AND(ISNUMBER($V$416),$B$294=1),$V$416,HLOOKUP(INDIRECT(ADDRESS(2,COLUMN())),OFFSET($BN$2,0,0,ROW()-1,60),ROW()-1,FALSE))</f>
        <v>20.272651549999999</v>
      </c>
      <c r="W104">
        <f ca="1">IF(AND(ISNUMBER($W$416),$B$294=1),$W$416,HLOOKUP(INDIRECT(ADDRESS(2,COLUMN())),OFFSET($BN$2,0,0,ROW()-1,60),ROW()-1,FALSE))</f>
        <v>20.53187239</v>
      </c>
      <c r="X104">
        <f ca="1">IF(AND(ISNUMBER($X$416),$B$294=1),$X$416,HLOOKUP(INDIRECT(ADDRESS(2,COLUMN())),OFFSET($BN$2,0,0,ROW()-1,60),ROW()-1,FALSE))</f>
        <v>21.910622969999999</v>
      </c>
      <c r="Y104">
        <f ca="1">IF(AND(ISNUMBER($Y$416),$B$294=1),$Y$416,HLOOKUP(INDIRECT(ADDRESS(2,COLUMN())),OFFSET($BN$2,0,0,ROW()-1,60),ROW()-1,FALSE))</f>
        <v>8.2070822260000007</v>
      </c>
      <c r="Z104">
        <f ca="1">IF(AND(ISNUMBER($Z$416),$B$294=1),$Z$416,HLOOKUP(INDIRECT(ADDRESS(2,COLUMN())),OFFSET($BN$2,0,0,ROW()-1,60),ROW()-1,FALSE))</f>
        <v>7.6929318240000004</v>
      </c>
      <c r="AA104">
        <f ca="1">IF(AND(ISNUMBER($AA$416),$B$294=1),$AA$416,HLOOKUP(INDIRECT(ADDRESS(2,COLUMN())),OFFSET($BN$2,0,0,ROW()-1,60),ROW()-1,FALSE))</f>
        <v>6.1081664179999997</v>
      </c>
      <c r="AB104">
        <f ca="1">IF(AND(ISNUMBER($AB$416),$B$294=1),$AB$416,HLOOKUP(INDIRECT(ADDRESS(2,COLUMN())),OFFSET($BN$2,0,0,ROW()-1,60),ROW()-1,FALSE))</f>
        <v>4.7144448670000001</v>
      </c>
      <c r="AC104">
        <f ca="1">IF(AND(ISNUMBER($AC$416),$B$294=1),$AC$416,HLOOKUP(INDIRECT(ADDRESS(2,COLUMN())),OFFSET($BN$2,0,0,ROW()-1,60),ROW()-1,FALSE))</f>
        <v>8.6390529820000008</v>
      </c>
      <c r="AD104">
        <f ca="1">IF(AND(ISNUMBER($AD$416),$B$294=1),$AD$416,HLOOKUP(INDIRECT(ADDRESS(2,COLUMN())),OFFSET($BN$2,0,0,ROW()-1,60),ROW()-1,FALSE))</f>
        <v>6.3466230760000002</v>
      </c>
      <c r="AE104">
        <f ca="1">IF(AND(ISNUMBER($AE$416),$B$294=1),$AE$416,HLOOKUP(INDIRECT(ADDRESS(2,COLUMN())),OFFSET($BN$2,0,0,ROW()-1,60),ROW()-1,FALSE))</f>
        <v>14.78946805</v>
      </c>
      <c r="AF104">
        <f ca="1">IF(AND(ISNUMBER($AF$416),$B$294=1),$AF$416,HLOOKUP(INDIRECT(ADDRESS(2,COLUMN())),OFFSET($BN$2,0,0,ROW()-1,60),ROW()-1,FALSE))</f>
        <v>15.835960679999999</v>
      </c>
      <c r="AG104">
        <f ca="1">IF(AND(ISNUMBER($AG$416),$B$294=1),$AG$416,HLOOKUP(INDIRECT(ADDRESS(2,COLUMN())),OFFSET($BN$2,0,0,ROW()-1,60),ROW()-1,FALSE))</f>
        <v>9.5739952220000006</v>
      </c>
      <c r="AH104">
        <f ca="1">IF(AND(ISNUMBER($AH$416),$B$294=1),$AH$416,HLOOKUP(INDIRECT(ADDRESS(2,COLUMN())),OFFSET($BN$2,0,0,ROW()-1,60),ROW()-1,FALSE))</f>
        <v>10.353346330000001</v>
      </c>
      <c r="AI104">
        <f ca="1">IF(AND(ISNUMBER($AI$416),$B$294=1),$AI$416,HLOOKUP(INDIRECT(ADDRESS(2,COLUMN())),OFFSET($BN$2,0,0,ROW()-1,60),ROW()-1,FALSE))</f>
        <v>3.855394907</v>
      </c>
      <c r="AJ104">
        <f ca="1">IF(AND(ISNUMBER($AJ$416),$B$294=1),$AJ$416,HLOOKUP(INDIRECT(ADDRESS(2,COLUMN())),OFFSET($BN$2,0,0,ROW()-1,60),ROW()-1,FALSE))</f>
        <v>2.8944906349999999</v>
      </c>
      <c r="AK104">
        <f ca="1">IF(AND(ISNUMBER($AK$416),$B$294=1),$AK$416,HLOOKUP(INDIRECT(ADDRESS(2,COLUMN())),OFFSET($BN$2,0,0,ROW()-1,60),ROW()-1,FALSE))</f>
        <v>1.660633136</v>
      </c>
      <c r="AL104">
        <f ca="1">IF(AND(ISNUMBER($AL$416),$B$294=1),$AL$416,HLOOKUP(INDIRECT(ADDRESS(2,COLUMN())),OFFSET($BN$2,0,0,ROW()-1,60),ROW()-1,FALSE))</f>
        <v>0.13958637900000001</v>
      </c>
      <c r="AM104">
        <f ca="1">IF(AND(ISNUMBER($AM$416),$B$294=1),$AM$416,HLOOKUP(INDIRECT(ADDRESS(2,COLUMN())),OFFSET($BN$2,0,0,ROW()-1,60),ROW()-1,FALSE))</f>
        <v>-3.173968742</v>
      </c>
      <c r="AN104">
        <f ca="1">IF(AND(ISNUMBER($AN$416),$B$294=1),$AN$416,HLOOKUP(INDIRECT(ADDRESS(2,COLUMN())),OFFSET($BN$2,0,0,ROW()-1,60),ROW()-1,FALSE))</f>
        <v>5.3954322489999997</v>
      </c>
      <c r="AO104">
        <f ca="1">IF(AND(ISNUMBER($AO$416),$B$294=1),$AO$416,HLOOKUP(INDIRECT(ADDRESS(2,COLUMN())),OFFSET($BN$2,0,0,ROW()-1,60),ROW()-1,FALSE))</f>
        <v>5.6444613209999996</v>
      </c>
      <c r="AP104">
        <f ca="1">IF(AND(ISNUMBER($AP$416),$B$294=1),$AP$416,HLOOKUP(INDIRECT(ADDRESS(2,COLUMN())),OFFSET($BN$2,0,0,ROW()-1,60),ROW()-1,FALSE))</f>
        <v>1.6455232719999999</v>
      </c>
      <c r="AQ104">
        <f ca="1">IF(AND(ISNUMBER($AQ$416),$B$294=1),$AQ$416,HLOOKUP(INDIRECT(ADDRESS(2,COLUMN())),OFFSET($BN$2,0,0,ROW()-1,60),ROW()-1,FALSE))</f>
        <v>2.4974395340000002</v>
      </c>
      <c r="AR104">
        <f ca="1">IF(AND(ISNUMBER($AR$416),$B$294=1),$AR$416,HLOOKUP(INDIRECT(ADDRESS(2,COLUMN())),OFFSET($BN$2,0,0,ROW()-1,60),ROW()-1,FALSE))</f>
        <v>-2.8747856660000002</v>
      </c>
      <c r="AS104">
        <f ca="1">IF(AND(ISNUMBER($AS$416),$B$294=1),$AS$416,HLOOKUP(INDIRECT(ADDRESS(2,COLUMN())),OFFSET($BN$2,0,0,ROW()-1,60),ROW()-1,FALSE))</f>
        <v>-0.94918769599999997</v>
      </c>
      <c r="AT104">
        <f ca="1">IF(AND(ISNUMBER($AT$416),$B$294=1),$AT$416,HLOOKUP(INDIRECT(ADDRESS(2,COLUMN())),OFFSET($BN$2,0,0,ROW()-1,60),ROW()-1,FALSE))</f>
        <v>2.9744693</v>
      </c>
      <c r="AU104">
        <f ca="1">IF(AND(ISNUMBER($AU$416),$B$294=1),$AU$416,HLOOKUP(INDIRECT(ADDRESS(2,COLUMN())),OFFSET($BN$2,0,0,ROW()-1,60),ROW()-1,FALSE))</f>
        <v>7.9737657689999999</v>
      </c>
      <c r="AV104">
        <f ca="1">IF(AND(ISNUMBER($AV$416),$B$294=1),$AV$416,HLOOKUP(INDIRECT(ADDRESS(2,COLUMN())),OFFSET($BN$2,0,0,ROW()-1,60),ROW()-1,FALSE))</f>
        <v>2.5276984229999999</v>
      </c>
      <c r="AW104">
        <f ca="1">IF(AND(ISNUMBER($AW$416),$B$294=1),$AW$416,HLOOKUP(INDIRECT(ADDRESS(2,COLUMN())),OFFSET($BN$2,0,0,ROW()-1,60),ROW()-1,FALSE))</f>
        <v>3.9959654769999999</v>
      </c>
      <c r="AX104">
        <f ca="1">IF(AND(ISNUMBER($AX$416),$B$294=1),$AX$416,HLOOKUP(INDIRECT(ADDRESS(2,COLUMN())),OFFSET($BN$2,0,0,ROW()-1,60),ROW()-1,FALSE))</f>
        <v>3.78449144</v>
      </c>
      <c r="AY104">
        <f ca="1">IF(AND(ISNUMBER($AY$416),$B$294=1),$AY$416,HLOOKUP(INDIRECT(ADDRESS(2,COLUMN())),OFFSET($BN$2,0,0,ROW()-1,60),ROW()-1,FALSE))</f>
        <v>-3.7299397000000001</v>
      </c>
      <c r="AZ104">
        <f ca="1">IF(AND(ISNUMBER($AZ$416),$B$294=1),$AZ$416,HLOOKUP(INDIRECT(ADDRESS(2,COLUMN())),OFFSET($BN$2,0,0,ROW()-1,60),ROW()-1,FALSE))</f>
        <v>0.112226882</v>
      </c>
      <c r="BA104">
        <f ca="1">IF(AND(ISNUMBER($BA$416),$B$294=1),$BA$416,HLOOKUP(INDIRECT(ADDRESS(2,COLUMN())),OFFSET($BN$2,0,0,ROW()-1,60),ROW()-1,FALSE))</f>
        <v>-6.7051280000000003E-3</v>
      </c>
      <c r="BB104">
        <f ca="1">IF(AND(ISNUMBER($BB$416),$B$294=1),$BB$416,HLOOKUP(INDIRECT(ADDRESS(2,COLUMN())),OFFSET($BN$2,0,0,ROW()-1,60),ROW()-1,FALSE))</f>
        <v>-1.89768907</v>
      </c>
      <c r="BC104">
        <f ca="1">IF(AND(ISNUMBER($BC$416),$B$294=1),$BC$416,HLOOKUP(INDIRECT(ADDRESS(2,COLUMN())),OFFSET($BN$2,0,0,ROW()-1,60),ROW()-1,FALSE))</f>
        <v>1.9528771330000001</v>
      </c>
      <c r="BD104">
        <f ca="1">IF(AND(ISNUMBER($BD$416),$B$294=1),$BD$416,HLOOKUP(INDIRECT(ADDRESS(2,COLUMN())),OFFSET($BN$2,0,0,ROW()-1,60),ROW()-1,FALSE))</f>
        <v>-1.1973147E-2</v>
      </c>
      <c r="BE104">
        <f ca="1">IF(AND(ISNUMBER($BE$416),$B$294=1),$BE$416,HLOOKUP(INDIRECT(ADDRESS(2,COLUMN())),OFFSET($BN$2,0,0,ROW()-1,60),ROW()-1,FALSE))</f>
        <v>3.709294678</v>
      </c>
      <c r="BF104">
        <f ca="1">IF(AND(ISNUMBER($BF$416),$B$294=1),$BF$416,HLOOKUP(INDIRECT(ADDRESS(2,COLUMN())),OFFSET($BN$2,0,0,ROW()-1,60),ROW()-1,FALSE))</f>
        <v>6.1797550760000002</v>
      </c>
      <c r="BG104">
        <f ca="1">IF(AND(ISNUMBER($BG$416),$B$294=1),$BG$416,HLOOKUP(INDIRECT(ADDRESS(2,COLUMN())),OFFSET($BN$2,0,0,ROW()-1,60),ROW()-1,FALSE))</f>
        <v>7.6102487459999999</v>
      </c>
      <c r="BH104">
        <f ca="1">IF(AND(ISNUMBER($BH$416),$B$294=1),$BH$416,HLOOKUP(INDIRECT(ADDRESS(2,COLUMN())),OFFSET($BN$2,0,0,ROW()-1,60),ROW()-1,FALSE))</f>
        <v>9.4629535730000001</v>
      </c>
      <c r="BI104">
        <f ca="1">IF(AND(ISNUMBER($BI$416),$B$294=1),$BI$416,HLOOKUP(INDIRECT(ADDRESS(2,COLUMN())),OFFSET($BN$2,0,0,ROW()-1,60),ROW()-1,FALSE))</f>
        <v>7.4862579609999997</v>
      </c>
      <c r="BJ104">
        <f ca="1">IF(AND(ISNUMBER($BJ$416),$B$294=1),$BJ$416,HLOOKUP(INDIRECT(ADDRESS(2,COLUMN())),OFFSET($BN$2,0,0,ROW()-1,60),ROW()-1,FALSE))</f>
        <v>5.1216420669999998</v>
      </c>
      <c r="BK104">
        <f ca="1">IF(AND(ISNUMBER($BK$416),$B$294=1),$BK$416,HLOOKUP(INDIRECT(ADDRESS(2,COLUMN())),OFFSET($BN$2,0,0,ROW()-1,60),ROW()-1,FALSE))</f>
        <v>0.17220270900000001</v>
      </c>
      <c r="BL104">
        <f ca="1">IF(AND(ISNUMBER($BL$416),$B$294=1),$BL$416,HLOOKUP(INDIRECT(ADDRESS(2,COLUMN())),OFFSET($BN$2,0,0,ROW()-1,60),ROW()-1,FALSE))</f>
        <v>8.9301556229999992</v>
      </c>
      <c r="BM104">
        <f ca="1">IF(AND(ISNUMBER($BM$416),$B$294=1),$BM$416,HLOOKUP(INDIRECT(ADDRESS(2,COLUMN())),OFFSET($BN$2,0,0,ROW()-1,60),ROW()-1,FALSE))</f>
        <v>13.33178114</v>
      </c>
      <c r="BN104" t="str">
        <f>""</f>
        <v/>
      </c>
      <c r="BO104">
        <f>3.013547443</f>
        <v>3.0135474430000002</v>
      </c>
      <c r="BP104">
        <f>5.195544665</f>
        <v>5.1955446649999999</v>
      </c>
      <c r="BQ104">
        <f>5.350206721</f>
        <v>5.3502067210000002</v>
      </c>
      <c r="BR104">
        <f>-5.068732779</f>
        <v>-5.0687327790000003</v>
      </c>
      <c r="BS104">
        <f>1.893662694</f>
        <v>1.8936626940000001</v>
      </c>
      <c r="BT104">
        <f>-0.739183723</f>
        <v>-0.73918372300000001</v>
      </c>
      <c r="BU104">
        <f>0.861342465</f>
        <v>0.861342465</v>
      </c>
      <c r="BV104">
        <f>7.681623863</f>
        <v>7.6816238630000004</v>
      </c>
      <c r="BW104">
        <f>1.716291325</f>
        <v>1.716291325</v>
      </c>
      <c r="BX104">
        <f>1.7907153</f>
        <v>1.7907153</v>
      </c>
      <c r="BY104">
        <f>4.819818445</f>
        <v>4.8198184450000001</v>
      </c>
      <c r="BZ104">
        <f>7.618315138</f>
        <v>7.6183151379999998</v>
      </c>
      <c r="CA104">
        <f>6.509556594</f>
        <v>6.5095565940000002</v>
      </c>
      <c r="CB104">
        <f>7.790002125</f>
        <v>7.790002125</v>
      </c>
      <c r="CC104">
        <f>15.63839987</f>
        <v>15.638399870000001</v>
      </c>
      <c r="CD104">
        <f>20.27265155</f>
        <v>20.272651549999999</v>
      </c>
      <c r="CE104">
        <f>20.53187239</f>
        <v>20.53187239</v>
      </c>
      <c r="CF104">
        <f>21.91062297</f>
        <v>21.910622969999999</v>
      </c>
      <c r="CG104">
        <f>8.207082226</f>
        <v>8.2070822260000007</v>
      </c>
      <c r="CH104">
        <f>7.692931824</f>
        <v>7.6929318240000004</v>
      </c>
      <c r="CI104">
        <f>6.108166418</f>
        <v>6.1081664179999997</v>
      </c>
      <c r="CJ104">
        <f>4.714444867</f>
        <v>4.7144448670000001</v>
      </c>
      <c r="CK104">
        <f>8.639052982</f>
        <v>8.6390529820000008</v>
      </c>
      <c r="CL104">
        <f>6.346623076</f>
        <v>6.3466230760000002</v>
      </c>
      <c r="CM104">
        <f>14.78946805</f>
        <v>14.78946805</v>
      </c>
      <c r="CN104">
        <f>15.83596068</f>
        <v>15.835960679999999</v>
      </c>
      <c r="CO104">
        <f>9.573995222</f>
        <v>9.5739952220000006</v>
      </c>
      <c r="CP104">
        <f>10.35334633</f>
        <v>10.353346330000001</v>
      </c>
      <c r="CQ104">
        <f>3.855394907</f>
        <v>3.855394907</v>
      </c>
      <c r="CR104">
        <f>2.894490635</f>
        <v>2.8944906349999999</v>
      </c>
      <c r="CS104">
        <f>1.660633136</f>
        <v>1.660633136</v>
      </c>
      <c r="CT104">
        <f>0.139586379</f>
        <v>0.13958637900000001</v>
      </c>
      <c r="CU104">
        <f>-3.173968742</f>
        <v>-3.173968742</v>
      </c>
      <c r="CV104">
        <f>5.395432249</f>
        <v>5.3954322489999997</v>
      </c>
      <c r="CW104">
        <f>5.644461321</f>
        <v>5.6444613209999996</v>
      </c>
      <c r="CX104">
        <f>1.645523272</f>
        <v>1.6455232719999999</v>
      </c>
      <c r="CY104">
        <f>2.497439534</f>
        <v>2.4974395340000002</v>
      </c>
      <c r="CZ104">
        <f>-2.874785666</f>
        <v>-2.8747856660000002</v>
      </c>
      <c r="DA104">
        <f>-0.949187696</f>
        <v>-0.94918769599999997</v>
      </c>
      <c r="DB104">
        <f>2.9744693</f>
        <v>2.9744693</v>
      </c>
      <c r="DC104">
        <f>7.973765769</f>
        <v>7.9737657689999999</v>
      </c>
      <c r="DD104">
        <f>2.527698423</f>
        <v>2.5276984229999999</v>
      </c>
      <c r="DE104">
        <f>3.995965477</f>
        <v>3.9959654769999999</v>
      </c>
      <c r="DF104">
        <f>3.78449144</f>
        <v>3.78449144</v>
      </c>
      <c r="DG104">
        <f>-3.7299397</f>
        <v>-3.7299397000000001</v>
      </c>
      <c r="DH104">
        <f>0.112226882</f>
        <v>0.112226882</v>
      </c>
      <c r="DI104">
        <f>-0.006705128</f>
        <v>-6.7051280000000003E-3</v>
      </c>
      <c r="DJ104">
        <f>-1.89768907</f>
        <v>-1.89768907</v>
      </c>
      <c r="DK104">
        <f>1.952877133</f>
        <v>1.9528771330000001</v>
      </c>
      <c r="DL104">
        <f>-0.011973147</f>
        <v>-1.1973147E-2</v>
      </c>
      <c r="DM104">
        <f>3.709294678</f>
        <v>3.709294678</v>
      </c>
      <c r="DN104">
        <f>6.179755076</f>
        <v>6.1797550760000002</v>
      </c>
      <c r="DO104">
        <f>7.610248746</f>
        <v>7.6102487459999999</v>
      </c>
      <c r="DP104">
        <f>9.462953573</f>
        <v>9.4629535730000001</v>
      </c>
      <c r="DQ104">
        <f>7.486257961</f>
        <v>7.4862579609999997</v>
      </c>
      <c r="DR104">
        <f>5.121642067</f>
        <v>5.1216420669999998</v>
      </c>
      <c r="DS104">
        <f>0.172202709</f>
        <v>0.17220270900000001</v>
      </c>
      <c r="DT104">
        <f>8.930155623</f>
        <v>8.9301556229999992</v>
      </c>
      <c r="DU104">
        <f>13.33178114</f>
        <v>13.33178114</v>
      </c>
    </row>
    <row r="105" spans="1:125">
      <c r="A105" t="str">
        <f>"    Brandywine Realty Trust"</f>
        <v xml:space="preserve">    Brandywine Realty Trust</v>
      </c>
      <c r="B105" t="str">
        <f>"BDN US Equity"</f>
        <v>BDN US Equity</v>
      </c>
      <c r="C105" t="str">
        <f t="shared" si="27"/>
        <v>RR033</v>
      </c>
      <c r="D105" t="str">
        <f t="shared" si="28"/>
        <v>SALES_GROWTH</v>
      </c>
      <c r="E105" t="str">
        <f t="shared" si="29"/>
        <v>动态</v>
      </c>
      <c r="F105" t="str">
        <f ca="1">IF(AND(ISNUMBER($F$417),$B$294=1),$F$417,HLOOKUP(INDIRECT(ADDRESS(2,COLUMN())),OFFSET($BN$2,0,0,ROW()-1,60),ROW()-1,FALSE))</f>
        <v/>
      </c>
      <c r="G105">
        <f ca="1">IF(AND(ISNUMBER($G$417),$B$294=1),$G$417,HLOOKUP(INDIRECT(ADDRESS(2,COLUMN())),OFFSET($BN$2,0,0,ROW()-1,60),ROW()-1,FALSE))</f>
        <v>0.95240979400000003</v>
      </c>
      <c r="H105">
        <f ca="1">IF(AND(ISNUMBER($H$417),$B$294=1),$H$417,HLOOKUP(INDIRECT(ADDRESS(2,COLUMN())),OFFSET($BN$2,0,0,ROW()-1,60),ROW()-1,FALSE))</f>
        <v>-0.96843338899999998</v>
      </c>
      <c r="I105">
        <f ca="1">IF(AND(ISNUMBER($I$417),$B$294=1),$I$417,HLOOKUP(INDIRECT(ADDRESS(2,COLUMN())),OFFSET($BN$2,0,0,ROW()-1,60),ROW()-1,FALSE))</f>
        <v>0.47963139199999999</v>
      </c>
      <c r="J105">
        <f ca="1">IF(AND(ISNUMBER($J$417),$B$294=1),$J$417,HLOOKUP(INDIRECT(ADDRESS(2,COLUMN())),OFFSET($BN$2,0,0,ROW()-1,60),ROW()-1,FALSE))</f>
        <v>-4.0893173730000001</v>
      </c>
      <c r="K105">
        <f ca="1">IF(AND(ISNUMBER($K$417),$B$294=1),$K$417,HLOOKUP(INDIRECT(ADDRESS(2,COLUMN())),OFFSET($BN$2,0,0,ROW()-1,60),ROW()-1,FALSE))</f>
        <v>-14.22541431</v>
      </c>
      <c r="L105">
        <f ca="1">IF(AND(ISNUMBER($L$417),$B$294=1),$L$417,HLOOKUP(INDIRECT(ADDRESS(2,COLUMN())),OFFSET($BN$2,0,0,ROW()-1,60),ROW()-1,FALSE))</f>
        <v>-15.00212996</v>
      </c>
      <c r="M105">
        <f ca="1">IF(AND(ISNUMBER($M$417),$B$294=1),$M$417,HLOOKUP(INDIRECT(ADDRESS(2,COLUMN())),OFFSET($BN$2,0,0,ROW()-1,60),ROW()-1,FALSE))</f>
        <v>-12.67919917</v>
      </c>
      <c r="N105">
        <f ca="1">IF(AND(ISNUMBER($N$417),$B$294=1),$N$417,HLOOKUP(INDIRECT(ADDRESS(2,COLUMN())),OFFSET($BN$2,0,0,ROW()-1,60),ROW()-1,FALSE))</f>
        <v>-9.2443120620000006</v>
      </c>
      <c r="O105">
        <f ca="1">IF(AND(ISNUMBER($O$417),$B$294=1),$O$417,HLOOKUP(INDIRECT(ADDRESS(2,COLUMN())),OFFSET($BN$2,0,0,ROW()-1,60),ROW()-1,FALSE))</f>
        <v>4.1823963199999996</v>
      </c>
      <c r="P105">
        <f ca="1">IF(AND(ISNUMBER($P$417),$B$294=1),$P$417,HLOOKUP(INDIRECT(ADDRESS(2,COLUMN())),OFFSET($BN$2,0,0,ROW()-1,60),ROW()-1,FALSE))</f>
        <v>4.1123650700000001</v>
      </c>
      <c r="Q105">
        <f ca="1">IF(AND(ISNUMBER($Q$417),$B$294=1),$Q$417,HLOOKUP(INDIRECT(ADDRESS(2,COLUMN())),OFFSET($BN$2,0,0,ROW()-1,60),ROW()-1,FALSE))</f>
        <v>-3.2239202659999999</v>
      </c>
      <c r="R105">
        <f ca="1">IF(AND(ISNUMBER($R$417),$B$294=1),$R$417,HLOOKUP(INDIRECT(ADDRESS(2,COLUMN())),OFFSET($BN$2,0,0,ROW()-1,60),ROW()-1,FALSE))</f>
        <v>-1.122842079</v>
      </c>
      <c r="S105">
        <f ca="1">IF(AND(ISNUMBER($S$417),$B$294=1),$S$417,HLOOKUP(INDIRECT(ADDRESS(2,COLUMN())),OFFSET($BN$2,0,0,ROW()-1,60),ROW()-1,FALSE))</f>
        <v>6.6004125260000004</v>
      </c>
      <c r="T105">
        <f ca="1">IF(AND(ISNUMBER($T$417),$B$294=1),$T$417,HLOOKUP(INDIRECT(ADDRESS(2,COLUMN())),OFFSET($BN$2,0,0,ROW()-1,60),ROW()-1,FALSE))</f>
        <v>2.2350265779999998</v>
      </c>
      <c r="U105">
        <f ca="1">IF(AND(ISNUMBER($U$417),$B$294=1),$U$417,HLOOKUP(INDIRECT(ADDRESS(2,COLUMN())),OFFSET($BN$2,0,0,ROW()-1,60),ROW()-1,FALSE))</f>
        <v>7.0077642840000003</v>
      </c>
      <c r="V105">
        <f ca="1">IF(AND(ISNUMBER($V$417),$B$294=1),$V$417,HLOOKUP(INDIRECT(ADDRESS(2,COLUMN())),OFFSET($BN$2,0,0,ROW()-1,60),ROW()-1,FALSE))</f>
        <v>9.0001003199999996</v>
      </c>
      <c r="W105">
        <f ca="1">IF(AND(ISNUMBER($W$417),$B$294=1),$W$417,HLOOKUP(INDIRECT(ADDRESS(2,COLUMN())),OFFSET($BN$2,0,0,ROW()-1,60),ROW()-1,FALSE))</f>
        <v>1.6591517280000001</v>
      </c>
      <c r="X105">
        <f ca="1">IF(AND(ISNUMBER($X$417),$B$294=1),$X$417,HLOOKUP(INDIRECT(ADDRESS(2,COLUMN())),OFFSET($BN$2,0,0,ROW()-1,60),ROW()-1,FALSE))</f>
        <v>6.5670532259999996</v>
      </c>
      <c r="Y105">
        <f ca="1">IF(AND(ISNUMBER($Y$417),$B$294=1),$Y$417,HLOOKUP(INDIRECT(ADDRESS(2,COLUMN())),OFFSET($BN$2,0,0,ROW()-1,60),ROW()-1,FALSE))</f>
        <v>6.7077380639999999</v>
      </c>
      <c r="Z105">
        <f ca="1">IF(AND(ISNUMBER($Z$417),$B$294=1),$Z$417,HLOOKUP(INDIRECT(ADDRESS(2,COLUMN())),OFFSET($BN$2,0,0,ROW()-1,60),ROW()-1,FALSE))</f>
        <v>3.7275436860000002</v>
      </c>
      <c r="AA105">
        <f ca="1">IF(AND(ISNUMBER($AA$417),$B$294=1),$AA$417,HLOOKUP(INDIRECT(ADDRESS(2,COLUMN())),OFFSET($BN$2,0,0,ROW()-1,60),ROW()-1,FALSE))</f>
        <v>-3.5982358680000002</v>
      </c>
      <c r="AB105">
        <f ca="1">IF(AND(ISNUMBER($AB$417),$B$294=1),$AB$417,HLOOKUP(INDIRECT(ADDRESS(2,COLUMN())),OFFSET($BN$2,0,0,ROW()-1,60),ROW()-1,FALSE))</f>
        <v>-3.5014096029999999</v>
      </c>
      <c r="AC105">
        <f ca="1">IF(AND(ISNUMBER($AC$417),$B$294=1),$AC$417,HLOOKUP(INDIRECT(ADDRESS(2,COLUMN())),OFFSET($BN$2,0,0,ROW()-1,60),ROW()-1,FALSE))</f>
        <v>-5.3472556359999999</v>
      </c>
      <c r="AD105">
        <f ca="1">IF(AND(ISNUMBER($AD$417),$B$294=1),$AD$417,HLOOKUP(INDIRECT(ADDRESS(2,COLUMN())),OFFSET($BN$2,0,0,ROW()-1,60),ROW()-1,FALSE))</f>
        <v>-6.7630874990000001</v>
      </c>
      <c r="AE105">
        <f ca="1">IF(AND(ISNUMBER($AE$417),$B$294=1),$AE$417,HLOOKUP(INDIRECT(ADDRESS(2,COLUMN())),OFFSET($BN$2,0,0,ROW()-1,60),ROW()-1,FALSE))</f>
        <v>-3.147504176</v>
      </c>
      <c r="AF105">
        <f ca="1">IF(AND(ISNUMBER($AF$417),$B$294=1),$AF$417,HLOOKUP(INDIRECT(ADDRESS(2,COLUMN())),OFFSET($BN$2,0,0,ROW()-1,60),ROW()-1,FALSE))</f>
        <v>-1.477822068</v>
      </c>
      <c r="AG105">
        <f ca="1">IF(AND(ISNUMBER($AG$417),$B$294=1),$AG$417,HLOOKUP(INDIRECT(ADDRESS(2,COLUMN())),OFFSET($BN$2,0,0,ROW()-1,60),ROW()-1,FALSE))</f>
        <v>2.7690649980000002</v>
      </c>
      <c r="AH105">
        <f ca="1">IF(AND(ISNUMBER($AH$417),$B$294=1),$AH$417,HLOOKUP(INDIRECT(ADDRESS(2,COLUMN())),OFFSET($BN$2,0,0,ROW()-1,60),ROW()-1,FALSE))</f>
        <v>2.0249727790000001</v>
      </c>
      <c r="AI105">
        <f ca="1">IF(AND(ISNUMBER($AI$417),$B$294=1),$AI$417,HLOOKUP(INDIRECT(ADDRESS(2,COLUMN())),OFFSET($BN$2,0,0,ROW()-1,60),ROW()-1,FALSE))</f>
        <v>-0.37576294900000001</v>
      </c>
      <c r="AJ105">
        <f ca="1">IF(AND(ISNUMBER($AJ$417),$B$294=1),$AJ$417,HLOOKUP(INDIRECT(ADDRESS(2,COLUMN())),OFFSET($BN$2,0,0,ROW()-1,60),ROW()-1,FALSE))</f>
        <v>-3.0438417370000002</v>
      </c>
      <c r="AK105">
        <f ca="1">IF(AND(ISNUMBER($AK$417),$B$294=1),$AK$417,HLOOKUP(INDIRECT(ADDRESS(2,COLUMN())),OFFSET($BN$2,0,0,ROW()-1,60),ROW()-1,FALSE))</f>
        <v>-4.6292777000000003</v>
      </c>
      <c r="AL105">
        <f ca="1">IF(AND(ISNUMBER($AL$417),$B$294=1),$AL$417,HLOOKUP(INDIRECT(ADDRESS(2,COLUMN())),OFFSET($BN$2,0,0,ROW()-1,60),ROW()-1,FALSE))</f>
        <v>-3.6100074289999999</v>
      </c>
      <c r="AM105">
        <f ca="1">IF(AND(ISNUMBER($AM$417),$B$294=1),$AM$417,HLOOKUP(INDIRECT(ADDRESS(2,COLUMN())),OFFSET($BN$2,0,0,ROW()-1,60),ROW()-1,FALSE))</f>
        <v>-1.6598484339999999</v>
      </c>
      <c r="AN105">
        <f ca="1">IF(AND(ISNUMBER($AN$417),$B$294=1),$AN$417,HLOOKUP(INDIRECT(ADDRESS(2,COLUMN())),OFFSET($BN$2,0,0,ROW()-1,60),ROW()-1,FALSE))</f>
        <v>1.105737921</v>
      </c>
      <c r="AO105">
        <f ca="1">IF(AND(ISNUMBER($AO$417),$B$294=1),$AO$417,HLOOKUP(INDIRECT(ADDRESS(2,COLUMN())),OFFSET($BN$2,0,0,ROW()-1,60),ROW()-1,FALSE))</f>
        <v>-5.7652255810000002</v>
      </c>
      <c r="AP105">
        <f ca="1">IF(AND(ISNUMBER($AP$417),$B$294=1),$AP$417,HLOOKUP(INDIRECT(ADDRESS(2,COLUMN())),OFFSET($BN$2,0,0,ROW()-1,60),ROW()-1,FALSE))</f>
        <v>-3.6211607680000002</v>
      </c>
      <c r="AQ105">
        <f ca="1">IF(AND(ISNUMBER($AQ$417),$B$294=1),$AQ$417,HLOOKUP(INDIRECT(ADDRESS(2,COLUMN())),OFFSET($BN$2,0,0,ROW()-1,60),ROW()-1,FALSE))</f>
        <v>-6.4912423730000004</v>
      </c>
      <c r="AR105">
        <f ca="1">IF(AND(ISNUMBER($AR$417),$B$294=1),$AR$417,HLOOKUP(INDIRECT(ADDRESS(2,COLUMN())),OFFSET($BN$2,0,0,ROW()-1,60),ROW()-1,FALSE))</f>
        <v>-11.525070489999999</v>
      </c>
      <c r="AS105">
        <f ca="1">IF(AND(ISNUMBER($AS$417),$B$294=1),$AS$417,HLOOKUP(INDIRECT(ADDRESS(2,COLUMN())),OFFSET($BN$2,0,0,ROW()-1,60),ROW()-1,FALSE))</f>
        <v>-0.95519642599999999</v>
      </c>
      <c r="AT105">
        <f ca="1">IF(AND(ISNUMBER($AT$417),$B$294=1),$AT$417,HLOOKUP(INDIRECT(ADDRESS(2,COLUMN())),OFFSET($BN$2,0,0,ROW()-1,60),ROW()-1,FALSE))</f>
        <v>-8.0563339450000004</v>
      </c>
      <c r="AU105">
        <f ca="1">IF(AND(ISNUMBER($AU$417),$B$294=1),$AU$417,HLOOKUP(INDIRECT(ADDRESS(2,COLUMN())),OFFSET($BN$2,0,0,ROW()-1,60),ROW()-1,FALSE))</f>
        <v>-9.6768529270000005</v>
      </c>
      <c r="AV105">
        <f ca="1">IF(AND(ISNUMBER($AV$417),$B$294=1),$AV$417,HLOOKUP(INDIRECT(ADDRESS(2,COLUMN())),OFFSET($BN$2,0,0,ROW()-1,60),ROW()-1,FALSE))</f>
        <v>-1.079910988</v>
      </c>
      <c r="AW105">
        <f ca="1">IF(AND(ISNUMBER($AW$417),$B$294=1),$AW$417,HLOOKUP(INDIRECT(ADDRESS(2,COLUMN())),OFFSET($BN$2,0,0,ROW()-1,60),ROW()-1,FALSE))</f>
        <v>-0.51110443000000005</v>
      </c>
      <c r="AX105">
        <f ca="1">IF(AND(ISNUMBER($AX$417),$B$294=1),$AX$417,HLOOKUP(INDIRECT(ADDRESS(2,COLUMN())),OFFSET($BN$2,0,0,ROW()-1,60),ROW()-1,FALSE))</f>
        <v>12.97418263</v>
      </c>
      <c r="AY105">
        <f ca="1">IF(AND(ISNUMBER($AY$417),$B$294=1),$AY$417,HLOOKUP(INDIRECT(ADDRESS(2,COLUMN())),OFFSET($BN$2,0,0,ROW()-1,60),ROW()-1,FALSE))</f>
        <v>80.775138229999996</v>
      </c>
      <c r="AZ105">
        <f ca="1">IF(AND(ISNUMBER($AZ$417),$B$294=1),$AZ$417,HLOOKUP(INDIRECT(ADDRESS(2,COLUMN())),OFFSET($BN$2,0,0,ROW()-1,60),ROW()-1,FALSE))</f>
        <v>72.998290170000004</v>
      </c>
      <c r="BA105">
        <f ca="1">IF(AND(ISNUMBER($BA$417),$B$294=1),$BA$417,HLOOKUP(INDIRECT(ADDRESS(2,COLUMN())),OFFSET($BN$2,0,0,ROW()-1,60),ROW()-1,FALSE))</f>
        <v>59.791542649999997</v>
      </c>
      <c r="BB105">
        <f ca="1">IF(AND(ISNUMBER($BB$417),$B$294=1),$BB$417,HLOOKUP(INDIRECT(ADDRESS(2,COLUMN())),OFFSET($BN$2,0,0,ROW()-1,60),ROW()-1,FALSE))</f>
        <v>47.003129260000001</v>
      </c>
      <c r="BC105">
        <f ca="1">IF(AND(ISNUMBER($BC$417),$B$294=1),$BC$417,HLOOKUP(INDIRECT(ADDRESS(2,COLUMN())),OFFSET($BN$2,0,0,ROW()-1,60),ROW()-1,FALSE))</f>
        <v>1.583140902</v>
      </c>
      <c r="BD105">
        <f ca="1">IF(AND(ISNUMBER($BD$417),$B$294=1),$BD$417,HLOOKUP(INDIRECT(ADDRESS(2,COLUMN())),OFFSET($BN$2,0,0,ROW()-1,60),ROW()-1,FALSE))</f>
        <v>19.976591410000001</v>
      </c>
      <c r="BE105">
        <f ca="1">IF(AND(ISNUMBER($BE$417),$B$294=1),$BE$417,HLOOKUP(INDIRECT(ADDRESS(2,COLUMN())),OFFSET($BN$2,0,0,ROW()-1,60),ROW()-1,FALSE))</f>
        <v>24.748876289999998</v>
      </c>
      <c r="BF105">
        <f ca="1">IF(AND(ISNUMBER($BF$417),$B$294=1),$BF$417,HLOOKUP(INDIRECT(ADDRESS(2,COLUMN())),OFFSET($BN$2,0,0,ROW()-1,60),ROW()-1,FALSE))</f>
        <v>34.990522609999999</v>
      </c>
      <c r="BG105" t="str">
        <f ca="1">IF(AND(ISNUMBER($BG$417),$B$294=1),$BG$417,HLOOKUP(INDIRECT(ADDRESS(2,COLUMN())),OFFSET($BN$2,0,0,ROW()-1,60),ROW()-1,FALSE))</f>
        <v/>
      </c>
      <c r="BH105">
        <f ca="1">IF(AND(ISNUMBER($BH$417),$B$294=1),$BH$417,HLOOKUP(INDIRECT(ADDRESS(2,COLUMN())),OFFSET($BN$2,0,0,ROW()-1,60),ROW()-1,FALSE))</f>
        <v>3.1881874730000002</v>
      </c>
      <c r="BI105">
        <f ca="1">IF(AND(ISNUMBER($BI$417),$B$294=1),$BI$417,HLOOKUP(INDIRECT(ADDRESS(2,COLUMN())),OFFSET($BN$2,0,0,ROW()-1,60),ROW()-1,FALSE))</f>
        <v>3.0766544910000002</v>
      </c>
      <c r="BJ105">
        <f ca="1">IF(AND(ISNUMBER($BJ$417),$B$294=1),$BJ$417,HLOOKUP(INDIRECT(ADDRESS(2,COLUMN())),OFFSET($BN$2,0,0,ROW()-1,60),ROW()-1,FALSE))</f>
        <v>-1.8354354669999999</v>
      </c>
      <c r="BK105" t="str">
        <f ca="1">IF(AND(ISNUMBER($BK$417),$B$294=1),$BK$417,HLOOKUP(INDIRECT(ADDRESS(2,COLUMN())),OFFSET($BN$2,0,0,ROW()-1,60),ROW()-1,FALSE))</f>
        <v/>
      </c>
      <c r="BL105">
        <f ca="1">IF(AND(ISNUMBER($BL$417),$B$294=1),$BL$417,HLOOKUP(INDIRECT(ADDRESS(2,COLUMN())),OFFSET($BN$2,0,0,ROW()-1,60),ROW()-1,FALSE))</f>
        <v>3.4333149760000001</v>
      </c>
      <c r="BM105">
        <f ca="1">IF(AND(ISNUMBER($BM$417),$B$294=1),$BM$417,HLOOKUP(INDIRECT(ADDRESS(2,COLUMN())),OFFSET($BN$2,0,0,ROW()-1,60),ROW()-1,FALSE))</f>
        <v>2.1257920289999999</v>
      </c>
      <c r="BN105" t="str">
        <f>""</f>
        <v/>
      </c>
      <c r="BO105">
        <f>0.952409794</f>
        <v>0.95240979400000003</v>
      </c>
      <c r="BP105">
        <f>-0.968433389</f>
        <v>-0.96843338899999998</v>
      </c>
      <c r="BQ105">
        <f>0.479631392</f>
        <v>0.47963139199999999</v>
      </c>
      <c r="BR105">
        <f>-4.089317373</f>
        <v>-4.0893173730000001</v>
      </c>
      <c r="BS105">
        <f>-14.22541431</f>
        <v>-14.22541431</v>
      </c>
      <c r="BT105">
        <f>-15.00212996</f>
        <v>-15.00212996</v>
      </c>
      <c r="BU105">
        <f>-12.67919917</f>
        <v>-12.67919917</v>
      </c>
      <c r="BV105">
        <f>-9.244312062</f>
        <v>-9.2443120620000006</v>
      </c>
      <c r="BW105">
        <f>4.18239632</f>
        <v>4.1823963199999996</v>
      </c>
      <c r="BX105">
        <f>4.11236507</f>
        <v>4.1123650700000001</v>
      </c>
      <c r="BY105">
        <f>-3.223920266</f>
        <v>-3.2239202659999999</v>
      </c>
      <c r="BZ105">
        <f>-1.122842079</f>
        <v>-1.122842079</v>
      </c>
      <c r="CA105">
        <f>6.600412526</f>
        <v>6.6004125260000004</v>
      </c>
      <c r="CB105">
        <f>2.235026578</f>
        <v>2.2350265779999998</v>
      </c>
      <c r="CC105">
        <f>7.007764284</f>
        <v>7.0077642840000003</v>
      </c>
      <c r="CD105">
        <f>9.00010032</f>
        <v>9.0001003199999996</v>
      </c>
      <c r="CE105">
        <f>1.659151728</f>
        <v>1.6591517280000001</v>
      </c>
      <c r="CF105">
        <f>6.567053226</f>
        <v>6.5670532259999996</v>
      </c>
      <c r="CG105">
        <f>6.707738064</f>
        <v>6.7077380639999999</v>
      </c>
      <c r="CH105">
        <f>3.727543686</f>
        <v>3.7275436860000002</v>
      </c>
      <c r="CI105">
        <f>-3.598235868</f>
        <v>-3.5982358680000002</v>
      </c>
      <c r="CJ105">
        <f>-3.501409603</f>
        <v>-3.5014096029999999</v>
      </c>
      <c r="CK105">
        <f>-5.347255636</f>
        <v>-5.3472556359999999</v>
      </c>
      <c r="CL105">
        <f>-6.763087499</f>
        <v>-6.7630874990000001</v>
      </c>
      <c r="CM105">
        <f>-3.147504176</f>
        <v>-3.147504176</v>
      </c>
      <c r="CN105">
        <f>-1.477822068</f>
        <v>-1.477822068</v>
      </c>
      <c r="CO105">
        <f>2.769064998</f>
        <v>2.7690649980000002</v>
      </c>
      <c r="CP105">
        <f>2.024972779</f>
        <v>2.0249727790000001</v>
      </c>
      <c r="CQ105">
        <f>-0.375762949</f>
        <v>-0.37576294900000001</v>
      </c>
      <c r="CR105">
        <f>-3.043841737</f>
        <v>-3.0438417370000002</v>
      </c>
      <c r="CS105">
        <f>-4.6292777</f>
        <v>-4.6292777000000003</v>
      </c>
      <c r="CT105">
        <f>-3.610007429</f>
        <v>-3.6100074289999999</v>
      </c>
      <c r="CU105">
        <f>-1.659848434</f>
        <v>-1.6598484339999999</v>
      </c>
      <c r="CV105">
        <f>1.105737921</f>
        <v>1.105737921</v>
      </c>
      <c r="CW105">
        <f>-5.765225581</f>
        <v>-5.7652255810000002</v>
      </c>
      <c r="CX105">
        <f>-3.621160768</f>
        <v>-3.6211607680000002</v>
      </c>
      <c r="CY105">
        <f>-6.491242373</f>
        <v>-6.4912423730000004</v>
      </c>
      <c r="CZ105">
        <f>-11.52507049</f>
        <v>-11.525070489999999</v>
      </c>
      <c r="DA105">
        <f>-0.955196426</f>
        <v>-0.95519642599999999</v>
      </c>
      <c r="DB105">
        <f>-8.056333945</f>
        <v>-8.0563339450000004</v>
      </c>
      <c r="DC105">
        <f>-9.676852927</f>
        <v>-9.6768529270000005</v>
      </c>
      <c r="DD105">
        <f>-1.079910988</f>
        <v>-1.079910988</v>
      </c>
      <c r="DE105">
        <f>-0.51110443</f>
        <v>-0.51110443000000005</v>
      </c>
      <c r="DF105">
        <f>12.97418263</f>
        <v>12.97418263</v>
      </c>
      <c r="DG105">
        <f>80.77513823</f>
        <v>80.775138229999996</v>
      </c>
      <c r="DH105">
        <f>72.99829017</f>
        <v>72.998290170000004</v>
      </c>
      <c r="DI105">
        <f>59.79154265</f>
        <v>59.791542649999997</v>
      </c>
      <c r="DJ105">
        <f>47.00312926</f>
        <v>47.003129260000001</v>
      </c>
      <c r="DK105">
        <f>1.583140902</f>
        <v>1.583140902</v>
      </c>
      <c r="DL105">
        <f>19.97659141</f>
        <v>19.976591410000001</v>
      </c>
      <c r="DM105">
        <f>24.74887629</f>
        <v>24.748876289999998</v>
      </c>
      <c r="DN105">
        <f>34.99052261</f>
        <v>34.990522609999999</v>
      </c>
      <c r="DO105" t="str">
        <f>""</f>
        <v/>
      </c>
      <c r="DP105">
        <f>3.188187473</f>
        <v>3.1881874730000002</v>
      </c>
      <c r="DQ105">
        <f>3.076654491</f>
        <v>3.0766544910000002</v>
      </c>
      <c r="DR105">
        <f>-1.835435467</f>
        <v>-1.8354354669999999</v>
      </c>
      <c r="DS105" t="str">
        <f>""</f>
        <v/>
      </c>
      <c r="DT105">
        <f>3.433314976</f>
        <v>3.4333149760000001</v>
      </c>
      <c r="DU105">
        <f>2.125792029</f>
        <v>2.1257920289999999</v>
      </c>
    </row>
    <row r="106" spans="1:125">
      <c r="A106" t="str">
        <f>"    Columbia Property Trust Inc"</f>
        <v xml:space="preserve">    Columbia Property Trust Inc</v>
      </c>
      <c r="B106" t="str">
        <f>"CXP US Equity"</f>
        <v>CXP US Equity</v>
      </c>
      <c r="C106" t="str">
        <f t="shared" si="27"/>
        <v>RR033</v>
      </c>
      <c r="D106" t="str">
        <f t="shared" si="28"/>
        <v>SALES_GROWTH</v>
      </c>
      <c r="E106" t="str">
        <f t="shared" si="29"/>
        <v>动态</v>
      </c>
      <c r="F106" t="str">
        <f ca="1">IF(AND(ISNUMBER($F$418),$B$294=1),$F$418,HLOOKUP(INDIRECT(ADDRESS(2,COLUMN())),OFFSET($BN$2,0,0,ROW()-1,60),ROW()-1,FALSE))</f>
        <v/>
      </c>
      <c r="G106">
        <f ca="1">IF(AND(ISNUMBER($G$418),$B$294=1),$G$418,HLOOKUP(INDIRECT(ADDRESS(2,COLUMN())),OFFSET($BN$2,0,0,ROW()-1,60),ROW()-1,FALSE))</f>
        <v>-32.281030180000002</v>
      </c>
      <c r="H106">
        <f ca="1">IF(AND(ISNUMBER($H$418),$B$294=1),$H$418,HLOOKUP(INDIRECT(ADDRESS(2,COLUMN())),OFFSET($BN$2,0,0,ROW()-1,60),ROW()-1,FALSE))</f>
        <v>-46.707749900000003</v>
      </c>
      <c r="I106">
        <f ca="1">IF(AND(ISNUMBER($I$418),$B$294=1),$I$418,HLOOKUP(INDIRECT(ADDRESS(2,COLUMN())),OFFSET($BN$2,0,0,ROW()-1,60),ROW()-1,FALSE))</f>
        <v>-41.485968890000002</v>
      </c>
      <c r="J106">
        <f ca="1">IF(AND(ISNUMBER($J$418),$B$294=1),$J$418,HLOOKUP(INDIRECT(ADDRESS(2,COLUMN())),OFFSET($BN$2,0,0,ROW()-1,60),ROW()-1,FALSE))</f>
        <v>-35.095078960000002</v>
      </c>
      <c r="K106">
        <f ca="1">IF(AND(ISNUMBER($K$418),$B$294=1),$K$418,HLOOKUP(INDIRECT(ADDRESS(2,COLUMN())),OFFSET($BN$2,0,0,ROW()-1,60),ROW()-1,FALSE))</f>
        <v>-20.28278778</v>
      </c>
      <c r="L106">
        <f ca="1">IF(AND(ISNUMBER($L$418),$B$294=1),$L$418,HLOOKUP(INDIRECT(ADDRESS(2,COLUMN())),OFFSET($BN$2,0,0,ROW()-1,60),ROW()-1,FALSE))</f>
        <v>-17.755719979999999</v>
      </c>
      <c r="M106">
        <f ca="1">IF(AND(ISNUMBER($M$418),$B$294=1),$M$418,HLOOKUP(INDIRECT(ADDRESS(2,COLUMN())),OFFSET($BN$2,0,0,ROW()-1,60),ROW()-1,FALSE))</f>
        <v>-13.63317221</v>
      </c>
      <c r="N106">
        <f ca="1">IF(AND(ISNUMBER($N$418),$B$294=1),$N$418,HLOOKUP(INDIRECT(ADDRESS(2,COLUMN())),OFFSET($BN$2,0,0,ROW()-1,60),ROW()-1,FALSE))</f>
        <v>-14.20873915</v>
      </c>
      <c r="O106">
        <f ca="1">IF(AND(ISNUMBER($O$418),$B$294=1),$O$418,HLOOKUP(INDIRECT(ADDRESS(2,COLUMN())),OFFSET($BN$2,0,0,ROW()-1,60),ROW()-1,FALSE))</f>
        <v>-3.7797970859999999</v>
      </c>
      <c r="P106">
        <f ca="1">IF(AND(ISNUMBER($P$418),$B$294=1),$P$418,HLOOKUP(INDIRECT(ADDRESS(2,COLUMN())),OFFSET($BN$2,0,0,ROW()-1,60),ROW()-1,FALSE))</f>
        <v>0.53876084999999996</v>
      </c>
      <c r="Q106">
        <f ca="1">IF(AND(ISNUMBER($Q$418),$B$294=1),$Q$418,HLOOKUP(INDIRECT(ADDRESS(2,COLUMN())),OFFSET($BN$2,0,0,ROW()-1,60),ROW()-1,FALSE))</f>
        <v>8.3118231609999995</v>
      </c>
      <c r="R106">
        <f ca="1">IF(AND(ISNUMBER($R$418),$B$294=1),$R$418,HLOOKUP(INDIRECT(ADDRESS(2,COLUMN())),OFFSET($BN$2,0,0,ROW()-1,60),ROW()-1,FALSE))</f>
        <v>14.225659609999999</v>
      </c>
      <c r="S106">
        <f ca="1">IF(AND(ISNUMBER($S$418),$B$294=1),$S$418,HLOOKUP(INDIRECT(ADDRESS(2,COLUMN())),OFFSET($BN$2,0,0,ROW()-1,60),ROW()-1,FALSE))</f>
        <v>3.3766409020000001</v>
      </c>
      <c r="T106">
        <f ca="1">IF(AND(ISNUMBER($T$418),$B$294=1),$T$418,HLOOKUP(INDIRECT(ADDRESS(2,COLUMN())),OFFSET($BN$2,0,0,ROW()-1,60),ROW()-1,FALSE))</f>
        <v>3.3803263349999999</v>
      </c>
      <c r="U106">
        <f ca="1">IF(AND(ISNUMBER($U$418),$B$294=1),$U$418,HLOOKUP(INDIRECT(ADDRESS(2,COLUMN())),OFFSET($BN$2,0,0,ROW()-1,60),ROW()-1,FALSE))</f>
        <v>3.6846933590000002</v>
      </c>
      <c r="V106">
        <f ca="1">IF(AND(ISNUMBER($V$418),$B$294=1),$V$418,HLOOKUP(INDIRECT(ADDRESS(2,COLUMN())),OFFSET($BN$2,0,0,ROW()-1,60),ROW()-1,FALSE))</f>
        <v>0.291943599</v>
      </c>
      <c r="W106">
        <f ca="1">IF(AND(ISNUMBER($W$418),$B$294=1),$W$418,HLOOKUP(INDIRECT(ADDRESS(2,COLUMN())),OFFSET($BN$2,0,0,ROW()-1,60),ROW()-1,FALSE))</f>
        <v>6.2819215479999997</v>
      </c>
      <c r="X106">
        <f ca="1">IF(AND(ISNUMBER($X$418),$B$294=1),$X$418,HLOOKUP(INDIRECT(ADDRESS(2,COLUMN())),OFFSET($BN$2,0,0,ROW()-1,60),ROW()-1,FALSE))</f>
        <v>-8.4349172130000003</v>
      </c>
      <c r="Y106">
        <f ca="1">IF(AND(ISNUMBER($Y$418),$B$294=1),$Y$418,HLOOKUP(INDIRECT(ADDRESS(2,COLUMN())),OFFSET($BN$2,0,0,ROW()-1,60),ROW()-1,FALSE))</f>
        <v>-6.4367848710000004</v>
      </c>
      <c r="Z106">
        <f ca="1">IF(AND(ISNUMBER($Z$418),$B$294=1),$Z$418,HLOOKUP(INDIRECT(ADDRESS(2,COLUMN())),OFFSET($BN$2,0,0,ROW()-1,60),ROW()-1,FALSE))</f>
        <v>-8.8778831189999998</v>
      </c>
      <c r="AA106">
        <f ca="1">IF(AND(ISNUMBER($AA$418),$B$294=1),$AA$418,HLOOKUP(INDIRECT(ADDRESS(2,COLUMN())),OFFSET($BN$2,0,0,ROW()-1,60),ROW()-1,FALSE))</f>
        <v>2.5418327999999999</v>
      </c>
      <c r="AB106">
        <f ca="1">IF(AND(ISNUMBER($AB$418),$B$294=1),$AB$418,HLOOKUP(INDIRECT(ADDRESS(2,COLUMN())),OFFSET($BN$2,0,0,ROW()-1,60),ROW()-1,FALSE))</f>
        <v>-7.9137606270000003</v>
      </c>
      <c r="AC106">
        <f ca="1">IF(AND(ISNUMBER($AC$418),$B$294=1),$AC$418,HLOOKUP(INDIRECT(ADDRESS(2,COLUMN())),OFFSET($BN$2,0,0,ROW()-1,60),ROW()-1,FALSE))</f>
        <v>-7.7982131409999997</v>
      </c>
      <c r="AD106">
        <f ca="1">IF(AND(ISNUMBER($AD$418),$B$294=1),$AD$418,HLOOKUP(INDIRECT(ADDRESS(2,COLUMN())),OFFSET($BN$2,0,0,ROW()-1,60),ROW()-1,FALSE))</f>
        <v>-1.8192679860000001</v>
      </c>
      <c r="AE106">
        <f ca="1">IF(AND(ISNUMBER($AE$418),$B$294=1),$AE$418,HLOOKUP(INDIRECT(ADDRESS(2,COLUMN())),OFFSET($BN$2,0,0,ROW()-1,60),ROW()-1,FALSE))</f>
        <v>-6.3307414440000001</v>
      </c>
      <c r="AF106">
        <f ca="1">IF(AND(ISNUMBER($AF$418),$B$294=1),$AF$418,HLOOKUP(INDIRECT(ADDRESS(2,COLUMN())),OFFSET($BN$2,0,0,ROW()-1,60),ROW()-1,FALSE))</f>
        <v>8.6899986170000005</v>
      </c>
      <c r="AG106">
        <f ca="1">IF(AND(ISNUMBER($AG$418),$B$294=1),$AG$418,HLOOKUP(INDIRECT(ADDRESS(2,COLUMN())),OFFSET($BN$2,0,0,ROW()-1,60),ROW()-1,FALSE))</f>
        <v>9.1406177500000005</v>
      </c>
      <c r="AH106">
        <f ca="1">IF(AND(ISNUMBER($AH$418),$B$294=1),$AH$418,HLOOKUP(INDIRECT(ADDRESS(2,COLUMN())),OFFSET($BN$2,0,0,ROW()-1,60),ROW()-1,FALSE))</f>
        <v>6.1848141969999997</v>
      </c>
      <c r="AI106">
        <f ca="1">IF(AND(ISNUMBER($AI$418),$B$294=1),$AI$418,HLOOKUP(INDIRECT(ADDRESS(2,COLUMN())),OFFSET($BN$2,0,0,ROW()-1,60),ROW()-1,FALSE))</f>
        <v>-14.390544330000001</v>
      </c>
      <c r="AJ106">
        <f ca="1">IF(AND(ISNUMBER($AJ$418),$B$294=1),$AJ$418,HLOOKUP(INDIRECT(ADDRESS(2,COLUMN())),OFFSET($BN$2,0,0,ROW()-1,60),ROW()-1,FALSE))</f>
        <v>4.9247427320000003</v>
      </c>
      <c r="AK106">
        <f ca="1">IF(AND(ISNUMBER($AK$418),$B$294=1),$AK$418,HLOOKUP(INDIRECT(ADDRESS(2,COLUMN())),OFFSET($BN$2,0,0,ROW()-1,60),ROW()-1,FALSE))</f>
        <v>0.31220238700000003</v>
      </c>
      <c r="AL106">
        <f ca="1">IF(AND(ISNUMBER($AL$418),$B$294=1),$AL$418,HLOOKUP(INDIRECT(ADDRESS(2,COLUMN())),OFFSET($BN$2,0,0,ROW()-1,60),ROW()-1,FALSE))</f>
        <v>-1.28370359</v>
      </c>
      <c r="AM106" t="str">
        <f ca="1">IF(AND(ISNUMBER($AM$418),$B$294=1),$AM$418,HLOOKUP(INDIRECT(ADDRESS(2,COLUMN())),OFFSET($BN$2,0,0,ROW()-1,60),ROW()-1,FALSE))</f>
        <v/>
      </c>
      <c r="AN106" t="str">
        <f ca="1">IF(AND(ISNUMBER($AN$418),$B$294=1),$AN$418,HLOOKUP(INDIRECT(ADDRESS(2,COLUMN())),OFFSET($BN$2,0,0,ROW()-1,60),ROW()-1,FALSE))</f>
        <v/>
      </c>
      <c r="AO106" t="str">
        <f ca="1">IF(AND(ISNUMBER($AO$418),$B$294=1),$AO$418,HLOOKUP(INDIRECT(ADDRESS(2,COLUMN())),OFFSET($BN$2,0,0,ROW()-1,60),ROW()-1,FALSE))</f>
        <v/>
      </c>
      <c r="AP106" t="str">
        <f ca="1">IF(AND(ISNUMBER($AP$418),$B$294=1),$AP$418,HLOOKUP(INDIRECT(ADDRESS(2,COLUMN())),OFFSET($BN$2,0,0,ROW()-1,60),ROW()-1,FALSE))</f>
        <v/>
      </c>
      <c r="AQ106" t="str">
        <f ca="1">IF(AND(ISNUMBER($AQ$418),$B$294=1),$AQ$418,HLOOKUP(INDIRECT(ADDRESS(2,COLUMN())),OFFSET($BN$2,0,0,ROW()-1,60),ROW()-1,FALSE))</f>
        <v/>
      </c>
      <c r="AR106" t="str">
        <f ca="1">IF(AND(ISNUMBER($AR$418),$B$294=1),$AR$418,HLOOKUP(INDIRECT(ADDRESS(2,COLUMN())),OFFSET($BN$2,0,0,ROW()-1,60),ROW()-1,FALSE))</f>
        <v/>
      </c>
      <c r="AS106" t="str">
        <f ca="1">IF(AND(ISNUMBER($AS$418),$B$294=1),$AS$418,HLOOKUP(INDIRECT(ADDRESS(2,COLUMN())),OFFSET($BN$2,0,0,ROW()-1,60),ROW()-1,FALSE))</f>
        <v/>
      </c>
      <c r="AT106" t="str">
        <f ca="1">IF(AND(ISNUMBER($AT$418),$B$294=1),$AT$418,HLOOKUP(INDIRECT(ADDRESS(2,COLUMN())),OFFSET($BN$2,0,0,ROW()-1,60),ROW()-1,FALSE))</f>
        <v/>
      </c>
      <c r="AU106" t="str">
        <f ca="1">IF(AND(ISNUMBER($AU$418),$B$294=1),$AU$418,HLOOKUP(INDIRECT(ADDRESS(2,COLUMN())),OFFSET($BN$2,0,0,ROW()-1,60),ROW()-1,FALSE))</f>
        <v/>
      </c>
      <c r="AV106" t="str">
        <f ca="1">IF(AND(ISNUMBER($AV$418),$B$294=1),$AV$418,HLOOKUP(INDIRECT(ADDRESS(2,COLUMN())),OFFSET($BN$2,0,0,ROW()-1,60),ROW()-1,FALSE))</f>
        <v/>
      </c>
      <c r="AW106" t="str">
        <f ca="1">IF(AND(ISNUMBER($AW$418),$B$294=1),$AW$418,HLOOKUP(INDIRECT(ADDRESS(2,COLUMN())),OFFSET($BN$2,0,0,ROW()-1,60),ROW()-1,FALSE))</f>
        <v/>
      </c>
      <c r="AX106" t="str">
        <f ca="1">IF(AND(ISNUMBER($AX$418),$B$294=1),$AX$418,HLOOKUP(INDIRECT(ADDRESS(2,COLUMN())),OFFSET($BN$2,0,0,ROW()-1,60),ROW()-1,FALSE))</f>
        <v/>
      </c>
      <c r="AY106" t="str">
        <f ca="1">IF(AND(ISNUMBER($AY$418),$B$294=1),$AY$418,HLOOKUP(INDIRECT(ADDRESS(2,COLUMN())),OFFSET($BN$2,0,0,ROW()-1,60),ROW()-1,FALSE))</f>
        <v/>
      </c>
      <c r="AZ106" t="str">
        <f ca="1">IF(AND(ISNUMBER($AZ$418),$B$294=1),$AZ$418,HLOOKUP(INDIRECT(ADDRESS(2,COLUMN())),OFFSET($BN$2,0,0,ROW()-1,60),ROW()-1,FALSE))</f>
        <v/>
      </c>
      <c r="BA106" t="str">
        <f ca="1">IF(AND(ISNUMBER($BA$418),$B$294=1),$BA$418,HLOOKUP(INDIRECT(ADDRESS(2,COLUMN())),OFFSET($BN$2,0,0,ROW()-1,60),ROW()-1,FALSE))</f>
        <v/>
      </c>
      <c r="BB106" t="str">
        <f ca="1">IF(AND(ISNUMBER($BB$418),$B$294=1),$BB$418,HLOOKUP(INDIRECT(ADDRESS(2,COLUMN())),OFFSET($BN$2,0,0,ROW()-1,60),ROW()-1,FALSE))</f>
        <v/>
      </c>
      <c r="BC106" t="str">
        <f ca="1">IF(AND(ISNUMBER($BC$418),$B$294=1),$BC$418,HLOOKUP(INDIRECT(ADDRESS(2,COLUMN())),OFFSET($BN$2,0,0,ROW()-1,60),ROW()-1,FALSE))</f>
        <v/>
      </c>
      <c r="BD106" t="str">
        <f ca="1">IF(AND(ISNUMBER($BD$418),$B$294=1),$BD$418,HLOOKUP(INDIRECT(ADDRESS(2,COLUMN())),OFFSET($BN$2,0,0,ROW()-1,60),ROW()-1,FALSE))</f>
        <v/>
      </c>
      <c r="BE106" t="str">
        <f ca="1">IF(AND(ISNUMBER($BE$418),$B$294=1),$BE$418,HLOOKUP(INDIRECT(ADDRESS(2,COLUMN())),OFFSET($BN$2,0,0,ROW()-1,60),ROW()-1,FALSE))</f>
        <v/>
      </c>
      <c r="BF106" t="str">
        <f ca="1">IF(AND(ISNUMBER($BF$418),$B$294=1),$BF$418,HLOOKUP(INDIRECT(ADDRESS(2,COLUMN())),OFFSET($BN$2,0,0,ROW()-1,60),ROW()-1,FALSE))</f>
        <v/>
      </c>
      <c r="BG106" t="str">
        <f ca="1">IF(AND(ISNUMBER($BG$418),$B$294=1),$BG$418,HLOOKUP(INDIRECT(ADDRESS(2,COLUMN())),OFFSET($BN$2,0,0,ROW()-1,60),ROW()-1,FALSE))</f>
        <v/>
      </c>
      <c r="BH106" t="str">
        <f ca="1">IF(AND(ISNUMBER($BH$418),$B$294=1),$BH$418,HLOOKUP(INDIRECT(ADDRESS(2,COLUMN())),OFFSET($BN$2,0,0,ROW()-1,60),ROW()-1,FALSE))</f>
        <v/>
      </c>
      <c r="BI106" t="str">
        <f ca="1">IF(AND(ISNUMBER($BI$418),$B$294=1),$BI$418,HLOOKUP(INDIRECT(ADDRESS(2,COLUMN())),OFFSET($BN$2,0,0,ROW()-1,60),ROW()-1,FALSE))</f>
        <v/>
      </c>
      <c r="BJ106" t="str">
        <f ca="1">IF(AND(ISNUMBER($BJ$418),$B$294=1),$BJ$418,HLOOKUP(INDIRECT(ADDRESS(2,COLUMN())),OFFSET($BN$2,0,0,ROW()-1,60),ROW()-1,FALSE))</f>
        <v/>
      </c>
      <c r="BK106" t="str">
        <f ca="1">IF(AND(ISNUMBER($BK$418),$B$294=1),$BK$418,HLOOKUP(INDIRECT(ADDRESS(2,COLUMN())),OFFSET($BN$2,0,0,ROW()-1,60),ROW()-1,FALSE))</f>
        <v/>
      </c>
      <c r="BL106" t="str">
        <f ca="1">IF(AND(ISNUMBER($BL$418),$B$294=1),$BL$418,HLOOKUP(INDIRECT(ADDRESS(2,COLUMN())),OFFSET($BN$2,0,0,ROW()-1,60),ROW()-1,FALSE))</f>
        <v/>
      </c>
      <c r="BM106" t="str">
        <f ca="1">IF(AND(ISNUMBER($BM$418),$B$294=1),$BM$418,HLOOKUP(INDIRECT(ADDRESS(2,COLUMN())),OFFSET($BN$2,0,0,ROW()-1,60),ROW()-1,FALSE))</f>
        <v/>
      </c>
      <c r="BN106" t="str">
        <f>""</f>
        <v/>
      </c>
      <c r="BO106">
        <f>-32.28103018</f>
        <v>-32.281030180000002</v>
      </c>
      <c r="BP106">
        <f>-46.7077499</f>
        <v>-46.707749900000003</v>
      </c>
      <c r="BQ106">
        <f>-41.48596889</f>
        <v>-41.485968890000002</v>
      </c>
      <c r="BR106">
        <f>-35.09507896</f>
        <v>-35.095078960000002</v>
      </c>
      <c r="BS106">
        <f>-20.28278778</f>
        <v>-20.28278778</v>
      </c>
      <c r="BT106">
        <f>-17.75571998</f>
        <v>-17.755719979999999</v>
      </c>
      <c r="BU106">
        <f>-13.63317221</f>
        <v>-13.63317221</v>
      </c>
      <c r="BV106">
        <f>-14.20873915</f>
        <v>-14.20873915</v>
      </c>
      <c r="BW106">
        <f>-3.779797086</f>
        <v>-3.7797970859999999</v>
      </c>
      <c r="BX106">
        <f>0.53876085</f>
        <v>0.53876084999999996</v>
      </c>
      <c r="BY106">
        <f>8.311823161</f>
        <v>8.3118231609999995</v>
      </c>
      <c r="BZ106">
        <f>14.22565961</f>
        <v>14.225659609999999</v>
      </c>
      <c r="CA106">
        <f>3.376640902</f>
        <v>3.3766409020000001</v>
      </c>
      <c r="CB106">
        <f>3.380326335</f>
        <v>3.3803263349999999</v>
      </c>
      <c r="CC106">
        <f>3.684693359</f>
        <v>3.6846933590000002</v>
      </c>
      <c r="CD106">
        <f>0.291943599</f>
        <v>0.291943599</v>
      </c>
      <c r="CE106">
        <f>6.281921548</f>
        <v>6.2819215479999997</v>
      </c>
      <c r="CF106">
        <f>-8.434917213</f>
        <v>-8.4349172130000003</v>
      </c>
      <c r="CG106">
        <f>-6.436784871</f>
        <v>-6.4367848710000004</v>
      </c>
      <c r="CH106">
        <f>-8.877883119</f>
        <v>-8.8778831189999998</v>
      </c>
      <c r="CI106">
        <f>2.5418328</f>
        <v>2.5418327999999999</v>
      </c>
      <c r="CJ106">
        <f>-7.913760627</f>
        <v>-7.9137606270000003</v>
      </c>
      <c r="CK106">
        <f>-7.798213141</f>
        <v>-7.7982131409999997</v>
      </c>
      <c r="CL106">
        <f>-1.819267986</f>
        <v>-1.8192679860000001</v>
      </c>
      <c r="CM106">
        <f>-6.330741444</f>
        <v>-6.3307414440000001</v>
      </c>
      <c r="CN106">
        <f>8.689998617</f>
        <v>8.6899986170000005</v>
      </c>
      <c r="CO106">
        <f>9.14061775</f>
        <v>9.1406177500000005</v>
      </c>
      <c r="CP106">
        <f>6.184814197</f>
        <v>6.1848141969999997</v>
      </c>
      <c r="CQ106">
        <f>-14.39054433</f>
        <v>-14.390544330000001</v>
      </c>
      <c r="CR106">
        <f>4.924742732</f>
        <v>4.9247427320000003</v>
      </c>
      <c r="CS106">
        <f>0.312202387</f>
        <v>0.31220238700000003</v>
      </c>
      <c r="CT106">
        <f>-1.28370359</f>
        <v>-1.28370359</v>
      </c>
      <c r="CU106" t="str">
        <f>""</f>
        <v/>
      </c>
      <c r="CV106" t="str">
        <f>""</f>
        <v/>
      </c>
      <c r="CW106" t="str">
        <f>""</f>
        <v/>
      </c>
      <c r="CX106" t="str">
        <f>""</f>
        <v/>
      </c>
      <c r="CY106" t="str">
        <f>""</f>
        <v/>
      </c>
      <c r="CZ106" t="str">
        <f>""</f>
        <v/>
      </c>
      <c r="DA106" t="str">
        <f>""</f>
        <v/>
      </c>
      <c r="DB106" t="str">
        <f>""</f>
        <v/>
      </c>
      <c r="DC106" t="str">
        <f>""</f>
        <v/>
      </c>
      <c r="DD106" t="str">
        <f>""</f>
        <v/>
      </c>
      <c r="DE106" t="str">
        <f>""</f>
        <v/>
      </c>
      <c r="DF106" t="str">
        <f>""</f>
        <v/>
      </c>
      <c r="DG106" t="str">
        <f>""</f>
        <v/>
      </c>
      <c r="DH106" t="str">
        <f>""</f>
        <v/>
      </c>
      <c r="DI106" t="str">
        <f>""</f>
        <v/>
      </c>
      <c r="DJ106" t="str">
        <f>""</f>
        <v/>
      </c>
      <c r="DK106" t="str">
        <f>""</f>
        <v/>
      </c>
      <c r="DL106" t="str">
        <f>""</f>
        <v/>
      </c>
      <c r="DM106" t="str">
        <f>""</f>
        <v/>
      </c>
      <c r="DN106" t="str">
        <f>""</f>
        <v/>
      </c>
      <c r="DO106" t="str">
        <f>""</f>
        <v/>
      </c>
      <c r="DP106" t="str">
        <f>""</f>
        <v/>
      </c>
      <c r="DQ106" t="str">
        <f>""</f>
        <v/>
      </c>
      <c r="DR106" t="str">
        <f>""</f>
        <v/>
      </c>
      <c r="DS106" t="str">
        <f>""</f>
        <v/>
      </c>
      <c r="DT106" t="str">
        <f>""</f>
        <v/>
      </c>
      <c r="DU106" t="str">
        <f>""</f>
        <v/>
      </c>
    </row>
    <row r="107" spans="1:125">
      <c r="A107" t="str">
        <f>"    Corporate Office Properties Tr"</f>
        <v xml:space="preserve">    Corporate Office Properties Tr</v>
      </c>
      <c r="B107" t="str">
        <f>"OFC US Equity"</f>
        <v>OFC US Equity</v>
      </c>
      <c r="C107" t="str">
        <f t="shared" si="27"/>
        <v>RR033</v>
      </c>
      <c r="D107" t="str">
        <f t="shared" si="28"/>
        <v>SALES_GROWTH</v>
      </c>
      <c r="E107" t="str">
        <f t="shared" si="29"/>
        <v>动态</v>
      </c>
      <c r="F107" t="str">
        <f ca="1">IF(AND(ISNUMBER($F$419),$B$294=1),$F$419,HLOOKUP(INDIRECT(ADDRESS(2,COLUMN())),OFFSET($BN$2,0,0,ROW()-1,60),ROW()-1,FALSE))</f>
        <v/>
      </c>
      <c r="G107">
        <f ca="1">IF(AND(ISNUMBER($G$419),$B$294=1),$G$419,HLOOKUP(INDIRECT(ADDRESS(2,COLUMN())),OFFSET($BN$2,0,0,ROW()-1,60),ROW()-1,FALSE))</f>
        <v>15.89959927</v>
      </c>
      <c r="H107">
        <f ca="1">IF(AND(ISNUMBER($H$419),$B$294=1),$H$419,HLOOKUP(INDIRECT(ADDRESS(2,COLUMN())),OFFSET($BN$2,0,0,ROW()-1,60),ROW()-1,FALSE))</f>
        <v>10.49520418</v>
      </c>
      <c r="I107">
        <f ca="1">IF(AND(ISNUMBER($I$419),$B$294=1),$I$419,HLOOKUP(INDIRECT(ADDRESS(2,COLUMN())),OFFSET($BN$2,0,0,ROW()-1,60),ROW()-1,FALSE))</f>
        <v>3.7744899850000002</v>
      </c>
      <c r="J107">
        <f ca="1">IF(AND(ISNUMBER($J$419),$B$294=1),$J$419,HLOOKUP(INDIRECT(ADDRESS(2,COLUMN())),OFFSET($BN$2,0,0,ROW()-1,60),ROW()-1,FALSE))</f>
        <v>-3.12250965</v>
      </c>
      <c r="K107">
        <f ca="1">IF(AND(ISNUMBER($K$419),$B$294=1),$K$419,HLOOKUP(INDIRECT(ADDRESS(2,COLUMN())),OFFSET($BN$2,0,0,ROW()-1,60),ROW()-1,FALSE))</f>
        <v>-0.93075178800000002</v>
      </c>
      <c r="L107">
        <f ca="1">IF(AND(ISNUMBER($L$419),$B$294=1),$L$419,HLOOKUP(INDIRECT(ADDRESS(2,COLUMN())),OFFSET($BN$2,0,0,ROW()-1,60),ROW()-1,FALSE))</f>
        <v>-5.7322347819999999</v>
      </c>
      <c r="M107">
        <f ca="1">IF(AND(ISNUMBER($M$419),$B$294=1),$M$419,HLOOKUP(INDIRECT(ADDRESS(2,COLUMN())),OFFSET($BN$2,0,0,ROW()-1,60),ROW()-1,FALSE))</f>
        <v>-14.34349008</v>
      </c>
      <c r="N107">
        <f ca="1">IF(AND(ISNUMBER($N$419),$B$294=1),$N$419,HLOOKUP(INDIRECT(ADDRESS(2,COLUMN())),OFFSET($BN$2,0,0,ROW()-1,60),ROW()-1,FALSE))</f>
        <v>-10.387247410000001</v>
      </c>
      <c r="O107">
        <f ca="1">IF(AND(ISNUMBER($O$419),$B$294=1),$O$419,HLOOKUP(INDIRECT(ADDRESS(2,COLUMN())),OFFSET($BN$2,0,0,ROW()-1,60),ROW()-1,FALSE))</f>
        <v>-2.4807615109999999</v>
      </c>
      <c r="P107">
        <f ca="1">IF(AND(ISNUMBER($P$419),$B$294=1),$P$419,HLOOKUP(INDIRECT(ADDRESS(2,COLUMN())),OFFSET($BN$2,0,0,ROW()-1,60),ROW()-1,FALSE))</f>
        <v>-1.4841682190000001</v>
      </c>
      <c r="Q107">
        <f ca="1">IF(AND(ISNUMBER($Q$419),$B$294=1),$Q$419,HLOOKUP(INDIRECT(ADDRESS(2,COLUMN())),OFFSET($BN$2,0,0,ROW()-1,60),ROW()-1,FALSE))</f>
        <v>21.84451438</v>
      </c>
      <c r="R107">
        <f ca="1">IF(AND(ISNUMBER($R$419),$B$294=1),$R$419,HLOOKUP(INDIRECT(ADDRESS(2,COLUMN())),OFFSET($BN$2,0,0,ROW()-1,60),ROW()-1,FALSE))</f>
        <v>9.7956595550000003</v>
      </c>
      <c r="S107">
        <f ca="1">IF(AND(ISNUMBER($S$419),$B$294=1),$S$419,HLOOKUP(INDIRECT(ADDRESS(2,COLUMN())),OFFSET($BN$2,0,0,ROW()-1,60),ROW()-1,FALSE))</f>
        <v>14.106147419999999</v>
      </c>
      <c r="T107">
        <f ca="1">IF(AND(ISNUMBER($T$419),$B$294=1),$T$419,HLOOKUP(INDIRECT(ADDRESS(2,COLUMN())),OFFSET($BN$2,0,0,ROW()-1,60),ROW()-1,FALSE))</f>
        <v>16.08578885</v>
      </c>
      <c r="U107">
        <f ca="1">IF(AND(ISNUMBER($U$419),$B$294=1),$U$419,HLOOKUP(INDIRECT(ADDRESS(2,COLUMN())),OFFSET($BN$2,0,0,ROW()-1,60),ROW()-1,FALSE))</f>
        <v>2.4119771179999998</v>
      </c>
      <c r="V107">
        <f ca="1">IF(AND(ISNUMBER($V$419),$B$294=1),$V$419,HLOOKUP(INDIRECT(ADDRESS(2,COLUMN())),OFFSET($BN$2,0,0,ROW()-1,60),ROW()-1,FALSE))</f>
        <v>16.200413569999998</v>
      </c>
      <c r="W107">
        <f ca="1">IF(AND(ISNUMBER($W$419),$B$294=1),$W$419,HLOOKUP(INDIRECT(ADDRESS(2,COLUMN())),OFFSET($BN$2,0,0,ROW()-1,60),ROW()-1,FALSE))</f>
        <v>-2.8898857769999999</v>
      </c>
      <c r="X107">
        <f ca="1">IF(AND(ISNUMBER($X$419),$B$294=1),$X$419,HLOOKUP(INDIRECT(ADDRESS(2,COLUMN())),OFFSET($BN$2,0,0,ROW()-1,60),ROW()-1,FALSE))</f>
        <v>1.281657241</v>
      </c>
      <c r="Y107">
        <f ca="1">IF(AND(ISNUMBER($Y$419),$B$294=1),$Y$419,HLOOKUP(INDIRECT(ADDRESS(2,COLUMN())),OFFSET($BN$2,0,0,ROW()-1,60),ROW()-1,FALSE))</f>
        <v>6.9424426620000004</v>
      </c>
      <c r="Z107">
        <f ca="1">IF(AND(ISNUMBER($Z$419),$B$294=1),$Z$419,HLOOKUP(INDIRECT(ADDRESS(2,COLUMN())),OFFSET($BN$2,0,0,ROW()-1,60),ROW()-1,FALSE))</f>
        <v>-4.5205945759999997</v>
      </c>
      <c r="AA107">
        <f ca="1">IF(AND(ISNUMBER($AA$419),$B$294=1),$AA$419,HLOOKUP(INDIRECT(ADDRESS(2,COLUMN())),OFFSET($BN$2,0,0,ROW()-1,60),ROW()-1,FALSE))</f>
        <v>3.642146061</v>
      </c>
      <c r="AB107">
        <f ca="1">IF(AND(ISNUMBER($AB$419),$B$294=1),$AB$419,HLOOKUP(INDIRECT(ADDRESS(2,COLUMN())),OFFSET($BN$2,0,0,ROW()-1,60),ROW()-1,FALSE))</f>
        <v>2.7125573169999999</v>
      </c>
      <c r="AC107">
        <f ca="1">IF(AND(ISNUMBER($AC$419),$B$294=1),$AC$419,HLOOKUP(INDIRECT(ADDRESS(2,COLUMN())),OFFSET($BN$2,0,0,ROW()-1,60),ROW()-1,FALSE))</f>
        <v>-6.8934332969999996</v>
      </c>
      <c r="AD107">
        <f ca="1">IF(AND(ISNUMBER($AD$419),$B$294=1),$AD$419,HLOOKUP(INDIRECT(ADDRESS(2,COLUMN())),OFFSET($BN$2,0,0,ROW()-1,60),ROW()-1,FALSE))</f>
        <v>-3.8504898569999999</v>
      </c>
      <c r="AE107">
        <f ca="1">IF(AND(ISNUMBER($AE$419),$B$294=1),$AE$419,HLOOKUP(INDIRECT(ADDRESS(2,COLUMN())),OFFSET($BN$2,0,0,ROW()-1,60),ROW()-1,FALSE))</f>
        <v>-11.249349840000001</v>
      </c>
      <c r="AF107">
        <f ca="1">IF(AND(ISNUMBER($AF$419),$B$294=1),$AF$419,HLOOKUP(INDIRECT(ADDRESS(2,COLUMN())),OFFSET($BN$2,0,0,ROW()-1,60),ROW()-1,FALSE))</f>
        <v>1.6241317909999999</v>
      </c>
      <c r="AG107">
        <f ca="1">IF(AND(ISNUMBER($AG$419),$B$294=1),$AG$419,HLOOKUP(INDIRECT(ADDRESS(2,COLUMN())),OFFSET($BN$2,0,0,ROW()-1,60),ROW()-1,FALSE))</f>
        <v>3.2546651199999999</v>
      </c>
      <c r="AH107">
        <f ca="1">IF(AND(ISNUMBER($AH$419),$B$294=1),$AH$419,HLOOKUP(INDIRECT(ADDRESS(2,COLUMN())),OFFSET($BN$2,0,0,ROW()-1,60),ROW()-1,FALSE))</f>
        <v>-8.091287694</v>
      </c>
      <c r="AI107">
        <f ca="1">IF(AND(ISNUMBER($AI$419),$B$294=1),$AI$419,HLOOKUP(INDIRECT(ADDRESS(2,COLUMN())),OFFSET($BN$2,0,0,ROW()-1,60),ROW()-1,FALSE))</f>
        <v>-19.12333838</v>
      </c>
      <c r="AJ107">
        <f ca="1">IF(AND(ISNUMBER($AJ$419),$B$294=1),$AJ$419,HLOOKUP(INDIRECT(ADDRESS(2,COLUMN())),OFFSET($BN$2,0,0,ROW()-1,60),ROW()-1,FALSE))</f>
        <v>-37.488029760000003</v>
      </c>
      <c r="AK107">
        <f ca="1">IF(AND(ISNUMBER($AK$419),$B$294=1),$AK$419,HLOOKUP(INDIRECT(ADDRESS(2,COLUMN())),OFFSET($BN$2,0,0,ROW()-1,60),ROW()-1,FALSE))</f>
        <v>-36.258166090000003</v>
      </c>
      <c r="AL107">
        <f ca="1">IF(AND(ISNUMBER($AL$419),$B$294=1),$AL$419,HLOOKUP(INDIRECT(ADDRESS(2,COLUMN())),OFFSET($BN$2,0,0,ROW()-1,60),ROW()-1,FALSE))</f>
        <v>-17.350563820000001</v>
      </c>
      <c r="AM107">
        <f ca="1">IF(AND(ISNUMBER($AM$419),$B$294=1),$AM$419,HLOOKUP(INDIRECT(ADDRESS(2,COLUMN())),OFFSET($BN$2,0,0,ROW()-1,60),ROW()-1,FALSE))</f>
        <v>5.9320523329999997</v>
      </c>
      <c r="AN107">
        <f ca="1">IF(AND(ISNUMBER($AN$419),$B$294=1),$AN$419,HLOOKUP(INDIRECT(ADDRESS(2,COLUMN())),OFFSET($BN$2,0,0,ROW()-1,60),ROW()-1,FALSE))</f>
        <v>4.3775642640000001</v>
      </c>
      <c r="AO107">
        <f ca="1">IF(AND(ISNUMBER($AO$419),$B$294=1),$AO$419,HLOOKUP(INDIRECT(ADDRESS(2,COLUMN())),OFFSET($BN$2,0,0,ROW()-1,60),ROW()-1,FALSE))</f>
        <v>73.075517160000004</v>
      </c>
      <c r="AP107">
        <f ca="1">IF(AND(ISNUMBER($AP$419),$B$294=1),$AP$419,HLOOKUP(INDIRECT(ADDRESS(2,COLUMN())),OFFSET($BN$2,0,0,ROW()-1,60),ROW()-1,FALSE))</f>
        <v>68.187815939999993</v>
      </c>
      <c r="AQ107">
        <f ca="1">IF(AND(ISNUMBER($AQ$419),$B$294=1),$AQ$419,HLOOKUP(INDIRECT(ADDRESS(2,COLUMN())),OFFSET($BN$2,0,0,ROW()-1,60),ROW()-1,FALSE))</f>
        <v>67.526999450000005</v>
      </c>
      <c r="AR107">
        <f ca="1">IF(AND(ISNUMBER($AR$419),$B$294=1),$AR$419,HLOOKUP(INDIRECT(ADDRESS(2,COLUMN())),OFFSET($BN$2,0,0,ROW()-1,60),ROW()-1,FALSE))</f>
        <v>81.090019999999996</v>
      </c>
      <c r="AS107">
        <f ca="1">IF(AND(ISNUMBER($AS$419),$B$294=1),$AS$419,HLOOKUP(INDIRECT(ADDRESS(2,COLUMN())),OFFSET($BN$2,0,0,ROW()-1,60),ROW()-1,FALSE))</f>
        <v>17.932338560000002</v>
      </c>
      <c r="AT107">
        <f ca="1">IF(AND(ISNUMBER($AT$419),$B$294=1),$AT$419,HLOOKUP(INDIRECT(ADDRESS(2,COLUMN())),OFFSET($BN$2,0,0,ROW()-1,60),ROW()-1,FALSE))</f>
        <v>8.6086833659999993</v>
      </c>
      <c r="AU107">
        <f ca="1">IF(AND(ISNUMBER($AU$419),$B$294=1),$AU$419,HLOOKUP(INDIRECT(ADDRESS(2,COLUMN())),OFFSET($BN$2,0,0,ROW()-1,60),ROW()-1,FALSE))</f>
        <v>9.7234660670000004</v>
      </c>
      <c r="AV107">
        <f ca="1">IF(AND(ISNUMBER($AV$419),$B$294=1),$AV$419,HLOOKUP(INDIRECT(ADDRESS(2,COLUMN())),OFFSET($BN$2,0,0,ROW()-1,60),ROW()-1,FALSE))</f>
        <v>15.122190700000001</v>
      </c>
      <c r="AW107">
        <f ca="1">IF(AND(ISNUMBER($AW$419),$B$294=1),$AW$419,HLOOKUP(INDIRECT(ADDRESS(2,COLUMN())),OFFSET($BN$2,0,0,ROW()-1,60),ROW()-1,FALSE))</f>
        <v>20.20751628</v>
      </c>
      <c r="AX107">
        <f ca="1">IF(AND(ISNUMBER($AX$419),$B$294=1),$AX$419,HLOOKUP(INDIRECT(ADDRESS(2,COLUMN())),OFFSET($BN$2,0,0,ROW()-1,60),ROW()-1,FALSE))</f>
        <v>15.848055090000001</v>
      </c>
      <c r="AY107">
        <f ca="1">IF(AND(ISNUMBER($AY$419),$B$294=1),$AY$419,HLOOKUP(INDIRECT(ADDRESS(2,COLUMN())),OFFSET($BN$2,0,0,ROW()-1,60),ROW()-1,FALSE))</f>
        <v>18.890071930000001</v>
      </c>
      <c r="AZ107">
        <f ca="1">IF(AND(ISNUMBER($AZ$419),$B$294=1),$AZ$419,HLOOKUP(INDIRECT(ADDRESS(2,COLUMN())),OFFSET($BN$2,0,0,ROW()-1,60),ROW()-1,FALSE))</f>
        <v>0.95603136799999999</v>
      </c>
      <c r="BA107">
        <f ca="1">IF(AND(ISNUMBER($BA$419),$B$294=1),$BA$419,HLOOKUP(INDIRECT(ADDRESS(2,COLUMN())),OFFSET($BN$2,0,0,ROW()-1,60),ROW()-1,FALSE))</f>
        <v>9.5939387679999992</v>
      </c>
      <c r="BB107">
        <f ca="1">IF(AND(ISNUMBER($BB$419),$B$294=1),$BB$419,HLOOKUP(INDIRECT(ADDRESS(2,COLUMN())),OFFSET($BN$2,0,0,ROW()-1,60),ROW()-1,FALSE))</f>
        <v>12.503781650000001</v>
      </c>
      <c r="BC107">
        <f ca="1">IF(AND(ISNUMBER($BC$419),$B$294=1),$BC$419,HLOOKUP(INDIRECT(ADDRESS(2,COLUMN())),OFFSET($BN$2,0,0,ROW()-1,60),ROW()-1,FALSE))</f>
        <v>19.457111829999999</v>
      </c>
      <c r="BD107">
        <f ca="1">IF(AND(ISNUMBER($BD$419),$B$294=1),$BD$419,HLOOKUP(INDIRECT(ADDRESS(2,COLUMN())),OFFSET($BN$2,0,0,ROW()-1,60),ROW()-1,FALSE))</f>
        <v>51.97348599</v>
      </c>
      <c r="BE107">
        <f ca="1">IF(AND(ISNUMBER($BE$419),$B$294=1),$BE$419,HLOOKUP(INDIRECT(ADDRESS(2,COLUMN())),OFFSET($BN$2,0,0,ROW()-1,60),ROW()-1,FALSE))</f>
        <v>28.588737120000001</v>
      </c>
      <c r="BF107">
        <f ca="1">IF(AND(ISNUMBER($BF$419),$B$294=1),$BF$419,HLOOKUP(INDIRECT(ADDRESS(2,COLUMN())),OFFSET($BN$2,0,0,ROW()-1,60),ROW()-1,FALSE))</f>
        <v>33.778528569999999</v>
      </c>
      <c r="BG107">
        <f ca="1">IF(AND(ISNUMBER($BG$419),$B$294=1),$BG$419,HLOOKUP(INDIRECT(ADDRESS(2,COLUMN())),OFFSET($BN$2,0,0,ROW()-1,60),ROW()-1,FALSE))</f>
        <v>38.410017359999998</v>
      </c>
      <c r="BH107">
        <f ca="1">IF(AND(ISNUMBER($BH$419),$B$294=1),$BH$419,HLOOKUP(INDIRECT(ADDRESS(2,COLUMN())),OFFSET($BN$2,0,0,ROW()-1,60),ROW()-1,FALSE))</f>
        <v>-8.4427824860000005</v>
      </c>
      <c r="BI107">
        <f ca="1">IF(AND(ISNUMBER($BI$419),$B$294=1),$BI$419,HLOOKUP(INDIRECT(ADDRESS(2,COLUMN())),OFFSET($BN$2,0,0,ROW()-1,60),ROW()-1,FALSE))</f>
        <v>39.894123380000003</v>
      </c>
      <c r="BJ107">
        <f ca="1">IF(AND(ISNUMBER($BJ$419),$B$294=1),$BJ$419,HLOOKUP(INDIRECT(ADDRESS(2,COLUMN())),OFFSET($BN$2,0,0,ROW()-1,60),ROW()-1,FALSE))</f>
        <v>34.669067990000002</v>
      </c>
      <c r="BK107">
        <f ca="1">IF(AND(ISNUMBER($BK$419),$B$294=1),$BK$419,HLOOKUP(INDIRECT(ADDRESS(2,COLUMN())),OFFSET($BN$2,0,0,ROW()-1,60),ROW()-1,FALSE))</f>
        <v>12.58852913</v>
      </c>
      <c r="BL107">
        <f ca="1">IF(AND(ISNUMBER($BL$419),$B$294=1),$BL$419,HLOOKUP(INDIRECT(ADDRESS(2,COLUMN())),OFFSET($BN$2,0,0,ROW()-1,60),ROW()-1,FALSE))</f>
        <v>66.575615240000005</v>
      </c>
      <c r="BM107">
        <f ca="1">IF(AND(ISNUMBER($BM$419),$B$294=1),$BM$419,HLOOKUP(INDIRECT(ADDRESS(2,COLUMN())),OFFSET($BN$2,0,0,ROW()-1,60),ROW()-1,FALSE))</f>
        <v>12.56926294</v>
      </c>
      <c r="BN107" t="str">
        <f>""</f>
        <v/>
      </c>
      <c r="BO107">
        <f>15.89959927</f>
        <v>15.89959927</v>
      </c>
      <c r="BP107">
        <f>10.49520418</f>
        <v>10.49520418</v>
      </c>
      <c r="BQ107">
        <f>3.774489985</f>
        <v>3.7744899850000002</v>
      </c>
      <c r="BR107">
        <f>-3.12250965</f>
        <v>-3.12250965</v>
      </c>
      <c r="BS107">
        <f>-0.930751788</f>
        <v>-0.93075178800000002</v>
      </c>
      <c r="BT107">
        <f>-5.732234782</f>
        <v>-5.7322347819999999</v>
      </c>
      <c r="BU107">
        <f>-14.34349008</f>
        <v>-14.34349008</v>
      </c>
      <c r="BV107">
        <f>-10.38724741</f>
        <v>-10.387247410000001</v>
      </c>
      <c r="BW107">
        <f>-2.480761511</f>
        <v>-2.4807615109999999</v>
      </c>
      <c r="BX107">
        <f>-1.484168219</f>
        <v>-1.4841682190000001</v>
      </c>
      <c r="BY107">
        <f>21.84451438</f>
        <v>21.84451438</v>
      </c>
      <c r="BZ107">
        <f>9.795659555</f>
        <v>9.7956595550000003</v>
      </c>
      <c r="CA107">
        <f>14.10614742</f>
        <v>14.106147419999999</v>
      </c>
      <c r="CB107">
        <f>16.08578885</f>
        <v>16.08578885</v>
      </c>
      <c r="CC107">
        <f>2.411977118</f>
        <v>2.4119771179999998</v>
      </c>
      <c r="CD107">
        <f>16.20041357</f>
        <v>16.200413569999998</v>
      </c>
      <c r="CE107">
        <f>-2.889885777</f>
        <v>-2.8898857769999999</v>
      </c>
      <c r="CF107">
        <f>1.281657241</f>
        <v>1.281657241</v>
      </c>
      <c r="CG107">
        <f>6.942442662</f>
        <v>6.9424426620000004</v>
      </c>
      <c r="CH107">
        <f>-4.520594576</f>
        <v>-4.5205945759999997</v>
      </c>
      <c r="CI107">
        <f>3.642146061</f>
        <v>3.642146061</v>
      </c>
      <c r="CJ107">
        <f>2.712557317</f>
        <v>2.7125573169999999</v>
      </c>
      <c r="CK107">
        <f>-6.893433297</f>
        <v>-6.8934332969999996</v>
      </c>
      <c r="CL107">
        <f>-3.850489857</f>
        <v>-3.8504898569999999</v>
      </c>
      <c r="CM107">
        <f>-11.24934984</f>
        <v>-11.249349840000001</v>
      </c>
      <c r="CN107">
        <f>1.624131791</f>
        <v>1.6241317909999999</v>
      </c>
      <c r="CO107">
        <f>3.25466512</f>
        <v>3.2546651199999999</v>
      </c>
      <c r="CP107">
        <f>-8.091287694</f>
        <v>-8.091287694</v>
      </c>
      <c r="CQ107">
        <f>-19.12333838</f>
        <v>-19.12333838</v>
      </c>
      <c r="CR107">
        <f>-37.48802976</f>
        <v>-37.488029760000003</v>
      </c>
      <c r="CS107">
        <f>-36.25816609</f>
        <v>-36.258166090000003</v>
      </c>
      <c r="CT107">
        <f>-17.35056382</f>
        <v>-17.350563820000001</v>
      </c>
      <c r="CU107">
        <f>5.932052333</f>
        <v>5.9320523329999997</v>
      </c>
      <c r="CV107">
        <f>4.377564264</f>
        <v>4.3775642640000001</v>
      </c>
      <c r="CW107">
        <f>73.07551716</f>
        <v>73.075517160000004</v>
      </c>
      <c r="CX107">
        <f>68.18781594</f>
        <v>68.187815939999993</v>
      </c>
      <c r="CY107">
        <f>67.52699945</f>
        <v>67.526999450000005</v>
      </c>
      <c r="CZ107">
        <f>81.09002</f>
        <v>81.090019999999996</v>
      </c>
      <c r="DA107">
        <f>17.93233856</f>
        <v>17.932338560000002</v>
      </c>
      <c r="DB107">
        <f>8.608683366</f>
        <v>8.6086833659999993</v>
      </c>
      <c r="DC107">
        <f>9.723466067</f>
        <v>9.7234660670000004</v>
      </c>
      <c r="DD107">
        <f>15.1221907</f>
        <v>15.122190700000001</v>
      </c>
      <c r="DE107">
        <f>20.20751628</f>
        <v>20.20751628</v>
      </c>
      <c r="DF107">
        <f>15.84805509</f>
        <v>15.848055090000001</v>
      </c>
      <c r="DG107">
        <f>18.89007193</f>
        <v>18.890071930000001</v>
      </c>
      <c r="DH107">
        <f>0.956031368</f>
        <v>0.95603136799999999</v>
      </c>
      <c r="DI107">
        <f>9.593938768</f>
        <v>9.5939387679999992</v>
      </c>
      <c r="DJ107">
        <f>12.50378165</f>
        <v>12.503781650000001</v>
      </c>
      <c r="DK107">
        <f>19.45711183</f>
        <v>19.457111829999999</v>
      </c>
      <c r="DL107">
        <f>51.97348599</f>
        <v>51.97348599</v>
      </c>
      <c r="DM107">
        <f>28.58873712</f>
        <v>28.588737120000001</v>
      </c>
      <c r="DN107">
        <f>33.77852857</f>
        <v>33.778528569999999</v>
      </c>
      <c r="DO107">
        <f>38.41001736</f>
        <v>38.410017359999998</v>
      </c>
      <c r="DP107">
        <f>-8.442782486</f>
        <v>-8.4427824860000005</v>
      </c>
      <c r="DQ107">
        <f>39.89412338</f>
        <v>39.894123380000003</v>
      </c>
      <c r="DR107">
        <f>34.66906799</f>
        <v>34.669067990000002</v>
      </c>
      <c r="DS107">
        <f>12.58852913</f>
        <v>12.58852913</v>
      </c>
      <c r="DT107">
        <f>66.57561524</f>
        <v>66.575615240000005</v>
      </c>
      <c r="DU107">
        <f>12.56926294</f>
        <v>12.56926294</v>
      </c>
    </row>
    <row r="108" spans="1:125">
      <c r="A108" t="str">
        <f>"    Highwoods Properties Inc"</f>
        <v xml:space="preserve">    Highwoods Properties Inc</v>
      </c>
      <c r="B108" t="str">
        <f>"HIW US Equity"</f>
        <v>HIW US Equity</v>
      </c>
      <c r="C108" t="str">
        <f t="shared" si="27"/>
        <v>RR033</v>
      </c>
      <c r="D108" t="str">
        <f t="shared" si="28"/>
        <v>SALES_GROWTH</v>
      </c>
      <c r="E108" t="str">
        <f t="shared" si="29"/>
        <v>动态</v>
      </c>
      <c r="F108" t="str">
        <f ca="1">IF(AND(ISNUMBER($F$420),$B$294=1),$F$420,HLOOKUP(INDIRECT(ADDRESS(2,COLUMN())),OFFSET($BN$2,0,0,ROW()-1,60),ROW()-1,FALSE))</f>
        <v/>
      </c>
      <c r="G108">
        <f ca="1">IF(AND(ISNUMBER($G$420),$B$294=1),$G$420,HLOOKUP(INDIRECT(ADDRESS(2,COLUMN())),OFFSET($BN$2,0,0,ROW()-1,60),ROW()-1,FALSE))</f>
        <v>4.9002063869999999</v>
      </c>
      <c r="H108">
        <f ca="1">IF(AND(ISNUMBER($H$420),$B$294=1),$H$420,HLOOKUP(INDIRECT(ADDRESS(2,COLUMN())),OFFSET($BN$2,0,0,ROW()-1,60),ROW()-1,FALSE))</f>
        <v>8.3695697940000002</v>
      </c>
      <c r="I108">
        <f ca="1">IF(AND(ISNUMBER($I$420),$B$294=1),$I$420,HLOOKUP(INDIRECT(ADDRESS(2,COLUMN())),OFFSET($BN$2,0,0,ROW()-1,60),ROW()-1,FALSE))</f>
        <v>6.2465539970000004</v>
      </c>
      <c r="J108">
        <f ca="1">IF(AND(ISNUMBER($J$420),$B$294=1),$J$420,HLOOKUP(INDIRECT(ADDRESS(2,COLUMN())),OFFSET($BN$2,0,0,ROW()-1,60),ROW()-1,FALSE))</f>
        <v>2.7593276680000001</v>
      </c>
      <c r="K108">
        <f ca="1">IF(AND(ISNUMBER($K$420),$B$294=1),$K$420,HLOOKUP(INDIRECT(ADDRESS(2,COLUMN())),OFFSET($BN$2,0,0,ROW()-1,60),ROW()-1,FALSE))</f>
        <v>4.6963016619999998</v>
      </c>
      <c r="L108">
        <f ca="1">IF(AND(ISNUMBER($L$420),$B$294=1),$L$420,HLOOKUP(INDIRECT(ADDRESS(2,COLUMN())),OFFSET($BN$2,0,0,ROW()-1,60),ROW()-1,FALSE))</f>
        <v>1.5470024920000001</v>
      </c>
      <c r="M108">
        <f ca="1">IF(AND(ISNUMBER($M$420),$B$294=1),$M$420,HLOOKUP(INDIRECT(ADDRESS(2,COLUMN())),OFFSET($BN$2,0,0,ROW()-1,60),ROW()-1,FALSE))</f>
        <v>12.331109509999999</v>
      </c>
      <c r="N108">
        <f ca="1">IF(AND(ISNUMBER($N$420),$B$294=1),$N$420,HLOOKUP(INDIRECT(ADDRESS(2,COLUMN())),OFFSET($BN$2,0,0,ROW()-1,60),ROW()-1,FALSE))</f>
        <v>4.7988049080000001</v>
      </c>
      <c r="O108">
        <f ca="1">IF(AND(ISNUMBER($O$420),$B$294=1),$O$420,HLOOKUP(INDIRECT(ADDRESS(2,COLUMN())),OFFSET($BN$2,0,0,ROW()-1,60),ROW()-1,FALSE))</f>
        <v>13.787271540000001</v>
      </c>
      <c r="P108">
        <f ca="1">IF(AND(ISNUMBER($P$420),$B$294=1),$P$420,HLOOKUP(INDIRECT(ADDRESS(2,COLUMN())),OFFSET($BN$2,0,0,ROW()-1,60),ROW()-1,FALSE))</f>
        <v>7.2771229579999996</v>
      </c>
      <c r="Q108">
        <f ca="1">IF(AND(ISNUMBER($Q$420),$B$294=1),$Q$420,HLOOKUP(INDIRECT(ADDRESS(2,COLUMN())),OFFSET($BN$2,0,0,ROW()-1,60),ROW()-1,FALSE))</f>
        <v>-2.7363444690000001</v>
      </c>
      <c r="R108">
        <f ca="1">IF(AND(ISNUMBER($R$420),$B$294=1),$R$420,HLOOKUP(INDIRECT(ADDRESS(2,COLUMN())),OFFSET($BN$2,0,0,ROW()-1,60),ROW()-1,FALSE))</f>
        <v>5.9661980559999996</v>
      </c>
      <c r="S108">
        <f ca="1">IF(AND(ISNUMBER($S$420),$B$294=1),$S$420,HLOOKUP(INDIRECT(ADDRESS(2,COLUMN())),OFFSET($BN$2,0,0,ROW()-1,60),ROW()-1,FALSE))</f>
        <v>-5.5467554430000003</v>
      </c>
      <c r="T108">
        <f ca="1">IF(AND(ISNUMBER($T$420),$B$294=1),$T$420,HLOOKUP(INDIRECT(ADDRESS(2,COLUMN())),OFFSET($BN$2,0,0,ROW()-1,60),ROW()-1,FALSE))</f>
        <v>5.3871170429999999</v>
      </c>
      <c r="U108">
        <f ca="1">IF(AND(ISNUMBER($U$420),$B$294=1),$U$420,HLOOKUP(INDIRECT(ADDRESS(2,COLUMN())),OFFSET($BN$2,0,0,ROW()-1,60),ROW()-1,FALSE))</f>
        <v>15.1593298</v>
      </c>
      <c r="V108">
        <f ca="1">IF(AND(ISNUMBER($V$420),$B$294=1),$V$420,HLOOKUP(INDIRECT(ADDRESS(2,COLUMN())),OFFSET($BN$2,0,0,ROW()-1,60),ROW()-1,FALSE))</f>
        <v>13.864408600000001</v>
      </c>
      <c r="W108">
        <f ca="1">IF(AND(ISNUMBER($W$420),$B$294=1),$W$420,HLOOKUP(INDIRECT(ADDRESS(2,COLUMN())),OFFSET($BN$2,0,0,ROW()-1,60),ROW()-1,FALSE))</f>
        <v>17.948636749999999</v>
      </c>
      <c r="X108">
        <f ca="1">IF(AND(ISNUMBER($X$420),$B$294=1),$X$420,HLOOKUP(INDIRECT(ADDRESS(2,COLUMN())),OFFSET($BN$2,0,0,ROW()-1,60),ROW()-1,FALSE))</f>
        <v>17.346740350000001</v>
      </c>
      <c r="Y108">
        <f ca="1">IF(AND(ISNUMBER($Y$420),$B$294=1),$Y$420,HLOOKUP(INDIRECT(ADDRESS(2,COLUMN())),OFFSET($BN$2,0,0,ROW()-1,60),ROW()-1,FALSE))</f>
        <v>4.6477495109999998</v>
      </c>
      <c r="Z108">
        <f ca="1">IF(AND(ISNUMBER($Z$420),$B$294=1),$Z$420,HLOOKUP(INDIRECT(ADDRESS(2,COLUMN())),OFFSET($BN$2,0,0,ROW()-1,60),ROW()-1,FALSE))</f>
        <v>4.3901228239999996</v>
      </c>
      <c r="AA108">
        <f ca="1">IF(AND(ISNUMBER($AA$420),$B$294=1),$AA$420,HLOOKUP(INDIRECT(ADDRESS(2,COLUMN())),OFFSET($BN$2,0,0,ROW()-1,60),ROW()-1,FALSE))</f>
        <v>1.9113007980000001</v>
      </c>
      <c r="AB108">
        <f ca="1">IF(AND(ISNUMBER($AB$420),$B$294=1),$AB$420,HLOOKUP(INDIRECT(ADDRESS(2,COLUMN())),OFFSET($BN$2,0,0,ROW()-1,60),ROW()-1,FALSE))</f>
        <v>5.247089925</v>
      </c>
      <c r="AC108">
        <f ca="1">IF(AND(ISNUMBER($AC$420),$B$294=1),$AC$420,HLOOKUP(INDIRECT(ADDRESS(2,COLUMN())),OFFSET($BN$2,0,0,ROW()-1,60),ROW()-1,FALSE))</f>
        <v>10.53370664</v>
      </c>
      <c r="AD108">
        <f ca="1">IF(AND(ISNUMBER($AD$420),$B$294=1),$AD$420,HLOOKUP(INDIRECT(ADDRESS(2,COLUMN())),OFFSET($BN$2,0,0,ROW()-1,60),ROW()-1,FALSE))</f>
        <v>9.2198581560000008</v>
      </c>
      <c r="AE108">
        <f ca="1">IF(AND(ISNUMBER($AE$420),$B$294=1),$AE$420,HLOOKUP(INDIRECT(ADDRESS(2,COLUMN())),OFFSET($BN$2,0,0,ROW()-1,60),ROW()-1,FALSE))</f>
        <v>6.1380898960000003</v>
      </c>
      <c r="AF108">
        <f ca="1">IF(AND(ISNUMBER($AF$420),$B$294=1),$AF$420,HLOOKUP(INDIRECT(ADDRESS(2,COLUMN())),OFFSET($BN$2,0,0,ROW()-1,60),ROW()-1,FALSE))</f>
        <v>1.5035316110000001</v>
      </c>
      <c r="AG108">
        <f ca="1">IF(AND(ISNUMBER($AG$420),$B$294=1),$AG$420,HLOOKUP(INDIRECT(ADDRESS(2,COLUMN())),OFFSET($BN$2,0,0,ROW()-1,60),ROW()-1,FALSE))</f>
        <v>0.7787984</v>
      </c>
      <c r="AH108">
        <f ca="1">IF(AND(ISNUMBER($AH$420),$B$294=1),$AH$420,HLOOKUP(INDIRECT(ADDRESS(2,COLUMN())),OFFSET($BN$2,0,0,ROW()-1,60),ROW()-1,FALSE))</f>
        <v>-0.61101743500000005</v>
      </c>
      <c r="AI108">
        <f ca="1">IF(AND(ISNUMBER($AI$420),$B$294=1),$AI$420,HLOOKUP(INDIRECT(ADDRESS(2,COLUMN())),OFFSET($BN$2,0,0,ROW()-1,60),ROW()-1,FALSE))</f>
        <v>3.611069214</v>
      </c>
      <c r="AJ108">
        <f ca="1">IF(AND(ISNUMBER($AJ$420),$B$294=1),$AJ$420,HLOOKUP(INDIRECT(ADDRESS(2,COLUMN())),OFFSET($BN$2,0,0,ROW()-1,60),ROW()-1,FALSE))</f>
        <v>2.0835910580000001</v>
      </c>
      <c r="AK108">
        <f ca="1">IF(AND(ISNUMBER($AK$420),$B$294=1),$AK$420,HLOOKUP(INDIRECT(ADDRESS(2,COLUMN())),OFFSET($BN$2,0,0,ROW()-1,60),ROW()-1,FALSE))</f>
        <v>1.6539485679999999</v>
      </c>
      <c r="AL108">
        <f ca="1">IF(AND(ISNUMBER($AL$420),$B$294=1),$AL$420,HLOOKUP(INDIRECT(ADDRESS(2,COLUMN())),OFFSET($BN$2,0,0,ROW()-1,60),ROW()-1,FALSE))</f>
        <v>1.6198551489999999</v>
      </c>
      <c r="AM108">
        <f ca="1">IF(AND(ISNUMBER($AM$420),$B$294=1),$AM$420,HLOOKUP(INDIRECT(ADDRESS(2,COLUMN())),OFFSET($BN$2,0,0,ROW()-1,60),ROW()-1,FALSE))</f>
        <v>1.2841480949999999</v>
      </c>
      <c r="AN108">
        <f ca="1">IF(AND(ISNUMBER($AN$420),$B$294=1),$AN$420,HLOOKUP(INDIRECT(ADDRESS(2,COLUMN())),OFFSET($BN$2,0,0,ROW()-1,60),ROW()-1,FALSE))</f>
        <v>0.36805463199999999</v>
      </c>
      <c r="AO108">
        <f ca="1">IF(AND(ISNUMBER($AO$420),$B$294=1),$AO$420,HLOOKUP(INDIRECT(ADDRESS(2,COLUMN())),OFFSET($BN$2,0,0,ROW()-1,60),ROW()-1,FALSE))</f>
        <v>-0.81008260399999998</v>
      </c>
      <c r="AP108">
        <f ca="1">IF(AND(ISNUMBER($AP$420),$B$294=1),$AP$420,HLOOKUP(INDIRECT(ADDRESS(2,COLUMN())),OFFSET($BN$2,0,0,ROW()-1,60),ROW()-1,FALSE))</f>
        <v>-0.183376239</v>
      </c>
      <c r="AQ108">
        <f ca="1">IF(AND(ISNUMBER($AQ$420),$B$294=1),$AQ$420,HLOOKUP(INDIRECT(ADDRESS(2,COLUMN())),OFFSET($BN$2,0,0,ROW()-1,60),ROW()-1,FALSE))</f>
        <v>-1.5935338960000001</v>
      </c>
      <c r="AR108">
        <f ca="1">IF(AND(ISNUMBER($AR$420),$B$294=1),$AR$420,HLOOKUP(INDIRECT(ADDRESS(2,COLUMN())),OFFSET($BN$2,0,0,ROW()-1,60),ROW()-1,FALSE))</f>
        <v>4.8103736750000001</v>
      </c>
      <c r="AS108">
        <f ca="1">IF(AND(ISNUMBER($AS$420),$B$294=1),$AS$420,HLOOKUP(INDIRECT(ADDRESS(2,COLUMN())),OFFSET($BN$2,0,0,ROW()-1,60),ROW()-1,FALSE))</f>
        <v>5.1901436680000002</v>
      </c>
      <c r="AT108">
        <f ca="1">IF(AND(ISNUMBER($AT$420),$B$294=1),$AT$420,HLOOKUP(INDIRECT(ADDRESS(2,COLUMN())),OFFSET($BN$2,0,0,ROW()-1,60),ROW()-1,FALSE))</f>
        <v>5.3948077530000003</v>
      </c>
      <c r="AU108">
        <f ca="1">IF(AND(ISNUMBER($AU$420),$B$294=1),$AU$420,HLOOKUP(INDIRECT(ADDRESS(2,COLUMN())),OFFSET($BN$2,0,0,ROW()-1,60),ROW()-1,FALSE))</f>
        <v>15.785593609999999</v>
      </c>
      <c r="AV108">
        <f ca="1">IF(AND(ISNUMBER($AV$420),$B$294=1),$AV$420,HLOOKUP(INDIRECT(ADDRESS(2,COLUMN())),OFFSET($BN$2,0,0,ROW()-1,60),ROW()-1,FALSE))</f>
        <v>2.879438457</v>
      </c>
      <c r="AW108">
        <f ca="1">IF(AND(ISNUMBER($AW$420),$B$294=1),$AW$420,HLOOKUP(INDIRECT(ADDRESS(2,COLUMN())),OFFSET($BN$2,0,0,ROW()-1,60),ROW()-1,FALSE))</f>
        <v>3.1524383789999999</v>
      </c>
      <c r="AX108">
        <f ca="1">IF(AND(ISNUMBER($AX$420),$B$294=1),$AX$420,HLOOKUP(INDIRECT(ADDRESS(2,COLUMN())),OFFSET($BN$2,0,0,ROW()-1,60),ROW()-1,FALSE))</f>
        <v>4.4306008380000002</v>
      </c>
      <c r="AY108">
        <f ca="1">IF(AND(ISNUMBER($AY$420),$B$294=1),$AY$420,HLOOKUP(INDIRECT(ADDRESS(2,COLUMN())),OFFSET($BN$2,0,0,ROW()-1,60),ROW()-1,FALSE))</f>
        <v>3.6343378610000001</v>
      </c>
      <c r="AZ108">
        <f ca="1">IF(AND(ISNUMBER($AZ$420),$B$294=1),$AZ$420,HLOOKUP(INDIRECT(ADDRESS(2,COLUMN())),OFFSET($BN$2,0,0,ROW()-1,60),ROW()-1,FALSE))</f>
        <v>2.3480473719999999</v>
      </c>
      <c r="BA108">
        <f ca="1">IF(AND(ISNUMBER($BA$420),$B$294=1),$BA$420,HLOOKUP(INDIRECT(ADDRESS(2,COLUMN())),OFFSET($BN$2,0,0,ROW()-1,60),ROW()-1,FALSE))</f>
        <v>1.308456742</v>
      </c>
      <c r="BB108">
        <f ca="1">IF(AND(ISNUMBER($BB$420),$B$294=1),$BB$420,HLOOKUP(INDIRECT(ADDRESS(2,COLUMN())),OFFSET($BN$2,0,0,ROW()-1,60),ROW()-1,FALSE))</f>
        <v>-1.0057347050000001</v>
      </c>
      <c r="BC108">
        <f ca="1">IF(AND(ISNUMBER($BC$420),$B$294=1),$BC$420,HLOOKUP(INDIRECT(ADDRESS(2,COLUMN())),OFFSET($BN$2,0,0,ROW()-1,60),ROW()-1,FALSE))</f>
        <v>19.741305919999999</v>
      </c>
      <c r="BD108">
        <f ca="1">IF(AND(ISNUMBER($BD$420),$B$294=1),$BD$420,HLOOKUP(INDIRECT(ADDRESS(2,COLUMN())),OFFSET($BN$2,0,0,ROW()-1,60),ROW()-1,FALSE))</f>
        <v>-1.2888390789999999</v>
      </c>
      <c r="BE108">
        <f ca="1">IF(AND(ISNUMBER($BE$420),$B$294=1),$BE$420,HLOOKUP(INDIRECT(ADDRESS(2,COLUMN())),OFFSET($BN$2,0,0,ROW()-1,60),ROW()-1,FALSE))</f>
        <v>-5.2787006280000002</v>
      </c>
      <c r="BF108">
        <f ca="1">IF(AND(ISNUMBER($BF$420),$B$294=1),$BF$420,HLOOKUP(INDIRECT(ADDRESS(2,COLUMN())),OFFSET($BN$2,0,0,ROW()-1,60),ROW()-1,FALSE))</f>
        <v>-13.034434360000001</v>
      </c>
      <c r="BG108" t="str">
        <f ca="1">IF(AND(ISNUMBER($BG$420),$B$294=1),$BG$420,HLOOKUP(INDIRECT(ADDRESS(2,COLUMN())),OFFSET($BN$2,0,0,ROW()-1,60),ROW()-1,FALSE))</f>
        <v/>
      </c>
      <c r="BH108">
        <f ca="1">IF(AND(ISNUMBER($BH$420),$B$294=1),$BH$420,HLOOKUP(INDIRECT(ADDRESS(2,COLUMN())),OFFSET($BN$2,0,0,ROW()-1,60),ROW()-1,FALSE))</f>
        <v>-25.793477249999999</v>
      </c>
      <c r="BI108">
        <f ca="1">IF(AND(ISNUMBER($BI$420),$B$294=1),$BI$420,HLOOKUP(INDIRECT(ADDRESS(2,COLUMN())),OFFSET($BN$2,0,0,ROW()-1,60),ROW()-1,FALSE))</f>
        <v>-15.41115673</v>
      </c>
      <c r="BJ108">
        <f ca="1">IF(AND(ISNUMBER($BJ$420),$B$294=1),$BJ$420,HLOOKUP(INDIRECT(ADDRESS(2,COLUMN())),OFFSET($BN$2,0,0,ROW()-1,60),ROW()-1,FALSE))</f>
        <v>10.283387380000001</v>
      </c>
      <c r="BK108" t="str">
        <f ca="1">IF(AND(ISNUMBER($BK$420),$B$294=1),$BK$420,HLOOKUP(INDIRECT(ADDRESS(2,COLUMN())),OFFSET($BN$2,0,0,ROW()-1,60),ROW()-1,FALSE))</f>
        <v/>
      </c>
      <c r="BL108">
        <f ca="1">IF(AND(ISNUMBER($BL$420),$B$294=1),$BL$420,HLOOKUP(INDIRECT(ADDRESS(2,COLUMN())),OFFSET($BN$2,0,0,ROW()-1,60),ROW()-1,FALSE))</f>
        <v>22.840963129999999</v>
      </c>
      <c r="BM108">
        <f ca="1">IF(AND(ISNUMBER($BM$420),$B$294=1),$BM$420,HLOOKUP(INDIRECT(ADDRESS(2,COLUMN())),OFFSET($BN$2,0,0,ROW()-1,60),ROW()-1,FALSE))</f>
        <v>13.33150496</v>
      </c>
      <c r="BN108" t="str">
        <f>""</f>
        <v/>
      </c>
      <c r="BO108">
        <f>4.900206387</f>
        <v>4.9002063869999999</v>
      </c>
      <c r="BP108">
        <f>8.369569794</f>
        <v>8.3695697940000002</v>
      </c>
      <c r="BQ108">
        <f>6.246553997</f>
        <v>6.2465539970000004</v>
      </c>
      <c r="BR108">
        <f>2.759327668</f>
        <v>2.7593276680000001</v>
      </c>
      <c r="BS108">
        <f>4.696301662</f>
        <v>4.6963016619999998</v>
      </c>
      <c r="BT108">
        <f>1.547002492</f>
        <v>1.5470024920000001</v>
      </c>
      <c r="BU108">
        <f>12.33110951</f>
        <v>12.331109509999999</v>
      </c>
      <c r="BV108">
        <f>4.798804908</f>
        <v>4.7988049080000001</v>
      </c>
      <c r="BW108">
        <f>13.78727154</f>
        <v>13.787271540000001</v>
      </c>
      <c r="BX108">
        <f>7.277122958</f>
        <v>7.2771229579999996</v>
      </c>
      <c r="BY108">
        <f>-2.736344469</f>
        <v>-2.7363444690000001</v>
      </c>
      <c r="BZ108">
        <f>5.966198056</f>
        <v>5.9661980559999996</v>
      </c>
      <c r="CA108">
        <f>-5.546755443</f>
        <v>-5.5467554430000003</v>
      </c>
      <c r="CB108">
        <f>5.387117043</f>
        <v>5.3871170429999999</v>
      </c>
      <c r="CC108">
        <f>15.1593298</f>
        <v>15.1593298</v>
      </c>
      <c r="CD108">
        <f>13.8644086</f>
        <v>13.864408600000001</v>
      </c>
      <c r="CE108">
        <f>17.94863675</f>
        <v>17.948636749999999</v>
      </c>
      <c r="CF108">
        <f>17.34674035</f>
        <v>17.346740350000001</v>
      </c>
      <c r="CG108">
        <f>4.647749511</f>
        <v>4.6477495109999998</v>
      </c>
      <c r="CH108">
        <f>4.390122824</f>
        <v>4.3901228239999996</v>
      </c>
      <c r="CI108">
        <f>1.911300798</f>
        <v>1.9113007980000001</v>
      </c>
      <c r="CJ108">
        <f>5.247089925</f>
        <v>5.247089925</v>
      </c>
      <c r="CK108">
        <f>10.53370664</f>
        <v>10.53370664</v>
      </c>
      <c r="CL108">
        <f>9.219858156</f>
        <v>9.2198581560000008</v>
      </c>
      <c r="CM108">
        <f>6.138089896</f>
        <v>6.1380898960000003</v>
      </c>
      <c r="CN108">
        <f>1.503531611</f>
        <v>1.5035316110000001</v>
      </c>
      <c r="CO108">
        <f>0.7787984</f>
        <v>0.7787984</v>
      </c>
      <c r="CP108">
        <f>-0.611017435</f>
        <v>-0.61101743500000005</v>
      </c>
      <c r="CQ108">
        <f>3.611069214</f>
        <v>3.611069214</v>
      </c>
      <c r="CR108">
        <f>2.083591058</f>
        <v>2.0835910580000001</v>
      </c>
      <c r="CS108">
        <f>1.653948568</f>
        <v>1.6539485679999999</v>
      </c>
      <c r="CT108">
        <f>1.619855149</f>
        <v>1.6198551489999999</v>
      </c>
      <c r="CU108">
        <f>1.284148095</f>
        <v>1.2841480949999999</v>
      </c>
      <c r="CV108">
        <f>0.368054632</f>
        <v>0.36805463199999999</v>
      </c>
      <c r="CW108">
        <f>-0.810082604</f>
        <v>-0.81008260399999998</v>
      </c>
      <c r="CX108">
        <f>-0.183376239</f>
        <v>-0.183376239</v>
      </c>
      <c r="CY108">
        <f>-1.593533896</f>
        <v>-1.5935338960000001</v>
      </c>
      <c r="CZ108">
        <f>4.810373675</f>
        <v>4.8103736750000001</v>
      </c>
      <c r="DA108">
        <f>5.190143668</f>
        <v>5.1901436680000002</v>
      </c>
      <c r="DB108">
        <f>5.394807753</f>
        <v>5.3948077530000003</v>
      </c>
      <c r="DC108">
        <f>15.78559361</f>
        <v>15.785593609999999</v>
      </c>
      <c r="DD108">
        <f>2.879438457</f>
        <v>2.879438457</v>
      </c>
      <c r="DE108">
        <f>3.152438379</f>
        <v>3.1524383789999999</v>
      </c>
      <c r="DF108">
        <f>4.430600838</f>
        <v>4.4306008380000002</v>
      </c>
      <c r="DG108">
        <f>3.634337861</f>
        <v>3.6343378610000001</v>
      </c>
      <c r="DH108">
        <f>2.348047372</f>
        <v>2.3480473719999999</v>
      </c>
      <c r="DI108">
        <f>1.308456742</f>
        <v>1.308456742</v>
      </c>
      <c r="DJ108">
        <f>-1.005734705</f>
        <v>-1.0057347050000001</v>
      </c>
      <c r="DK108">
        <f>19.74130592</f>
        <v>19.741305919999999</v>
      </c>
      <c r="DL108">
        <f>-1.288839079</f>
        <v>-1.2888390789999999</v>
      </c>
      <c r="DM108">
        <f>-5.278700628</f>
        <v>-5.2787006280000002</v>
      </c>
      <c r="DN108">
        <f>-13.03443436</f>
        <v>-13.034434360000001</v>
      </c>
      <c r="DO108" t="str">
        <f>""</f>
        <v/>
      </c>
      <c r="DP108">
        <f>-25.79347725</f>
        <v>-25.793477249999999</v>
      </c>
      <c r="DQ108">
        <f>-15.41115673</f>
        <v>-15.41115673</v>
      </c>
      <c r="DR108">
        <f>10.28338738</f>
        <v>10.283387380000001</v>
      </c>
      <c r="DS108" t="str">
        <f>""</f>
        <v/>
      </c>
      <c r="DT108">
        <f>22.84096313</f>
        <v>22.840963129999999</v>
      </c>
      <c r="DU108">
        <f>13.33150496</f>
        <v>13.33150496</v>
      </c>
    </row>
    <row r="109" spans="1:125">
      <c r="A109" t="str">
        <f>"    Kilroy Realty Corp"</f>
        <v xml:space="preserve">    Kilroy Realty Corp</v>
      </c>
      <c r="B109" t="str">
        <f>"KRC US Equity"</f>
        <v>KRC US Equity</v>
      </c>
      <c r="C109" t="str">
        <f t="shared" si="27"/>
        <v>RR033</v>
      </c>
      <c r="D109" t="str">
        <f t="shared" si="28"/>
        <v>SALES_GROWTH</v>
      </c>
      <c r="E109" t="str">
        <f t="shared" si="29"/>
        <v>动态</v>
      </c>
      <c r="F109" t="str">
        <f ca="1">IF(AND(ISNUMBER($F$421),$B$294=1),$F$421,HLOOKUP(INDIRECT(ADDRESS(2,COLUMN())),OFFSET($BN$2,0,0,ROW()-1,60),ROW()-1,FALSE))</f>
        <v/>
      </c>
      <c r="G109">
        <f ca="1">IF(AND(ISNUMBER($G$421),$B$294=1),$G$421,HLOOKUP(INDIRECT(ADDRESS(2,COLUMN())),OFFSET($BN$2,0,0,ROW()-1,60),ROW()-1,FALSE))</f>
        <v>5.2868451480000003</v>
      </c>
      <c r="H109">
        <f ca="1">IF(AND(ISNUMBER($H$421),$B$294=1),$H$421,HLOOKUP(INDIRECT(ADDRESS(2,COLUMN())),OFFSET($BN$2,0,0,ROW()-1,60),ROW()-1,FALSE))</f>
        <v>7.8325848840000001</v>
      </c>
      <c r="I109">
        <f ca="1">IF(AND(ISNUMBER($I$421),$B$294=1),$I$421,HLOOKUP(INDIRECT(ADDRESS(2,COLUMN())),OFFSET($BN$2,0,0,ROW()-1,60),ROW()-1,FALSE))</f>
        <v>12.78000162</v>
      </c>
      <c r="J109">
        <f ca="1">IF(AND(ISNUMBER($J$421),$B$294=1),$J$421,HLOOKUP(INDIRECT(ADDRESS(2,COLUMN())),OFFSET($BN$2,0,0,ROW()-1,60),ROW()-1,FALSE))</f>
        <v>23.281492790000001</v>
      </c>
      <c r="K109">
        <f ca="1">IF(AND(ISNUMBER($K$421),$B$294=1),$K$421,HLOOKUP(INDIRECT(ADDRESS(2,COLUMN())),OFFSET($BN$2,0,0,ROW()-1,60),ROW()-1,FALSE))</f>
        <v>14.40307164</v>
      </c>
      <c r="L109">
        <f ca="1">IF(AND(ISNUMBER($L$421),$B$294=1),$L$421,HLOOKUP(INDIRECT(ADDRESS(2,COLUMN())),OFFSET($BN$2,0,0,ROW()-1,60),ROW()-1,FALSE))</f>
        <v>18.929305630000002</v>
      </c>
      <c r="M109">
        <f ca="1">IF(AND(ISNUMBER($M$421),$B$294=1),$M$421,HLOOKUP(INDIRECT(ADDRESS(2,COLUMN())),OFFSET($BN$2,0,0,ROW()-1,60),ROW()-1,FALSE))</f>
        <v>9.5098716379999999</v>
      </c>
      <c r="N109">
        <f ca="1">IF(AND(ISNUMBER($N$421),$B$294=1),$N$421,HLOOKUP(INDIRECT(ADDRESS(2,COLUMN())),OFFSET($BN$2,0,0,ROW()-1,60),ROW()-1,FALSE))</f>
        <v>-0.43537191400000003</v>
      </c>
      <c r="O109">
        <f ca="1">IF(AND(ISNUMBER($O$421),$B$294=1),$O$421,HLOOKUP(INDIRECT(ADDRESS(2,COLUMN())),OFFSET($BN$2,0,0,ROW()-1,60),ROW()-1,FALSE))</f>
        <v>3.9840581240000001</v>
      </c>
      <c r="P109">
        <f ca="1">IF(AND(ISNUMBER($P$421),$B$294=1),$P$421,HLOOKUP(INDIRECT(ADDRESS(2,COLUMN())),OFFSET($BN$2,0,0,ROW()-1,60),ROW()-1,FALSE))</f>
        <v>9.7105964779999994</v>
      </c>
      <c r="Q109">
        <f ca="1">IF(AND(ISNUMBER($Q$421),$B$294=1),$Q$421,HLOOKUP(INDIRECT(ADDRESS(2,COLUMN())),OFFSET($BN$2,0,0,ROW()-1,60),ROW()-1,FALSE))</f>
        <v>14.9782195</v>
      </c>
      <c r="R109">
        <f ca="1">IF(AND(ISNUMBER($R$421),$B$294=1),$R$421,HLOOKUP(INDIRECT(ADDRESS(2,COLUMN())),OFFSET($BN$2,0,0,ROW()-1,60),ROW()-1,FALSE))</f>
        <v>18.038429839999999</v>
      </c>
      <c r="S109">
        <f ca="1">IF(AND(ISNUMBER($S$421),$B$294=1),$S$421,HLOOKUP(INDIRECT(ADDRESS(2,COLUMN())),OFFSET($BN$2,0,0,ROW()-1,60),ROW()-1,FALSE))</f>
        <v>19.528009170000001</v>
      </c>
      <c r="T109">
        <f ca="1">IF(AND(ISNUMBER($T$421),$B$294=1),$T$421,HLOOKUP(INDIRECT(ADDRESS(2,COLUMN())),OFFSET($BN$2,0,0,ROW()-1,60),ROW()-1,FALSE))</f>
        <v>13.632480510000001</v>
      </c>
      <c r="U109">
        <f ca="1">IF(AND(ISNUMBER($U$421),$B$294=1),$U$421,HLOOKUP(INDIRECT(ADDRESS(2,COLUMN())),OFFSET($BN$2,0,0,ROW()-1,60),ROW()-1,FALSE))</f>
        <v>7.9288836079999996</v>
      </c>
      <c r="V109">
        <f ca="1">IF(AND(ISNUMBER($V$421),$B$294=1),$V$421,HLOOKUP(INDIRECT(ADDRESS(2,COLUMN())),OFFSET($BN$2,0,0,ROW()-1,60),ROW()-1,FALSE))</f>
        <v>11.529865539999999</v>
      </c>
      <c r="W109">
        <f ca="1">IF(AND(ISNUMBER($W$421),$B$294=1),$W$421,HLOOKUP(INDIRECT(ADDRESS(2,COLUMN())),OFFSET($BN$2,0,0,ROW()-1,60),ROW()-1,FALSE))</f>
        <v>6.7437067439999998</v>
      </c>
      <c r="X109">
        <f ca="1">IF(AND(ISNUMBER($X$421),$B$294=1),$X$421,HLOOKUP(INDIRECT(ADDRESS(2,COLUMN())),OFFSET($BN$2,0,0,ROW()-1,60),ROW()-1,FALSE))</f>
        <v>14.70929939</v>
      </c>
      <c r="Y109">
        <f ca="1">IF(AND(ISNUMBER($Y$421),$B$294=1),$Y$421,HLOOKUP(INDIRECT(ADDRESS(2,COLUMN())),OFFSET($BN$2,0,0,ROW()-1,60),ROW()-1,FALSE))</f>
        <v>21.340527850000001</v>
      </c>
      <c r="Z109">
        <f ca="1">IF(AND(ISNUMBER($Z$421),$B$294=1),$Z$421,HLOOKUP(INDIRECT(ADDRESS(2,COLUMN())),OFFSET($BN$2,0,0,ROW()-1,60),ROW()-1,FALSE))</f>
        <v>20.094808270000001</v>
      </c>
      <c r="AA109">
        <f ca="1">IF(AND(ISNUMBER($AA$421),$B$294=1),$AA$421,HLOOKUP(INDIRECT(ADDRESS(2,COLUMN())),OFFSET($BN$2,0,0,ROW()-1,60),ROW()-1,FALSE))</f>
        <v>17.919682470000001</v>
      </c>
      <c r="AB109">
        <f ca="1">IF(AND(ISNUMBER($AB$421),$B$294=1),$AB$421,HLOOKUP(INDIRECT(ADDRESS(2,COLUMN())),OFFSET($BN$2,0,0,ROW()-1,60),ROW()-1,FALSE))</f>
        <v>14.56729823</v>
      </c>
      <c r="AC109">
        <f ca="1">IF(AND(ISNUMBER($AC$421),$B$294=1),$AC$421,HLOOKUP(INDIRECT(ADDRESS(2,COLUMN())),OFFSET($BN$2,0,0,ROW()-1,60),ROW()-1,FALSE))</f>
        <v>9.8665007350000007</v>
      </c>
      <c r="AD109">
        <f ca="1">IF(AND(ISNUMBER($AD$421),$B$294=1),$AD$421,HLOOKUP(INDIRECT(ADDRESS(2,COLUMN())),OFFSET($BN$2,0,0,ROW()-1,60),ROW()-1,FALSE))</f>
        <v>10.29448629</v>
      </c>
      <c r="AE109">
        <f ca="1">IF(AND(ISNUMBER($AE$421),$B$294=1),$AE$421,HLOOKUP(INDIRECT(ADDRESS(2,COLUMN())),OFFSET($BN$2,0,0,ROW()-1,60),ROW()-1,FALSE))</f>
        <v>18.808710229999999</v>
      </c>
      <c r="AF109">
        <f ca="1">IF(AND(ISNUMBER($AF$421),$B$294=1),$AF$421,HLOOKUP(INDIRECT(ADDRESS(2,COLUMN())),OFFSET($BN$2,0,0,ROW()-1,60),ROW()-1,FALSE))</f>
        <v>8.9850648369999995</v>
      </c>
      <c r="AG109">
        <f ca="1">IF(AND(ISNUMBER($AG$421),$B$294=1),$AG$421,HLOOKUP(INDIRECT(ADDRESS(2,COLUMN())),OFFSET($BN$2,0,0,ROW()-1,60),ROW()-1,FALSE))</f>
        <v>22.058661069999999</v>
      </c>
      <c r="AH109">
        <f ca="1">IF(AND(ISNUMBER($AH$421),$B$294=1),$AH$421,HLOOKUP(INDIRECT(ADDRESS(2,COLUMN())),OFFSET($BN$2,0,0,ROW()-1,60),ROW()-1,FALSE))</f>
        <v>25.373022639999999</v>
      </c>
      <c r="AI109">
        <f ca="1">IF(AND(ISNUMBER($AI$421),$B$294=1),$AI$421,HLOOKUP(INDIRECT(ADDRESS(2,COLUMN())),OFFSET($BN$2,0,0,ROW()-1,60),ROW()-1,FALSE))</f>
        <v>17.705813379999999</v>
      </c>
      <c r="AJ109">
        <f ca="1">IF(AND(ISNUMBER($AJ$421),$B$294=1),$AJ$421,HLOOKUP(INDIRECT(ADDRESS(2,COLUMN())),OFFSET($BN$2,0,0,ROW()-1,60),ROW()-1,FALSE))</f>
        <v>15.74152481</v>
      </c>
      <c r="AK109">
        <f ca="1">IF(AND(ISNUMBER($AK$421),$B$294=1),$AK$421,HLOOKUP(INDIRECT(ADDRESS(2,COLUMN())),OFFSET($BN$2,0,0,ROW()-1,60),ROW()-1,FALSE))</f>
        <v>1.922589726</v>
      </c>
      <c r="AL109">
        <f ca="1">IF(AND(ISNUMBER($AL$421),$B$294=1),$AL$421,HLOOKUP(INDIRECT(ADDRESS(2,COLUMN())),OFFSET($BN$2,0,0,ROW()-1,60),ROW()-1,FALSE))</f>
        <v>-7.8511142979999997</v>
      </c>
      <c r="AM109">
        <f ca="1">IF(AND(ISNUMBER($AM$421),$B$294=1),$AM$421,HLOOKUP(INDIRECT(ADDRESS(2,COLUMN())),OFFSET($BN$2,0,0,ROW()-1,60),ROW()-1,FALSE))</f>
        <v>-6.7857340490000002</v>
      </c>
      <c r="AN109">
        <f ca="1">IF(AND(ISNUMBER($AN$421),$B$294=1),$AN$421,HLOOKUP(INDIRECT(ADDRESS(2,COLUMN())),OFFSET($BN$2,0,0,ROW()-1,60),ROW()-1,FALSE))</f>
        <v>-10.98432667</v>
      </c>
      <c r="AO109">
        <f ca="1">IF(AND(ISNUMBER($AO$421),$B$294=1),$AO$421,HLOOKUP(INDIRECT(ADDRESS(2,COLUMN())),OFFSET($BN$2,0,0,ROW()-1,60),ROW()-1,FALSE))</f>
        <v>2.2655305430000001</v>
      </c>
      <c r="AP109">
        <f ca="1">IF(AND(ISNUMBER($AP$421),$B$294=1),$AP$421,HLOOKUP(INDIRECT(ADDRESS(2,COLUMN())),OFFSET($BN$2,0,0,ROW()-1,60),ROW()-1,FALSE))</f>
        <v>2.4151860119999999</v>
      </c>
      <c r="AQ109">
        <f ca="1">IF(AND(ISNUMBER($AQ$421),$B$294=1),$AQ$421,HLOOKUP(INDIRECT(ADDRESS(2,COLUMN())),OFFSET($BN$2,0,0,ROW()-1,60),ROW()-1,FALSE))</f>
        <v>18.636445699999999</v>
      </c>
      <c r="AR109">
        <f ca="1">IF(AND(ISNUMBER($AR$421),$B$294=1),$AR$421,HLOOKUP(INDIRECT(ADDRESS(2,COLUMN())),OFFSET($BN$2,0,0,ROW()-1,60),ROW()-1,FALSE))</f>
        <v>18.165763160000001</v>
      </c>
      <c r="AS109">
        <f ca="1">IF(AND(ISNUMBER($AS$421),$B$294=1),$AS$421,HLOOKUP(INDIRECT(ADDRESS(2,COLUMN())),OFFSET($BN$2,0,0,ROW()-1,60),ROW()-1,FALSE))</f>
        <v>11.73367642</v>
      </c>
      <c r="AT109">
        <f ca="1">IF(AND(ISNUMBER($AT$421),$B$294=1),$AT$421,HLOOKUP(INDIRECT(ADDRESS(2,COLUMN())),OFFSET($BN$2,0,0,ROW()-1,60),ROW()-1,FALSE))</f>
        <v>15.25076099</v>
      </c>
      <c r="AU109">
        <f ca="1">IF(AND(ISNUMBER($AU$421),$B$294=1),$AU$421,HLOOKUP(INDIRECT(ADDRESS(2,COLUMN())),OFFSET($BN$2,0,0,ROW()-1,60),ROW()-1,FALSE))</f>
        <v>14.08215998</v>
      </c>
      <c r="AV109">
        <f ca="1">IF(AND(ISNUMBER($AV$421),$B$294=1),$AV$421,HLOOKUP(INDIRECT(ADDRESS(2,COLUMN())),OFFSET($BN$2,0,0,ROW()-1,60),ROW()-1,FALSE))</f>
        <v>3.327515075</v>
      </c>
      <c r="AW109">
        <f ca="1">IF(AND(ISNUMBER($AW$421),$B$294=1),$AW$421,HLOOKUP(INDIRECT(ADDRESS(2,COLUMN())),OFFSET($BN$2,0,0,ROW()-1,60),ROW()-1,FALSE))</f>
        <v>-1.047137083</v>
      </c>
      <c r="AX109">
        <f ca="1">IF(AND(ISNUMBER($AX$421),$B$294=1),$AX$421,HLOOKUP(INDIRECT(ADDRESS(2,COLUMN())),OFFSET($BN$2,0,0,ROW()-1,60),ROW()-1,FALSE))</f>
        <v>-1.3520674429999999</v>
      </c>
      <c r="AY109">
        <f ca="1">IF(AND(ISNUMBER($AY$421),$B$294=1),$AY$421,HLOOKUP(INDIRECT(ADDRESS(2,COLUMN())),OFFSET($BN$2,0,0,ROW()-1,60),ROW()-1,FALSE))</f>
        <v>-7.4673412109999999</v>
      </c>
      <c r="AZ109">
        <f ca="1">IF(AND(ISNUMBER($AZ$421),$B$294=1),$AZ$421,HLOOKUP(INDIRECT(ADDRESS(2,COLUMN())),OFFSET($BN$2,0,0,ROW()-1,60),ROW()-1,FALSE))</f>
        <v>5.8839342720000003</v>
      </c>
      <c r="BA109">
        <f ca="1">IF(AND(ISNUMBER($BA$421),$B$294=1),$BA$421,HLOOKUP(INDIRECT(ADDRESS(2,COLUMN())),OFFSET($BN$2,0,0,ROW()-1,60),ROW()-1,FALSE))</f>
        <v>4.2919737099999997</v>
      </c>
      <c r="BB109">
        <f ca="1">IF(AND(ISNUMBER($BB$421),$B$294=1),$BB$421,HLOOKUP(INDIRECT(ADDRESS(2,COLUMN())),OFFSET($BN$2,0,0,ROW()-1,60),ROW()-1,FALSE))</f>
        <v>4.7149030620000003</v>
      </c>
      <c r="BC109">
        <f ca="1">IF(AND(ISNUMBER($BC$421),$B$294=1),$BC$421,HLOOKUP(INDIRECT(ADDRESS(2,COLUMN())),OFFSET($BN$2,0,0,ROW()-1,60),ROW()-1,FALSE))</f>
        <v>-0.63354336700000002</v>
      </c>
      <c r="BD109">
        <f ca="1">IF(AND(ISNUMBER($BD$421),$B$294=1),$BD$421,HLOOKUP(INDIRECT(ADDRESS(2,COLUMN())),OFFSET($BN$2,0,0,ROW()-1,60),ROW()-1,FALSE))</f>
        <v>9.0552623860000008</v>
      </c>
      <c r="BE109">
        <f ca="1">IF(AND(ISNUMBER($BE$421),$B$294=1),$BE$421,HLOOKUP(INDIRECT(ADDRESS(2,COLUMN())),OFFSET($BN$2,0,0,ROW()-1,60),ROW()-1,FALSE))</f>
        <v>10.44672154</v>
      </c>
      <c r="BF109">
        <f ca="1">IF(AND(ISNUMBER($BF$421),$B$294=1),$BF$421,HLOOKUP(INDIRECT(ADDRESS(2,COLUMN())),OFFSET($BN$2,0,0,ROW()-1,60),ROW()-1,FALSE))</f>
        <v>8.3635502269999993</v>
      </c>
      <c r="BG109">
        <f ca="1">IF(AND(ISNUMBER($BG$421),$B$294=1),$BG$421,HLOOKUP(INDIRECT(ADDRESS(2,COLUMN())),OFFSET($BN$2,0,0,ROW()-1,60),ROW()-1,FALSE))</f>
        <v>9.4846742269999993</v>
      </c>
      <c r="BH109">
        <f ca="1">IF(AND(ISNUMBER($BH$421),$B$294=1),$BH$421,HLOOKUP(INDIRECT(ADDRESS(2,COLUMN())),OFFSET($BN$2,0,0,ROW()-1,60),ROW()-1,FALSE))</f>
        <v>-20.696319330000001</v>
      </c>
      <c r="BI109">
        <f ca="1">IF(AND(ISNUMBER($BI$421),$B$294=1),$BI$421,HLOOKUP(INDIRECT(ADDRESS(2,COLUMN())),OFFSET($BN$2,0,0,ROW()-1,60),ROW()-1,FALSE))</f>
        <v>11.784353100000001</v>
      </c>
      <c r="BJ109">
        <f ca="1">IF(AND(ISNUMBER($BJ$421),$B$294=1),$BJ$421,HLOOKUP(INDIRECT(ADDRESS(2,COLUMN())),OFFSET($BN$2,0,0,ROW()-1,60),ROW()-1,FALSE))</f>
        <v>3.420269099</v>
      </c>
      <c r="BK109">
        <f ca="1">IF(AND(ISNUMBER($BK$421),$B$294=1),$BK$421,HLOOKUP(INDIRECT(ADDRESS(2,COLUMN())),OFFSET($BN$2,0,0,ROW()-1,60),ROW()-1,FALSE))</f>
        <v>0.85736594499999996</v>
      </c>
      <c r="BL109">
        <f ca="1">IF(AND(ISNUMBER($BL$421),$B$294=1),$BL$421,HLOOKUP(INDIRECT(ADDRESS(2,COLUMN())),OFFSET($BN$2,0,0,ROW()-1,60),ROW()-1,FALSE))</f>
        <v>37.396182719999999</v>
      </c>
      <c r="BM109">
        <f ca="1">IF(AND(ISNUMBER($BM$421),$B$294=1),$BM$421,HLOOKUP(INDIRECT(ADDRESS(2,COLUMN())),OFFSET($BN$2,0,0,ROW()-1,60),ROW()-1,FALSE))</f>
        <v>-4.1952138830000001</v>
      </c>
      <c r="BN109" t="str">
        <f>""</f>
        <v/>
      </c>
      <c r="BO109">
        <f>5.286845148</f>
        <v>5.2868451480000003</v>
      </c>
      <c r="BP109">
        <f>7.832584884</f>
        <v>7.8325848840000001</v>
      </c>
      <c r="BQ109">
        <f>12.78000162</f>
        <v>12.78000162</v>
      </c>
      <c r="BR109">
        <f>23.28149279</f>
        <v>23.281492790000001</v>
      </c>
      <c r="BS109">
        <f>14.40307164</f>
        <v>14.40307164</v>
      </c>
      <c r="BT109">
        <f>18.92930563</f>
        <v>18.929305630000002</v>
      </c>
      <c r="BU109">
        <f>9.509871638</f>
        <v>9.5098716379999999</v>
      </c>
      <c r="BV109">
        <f>-0.435371914</f>
        <v>-0.43537191400000003</v>
      </c>
      <c r="BW109">
        <f>3.984058124</f>
        <v>3.9840581240000001</v>
      </c>
      <c r="BX109">
        <f>9.710596478</f>
        <v>9.7105964779999994</v>
      </c>
      <c r="BY109">
        <f>14.9782195</f>
        <v>14.9782195</v>
      </c>
      <c r="BZ109">
        <f>18.03842984</f>
        <v>18.038429839999999</v>
      </c>
      <c r="CA109">
        <f>19.52800917</f>
        <v>19.528009170000001</v>
      </c>
      <c r="CB109">
        <f>13.63248051</f>
        <v>13.632480510000001</v>
      </c>
      <c r="CC109">
        <f>7.928883608</f>
        <v>7.9288836079999996</v>
      </c>
      <c r="CD109">
        <f>11.52986554</f>
        <v>11.529865539999999</v>
      </c>
      <c r="CE109">
        <f>6.743706744</f>
        <v>6.7437067439999998</v>
      </c>
      <c r="CF109">
        <f>14.70929939</f>
        <v>14.70929939</v>
      </c>
      <c r="CG109">
        <f>21.34052785</f>
        <v>21.340527850000001</v>
      </c>
      <c r="CH109">
        <f>20.09480827</f>
        <v>20.094808270000001</v>
      </c>
      <c r="CI109">
        <f>17.91968247</f>
        <v>17.919682470000001</v>
      </c>
      <c r="CJ109">
        <f>14.56729823</f>
        <v>14.56729823</v>
      </c>
      <c r="CK109">
        <f>9.866500735</f>
        <v>9.8665007350000007</v>
      </c>
      <c r="CL109">
        <f>10.29448629</f>
        <v>10.29448629</v>
      </c>
      <c r="CM109">
        <f>18.80871023</f>
        <v>18.808710229999999</v>
      </c>
      <c r="CN109">
        <f>8.985064837</f>
        <v>8.9850648369999995</v>
      </c>
      <c r="CO109">
        <f>22.05866107</f>
        <v>22.058661069999999</v>
      </c>
      <c r="CP109">
        <f>25.37302264</f>
        <v>25.373022639999999</v>
      </c>
      <c r="CQ109">
        <f>17.70581338</f>
        <v>17.705813379999999</v>
      </c>
      <c r="CR109">
        <f>15.74152481</f>
        <v>15.74152481</v>
      </c>
      <c r="CS109">
        <f>1.922589726</f>
        <v>1.922589726</v>
      </c>
      <c r="CT109">
        <f>-7.851114298</f>
        <v>-7.8511142979999997</v>
      </c>
      <c r="CU109">
        <f>-6.785734049</f>
        <v>-6.7857340490000002</v>
      </c>
      <c r="CV109">
        <f>-10.98432667</f>
        <v>-10.98432667</v>
      </c>
      <c r="CW109">
        <f>2.265530543</f>
        <v>2.2655305430000001</v>
      </c>
      <c r="CX109">
        <f>2.415186012</f>
        <v>2.4151860119999999</v>
      </c>
      <c r="CY109">
        <f>18.6364457</f>
        <v>18.636445699999999</v>
      </c>
      <c r="CZ109">
        <f>18.16576316</f>
        <v>18.165763160000001</v>
      </c>
      <c r="DA109">
        <f>11.73367642</f>
        <v>11.73367642</v>
      </c>
      <c r="DB109">
        <f>15.25076099</f>
        <v>15.25076099</v>
      </c>
      <c r="DC109">
        <f>14.08215998</f>
        <v>14.08215998</v>
      </c>
      <c r="DD109">
        <f>3.327515075</f>
        <v>3.327515075</v>
      </c>
      <c r="DE109">
        <f>-1.047137083</f>
        <v>-1.047137083</v>
      </c>
      <c r="DF109">
        <f>-1.352067443</f>
        <v>-1.3520674429999999</v>
      </c>
      <c r="DG109">
        <f>-7.467341211</f>
        <v>-7.4673412109999999</v>
      </c>
      <c r="DH109">
        <f>5.883934272</f>
        <v>5.8839342720000003</v>
      </c>
      <c r="DI109">
        <f>4.29197371</f>
        <v>4.2919737099999997</v>
      </c>
      <c r="DJ109">
        <f>4.714903062</f>
        <v>4.7149030620000003</v>
      </c>
      <c r="DK109">
        <f>-0.633543367</f>
        <v>-0.63354336700000002</v>
      </c>
      <c r="DL109">
        <f>9.055262386</f>
        <v>9.0552623860000008</v>
      </c>
      <c r="DM109">
        <f>10.44672154</f>
        <v>10.44672154</v>
      </c>
      <c r="DN109">
        <f>8.363550227</f>
        <v>8.3635502269999993</v>
      </c>
      <c r="DO109">
        <f>9.484674227</f>
        <v>9.4846742269999993</v>
      </c>
      <c r="DP109">
        <f>-20.69631933</f>
        <v>-20.696319330000001</v>
      </c>
      <c r="DQ109">
        <f>11.7843531</f>
        <v>11.784353100000001</v>
      </c>
      <c r="DR109">
        <f>3.420269099</f>
        <v>3.420269099</v>
      </c>
      <c r="DS109">
        <f>0.857365945</f>
        <v>0.85736594499999996</v>
      </c>
      <c r="DT109">
        <f>37.39618272</f>
        <v>37.396182719999999</v>
      </c>
      <c r="DU109">
        <f>-4.195213883</f>
        <v>-4.1952138830000001</v>
      </c>
    </row>
    <row r="110" spans="1:125">
      <c r="A110" t="str">
        <f>"    Mack-Cali Realty Corp"</f>
        <v xml:space="preserve">    Mack-Cali Realty Corp</v>
      </c>
      <c r="B110" t="str">
        <f>"CLI US Equity"</f>
        <v>CLI US Equity</v>
      </c>
      <c r="C110" t="str">
        <f t="shared" si="27"/>
        <v>RR033</v>
      </c>
      <c r="D110" t="str">
        <f t="shared" si="28"/>
        <v>SALES_GROWTH</v>
      </c>
      <c r="E110" t="str">
        <f t="shared" si="29"/>
        <v>动态</v>
      </c>
      <c r="F110" t="str">
        <f ca="1">IF(AND(ISNUMBER($F$422),$B$294=1),$F$422,HLOOKUP(INDIRECT(ADDRESS(2,COLUMN())),OFFSET($BN$2,0,0,ROW()-1,60),ROW()-1,FALSE))</f>
        <v/>
      </c>
      <c r="G110">
        <f ca="1">IF(AND(ISNUMBER($G$422),$B$294=1),$G$422,HLOOKUP(INDIRECT(ADDRESS(2,COLUMN())),OFFSET($BN$2,0,0,ROW()-1,60),ROW()-1,FALSE))</f>
        <v>-6.6362672460000001</v>
      </c>
      <c r="H110">
        <f ca="1">IF(AND(ISNUMBER($H$422),$B$294=1),$H$422,HLOOKUP(INDIRECT(ADDRESS(2,COLUMN())),OFFSET($BN$2,0,0,ROW()-1,60),ROW()-1,FALSE))</f>
        <v>1.58776513</v>
      </c>
      <c r="I110">
        <f ca="1">IF(AND(ISNUMBER($I$422),$B$294=1),$I$422,HLOOKUP(INDIRECT(ADDRESS(2,COLUMN())),OFFSET($BN$2,0,0,ROW()-1,60),ROW()-1,FALSE))</f>
        <v>9.0727549300000003</v>
      </c>
      <c r="J110">
        <f ca="1">IF(AND(ISNUMBER($J$422),$B$294=1),$J$422,HLOOKUP(INDIRECT(ADDRESS(2,COLUMN())),OFFSET($BN$2,0,0,ROW()-1,60),ROW()-1,FALSE))</f>
        <v>-1.98531287</v>
      </c>
      <c r="K110">
        <f ca="1">IF(AND(ISNUMBER($K$422),$B$294=1),$K$422,HLOOKUP(INDIRECT(ADDRESS(2,COLUMN())),OFFSET($BN$2,0,0,ROW()-1,60),ROW()-1,FALSE))</f>
        <v>4.9766803470000003</v>
      </c>
      <c r="L110">
        <f ca="1">IF(AND(ISNUMBER($L$422),$B$294=1),$L$422,HLOOKUP(INDIRECT(ADDRESS(2,COLUMN())),OFFSET($BN$2,0,0,ROW()-1,60),ROW()-1,FALSE))</f>
        <v>7.7717264879999997</v>
      </c>
      <c r="M110">
        <f ca="1">IF(AND(ISNUMBER($M$422),$B$294=1),$M$422,HLOOKUP(INDIRECT(ADDRESS(2,COLUMN())),OFFSET($BN$2,0,0,ROW()-1,60),ROW()-1,FALSE))</f>
        <v>0.44424401099999999</v>
      </c>
      <c r="N110">
        <f ca="1">IF(AND(ISNUMBER($N$422),$B$294=1),$N$422,HLOOKUP(INDIRECT(ADDRESS(2,COLUMN())),OFFSET($BN$2,0,0,ROW()-1,60),ROW()-1,FALSE))</f>
        <v>-0.51523924200000004</v>
      </c>
      <c r="O110">
        <f ca="1">IF(AND(ISNUMBER($O$422),$B$294=1),$O$422,HLOOKUP(INDIRECT(ADDRESS(2,COLUMN())),OFFSET($BN$2,0,0,ROW()-1,60),ROW()-1,FALSE))</f>
        <v>-3.2830517650000002</v>
      </c>
      <c r="P110">
        <f ca="1">IF(AND(ISNUMBER($P$422),$B$294=1),$P$422,HLOOKUP(INDIRECT(ADDRESS(2,COLUMN())),OFFSET($BN$2,0,0,ROW()-1,60),ROW()-1,FALSE))</f>
        <v>-6.0010675999999998</v>
      </c>
      <c r="Q110">
        <f ca="1">IF(AND(ISNUMBER($Q$422),$B$294=1),$Q$422,HLOOKUP(INDIRECT(ADDRESS(2,COLUMN())),OFFSET($BN$2,0,0,ROW()-1,60),ROW()-1,FALSE))</f>
        <v>-7.3194011229999996</v>
      </c>
      <c r="R110">
        <f ca="1">IF(AND(ISNUMBER($R$422),$B$294=1),$R$422,HLOOKUP(INDIRECT(ADDRESS(2,COLUMN())),OFFSET($BN$2,0,0,ROW()-1,60),ROW()-1,FALSE))</f>
        <v>-9.3640180189999995</v>
      </c>
      <c r="S110">
        <f ca="1">IF(AND(ISNUMBER($S$422),$B$294=1),$S$422,HLOOKUP(INDIRECT(ADDRESS(2,COLUMN())),OFFSET($BN$2,0,0,ROW()-1,60),ROW()-1,FALSE))</f>
        <v>-8.3821936620000006</v>
      </c>
      <c r="T110">
        <f ca="1">IF(AND(ISNUMBER($T$422),$B$294=1),$T$422,HLOOKUP(INDIRECT(ADDRESS(2,COLUMN())),OFFSET($BN$2,0,0,ROW()-1,60),ROW()-1,FALSE))</f>
        <v>-4.3174056179999996</v>
      </c>
      <c r="U110">
        <f ca="1">IF(AND(ISNUMBER($U$422),$B$294=1),$U$422,HLOOKUP(INDIRECT(ADDRESS(2,COLUMN())),OFFSET($BN$2,0,0,ROW()-1,60),ROW()-1,FALSE))</f>
        <v>-4.779442339</v>
      </c>
      <c r="V110">
        <f ca="1">IF(AND(ISNUMBER($V$422),$B$294=1),$V$422,HLOOKUP(INDIRECT(ADDRESS(2,COLUMN())),OFFSET($BN$2,0,0,ROW()-1,60),ROW()-1,FALSE))</f>
        <v>-0.77056748200000003</v>
      </c>
      <c r="W110">
        <f ca="1">IF(AND(ISNUMBER($W$422),$B$294=1),$W$422,HLOOKUP(INDIRECT(ADDRESS(2,COLUMN())),OFFSET($BN$2,0,0,ROW()-1,60),ROW()-1,FALSE))</f>
        <v>-6.644636502</v>
      </c>
      <c r="X110">
        <f ca="1">IF(AND(ISNUMBER($X$422),$B$294=1),$X$422,HLOOKUP(INDIRECT(ADDRESS(2,COLUMN())),OFFSET($BN$2,0,0,ROW()-1,60),ROW()-1,FALSE))</f>
        <v>3.6403757720000001</v>
      </c>
      <c r="Y110">
        <f ca="1">IF(AND(ISNUMBER($Y$422),$B$294=1),$Y$422,HLOOKUP(INDIRECT(ADDRESS(2,COLUMN())),OFFSET($BN$2,0,0,ROW()-1,60),ROW()-1,FALSE))</f>
        <v>-2.1500188900000001</v>
      </c>
      <c r="Z110">
        <f ca="1">IF(AND(ISNUMBER($Z$422),$B$294=1),$Z$422,HLOOKUP(INDIRECT(ADDRESS(2,COLUMN())),OFFSET($BN$2,0,0,ROW()-1,60),ROW()-1,FALSE))</f>
        <v>-3.8858865279999999</v>
      </c>
      <c r="AA110">
        <f ca="1">IF(AND(ISNUMBER($AA$422),$B$294=1),$AA$422,HLOOKUP(INDIRECT(ADDRESS(2,COLUMN())),OFFSET($BN$2,0,0,ROW()-1,60),ROW()-1,FALSE))</f>
        <v>0.86489812700000002</v>
      </c>
      <c r="AB110">
        <f ca="1">IF(AND(ISNUMBER($AB$422),$B$294=1),$AB$422,HLOOKUP(INDIRECT(ADDRESS(2,COLUMN())),OFFSET($BN$2,0,0,ROW()-1,60),ROW()-1,FALSE))</f>
        <v>-10.62489669</v>
      </c>
      <c r="AC110">
        <f ca="1">IF(AND(ISNUMBER($AC$422),$B$294=1),$AC$422,HLOOKUP(INDIRECT(ADDRESS(2,COLUMN())),OFFSET($BN$2,0,0,ROW()-1,60),ROW()-1,FALSE))</f>
        <v>-3.9755983210000001</v>
      </c>
      <c r="AD110">
        <f ca="1">IF(AND(ISNUMBER($AD$422),$B$294=1),$AD$422,HLOOKUP(INDIRECT(ADDRESS(2,COLUMN())),OFFSET($BN$2,0,0,ROW()-1,60),ROW()-1,FALSE))</f>
        <v>-3.4688105619999998</v>
      </c>
      <c r="AE110">
        <f ca="1">IF(AND(ISNUMBER($AE$422),$B$294=1),$AE$422,HLOOKUP(INDIRECT(ADDRESS(2,COLUMN())),OFFSET($BN$2,0,0,ROW()-1,60),ROW()-1,FALSE))</f>
        <v>-8.6617123589999991</v>
      </c>
      <c r="AF110">
        <f ca="1">IF(AND(ISNUMBER($AF$422),$B$294=1),$AF$422,HLOOKUP(INDIRECT(ADDRESS(2,COLUMN())),OFFSET($BN$2,0,0,ROW()-1,60),ROW()-1,FALSE))</f>
        <v>-11.375760270000001</v>
      </c>
      <c r="AG110">
        <f ca="1">IF(AND(ISNUMBER($AG$422),$B$294=1),$AG$422,HLOOKUP(INDIRECT(ADDRESS(2,COLUMN())),OFFSET($BN$2,0,0,ROW()-1,60),ROW()-1,FALSE))</f>
        <v>-11.64632493</v>
      </c>
      <c r="AH110">
        <f ca="1">IF(AND(ISNUMBER($AH$422),$B$294=1),$AH$422,HLOOKUP(INDIRECT(ADDRESS(2,COLUMN())),OFFSET($BN$2,0,0,ROW()-1,60),ROW()-1,FALSE))</f>
        <v>-5.3293453179999997</v>
      </c>
      <c r="AI110">
        <f ca="1">IF(AND(ISNUMBER($AI$422),$B$294=1),$AI$422,HLOOKUP(INDIRECT(ADDRESS(2,COLUMN())),OFFSET($BN$2,0,0,ROW()-1,60),ROW()-1,FALSE))</f>
        <v>-6.9166722999999999E-2</v>
      </c>
      <c r="AJ110">
        <f ca="1">IF(AND(ISNUMBER($AJ$422),$B$294=1),$AJ$422,HLOOKUP(INDIRECT(ADDRESS(2,COLUMN())),OFFSET($BN$2,0,0,ROW()-1,60),ROW()-1,FALSE))</f>
        <v>3.0232061909999999</v>
      </c>
      <c r="AK110">
        <f ca="1">IF(AND(ISNUMBER($AK$422),$B$294=1),$AK$422,HLOOKUP(INDIRECT(ADDRESS(2,COLUMN())),OFFSET($BN$2,0,0,ROW()-1,60),ROW()-1,FALSE))</f>
        <v>7.9660105520000002</v>
      </c>
      <c r="AL110">
        <f ca="1">IF(AND(ISNUMBER($AL$422),$B$294=1),$AL$422,HLOOKUP(INDIRECT(ADDRESS(2,COLUMN())),OFFSET($BN$2,0,0,ROW()-1,60),ROW()-1,FALSE))</f>
        <v>4.241265147</v>
      </c>
      <c r="AM110">
        <f ca="1">IF(AND(ISNUMBER($AM$422),$B$294=1),$AM$422,HLOOKUP(INDIRECT(ADDRESS(2,COLUMN())),OFFSET($BN$2,0,0,ROW()-1,60),ROW()-1,FALSE))</f>
        <v>3.325631381</v>
      </c>
      <c r="AN110">
        <f ca="1">IF(AND(ISNUMBER($AN$422),$B$294=1),$AN$422,HLOOKUP(INDIRECT(ADDRESS(2,COLUMN())),OFFSET($BN$2,0,0,ROW()-1,60),ROW()-1,FALSE))</f>
        <v>-6.0956895710000003</v>
      </c>
      <c r="AO110">
        <f ca="1">IF(AND(ISNUMBER($AO$422),$B$294=1),$AO$422,HLOOKUP(INDIRECT(ADDRESS(2,COLUMN())),OFFSET($BN$2,0,0,ROW()-1,60),ROW()-1,FALSE))</f>
        <v>-2.7302623060000002</v>
      </c>
      <c r="AP110">
        <f ca="1">IF(AND(ISNUMBER($AP$422),$B$294=1),$AP$422,HLOOKUP(INDIRECT(ADDRESS(2,COLUMN())),OFFSET($BN$2,0,0,ROW()-1,60),ROW()-1,FALSE))</f>
        <v>-4.4057172409999996</v>
      </c>
      <c r="AQ110">
        <f ca="1">IF(AND(ISNUMBER($AQ$422),$B$294=1),$AQ$422,HLOOKUP(INDIRECT(ADDRESS(2,COLUMN())),OFFSET($BN$2,0,0,ROW()-1,60),ROW()-1,FALSE))</f>
        <v>-7.9528536589999996</v>
      </c>
      <c r="AR110">
        <f ca="1">IF(AND(ISNUMBER($AR$422),$B$294=1),$AR$422,HLOOKUP(INDIRECT(ADDRESS(2,COLUMN())),OFFSET($BN$2,0,0,ROW()-1,60),ROW()-1,FALSE))</f>
        <v>-3.8805717749999999</v>
      </c>
      <c r="AS110">
        <f ca="1">IF(AND(ISNUMBER($AS$422),$B$294=1),$AS$422,HLOOKUP(INDIRECT(ADDRESS(2,COLUMN())),OFFSET($BN$2,0,0,ROW()-1,60),ROW()-1,FALSE))</f>
        <v>-4.4561877479999996</v>
      </c>
      <c r="AT110">
        <f ca="1">IF(AND(ISNUMBER($AT$422),$B$294=1),$AT$422,HLOOKUP(INDIRECT(ADDRESS(2,COLUMN())),OFFSET($BN$2,0,0,ROW()-1,60),ROW()-1,FALSE))</f>
        <v>0.202695075</v>
      </c>
      <c r="AU110">
        <f ca="1">IF(AND(ISNUMBER($AU$422),$B$294=1),$AU$422,HLOOKUP(INDIRECT(ADDRESS(2,COLUMN())),OFFSET($BN$2,0,0,ROW()-1,60),ROW()-1,FALSE))</f>
        <v>1.6649234669999999</v>
      </c>
      <c r="AV110">
        <f ca="1">IF(AND(ISNUMBER($AV$422),$B$294=1),$AV$422,HLOOKUP(INDIRECT(ADDRESS(2,COLUMN())),OFFSET($BN$2,0,0,ROW()-1,60),ROW()-1,FALSE))</f>
        <v>4.491216359</v>
      </c>
      <c r="AW110">
        <f ca="1">IF(AND(ISNUMBER($AW$422),$B$294=1),$AW$422,HLOOKUP(INDIRECT(ADDRESS(2,COLUMN())),OFFSET($BN$2,0,0,ROW()-1,60),ROW()-1,FALSE))</f>
        <v>10.32436622</v>
      </c>
      <c r="AX110">
        <f ca="1">IF(AND(ISNUMBER($AX$422),$B$294=1),$AX$422,HLOOKUP(INDIRECT(ADDRESS(2,COLUMN())),OFFSET($BN$2,0,0,ROW()-1,60),ROW()-1,FALSE))</f>
        <v>26.673166930000001</v>
      </c>
      <c r="AY110">
        <f ca="1">IF(AND(ISNUMBER($AY$422),$B$294=1),$AY$422,HLOOKUP(INDIRECT(ADDRESS(2,COLUMN())),OFFSET($BN$2,0,0,ROW()-1,60),ROW()-1,FALSE))</f>
        <v>51.052371729999997</v>
      </c>
      <c r="AZ110">
        <f ca="1">IF(AND(ISNUMBER($AZ$422),$B$294=1),$AZ$422,HLOOKUP(INDIRECT(ADDRESS(2,COLUMN())),OFFSET($BN$2,0,0,ROW()-1,60),ROW()-1,FALSE))</f>
        <v>31.89887349</v>
      </c>
      <c r="BA110">
        <f ca="1">IF(AND(ISNUMBER($BA$422),$B$294=1),$BA$422,HLOOKUP(INDIRECT(ADDRESS(2,COLUMN())),OFFSET($BN$2,0,0,ROW()-1,60),ROW()-1,FALSE))</f>
        <v>12.7505047</v>
      </c>
      <c r="BB110">
        <f ca="1">IF(AND(ISNUMBER($BB$422),$B$294=1),$BB$422,HLOOKUP(INDIRECT(ADDRESS(2,COLUMN())),OFFSET($BN$2,0,0,ROW()-1,60),ROW()-1,FALSE))</f>
        <v>0.94488189</v>
      </c>
      <c r="BC110">
        <f ca="1">IF(AND(ISNUMBER($BC$422),$B$294=1),$BC$422,HLOOKUP(INDIRECT(ADDRESS(2,COLUMN())),OFFSET($BN$2,0,0,ROW()-1,60),ROW()-1,FALSE))</f>
        <v>-11.875740479999999</v>
      </c>
      <c r="BD110">
        <f ca="1">IF(AND(ISNUMBER($BD$422),$B$294=1),$BD$422,HLOOKUP(INDIRECT(ADDRESS(2,COLUMN())),OFFSET($BN$2,0,0,ROW()-1,60),ROW()-1,FALSE))</f>
        <v>4.288762255</v>
      </c>
      <c r="BE110">
        <f ca="1">IF(AND(ISNUMBER($BE$422),$B$294=1),$BE$422,HLOOKUP(INDIRECT(ADDRESS(2,COLUMN())),OFFSET($BN$2,0,0,ROW()-1,60),ROW()-1,FALSE))</f>
        <v>10.566533229999999</v>
      </c>
      <c r="BF110">
        <f ca="1">IF(AND(ISNUMBER($BF$422),$B$294=1),$BF$422,HLOOKUP(INDIRECT(ADDRESS(2,COLUMN())),OFFSET($BN$2,0,0,ROW()-1,60),ROW()-1,FALSE))</f>
        <v>8.5021911140000004</v>
      </c>
      <c r="BG110">
        <f ca="1">IF(AND(ISNUMBER($BG$422),$B$294=1),$BG$422,HLOOKUP(INDIRECT(ADDRESS(2,COLUMN())),OFFSET($BN$2,0,0,ROW()-1,60),ROW()-1,FALSE))</f>
        <v>3.7673678580000001</v>
      </c>
      <c r="BH110">
        <f ca="1">IF(AND(ISNUMBER($BH$422),$B$294=1),$BH$422,HLOOKUP(INDIRECT(ADDRESS(2,COLUMN())),OFFSET($BN$2,0,0,ROW()-1,60),ROW()-1,FALSE))</f>
        <v>3.4403715269999999</v>
      </c>
      <c r="BI110">
        <f ca="1">IF(AND(ISNUMBER($BI$422),$B$294=1),$BI$422,HLOOKUP(INDIRECT(ADDRESS(2,COLUMN())),OFFSET($BN$2,0,0,ROW()-1,60),ROW()-1,FALSE))</f>
        <v>3.0267554890000001</v>
      </c>
      <c r="BJ110">
        <f ca="1">IF(AND(ISNUMBER($BJ$422),$B$294=1),$BJ$422,HLOOKUP(INDIRECT(ADDRESS(2,COLUMN())),OFFSET($BN$2,0,0,ROW()-1,60),ROW()-1,FALSE))</f>
        <v>-4.8645394529999999</v>
      </c>
      <c r="BK110">
        <f ca="1">IF(AND(ISNUMBER($BK$422),$B$294=1),$BK$422,HLOOKUP(INDIRECT(ADDRESS(2,COLUMN())),OFFSET($BN$2,0,0,ROW()-1,60),ROW()-1,FALSE))</f>
        <v>2.3589694300000001</v>
      </c>
      <c r="BL110">
        <f ca="1">IF(AND(ISNUMBER($BL$422),$B$294=1),$BL$422,HLOOKUP(INDIRECT(ADDRESS(2,COLUMN())),OFFSET($BN$2,0,0,ROW()-1,60),ROW()-1,FALSE))</f>
        <v>9.2278221999999993E-2</v>
      </c>
      <c r="BM110">
        <f ca="1">IF(AND(ISNUMBER($BM$422),$B$294=1),$BM$422,HLOOKUP(INDIRECT(ADDRESS(2,COLUMN())),OFFSET($BN$2,0,0,ROW()-1,60),ROW()-1,FALSE))</f>
        <v>1.0578602420000001</v>
      </c>
      <c r="BN110" t="str">
        <f>""</f>
        <v/>
      </c>
      <c r="BO110">
        <f>-6.636267246</f>
        <v>-6.6362672460000001</v>
      </c>
      <c r="BP110">
        <f>1.58776513</f>
        <v>1.58776513</v>
      </c>
      <c r="BQ110">
        <f>9.07275493</f>
        <v>9.0727549300000003</v>
      </c>
      <c r="BR110">
        <f>-1.98531287</f>
        <v>-1.98531287</v>
      </c>
      <c r="BS110">
        <f>4.976680347</f>
        <v>4.9766803470000003</v>
      </c>
      <c r="BT110">
        <f>7.771726488</f>
        <v>7.7717264879999997</v>
      </c>
      <c r="BU110">
        <f>0.444244011</f>
        <v>0.44424401099999999</v>
      </c>
      <c r="BV110">
        <f>-0.515239242</f>
        <v>-0.51523924200000004</v>
      </c>
      <c r="BW110">
        <f>-3.283051765</f>
        <v>-3.2830517650000002</v>
      </c>
      <c r="BX110">
        <f>-6.0010676</f>
        <v>-6.0010675999999998</v>
      </c>
      <c r="BY110">
        <f>-7.319401123</f>
        <v>-7.3194011229999996</v>
      </c>
      <c r="BZ110">
        <f>-9.364018019</f>
        <v>-9.3640180189999995</v>
      </c>
      <c r="CA110">
        <f>-8.382193662</f>
        <v>-8.3821936620000006</v>
      </c>
      <c r="CB110">
        <f>-4.317405618</f>
        <v>-4.3174056179999996</v>
      </c>
      <c r="CC110">
        <f>-4.779442339</f>
        <v>-4.779442339</v>
      </c>
      <c r="CD110">
        <f>-0.770567482</f>
        <v>-0.77056748200000003</v>
      </c>
      <c r="CE110">
        <f>-6.644636502</f>
        <v>-6.644636502</v>
      </c>
      <c r="CF110">
        <f>3.640375772</f>
        <v>3.6403757720000001</v>
      </c>
      <c r="CG110">
        <f>-2.15001889</f>
        <v>-2.1500188900000001</v>
      </c>
      <c r="CH110">
        <f>-3.885886528</f>
        <v>-3.8858865279999999</v>
      </c>
      <c r="CI110">
        <f>0.864898127</f>
        <v>0.86489812700000002</v>
      </c>
      <c r="CJ110">
        <f>-10.62489669</f>
        <v>-10.62489669</v>
      </c>
      <c r="CK110">
        <f>-3.975598321</f>
        <v>-3.9755983210000001</v>
      </c>
      <c r="CL110">
        <f>-3.468810562</f>
        <v>-3.4688105619999998</v>
      </c>
      <c r="CM110">
        <f>-8.661712359</f>
        <v>-8.6617123589999991</v>
      </c>
      <c r="CN110">
        <f>-11.37576027</f>
        <v>-11.375760270000001</v>
      </c>
      <c r="CO110">
        <f>-11.64632493</f>
        <v>-11.64632493</v>
      </c>
      <c r="CP110">
        <f>-5.329345318</f>
        <v>-5.3293453179999997</v>
      </c>
      <c r="CQ110">
        <f>-0.069166723</f>
        <v>-6.9166722999999999E-2</v>
      </c>
      <c r="CR110">
        <f>3.023206191</f>
        <v>3.0232061909999999</v>
      </c>
      <c r="CS110">
        <f>7.966010552</f>
        <v>7.9660105520000002</v>
      </c>
      <c r="CT110">
        <f>4.241265147</f>
        <v>4.241265147</v>
      </c>
      <c r="CU110">
        <f>3.325631381</f>
        <v>3.325631381</v>
      </c>
      <c r="CV110">
        <f>-6.095689571</f>
        <v>-6.0956895710000003</v>
      </c>
      <c r="CW110">
        <f>-2.730262306</f>
        <v>-2.7302623060000002</v>
      </c>
      <c r="CX110">
        <f>-4.405717241</f>
        <v>-4.4057172409999996</v>
      </c>
      <c r="CY110">
        <f>-7.952853659</f>
        <v>-7.9528536589999996</v>
      </c>
      <c r="CZ110">
        <f>-3.880571775</f>
        <v>-3.8805717749999999</v>
      </c>
      <c r="DA110">
        <f>-4.456187748</f>
        <v>-4.4561877479999996</v>
      </c>
      <c r="DB110">
        <f>0.202695075</f>
        <v>0.202695075</v>
      </c>
      <c r="DC110">
        <f>1.664923467</f>
        <v>1.6649234669999999</v>
      </c>
      <c r="DD110">
        <f>4.491216359</f>
        <v>4.491216359</v>
      </c>
      <c r="DE110">
        <f>10.32436622</f>
        <v>10.32436622</v>
      </c>
      <c r="DF110">
        <f>26.67316693</f>
        <v>26.673166930000001</v>
      </c>
      <c r="DG110">
        <f>51.05237173</f>
        <v>51.052371729999997</v>
      </c>
      <c r="DH110">
        <f>31.89887349</f>
        <v>31.89887349</v>
      </c>
      <c r="DI110">
        <f>12.7505047</f>
        <v>12.7505047</v>
      </c>
      <c r="DJ110">
        <f>0.94488189</f>
        <v>0.94488189</v>
      </c>
      <c r="DK110">
        <f>-11.87574048</f>
        <v>-11.875740479999999</v>
      </c>
      <c r="DL110">
        <f>4.288762255</f>
        <v>4.288762255</v>
      </c>
      <c r="DM110">
        <f>10.56653323</f>
        <v>10.566533229999999</v>
      </c>
      <c r="DN110">
        <f>8.502191114</f>
        <v>8.5021911140000004</v>
      </c>
      <c r="DO110">
        <f>3.767367858</f>
        <v>3.7673678580000001</v>
      </c>
      <c r="DP110">
        <f>3.440371527</f>
        <v>3.4403715269999999</v>
      </c>
      <c r="DQ110">
        <f>3.026755489</f>
        <v>3.0267554890000001</v>
      </c>
      <c r="DR110">
        <f>-4.864539453</f>
        <v>-4.8645394529999999</v>
      </c>
      <c r="DS110">
        <f>2.35896943</f>
        <v>2.3589694300000001</v>
      </c>
      <c r="DT110">
        <f>0.092278222</f>
        <v>9.2278221999999993E-2</v>
      </c>
      <c r="DU110">
        <f>1.057860242</f>
        <v>1.0578602420000001</v>
      </c>
    </row>
    <row r="111" spans="1:125">
      <c r="A111" t="str">
        <f>"    Piedmont Office Realty Trust I"</f>
        <v xml:space="preserve">    Piedmont Office Realty Trust I</v>
      </c>
      <c r="B111" t="str">
        <f>"PDM US Equity"</f>
        <v>PDM US Equity</v>
      </c>
      <c r="C111" t="str">
        <f t="shared" si="27"/>
        <v>RR033</v>
      </c>
      <c r="D111" t="str">
        <f t="shared" si="28"/>
        <v>SALES_GROWTH</v>
      </c>
      <c r="E111" t="str">
        <f t="shared" si="29"/>
        <v>动态</v>
      </c>
      <c r="F111" t="str">
        <f ca="1">IF(AND(ISNUMBER($F$423),$B$294=1),$F$423,HLOOKUP(INDIRECT(ADDRESS(2,COLUMN())),OFFSET($BN$2,0,0,ROW()-1,60),ROW()-1,FALSE))</f>
        <v/>
      </c>
      <c r="G111">
        <f ca="1">IF(AND(ISNUMBER($G$423),$B$294=1),$G$423,HLOOKUP(INDIRECT(ADDRESS(2,COLUMN())),OFFSET($BN$2,0,0,ROW()-1,60),ROW()-1,FALSE))</f>
        <v>-3.1040017789999998</v>
      </c>
      <c r="H111">
        <f ca="1">IF(AND(ISNUMBER($H$423),$B$294=1),$H$423,HLOOKUP(INDIRECT(ADDRESS(2,COLUMN())),OFFSET($BN$2,0,0,ROW()-1,60),ROW()-1,FALSE))</f>
        <v>-0.64844568000000002</v>
      </c>
      <c r="I111">
        <f ca="1">IF(AND(ISNUMBER($I$423),$B$294=1),$I$423,HLOOKUP(INDIRECT(ADDRESS(2,COLUMN())),OFFSET($BN$2,0,0,ROW()-1,60),ROW()-1,FALSE))</f>
        <v>9.8827111680000002</v>
      </c>
      <c r="J111">
        <f ca="1">IF(AND(ISNUMBER($J$423),$B$294=1),$J$423,HLOOKUP(INDIRECT(ADDRESS(2,COLUMN())),OFFSET($BN$2,0,0,ROW()-1,60),ROW()-1,FALSE))</f>
        <v>7.5725299250000004</v>
      </c>
      <c r="K111">
        <f ca="1">IF(AND(ISNUMBER($K$423),$B$294=1),$K$423,HLOOKUP(INDIRECT(ADDRESS(2,COLUMN())),OFFSET($BN$2,0,0,ROW()-1,60),ROW()-1,FALSE))</f>
        <v>3.1908562250000001</v>
      </c>
      <c r="L111">
        <f ca="1">IF(AND(ISNUMBER($L$423),$B$294=1),$L$423,HLOOKUP(INDIRECT(ADDRESS(2,COLUMN())),OFFSET($BN$2,0,0,ROW()-1,60),ROW()-1,FALSE))</f>
        <v>-6.9415045529999997</v>
      </c>
      <c r="M111">
        <f ca="1">IF(AND(ISNUMBER($M$423),$B$294=1),$M$423,HLOOKUP(INDIRECT(ADDRESS(2,COLUMN())),OFFSET($BN$2,0,0,ROW()-1,60),ROW()-1,FALSE))</f>
        <v>-7.7875611649999996</v>
      </c>
      <c r="N111">
        <f ca="1">IF(AND(ISNUMBER($N$423),$B$294=1),$N$423,HLOOKUP(INDIRECT(ADDRESS(2,COLUMN())),OFFSET($BN$2,0,0,ROW()-1,60),ROW()-1,FALSE))</f>
        <v>-7.8439359240000002</v>
      </c>
      <c r="O111">
        <f ca="1">IF(AND(ISNUMBER($O$423),$B$294=1),$O$423,HLOOKUP(INDIRECT(ADDRESS(2,COLUMN())),OFFSET($BN$2,0,0,ROW()-1,60),ROW()-1,FALSE))</f>
        <v>-4.9416880809999997</v>
      </c>
      <c r="P111">
        <f ca="1">IF(AND(ISNUMBER($P$423),$B$294=1),$P$423,HLOOKUP(INDIRECT(ADDRESS(2,COLUMN())),OFFSET($BN$2,0,0,ROW()-1,60),ROW()-1,FALSE))</f>
        <v>2.8857654469999998</v>
      </c>
      <c r="Q111">
        <f ca="1">IF(AND(ISNUMBER($Q$423),$B$294=1),$Q$423,HLOOKUP(INDIRECT(ADDRESS(2,COLUMN())),OFFSET($BN$2,0,0,ROW()-1,60),ROW()-1,FALSE))</f>
        <v>5.8839659400000004</v>
      </c>
      <c r="R111">
        <f ca="1">IF(AND(ISNUMBER($R$423),$B$294=1),$R$423,HLOOKUP(INDIRECT(ADDRESS(2,COLUMN())),OFFSET($BN$2,0,0,ROW()-1,60),ROW()-1,FALSE))</f>
        <v>9.8584213619999996</v>
      </c>
      <c r="S111">
        <f ca="1">IF(AND(ISNUMBER($S$423),$B$294=1),$S$423,HLOOKUP(INDIRECT(ADDRESS(2,COLUMN())),OFFSET($BN$2,0,0,ROW()-1,60),ROW()-1,FALSE))</f>
        <v>3.6797546360000002</v>
      </c>
      <c r="T111">
        <f ca="1">IF(AND(ISNUMBER($T$423),$B$294=1),$T$423,HLOOKUP(INDIRECT(ADDRESS(2,COLUMN())),OFFSET($BN$2,0,0,ROW()-1,60),ROW()-1,FALSE))</f>
        <v>0.87314926500000001</v>
      </c>
      <c r="U111">
        <f ca="1">IF(AND(ISNUMBER($U$423),$B$294=1),$U$423,HLOOKUP(INDIRECT(ADDRESS(2,COLUMN())),OFFSET($BN$2,0,0,ROW()-1,60),ROW()-1,FALSE))</f>
        <v>4.537396749</v>
      </c>
      <c r="V111">
        <f ca="1">IF(AND(ISNUMBER($V$423),$B$294=1),$V$423,HLOOKUP(INDIRECT(ADDRESS(2,COLUMN())),OFFSET($BN$2,0,0,ROW()-1,60),ROW()-1,FALSE))</f>
        <v>3.1547245199999998</v>
      </c>
      <c r="W111">
        <f ca="1">IF(AND(ISNUMBER($W$423),$B$294=1),$W$423,HLOOKUP(INDIRECT(ADDRESS(2,COLUMN())),OFFSET($BN$2,0,0,ROW()-1,60),ROW()-1,FALSE))</f>
        <v>6.8930872719999998</v>
      </c>
      <c r="X111">
        <f ca="1">IF(AND(ISNUMBER($X$423),$B$294=1),$X$423,HLOOKUP(INDIRECT(ADDRESS(2,COLUMN())),OFFSET($BN$2,0,0,ROW()-1,60),ROW()-1,FALSE))</f>
        <v>8.1365007540000001</v>
      </c>
      <c r="Y111">
        <f ca="1">IF(AND(ISNUMBER($Y$423),$B$294=1),$Y$423,HLOOKUP(INDIRECT(ADDRESS(2,COLUMN())),OFFSET($BN$2,0,0,ROW()-1,60),ROW()-1,FALSE))</f>
        <v>0.69349497199999999</v>
      </c>
      <c r="Z111">
        <f ca="1">IF(AND(ISNUMBER($Z$423),$B$294=1),$Z$423,HLOOKUP(INDIRECT(ADDRESS(2,COLUMN())),OFFSET($BN$2,0,0,ROW()-1,60),ROW()-1,FALSE))</f>
        <v>0.812443739</v>
      </c>
      <c r="AA111">
        <f ca="1">IF(AND(ISNUMBER($AA$423),$B$294=1),$AA$423,HLOOKUP(INDIRECT(ADDRESS(2,COLUMN())),OFFSET($BN$2,0,0,ROW()-1,60),ROW()-1,FALSE))</f>
        <v>-2.3919246740000002</v>
      </c>
      <c r="AB111">
        <f ca="1">IF(AND(ISNUMBER($AB$423),$B$294=1),$AB$423,HLOOKUP(INDIRECT(ADDRESS(2,COLUMN())),OFFSET($BN$2,0,0,ROW()-1,60),ROW()-1,FALSE))</f>
        <v>9.2090762000000007E-2</v>
      </c>
      <c r="AC111">
        <f ca="1">IF(AND(ISNUMBER($AC$423),$B$294=1),$AC$423,HLOOKUP(INDIRECT(ADDRESS(2,COLUMN())),OFFSET($BN$2,0,0,ROW()-1,60),ROW()-1,FALSE))</f>
        <v>-2.879274095</v>
      </c>
      <c r="AD111">
        <f ca="1">IF(AND(ISNUMBER($AD$423),$B$294=1),$AD$423,HLOOKUP(INDIRECT(ADDRESS(2,COLUMN())),OFFSET($BN$2,0,0,ROW()-1,60),ROW()-1,FALSE))</f>
        <v>-0.27691137300000002</v>
      </c>
      <c r="AE111">
        <f ca="1">IF(AND(ISNUMBER($AE$423),$B$294=1),$AE$423,HLOOKUP(INDIRECT(ADDRESS(2,COLUMN())),OFFSET($BN$2,0,0,ROW()-1,60),ROW()-1,FALSE))</f>
        <v>0.28839114700000001</v>
      </c>
      <c r="AF111">
        <f ca="1">IF(AND(ISNUMBER($AF$423),$B$294=1),$AF$423,HLOOKUP(INDIRECT(ADDRESS(2,COLUMN())),OFFSET($BN$2,0,0,ROW()-1,60),ROW()-1,FALSE))</f>
        <v>-1.2213307879999999</v>
      </c>
      <c r="AG111">
        <f ca="1">IF(AND(ISNUMBER($AG$423),$B$294=1),$AG$423,HLOOKUP(INDIRECT(ADDRESS(2,COLUMN())),OFFSET($BN$2,0,0,ROW()-1,60),ROW()-1,FALSE))</f>
        <v>-6.0388030529999996</v>
      </c>
      <c r="AH111">
        <f ca="1">IF(AND(ISNUMBER($AH$423),$B$294=1),$AH$423,HLOOKUP(INDIRECT(ADDRESS(2,COLUMN())),OFFSET($BN$2,0,0,ROW()-1,60),ROW()-1,FALSE))</f>
        <v>-10.483233909999999</v>
      </c>
      <c r="AI111">
        <f ca="1">IF(AND(ISNUMBER($AI$423),$B$294=1),$AI$423,HLOOKUP(INDIRECT(ADDRESS(2,COLUMN())),OFFSET($BN$2,0,0,ROW()-1,60),ROW()-1,FALSE))</f>
        <v>-9.4965299850000005</v>
      </c>
      <c r="AJ111">
        <f ca="1">IF(AND(ISNUMBER($AJ$423),$B$294=1),$AJ$423,HLOOKUP(INDIRECT(ADDRESS(2,COLUMN())),OFFSET($BN$2,0,0,ROW()-1,60),ROW()-1,FALSE))</f>
        <v>-9.9554194870000003</v>
      </c>
      <c r="AK111">
        <f ca="1">IF(AND(ISNUMBER($AK$423),$B$294=1),$AK$423,HLOOKUP(INDIRECT(ADDRESS(2,COLUMN())),OFFSET($BN$2,0,0,ROW()-1,60),ROW()-1,FALSE))</f>
        <v>-2.5124167989999999</v>
      </c>
      <c r="AL111">
        <f ca="1">IF(AND(ISNUMBER($AL$423),$B$294=1),$AL$423,HLOOKUP(INDIRECT(ADDRESS(2,COLUMN())),OFFSET($BN$2,0,0,ROW()-1,60),ROW()-1,FALSE))</f>
        <v>-4.4904649169999997</v>
      </c>
      <c r="AM111">
        <f ca="1">IF(AND(ISNUMBER($AM$423),$B$294=1),$AM$423,HLOOKUP(INDIRECT(ADDRESS(2,COLUMN())),OFFSET($BN$2,0,0,ROW()-1,60),ROW()-1,FALSE))</f>
        <v>-3.8561023319999999</v>
      </c>
      <c r="AN111">
        <f ca="1">IF(AND(ISNUMBER($AN$423),$B$294=1),$AN$423,HLOOKUP(INDIRECT(ADDRESS(2,COLUMN())),OFFSET($BN$2,0,0,ROW()-1,60),ROW()-1,FALSE))</f>
        <v>-4.7496019079999998</v>
      </c>
      <c r="AO111">
        <f ca="1">IF(AND(ISNUMBER($AO$423),$B$294=1),$AO$423,HLOOKUP(INDIRECT(ADDRESS(2,COLUMN())),OFFSET($BN$2,0,0,ROW()-1,60),ROW()-1,FALSE))</f>
        <v>-2.744461459</v>
      </c>
      <c r="AP111">
        <f ca="1">IF(AND(ISNUMBER($AP$423),$B$294=1),$AP$423,HLOOKUP(INDIRECT(ADDRESS(2,COLUMN())),OFFSET($BN$2,0,0,ROW()-1,60),ROW()-1,FALSE))</f>
        <v>-3.35967013</v>
      </c>
      <c r="AQ111">
        <f ca="1">IF(AND(ISNUMBER($AQ$423),$B$294=1),$AQ$423,HLOOKUP(INDIRECT(ADDRESS(2,COLUMN())),OFFSET($BN$2,0,0,ROW()-1,60),ROW()-1,FALSE))</f>
        <v>6.3349685610000002</v>
      </c>
      <c r="AR111">
        <f ca="1">IF(AND(ISNUMBER($AR$423),$B$294=1),$AR$423,HLOOKUP(INDIRECT(ADDRESS(2,COLUMN())),OFFSET($BN$2,0,0,ROW()-1,60),ROW()-1,FALSE))</f>
        <v>4.0489466749999998</v>
      </c>
      <c r="AS111">
        <f ca="1">IF(AND(ISNUMBER($AS$423),$B$294=1),$AS$423,HLOOKUP(INDIRECT(ADDRESS(2,COLUMN())),OFFSET($BN$2,0,0,ROW()-1,60),ROW()-1,FALSE))</f>
        <v>4.0936672659999997</v>
      </c>
      <c r="AT111">
        <f ca="1">IF(AND(ISNUMBER($AT$423),$B$294=1),$AT$423,HLOOKUP(INDIRECT(ADDRESS(2,COLUMN())),OFFSET($BN$2,0,0,ROW()-1,60),ROW()-1,FALSE))</f>
        <v>7.3371655259999997</v>
      </c>
      <c r="AU111">
        <f ca="1">IF(AND(ISNUMBER($AU$423),$B$294=1),$AU$423,HLOOKUP(INDIRECT(ADDRESS(2,COLUMN())),OFFSET($BN$2,0,0,ROW()-1,60),ROW()-1,FALSE))</f>
        <v>5.4683610070000004</v>
      </c>
      <c r="AV111">
        <f ca="1">IF(AND(ISNUMBER($AV$423),$B$294=1),$AV$423,HLOOKUP(INDIRECT(ADDRESS(2,COLUMN())),OFFSET($BN$2,0,0,ROW()-1,60),ROW()-1,FALSE))</f>
        <v>-0.89747901399999996</v>
      </c>
      <c r="AW111">
        <f ca="1">IF(AND(ISNUMBER($AW$423),$B$294=1),$AW$423,HLOOKUP(INDIRECT(ADDRESS(2,COLUMN())),OFFSET($BN$2,0,0,ROW()-1,60),ROW()-1,FALSE))</f>
        <v>3.2491153220000002</v>
      </c>
      <c r="AX111">
        <f ca="1">IF(AND(ISNUMBER($AX$423),$B$294=1),$AX$423,HLOOKUP(INDIRECT(ADDRESS(2,COLUMN())),OFFSET($BN$2,0,0,ROW()-1,60),ROW()-1,FALSE))</f>
        <v>6.2037833190000002</v>
      </c>
      <c r="AY111">
        <f ca="1">IF(AND(ISNUMBER($AY$423),$B$294=1),$AY$423,HLOOKUP(INDIRECT(ADDRESS(2,COLUMN())),OFFSET($BN$2,0,0,ROW()-1,60),ROW()-1,FALSE))</f>
        <v>1.5692109240000001</v>
      </c>
      <c r="AZ111">
        <f ca="1">IF(AND(ISNUMBER($AZ$423),$B$294=1),$AZ$423,HLOOKUP(INDIRECT(ADDRESS(2,COLUMN())),OFFSET($BN$2,0,0,ROW()-1,60),ROW()-1,FALSE))</f>
        <v>7.4299194530000001</v>
      </c>
      <c r="BA111">
        <f ca="1">IF(AND(ISNUMBER($BA$423),$B$294=1),$BA$423,HLOOKUP(INDIRECT(ADDRESS(2,COLUMN())),OFFSET($BN$2,0,0,ROW()-1,60),ROW()-1,FALSE))</f>
        <v>-4.6857012060000001</v>
      </c>
      <c r="BB111">
        <f ca="1">IF(AND(ISNUMBER($BB$423),$B$294=1),$BB$423,HLOOKUP(INDIRECT(ADDRESS(2,COLUMN())),OFFSET($BN$2,0,0,ROW()-1,60),ROW()-1,FALSE))</f>
        <v>-2.8634269250000002</v>
      </c>
      <c r="BC111">
        <f ca="1">IF(AND(ISNUMBER($BC$423),$B$294=1),$BC$423,HLOOKUP(INDIRECT(ADDRESS(2,COLUMN())),OFFSET($BN$2,0,0,ROW()-1,60),ROW()-1,FALSE))</f>
        <v>4.1598912889999999</v>
      </c>
      <c r="BD111">
        <f ca="1">IF(AND(ISNUMBER($BD$423),$B$294=1),$BD$423,HLOOKUP(INDIRECT(ADDRESS(2,COLUMN())),OFFSET($BN$2,0,0,ROW()-1,60),ROW()-1,FALSE))</f>
        <v>2.9178240990000002</v>
      </c>
      <c r="BE111">
        <f ca="1">IF(AND(ISNUMBER($BE$423),$B$294=1),$BE$423,HLOOKUP(INDIRECT(ADDRESS(2,COLUMN())),OFFSET($BN$2,0,0,ROW()-1,60),ROW()-1,FALSE))</f>
        <v>2.204597449</v>
      </c>
      <c r="BF111">
        <f ca="1">IF(AND(ISNUMBER($BF$423),$B$294=1),$BF$423,HLOOKUP(INDIRECT(ADDRESS(2,COLUMN())),OFFSET($BN$2,0,0,ROW()-1,60),ROW()-1,FALSE))</f>
        <v>6.3235888200000003</v>
      </c>
      <c r="BG111">
        <f ca="1">IF(AND(ISNUMBER($BG$423),$B$294=1),$BG$423,HLOOKUP(INDIRECT(ADDRESS(2,COLUMN())),OFFSET($BN$2,0,0,ROW()-1,60),ROW()-1,FALSE))</f>
        <v>4.447773121</v>
      </c>
      <c r="BH111">
        <f ca="1">IF(AND(ISNUMBER($BH$423),$B$294=1),$BH$423,HLOOKUP(INDIRECT(ADDRESS(2,COLUMN())),OFFSET($BN$2,0,0,ROW()-1,60),ROW()-1,FALSE))</f>
        <v>27.938993199999999</v>
      </c>
      <c r="BI111">
        <f ca="1">IF(AND(ISNUMBER($BI$423),$B$294=1),$BI$423,HLOOKUP(INDIRECT(ADDRESS(2,COLUMN())),OFFSET($BN$2,0,0,ROW()-1,60),ROW()-1,FALSE))</f>
        <v>69.302891009999996</v>
      </c>
      <c r="BJ111">
        <f ca="1">IF(AND(ISNUMBER($BJ$423),$B$294=1),$BJ$423,HLOOKUP(INDIRECT(ADDRESS(2,COLUMN())),OFFSET($BN$2,0,0,ROW()-1,60),ROW()-1,FALSE))</f>
        <v>110.8162481</v>
      </c>
      <c r="BK111">
        <f ca="1">IF(AND(ISNUMBER($BK$423),$B$294=1),$BK$423,HLOOKUP(INDIRECT(ADDRESS(2,COLUMN())),OFFSET($BN$2,0,0,ROW()-1,60),ROW()-1,FALSE))</f>
        <v>147.1542345</v>
      </c>
      <c r="BL111">
        <f ca="1">IF(AND(ISNUMBER($BL$423),$B$294=1),$BL$423,HLOOKUP(INDIRECT(ADDRESS(2,COLUMN())),OFFSET($BN$2,0,0,ROW()-1,60),ROW()-1,FALSE))</f>
        <v>218.5505556</v>
      </c>
      <c r="BM111">
        <f ca="1">IF(AND(ISNUMBER($BM$423),$B$294=1),$BM$423,HLOOKUP(INDIRECT(ADDRESS(2,COLUMN())),OFFSET($BN$2,0,0,ROW()-1,60),ROW()-1,FALSE))</f>
        <v>205.15090570000001</v>
      </c>
      <c r="BN111" t="str">
        <f>""</f>
        <v/>
      </c>
      <c r="BO111">
        <f>-3.104001779</f>
        <v>-3.1040017789999998</v>
      </c>
      <c r="BP111">
        <f>-0.64844568</f>
        <v>-0.64844568000000002</v>
      </c>
      <c r="BQ111">
        <f>9.882711168</f>
        <v>9.8827111680000002</v>
      </c>
      <c r="BR111">
        <f>7.572529925</f>
        <v>7.5725299250000004</v>
      </c>
      <c r="BS111">
        <f>3.190856225</f>
        <v>3.1908562250000001</v>
      </c>
      <c r="BT111">
        <f>-6.941504553</f>
        <v>-6.9415045529999997</v>
      </c>
      <c r="BU111">
        <f>-7.787561165</f>
        <v>-7.7875611649999996</v>
      </c>
      <c r="BV111">
        <f>-7.843935924</f>
        <v>-7.8439359240000002</v>
      </c>
      <c r="BW111">
        <f>-4.941688081</f>
        <v>-4.9416880809999997</v>
      </c>
      <c r="BX111">
        <f>2.885765447</f>
        <v>2.8857654469999998</v>
      </c>
      <c r="BY111">
        <f>5.88396594</f>
        <v>5.8839659400000004</v>
      </c>
      <c r="BZ111">
        <f>9.858421362</f>
        <v>9.8584213619999996</v>
      </c>
      <c r="CA111">
        <f>3.679754636</f>
        <v>3.6797546360000002</v>
      </c>
      <c r="CB111">
        <f>0.873149265</f>
        <v>0.87314926500000001</v>
      </c>
      <c r="CC111">
        <f>4.537396749</f>
        <v>4.537396749</v>
      </c>
      <c r="CD111">
        <f>3.15472452</f>
        <v>3.1547245199999998</v>
      </c>
      <c r="CE111">
        <f>6.893087272</f>
        <v>6.8930872719999998</v>
      </c>
      <c r="CF111">
        <f>8.136500754</f>
        <v>8.1365007540000001</v>
      </c>
      <c r="CG111">
        <f>0.693494972</f>
        <v>0.69349497199999999</v>
      </c>
      <c r="CH111">
        <f>0.812443739</f>
        <v>0.812443739</v>
      </c>
      <c r="CI111">
        <f>-2.391924674</f>
        <v>-2.3919246740000002</v>
      </c>
      <c r="CJ111">
        <f>0.092090762</f>
        <v>9.2090762000000007E-2</v>
      </c>
      <c r="CK111">
        <f>-2.879274095</f>
        <v>-2.879274095</v>
      </c>
      <c r="CL111">
        <f>-0.276911373</f>
        <v>-0.27691137300000002</v>
      </c>
      <c r="CM111">
        <f>0.288391147</f>
        <v>0.28839114700000001</v>
      </c>
      <c r="CN111">
        <f>-1.221330788</f>
        <v>-1.2213307879999999</v>
      </c>
      <c r="CO111">
        <f>-6.038803053</f>
        <v>-6.0388030529999996</v>
      </c>
      <c r="CP111">
        <f>-10.48323391</f>
        <v>-10.483233909999999</v>
      </c>
      <c r="CQ111">
        <f>-9.496529985</f>
        <v>-9.4965299850000005</v>
      </c>
      <c r="CR111">
        <f>-9.955419487</f>
        <v>-9.9554194870000003</v>
      </c>
      <c r="CS111">
        <f>-2.512416799</f>
        <v>-2.5124167989999999</v>
      </c>
      <c r="CT111">
        <f>-4.490464917</f>
        <v>-4.4904649169999997</v>
      </c>
      <c r="CU111">
        <f>-3.856102332</f>
        <v>-3.8561023319999999</v>
      </c>
      <c r="CV111">
        <f>-4.749601908</f>
        <v>-4.7496019079999998</v>
      </c>
      <c r="CW111">
        <f>-2.744461459</f>
        <v>-2.744461459</v>
      </c>
      <c r="CX111">
        <f>-3.35967013</f>
        <v>-3.35967013</v>
      </c>
      <c r="CY111">
        <f>6.334968561</f>
        <v>6.3349685610000002</v>
      </c>
      <c r="CZ111">
        <f>4.048946675</f>
        <v>4.0489466749999998</v>
      </c>
      <c r="DA111">
        <f>4.093667266</f>
        <v>4.0936672659999997</v>
      </c>
      <c r="DB111">
        <f>7.337165526</f>
        <v>7.3371655259999997</v>
      </c>
      <c r="DC111">
        <f>5.468361007</f>
        <v>5.4683610070000004</v>
      </c>
      <c r="DD111">
        <f>-0.897479014</f>
        <v>-0.89747901399999996</v>
      </c>
      <c r="DE111">
        <f>3.249115322</f>
        <v>3.2491153220000002</v>
      </c>
      <c r="DF111">
        <f>6.203783319</f>
        <v>6.2037833190000002</v>
      </c>
      <c r="DG111">
        <f>1.569210924</f>
        <v>1.5692109240000001</v>
      </c>
      <c r="DH111">
        <f>7.429919453</f>
        <v>7.4299194530000001</v>
      </c>
      <c r="DI111">
        <f>-4.685701206</f>
        <v>-4.6857012060000001</v>
      </c>
      <c r="DJ111">
        <f>-2.863426925</f>
        <v>-2.8634269250000002</v>
      </c>
      <c r="DK111">
        <f>4.159891289</f>
        <v>4.1598912889999999</v>
      </c>
      <c r="DL111">
        <f>2.917824099</f>
        <v>2.9178240990000002</v>
      </c>
      <c r="DM111">
        <f>2.204597449</f>
        <v>2.204597449</v>
      </c>
      <c r="DN111">
        <f>6.32358882</f>
        <v>6.3235888200000003</v>
      </c>
      <c r="DO111">
        <f>4.447773121</f>
        <v>4.447773121</v>
      </c>
      <c r="DP111">
        <f>27.9389932</f>
        <v>27.938993199999999</v>
      </c>
      <c r="DQ111">
        <f>69.30289101</f>
        <v>69.302891009999996</v>
      </c>
      <c r="DR111">
        <f>110.8162481</f>
        <v>110.8162481</v>
      </c>
      <c r="DS111">
        <f>147.1542345</f>
        <v>147.1542345</v>
      </c>
      <c r="DT111">
        <f>218.5505556</f>
        <v>218.5505556</v>
      </c>
      <c r="DU111">
        <f>205.1509057</f>
        <v>205.15090570000001</v>
      </c>
    </row>
    <row r="112" spans="1:125">
      <c r="A112" t="str">
        <f>"    SL Green Realty Corp"</f>
        <v xml:space="preserve">    SL Green Realty Corp</v>
      </c>
      <c r="B112" t="str">
        <f>"SLG US Equity"</f>
        <v>SLG US Equity</v>
      </c>
      <c r="C112" t="str">
        <f t="shared" si="27"/>
        <v>RR033</v>
      </c>
      <c r="D112" t="str">
        <f t="shared" si="28"/>
        <v>SALES_GROWTH</v>
      </c>
      <c r="E112" t="str">
        <f t="shared" si="29"/>
        <v>动态</v>
      </c>
      <c r="F112" t="str">
        <f ca="1">IF(AND(ISNUMBER($F$424),$B$294=1),$F$424,HLOOKUP(INDIRECT(ADDRESS(2,COLUMN())),OFFSET($BN$2,0,0,ROW()-1,60),ROW()-1,FALSE))</f>
        <v/>
      </c>
      <c r="G112">
        <f ca="1">IF(AND(ISNUMBER($G$424),$B$294=1),$G$424,HLOOKUP(INDIRECT(ADDRESS(2,COLUMN())),OFFSET($BN$2,0,0,ROW()-1,60),ROW()-1,FALSE))</f>
        <v>-3.4469674700000001</v>
      </c>
      <c r="H112">
        <f ca="1">IF(AND(ISNUMBER($H$424),$B$294=1),$H$424,HLOOKUP(INDIRECT(ADDRESS(2,COLUMN())),OFFSET($BN$2,0,0,ROW()-1,60),ROW()-1,FALSE))</f>
        <v>-10.09909259</v>
      </c>
      <c r="I112">
        <f ca="1">IF(AND(ISNUMBER($I$424),$B$294=1),$I$424,HLOOKUP(INDIRECT(ADDRESS(2,COLUMN())),OFFSET($BN$2,0,0,ROW()-1,60),ROW()-1,FALSE))</f>
        <v>-35.53416859</v>
      </c>
      <c r="J112">
        <f ca="1">IF(AND(ISNUMBER($J$424),$B$294=1),$J$424,HLOOKUP(INDIRECT(ADDRESS(2,COLUMN())),OFFSET($BN$2,0,0,ROW()-1,60),ROW()-1,FALSE))</f>
        <v>-17.139977689999998</v>
      </c>
      <c r="K112">
        <f ca="1">IF(AND(ISNUMBER($K$424),$B$294=1),$K$424,HLOOKUP(INDIRECT(ADDRESS(2,COLUMN())),OFFSET($BN$2,0,0,ROW()-1,60),ROW()-1,FALSE))</f>
        <v>-12.02378993</v>
      </c>
      <c r="L112">
        <f ca="1">IF(AND(ISNUMBER($L$424),$B$294=1),$L$424,HLOOKUP(INDIRECT(ADDRESS(2,COLUMN())),OFFSET($BN$2,0,0,ROW()-1,60),ROW()-1,FALSE))</f>
        <v>-3.5607985819999999</v>
      </c>
      <c r="M112">
        <f ca="1">IF(AND(ISNUMBER($M$424),$B$294=1),$M$424,HLOOKUP(INDIRECT(ADDRESS(2,COLUMN())),OFFSET($BN$2,0,0,ROW()-1,60),ROW()-1,FALSE))</f>
        <v>50.97855156</v>
      </c>
      <c r="N112">
        <f ca="1">IF(AND(ISNUMBER($N$424),$B$294=1),$N$424,HLOOKUP(INDIRECT(ADDRESS(2,COLUMN())),OFFSET($BN$2,0,0,ROW()-1,60),ROW()-1,FALSE))</f>
        <v>14.92433743</v>
      </c>
      <c r="O112">
        <f ca="1">IF(AND(ISNUMBER($O$424),$B$294=1),$O$424,HLOOKUP(INDIRECT(ADDRESS(2,COLUMN())),OFFSET($BN$2,0,0,ROW()-1,60),ROW()-1,FALSE))</f>
        <v>10.02594232</v>
      </c>
      <c r="P112">
        <f ca="1">IF(AND(ISNUMBER($P$424),$B$294=1),$P$424,HLOOKUP(INDIRECT(ADDRESS(2,COLUMN())),OFFSET($BN$2,0,0,ROW()-1,60),ROW()-1,FALSE))</f>
        <v>10.70837412</v>
      </c>
      <c r="Q112">
        <f ca="1">IF(AND(ISNUMBER($Q$424),$B$294=1),$Q$424,HLOOKUP(INDIRECT(ADDRESS(2,COLUMN())),OFFSET($BN$2,0,0,ROW()-1,60),ROW()-1,FALSE))</f>
        <v>7.4723092119999999</v>
      </c>
      <c r="R112">
        <f ca="1">IF(AND(ISNUMBER($R$424),$B$294=1),$R$424,HLOOKUP(INDIRECT(ADDRESS(2,COLUMN())),OFFSET($BN$2,0,0,ROW()-1,60),ROW()-1,FALSE))</f>
        <v>9.3404516550000007</v>
      </c>
      <c r="S112">
        <f ca="1">IF(AND(ISNUMBER($S$424),$B$294=1),$S$424,HLOOKUP(INDIRECT(ADDRESS(2,COLUMN())),OFFSET($BN$2,0,0,ROW()-1,60),ROW()-1,FALSE))</f>
        <v>10.322698470000001</v>
      </c>
      <c r="T112">
        <f ca="1">IF(AND(ISNUMBER($T$424),$B$294=1),$T$424,HLOOKUP(INDIRECT(ADDRESS(2,COLUMN())),OFFSET($BN$2,0,0,ROW()-1,60),ROW()-1,FALSE))</f>
        <v>15.19915462</v>
      </c>
      <c r="U112">
        <f ca="1">IF(AND(ISNUMBER($U$424),$B$294=1),$U$424,HLOOKUP(INDIRECT(ADDRESS(2,COLUMN())),OFFSET($BN$2,0,0,ROW()-1,60),ROW()-1,FALSE))</f>
        <v>7.5401758470000004</v>
      </c>
      <c r="V112">
        <f ca="1">IF(AND(ISNUMBER($V$424),$B$294=1),$V$424,HLOOKUP(INDIRECT(ADDRESS(2,COLUMN())),OFFSET($BN$2,0,0,ROW()-1,60),ROW()-1,FALSE))</f>
        <v>0.69231260800000005</v>
      </c>
      <c r="W112">
        <f ca="1">IF(AND(ISNUMBER($W$424),$B$294=1),$W$424,HLOOKUP(INDIRECT(ADDRESS(2,COLUMN())),OFFSET($BN$2,0,0,ROW()-1,60),ROW()-1,FALSE))</f>
        <v>1.1113707770000001</v>
      </c>
      <c r="X112">
        <f ca="1">IF(AND(ISNUMBER($X$424),$B$294=1),$X$424,HLOOKUP(INDIRECT(ADDRESS(2,COLUMN())),OFFSET($BN$2,0,0,ROW()-1,60),ROW()-1,FALSE))</f>
        <v>-5.1060051370000004</v>
      </c>
      <c r="Y112">
        <f ca="1">IF(AND(ISNUMBER($Y$424),$B$294=1),$Y$424,HLOOKUP(INDIRECT(ADDRESS(2,COLUMN())),OFFSET($BN$2,0,0,ROW()-1,60),ROW()-1,FALSE))</f>
        <v>2.7309271919999998</v>
      </c>
      <c r="Z112">
        <f ca="1">IF(AND(ISNUMBER($Z$424),$B$294=1),$Z$424,HLOOKUP(INDIRECT(ADDRESS(2,COLUMN())),OFFSET($BN$2,0,0,ROW()-1,60),ROW()-1,FALSE))</f>
        <v>6.1391843320000001</v>
      </c>
      <c r="AA112">
        <f ca="1">IF(AND(ISNUMBER($AA$424),$B$294=1),$AA$424,HLOOKUP(INDIRECT(ADDRESS(2,COLUMN())),OFFSET($BN$2,0,0,ROW()-1,60),ROW()-1,FALSE))</f>
        <v>5.3879998420000002</v>
      </c>
      <c r="AB112">
        <f ca="1">IF(AND(ISNUMBER($AB$424),$B$294=1),$AB$424,HLOOKUP(INDIRECT(ADDRESS(2,COLUMN())),OFFSET($BN$2,0,0,ROW()-1,60),ROW()-1,FALSE))</f>
        <v>16.433209510000001</v>
      </c>
      <c r="AC112">
        <f ca="1">IF(AND(ISNUMBER($AC$424),$B$294=1),$AC$424,HLOOKUP(INDIRECT(ADDRESS(2,COLUMN())),OFFSET($BN$2,0,0,ROW()-1,60),ROW()-1,FALSE))</f>
        <v>15.34289684</v>
      </c>
      <c r="AD112">
        <f ca="1">IF(AND(ISNUMBER($AD$424),$B$294=1),$AD$424,HLOOKUP(INDIRECT(ADDRESS(2,COLUMN())),OFFSET($BN$2,0,0,ROW()-1,60),ROW()-1,FALSE))</f>
        <v>3.0107435429999998</v>
      </c>
      <c r="AE112">
        <f ca="1">IF(AND(ISNUMBER($AE$424),$B$294=1),$AE$424,HLOOKUP(INDIRECT(ADDRESS(2,COLUMN())),OFFSET($BN$2,0,0,ROW()-1,60),ROW()-1,FALSE))</f>
        <v>25.151835729999998</v>
      </c>
      <c r="AF112">
        <f ca="1">IF(AND(ISNUMBER($AF$424),$B$294=1),$AF$424,HLOOKUP(INDIRECT(ADDRESS(2,COLUMN())),OFFSET($BN$2,0,0,ROW()-1,60),ROW()-1,FALSE))</f>
        <v>-3.9254146159999999</v>
      </c>
      <c r="AG112">
        <f ca="1">IF(AND(ISNUMBER($AG$424),$B$294=1),$AG$424,HLOOKUP(INDIRECT(ADDRESS(2,COLUMN())),OFFSET($BN$2,0,0,ROW()-1,60),ROW()-1,FALSE))</f>
        <v>18.73539186</v>
      </c>
      <c r="AH112">
        <f ca="1">IF(AND(ISNUMBER($AH$424),$B$294=1),$AH$424,HLOOKUP(INDIRECT(ADDRESS(2,COLUMN())),OFFSET($BN$2,0,0,ROW()-1,60),ROW()-1,FALSE))</f>
        <v>31.225959719999999</v>
      </c>
      <c r="AI112">
        <f ca="1">IF(AND(ISNUMBER($AI$424),$B$294=1),$AI$424,HLOOKUP(INDIRECT(ADDRESS(2,COLUMN())),OFFSET($BN$2,0,0,ROW()-1,60),ROW()-1,FALSE))</f>
        <v>8.1237656349999998</v>
      </c>
      <c r="AJ112">
        <f ca="1">IF(AND(ISNUMBER($AJ$424),$B$294=1),$AJ$424,HLOOKUP(INDIRECT(ADDRESS(2,COLUMN())),OFFSET($BN$2,0,0,ROW()-1,60),ROW()-1,FALSE))</f>
        <v>29.8581188</v>
      </c>
      <c r="AK112">
        <f ca="1">IF(AND(ISNUMBER($AK$424),$B$294=1),$AK$424,HLOOKUP(INDIRECT(ADDRESS(2,COLUMN())),OFFSET($BN$2,0,0,ROW()-1,60),ROW()-1,FALSE))</f>
        <v>-0.17182198800000001</v>
      </c>
      <c r="AL112">
        <f ca="1">IF(AND(ISNUMBER($AL$424),$B$294=1),$AL$424,HLOOKUP(INDIRECT(ADDRESS(2,COLUMN())),OFFSET($BN$2,0,0,ROW()-1,60),ROW()-1,FALSE))</f>
        <v>-4.4033425160000004</v>
      </c>
      <c r="AM112">
        <f ca="1">IF(AND(ISNUMBER($AM$424),$B$294=1),$AM$424,HLOOKUP(INDIRECT(ADDRESS(2,COLUMN())),OFFSET($BN$2,0,0,ROW()-1,60),ROW()-1,FALSE))</f>
        <v>-9.6589536290000009</v>
      </c>
      <c r="AN112">
        <f ca="1">IF(AND(ISNUMBER($AN$424),$B$294=1),$AN$424,HLOOKUP(INDIRECT(ADDRESS(2,COLUMN())),OFFSET($BN$2,0,0,ROW()-1,60),ROW()-1,FALSE))</f>
        <v>-8.4021273660000002</v>
      </c>
      <c r="AO112">
        <f ca="1">IF(AND(ISNUMBER($AO$424),$B$294=1),$AO$424,HLOOKUP(INDIRECT(ADDRESS(2,COLUMN())),OFFSET($BN$2,0,0,ROW()-1,60),ROW()-1,FALSE))</f>
        <v>-13.31753359</v>
      </c>
      <c r="AP112">
        <f ca="1">IF(AND(ISNUMBER($AP$424),$B$294=1),$AP$424,HLOOKUP(INDIRECT(ADDRESS(2,COLUMN())),OFFSET($BN$2,0,0,ROW()-1,60),ROW()-1,FALSE))</f>
        <v>3.0368823169999999</v>
      </c>
      <c r="AQ112">
        <f ca="1">IF(AND(ISNUMBER($AQ$424),$B$294=1),$AQ$424,HLOOKUP(INDIRECT(ADDRESS(2,COLUMN())),OFFSET($BN$2,0,0,ROW()-1,60),ROW()-1,FALSE))</f>
        <v>6.3293690790000001</v>
      </c>
      <c r="AR112">
        <f ca="1">IF(AND(ISNUMBER($AR$424),$B$294=1),$AR$424,HLOOKUP(INDIRECT(ADDRESS(2,COLUMN())),OFFSET($BN$2,0,0,ROW()-1,60),ROW()-1,FALSE))</f>
        <v>9.4034275090000001</v>
      </c>
      <c r="AS112">
        <f ca="1">IF(AND(ISNUMBER($AS$424),$B$294=1),$AS$424,HLOOKUP(INDIRECT(ADDRESS(2,COLUMN())),OFFSET($BN$2,0,0,ROW()-1,60),ROW()-1,FALSE))</f>
        <v>15.45246236</v>
      </c>
      <c r="AT112">
        <f ca="1">IF(AND(ISNUMBER($AT$424),$B$294=1),$AT$424,HLOOKUP(INDIRECT(ADDRESS(2,COLUMN())),OFFSET($BN$2,0,0,ROW()-1,60),ROW()-1,FALSE))</f>
        <v>-10.917815600000001</v>
      </c>
      <c r="AU112">
        <f ca="1">IF(AND(ISNUMBER($AU$424),$B$294=1),$AU$424,HLOOKUP(INDIRECT(ADDRESS(2,COLUMN())),OFFSET($BN$2,0,0,ROW()-1,60),ROW()-1,FALSE))</f>
        <v>74.124083819999996</v>
      </c>
      <c r="AV112">
        <f ca="1">IF(AND(ISNUMBER($AV$424),$B$294=1),$AV$424,HLOOKUP(INDIRECT(ADDRESS(2,COLUMN())),OFFSET($BN$2,0,0,ROW()-1,60),ROW()-1,FALSE))</f>
        <v>89.254406270000004</v>
      </c>
      <c r="AW112">
        <f ca="1">IF(AND(ISNUMBER($AW$424),$B$294=1),$AW$424,HLOOKUP(INDIRECT(ADDRESS(2,COLUMN())),OFFSET($BN$2,0,0,ROW()-1,60),ROW()-1,FALSE))</f>
        <v>103.66467160000001</v>
      </c>
      <c r="AX112">
        <f ca="1">IF(AND(ISNUMBER($AX$424),$B$294=1),$AX$424,HLOOKUP(INDIRECT(ADDRESS(2,COLUMN())),OFFSET($BN$2,0,0,ROW()-1,60),ROW()-1,FALSE))</f>
        <v>145.70579040000001</v>
      </c>
      <c r="AY112">
        <f ca="1">IF(AND(ISNUMBER($AY$424),$B$294=1),$AY$424,HLOOKUP(INDIRECT(ADDRESS(2,COLUMN())),OFFSET($BN$2,0,0,ROW()-1,60),ROW()-1,FALSE))</f>
        <v>36.535335410000002</v>
      </c>
      <c r="AZ112">
        <f ca="1">IF(AND(ISNUMBER($AZ$424),$B$294=1),$AZ$424,HLOOKUP(INDIRECT(ADDRESS(2,COLUMN())),OFFSET($BN$2,0,0,ROW()-1,60),ROW()-1,FALSE))</f>
        <v>12.10228551</v>
      </c>
      <c r="BA112">
        <f ca="1">IF(AND(ISNUMBER($BA$424),$B$294=1),$BA$424,HLOOKUP(INDIRECT(ADDRESS(2,COLUMN())),OFFSET($BN$2,0,0,ROW()-1,60),ROW()-1,FALSE))</f>
        <v>21.149173000000001</v>
      </c>
      <c r="BB112">
        <f ca="1">IF(AND(ISNUMBER($BB$424),$B$294=1),$BB$424,HLOOKUP(INDIRECT(ADDRESS(2,COLUMN())),OFFSET($BN$2,0,0,ROW()-1,60),ROW()-1,FALSE))</f>
        <v>16.235815890000001</v>
      </c>
      <c r="BC112">
        <f ca="1">IF(AND(ISNUMBER($BC$424),$B$294=1),$BC$424,HLOOKUP(INDIRECT(ADDRESS(2,COLUMN())),OFFSET($BN$2,0,0,ROW()-1,60),ROW()-1,FALSE))</f>
        <v>13.08002083</v>
      </c>
      <c r="BD112">
        <f ca="1">IF(AND(ISNUMBER($BD$424),$B$294=1),$BD$424,HLOOKUP(INDIRECT(ADDRESS(2,COLUMN())),OFFSET($BN$2,0,0,ROW()-1,60),ROW()-1,FALSE))</f>
        <v>34.622909579999998</v>
      </c>
      <c r="BE112">
        <f ca="1">IF(AND(ISNUMBER($BE$424),$B$294=1),$BE$424,HLOOKUP(INDIRECT(ADDRESS(2,COLUMN())),OFFSET($BN$2,0,0,ROW()-1,60),ROW()-1,FALSE))</f>
        <v>14.09916709</v>
      </c>
      <c r="BF112">
        <f ca="1">IF(AND(ISNUMBER($BF$424),$B$294=1),$BF$424,HLOOKUP(INDIRECT(ADDRESS(2,COLUMN())),OFFSET($BN$2,0,0,ROW()-1,60),ROW()-1,FALSE))</f>
        <v>14.165811379999999</v>
      </c>
      <c r="BG112">
        <f ca="1">IF(AND(ISNUMBER($BG$424),$B$294=1),$BG$424,HLOOKUP(INDIRECT(ADDRESS(2,COLUMN())),OFFSET($BN$2,0,0,ROW()-1,60),ROW()-1,FALSE))</f>
        <v>16.298002830000001</v>
      </c>
      <c r="BH112">
        <f ca="1">IF(AND(ISNUMBER($BH$424),$B$294=1),$BH$424,HLOOKUP(INDIRECT(ADDRESS(2,COLUMN())),OFFSET($BN$2,0,0,ROW()-1,60),ROW()-1,FALSE))</f>
        <v>13.1032666</v>
      </c>
      <c r="BI112">
        <f ca="1">IF(AND(ISNUMBER($BI$424),$B$294=1),$BI$424,HLOOKUP(INDIRECT(ADDRESS(2,COLUMN())),OFFSET($BN$2,0,0,ROW()-1,60),ROW()-1,FALSE))</f>
        <v>20.301004689999999</v>
      </c>
      <c r="BJ112">
        <f ca="1">IF(AND(ISNUMBER($BJ$424),$B$294=1),$BJ$424,HLOOKUP(INDIRECT(ADDRESS(2,COLUMN())),OFFSET($BN$2,0,0,ROW()-1,60),ROW()-1,FALSE))</f>
        <v>31.512642849999999</v>
      </c>
      <c r="BK112">
        <f ca="1">IF(AND(ISNUMBER($BK$424),$B$294=1),$BK$424,HLOOKUP(INDIRECT(ADDRESS(2,COLUMN())),OFFSET($BN$2,0,0,ROW()-1,60),ROW()-1,FALSE))</f>
        <v>37.138408720000001</v>
      </c>
      <c r="BL112">
        <f ca="1">IF(AND(ISNUMBER($BL$424),$B$294=1),$BL$424,HLOOKUP(INDIRECT(ADDRESS(2,COLUMN())),OFFSET($BN$2,0,0,ROW()-1,60),ROW()-1,FALSE))</f>
        <v>24.862260089999999</v>
      </c>
      <c r="BM112">
        <f ca="1">IF(AND(ISNUMBER($BM$424),$B$294=1),$BM$424,HLOOKUP(INDIRECT(ADDRESS(2,COLUMN())),OFFSET($BN$2,0,0,ROW()-1,60),ROW()-1,FALSE))</f>
        <v>28.37065557</v>
      </c>
      <c r="BN112" t="str">
        <f>""</f>
        <v/>
      </c>
      <c r="BO112">
        <f>-3.44696747</f>
        <v>-3.4469674700000001</v>
      </c>
      <c r="BP112">
        <f>-10.09909259</f>
        <v>-10.09909259</v>
      </c>
      <c r="BQ112">
        <f>-35.53416859</f>
        <v>-35.53416859</v>
      </c>
      <c r="BR112">
        <f>-17.13997769</f>
        <v>-17.139977689999998</v>
      </c>
      <c r="BS112">
        <f>-12.02378993</f>
        <v>-12.02378993</v>
      </c>
      <c r="BT112">
        <f>-3.560798582</f>
        <v>-3.5607985819999999</v>
      </c>
      <c r="BU112">
        <f>50.97855156</f>
        <v>50.97855156</v>
      </c>
      <c r="BV112">
        <f>14.92433743</f>
        <v>14.92433743</v>
      </c>
      <c r="BW112">
        <f>10.02594232</f>
        <v>10.02594232</v>
      </c>
      <c r="BX112">
        <f>10.70837412</f>
        <v>10.70837412</v>
      </c>
      <c r="BY112">
        <f>7.472309212</f>
        <v>7.4723092119999999</v>
      </c>
      <c r="BZ112">
        <f>9.340451655</f>
        <v>9.3404516550000007</v>
      </c>
      <c r="CA112">
        <f>10.32269847</f>
        <v>10.322698470000001</v>
      </c>
      <c r="CB112">
        <f>15.19915462</f>
        <v>15.19915462</v>
      </c>
      <c r="CC112">
        <f>7.540175847</f>
        <v>7.5401758470000004</v>
      </c>
      <c r="CD112">
        <f>0.692312608</f>
        <v>0.69231260800000005</v>
      </c>
      <c r="CE112">
        <f>1.111370777</f>
        <v>1.1113707770000001</v>
      </c>
      <c r="CF112">
        <f>-5.106005137</f>
        <v>-5.1060051370000004</v>
      </c>
      <c r="CG112">
        <f>2.730927192</f>
        <v>2.7309271919999998</v>
      </c>
      <c r="CH112">
        <f>6.139184332</f>
        <v>6.1391843320000001</v>
      </c>
      <c r="CI112">
        <f>5.387999842</f>
        <v>5.3879998420000002</v>
      </c>
      <c r="CJ112">
        <f>16.43320951</f>
        <v>16.433209510000001</v>
      </c>
      <c r="CK112">
        <f>15.34289684</f>
        <v>15.34289684</v>
      </c>
      <c r="CL112">
        <f>3.010743543</f>
        <v>3.0107435429999998</v>
      </c>
      <c r="CM112">
        <f>25.15183573</f>
        <v>25.151835729999998</v>
      </c>
      <c r="CN112">
        <f>-3.925414616</f>
        <v>-3.9254146159999999</v>
      </c>
      <c r="CO112">
        <f>18.73539186</f>
        <v>18.73539186</v>
      </c>
      <c r="CP112">
        <f>31.22595972</f>
        <v>31.225959719999999</v>
      </c>
      <c r="CQ112">
        <f>8.123765635</f>
        <v>8.1237656349999998</v>
      </c>
      <c r="CR112">
        <f>29.8581188</f>
        <v>29.8581188</v>
      </c>
      <c r="CS112">
        <f>-0.171821988</f>
        <v>-0.17182198800000001</v>
      </c>
      <c r="CT112">
        <f>-4.403342516</f>
        <v>-4.4033425160000004</v>
      </c>
      <c r="CU112">
        <f>-9.658953629</f>
        <v>-9.6589536290000009</v>
      </c>
      <c r="CV112">
        <f>-8.402127366</f>
        <v>-8.4021273660000002</v>
      </c>
      <c r="CW112">
        <f>-13.31753359</f>
        <v>-13.31753359</v>
      </c>
      <c r="CX112">
        <f>3.036882317</f>
        <v>3.0368823169999999</v>
      </c>
      <c r="CY112">
        <f>6.329369079</f>
        <v>6.3293690790000001</v>
      </c>
      <c r="CZ112">
        <f>9.403427509</f>
        <v>9.4034275090000001</v>
      </c>
      <c r="DA112">
        <f>15.45246236</f>
        <v>15.45246236</v>
      </c>
      <c r="DB112">
        <f>-10.9178156</f>
        <v>-10.917815600000001</v>
      </c>
      <c r="DC112">
        <f>74.12408382</f>
        <v>74.124083819999996</v>
      </c>
      <c r="DD112">
        <f>89.25440627</f>
        <v>89.254406270000004</v>
      </c>
      <c r="DE112">
        <f>103.6646716</f>
        <v>103.66467160000001</v>
      </c>
      <c r="DF112">
        <f>145.7057904</f>
        <v>145.70579040000001</v>
      </c>
      <c r="DG112">
        <f>36.53533541</f>
        <v>36.535335410000002</v>
      </c>
      <c r="DH112">
        <f>12.10228551</f>
        <v>12.10228551</v>
      </c>
      <c r="DI112">
        <f>21.149173</f>
        <v>21.149173000000001</v>
      </c>
      <c r="DJ112">
        <f>16.23581589</f>
        <v>16.235815890000001</v>
      </c>
      <c r="DK112">
        <f>13.08002083</f>
        <v>13.08002083</v>
      </c>
      <c r="DL112">
        <f>34.62290958</f>
        <v>34.622909579999998</v>
      </c>
      <c r="DM112">
        <f>14.09916709</f>
        <v>14.09916709</v>
      </c>
      <c r="DN112">
        <f>14.16581138</f>
        <v>14.165811379999999</v>
      </c>
      <c r="DO112">
        <f>16.29800283</f>
        <v>16.298002830000001</v>
      </c>
      <c r="DP112">
        <f>13.1032666</f>
        <v>13.1032666</v>
      </c>
      <c r="DQ112">
        <f>20.30100469</f>
        <v>20.301004689999999</v>
      </c>
      <c r="DR112">
        <f>31.51264285</f>
        <v>31.512642849999999</v>
      </c>
      <c r="DS112">
        <f>37.13840872</f>
        <v>37.138408720000001</v>
      </c>
      <c r="DT112">
        <f>24.86226009</f>
        <v>24.862260089999999</v>
      </c>
      <c r="DU112">
        <f>28.37065557</f>
        <v>28.37065557</v>
      </c>
    </row>
    <row r="113" spans="1:125">
      <c r="A113" t="str">
        <f>"    Vornado Realty Trust"</f>
        <v xml:space="preserve">    Vornado Realty Trust</v>
      </c>
      <c r="B113" t="str">
        <f>"VNO US Equity"</f>
        <v>VNO US Equity</v>
      </c>
      <c r="C113" t="str">
        <f t="shared" si="27"/>
        <v>RR033</v>
      </c>
      <c r="D113" t="str">
        <f t="shared" si="28"/>
        <v>SALES_GROWTH</v>
      </c>
      <c r="E113" t="str">
        <f t="shared" si="29"/>
        <v>动态</v>
      </c>
      <c r="F113" t="str">
        <f ca="1">IF(AND(ISNUMBER($F$425),$B$294=1),$F$425,HLOOKUP(INDIRECT(ADDRESS(2,COLUMN())),OFFSET($BN$2,0,0,ROW()-1,60),ROW()-1,FALSE))</f>
        <v/>
      </c>
      <c r="G113">
        <f ca="1">IF(AND(ISNUMBER($G$425),$B$294=1),$G$425,HLOOKUP(INDIRECT(ADDRESS(2,COLUMN())),OFFSET($BN$2,0,0,ROW()-1,60),ROW()-1,FALSE))</f>
        <v>4.3294018760000004</v>
      </c>
      <c r="H113">
        <f ca="1">IF(AND(ISNUMBER($H$425),$B$294=1),$H$425,HLOOKUP(INDIRECT(ADDRESS(2,COLUMN())),OFFSET($BN$2,0,0,ROW()-1,60),ROW()-1,FALSE))</f>
        <v>5.1719233899999999</v>
      </c>
      <c r="I113">
        <f ca="1">IF(AND(ISNUMBER($I$425),$B$294=1),$I$425,HLOOKUP(INDIRECT(ADDRESS(2,COLUMN())),OFFSET($BN$2,0,0,ROW()-1,60),ROW()-1,FALSE))</f>
        <v>0.69662928599999996</v>
      </c>
      <c r="J113">
        <f ca="1">IF(AND(ISNUMBER($J$425),$B$294=1),$J$425,HLOOKUP(INDIRECT(ADDRESS(2,COLUMN())),OFFSET($BN$2,0,0,ROW()-1,60),ROW()-1,FALSE))</f>
        <v>1.2741482159999999</v>
      </c>
      <c r="K113">
        <f ca="1">IF(AND(ISNUMBER($K$425),$B$294=1),$K$425,HLOOKUP(INDIRECT(ADDRESS(2,COLUMN())),OFFSET($BN$2,0,0,ROW()-1,60),ROW()-1,FALSE))</f>
        <v>-2.0444119760000001</v>
      </c>
      <c r="L113">
        <f ca="1">IF(AND(ISNUMBER($L$425),$B$294=1),$L$425,HLOOKUP(INDIRECT(ADDRESS(2,COLUMN())),OFFSET($BN$2,0,0,ROW()-1,60),ROW()-1,FALSE))</f>
        <v>0.89245310700000002</v>
      </c>
      <c r="M113">
        <f ca="1">IF(AND(ISNUMBER($M$425),$B$294=1),$M$425,HLOOKUP(INDIRECT(ADDRESS(2,COLUMN())),OFFSET($BN$2,0,0,ROW()-1,60),ROW()-1,FALSE))</f>
        <v>0.87945895399999996</v>
      </c>
      <c r="N113">
        <f ca="1">IF(AND(ISNUMBER($N$425),$B$294=1),$N$425,HLOOKUP(INDIRECT(ADDRESS(2,COLUMN())),OFFSET($BN$2,0,0,ROW()-1,60),ROW()-1,FALSE))</f>
        <v>1.0275180370000001</v>
      </c>
      <c r="O113">
        <f ca="1">IF(AND(ISNUMBER($O$425),$B$294=1),$O$425,HLOOKUP(INDIRECT(ADDRESS(2,COLUMN())),OFFSET($BN$2,0,0,ROW()-1,60),ROW()-1,FALSE))</f>
        <v>9.1407179109999994</v>
      </c>
      <c r="P113">
        <f ca="1">IF(AND(ISNUMBER($P$425),$B$294=1),$P$425,HLOOKUP(INDIRECT(ADDRESS(2,COLUMN())),OFFSET($BN$2,0,0,ROW()-1,60),ROW()-1,FALSE))</f>
        <v>8.4474088920000003</v>
      </c>
      <c r="Q113">
        <f ca="1">IF(AND(ISNUMBER($Q$425),$B$294=1),$Q$425,HLOOKUP(INDIRECT(ADDRESS(2,COLUMN())),OFFSET($BN$2,0,0,ROW()-1,60),ROW()-1,FALSE))</f>
        <v>7.2904244519999999</v>
      </c>
      <c r="R113">
        <f ca="1">IF(AND(ISNUMBER($R$425),$B$294=1),$R$425,HLOOKUP(INDIRECT(ADDRESS(2,COLUMN())),OFFSET($BN$2,0,0,ROW()-1,60),ROW()-1,FALSE))</f>
        <v>7.8987376889999998</v>
      </c>
      <c r="S113">
        <f ca="1">IF(AND(ISNUMBER($S$425),$B$294=1),$S$425,HLOOKUP(INDIRECT(ADDRESS(2,COLUMN())),OFFSET($BN$2,0,0,ROW()-1,60),ROW()-1,FALSE))</f>
        <v>-8.0678715679999993</v>
      </c>
      <c r="T113">
        <f ca="1">IF(AND(ISNUMBER($T$425),$B$294=1),$T$425,HLOOKUP(INDIRECT(ADDRESS(2,COLUMN())),OFFSET($BN$2,0,0,ROW()-1,60),ROW()-1,FALSE))</f>
        <v>-13.494840719999999</v>
      </c>
      <c r="U113">
        <f ca="1">IF(AND(ISNUMBER($U$425),$B$294=1),$U$425,HLOOKUP(INDIRECT(ADDRESS(2,COLUMN())),OFFSET($BN$2,0,0,ROW()-1,60),ROW()-1,FALSE))</f>
        <v>-14.42233201</v>
      </c>
      <c r="V113">
        <f ca="1">IF(AND(ISNUMBER($V$425),$B$294=1),$V$425,HLOOKUP(INDIRECT(ADDRESS(2,COLUMN())),OFFSET($BN$2,0,0,ROW()-1,60),ROW()-1,FALSE))</f>
        <v>-21.75165887</v>
      </c>
      <c r="W113">
        <f ca="1">IF(AND(ISNUMBER($W$425),$B$294=1),$W$425,HLOOKUP(INDIRECT(ADDRESS(2,COLUMN())),OFFSET($BN$2,0,0,ROW()-1,60),ROW()-1,FALSE))</f>
        <v>-5.4303742719999999</v>
      </c>
      <c r="X113">
        <f ca="1">IF(AND(ISNUMBER($X$425),$B$294=1),$X$425,HLOOKUP(INDIRECT(ADDRESS(2,COLUMN())),OFFSET($BN$2,0,0,ROW()-1,60),ROW()-1,FALSE))</f>
        <v>-4.8450185760000002</v>
      </c>
      <c r="Y113">
        <f ca="1">IF(AND(ISNUMBER($Y$425),$B$294=1),$Y$425,HLOOKUP(INDIRECT(ADDRESS(2,COLUMN())),OFFSET($BN$2,0,0,ROW()-1,60),ROW()-1,FALSE))</f>
        <v>-0.99810762200000003</v>
      </c>
      <c r="Z113">
        <f ca="1">IF(AND(ISNUMBER($Z$425),$B$294=1),$Z$425,HLOOKUP(INDIRECT(ADDRESS(2,COLUMN())),OFFSET($BN$2,0,0,ROW()-1,60),ROW()-1,FALSE))</f>
        <v>7.3922548079999997</v>
      </c>
      <c r="AA113">
        <f ca="1">IF(AND(ISNUMBER($AA$425),$B$294=1),$AA$425,HLOOKUP(INDIRECT(ADDRESS(2,COLUMN())),OFFSET($BN$2,0,0,ROW()-1,60),ROW()-1,FALSE))</f>
        <v>-0.47336146099999998</v>
      </c>
      <c r="AB113">
        <f ca="1">IF(AND(ISNUMBER($AB$425),$B$294=1),$AB$425,HLOOKUP(INDIRECT(ADDRESS(2,COLUMN())),OFFSET($BN$2,0,0,ROW()-1,60),ROW()-1,FALSE))</f>
        <v>2.2085889569999999</v>
      </c>
      <c r="AC113">
        <f ca="1">IF(AND(ISNUMBER($AC$425),$B$294=1),$AC$425,HLOOKUP(INDIRECT(ADDRESS(2,COLUMN())),OFFSET($BN$2,0,0,ROW()-1,60),ROW()-1,FALSE))</f>
        <v>-2.5939675709999999</v>
      </c>
      <c r="AD113">
        <f ca="1">IF(AND(ISNUMBER($AD$425),$B$294=1),$AD$425,HLOOKUP(INDIRECT(ADDRESS(2,COLUMN())),OFFSET($BN$2,0,0,ROW()-1,60),ROW()-1,FALSE))</f>
        <v>-7.9300245020000002</v>
      </c>
      <c r="AE113">
        <f ca="1">IF(AND(ISNUMBER($AE$425),$B$294=1),$AE$425,HLOOKUP(INDIRECT(ADDRESS(2,COLUMN())),OFFSET($BN$2,0,0,ROW()-1,60),ROW()-1,FALSE))</f>
        <v>0.83390207999999999</v>
      </c>
      <c r="AF113">
        <f ca="1">IF(AND(ISNUMBER($AF$425),$B$294=1),$AF$425,HLOOKUP(INDIRECT(ADDRESS(2,COLUMN())),OFFSET($BN$2,0,0,ROW()-1,60),ROW()-1,FALSE))</f>
        <v>0.106967437</v>
      </c>
      <c r="AG113">
        <f ca="1">IF(AND(ISNUMBER($AG$425),$B$294=1),$AG$425,HLOOKUP(INDIRECT(ADDRESS(2,COLUMN())),OFFSET($BN$2,0,0,ROW()-1,60),ROW()-1,FALSE))</f>
        <v>1.761578037</v>
      </c>
      <c r="AH113">
        <f ca="1">IF(AND(ISNUMBER($AH$425),$B$294=1),$AH$425,HLOOKUP(INDIRECT(ADDRESS(2,COLUMN())),OFFSET($BN$2,0,0,ROW()-1,60),ROW()-1,FALSE))</f>
        <v>6.0656866779999996</v>
      </c>
      <c r="AI113">
        <f ca="1">IF(AND(ISNUMBER($AI$425),$B$294=1),$AI$425,HLOOKUP(INDIRECT(ADDRESS(2,COLUMN())),OFFSET($BN$2,0,0,ROW()-1,60),ROW()-1,FALSE))</f>
        <v>-3.1560309790000001</v>
      </c>
      <c r="AJ113">
        <f ca="1">IF(AND(ISNUMBER($AJ$425),$B$294=1),$AJ$425,HLOOKUP(INDIRECT(ADDRESS(2,COLUMN())),OFFSET($BN$2,0,0,ROW()-1,60),ROW()-1,FALSE))</f>
        <v>2.369718378</v>
      </c>
      <c r="AK113">
        <f ca="1">IF(AND(ISNUMBER($AK$425),$B$294=1),$AK$425,HLOOKUP(INDIRECT(ADDRESS(2,COLUMN())),OFFSET($BN$2,0,0,ROW()-1,60),ROW()-1,FALSE))</f>
        <v>1.513676368</v>
      </c>
      <c r="AL113">
        <f ca="1">IF(AND(ISNUMBER($AL$425),$B$294=1),$AL$425,HLOOKUP(INDIRECT(ADDRESS(2,COLUMN())),OFFSET($BN$2,0,0,ROW()-1,60),ROW()-1,FALSE))</f>
        <v>0.994450061</v>
      </c>
      <c r="AM113">
        <f ca="1">IF(AND(ISNUMBER($AM$425),$B$294=1),$AM$425,HLOOKUP(INDIRECT(ADDRESS(2,COLUMN())),OFFSET($BN$2,0,0,ROW()-1,60),ROW()-1,FALSE))</f>
        <v>1.6397828969999999</v>
      </c>
      <c r="AN113">
        <f ca="1">IF(AND(ISNUMBER($AN$425),$B$294=1),$AN$425,HLOOKUP(INDIRECT(ADDRESS(2,COLUMN())),OFFSET($BN$2,0,0,ROW()-1,60),ROW()-1,FALSE))</f>
        <v>-0.717235544</v>
      </c>
      <c r="AO113">
        <f ca="1">IF(AND(ISNUMBER($AO$425),$B$294=1),$AO$425,HLOOKUP(INDIRECT(ADDRESS(2,COLUMN())),OFFSET($BN$2,0,0,ROW()-1,60),ROW()-1,FALSE))</f>
        <v>-8.5265398000000006E-2</v>
      </c>
      <c r="AP113">
        <f ca="1">IF(AND(ISNUMBER($AP$425),$B$294=1),$AP$425,HLOOKUP(INDIRECT(ADDRESS(2,COLUMN())),OFFSET($BN$2,0,0,ROW()-1,60),ROW()-1,FALSE))</f>
        <v>4.5102128199999996</v>
      </c>
      <c r="AQ113">
        <f ca="1">IF(AND(ISNUMBER($AQ$425),$B$294=1),$AQ$425,HLOOKUP(INDIRECT(ADDRESS(2,COLUMN())),OFFSET($BN$2,0,0,ROW()-1,60),ROW()-1,FALSE))</f>
        <v>5.7804268629999997</v>
      </c>
      <c r="AR113">
        <f ca="1">IF(AND(ISNUMBER($AR$425),$B$294=1),$AR$425,HLOOKUP(INDIRECT(ADDRESS(2,COLUMN())),OFFSET($BN$2,0,0,ROW()-1,60),ROW()-1,FALSE))</f>
        <v>6.1201297170000002</v>
      </c>
      <c r="AS113">
        <f ca="1">IF(AND(ISNUMBER($AS$425),$B$294=1),$AS$425,HLOOKUP(INDIRECT(ADDRESS(2,COLUMN())),OFFSET($BN$2,0,0,ROW()-1,60),ROW()-1,FALSE))</f>
        <v>15.627893419999999</v>
      </c>
      <c r="AT113">
        <f ca="1">IF(AND(ISNUMBER($AT$425),$B$294=1),$AT$425,HLOOKUP(INDIRECT(ADDRESS(2,COLUMN())),OFFSET($BN$2,0,0,ROW()-1,60),ROW()-1,FALSE))</f>
        <v>21.079583169999999</v>
      </c>
      <c r="AU113">
        <f ca="1">IF(AND(ISNUMBER($AU$425),$B$294=1),$AU$425,HLOOKUP(INDIRECT(ADDRESS(2,COLUMN())),OFFSET($BN$2,0,0,ROW()-1,60),ROW()-1,FALSE))</f>
        <v>-9.0489364739999996</v>
      </c>
      <c r="AV113">
        <f ca="1">IF(AND(ISNUMBER($AV$425),$B$294=1),$AV$425,HLOOKUP(INDIRECT(ADDRESS(2,COLUMN())),OFFSET($BN$2,0,0,ROW()-1,60),ROW()-1,FALSE))</f>
        <v>-5.748071919</v>
      </c>
      <c r="AW113">
        <f ca="1">IF(AND(ISNUMBER($AW$425),$B$294=1),$AW$425,HLOOKUP(INDIRECT(ADDRESS(2,COLUMN())),OFFSET($BN$2,0,0,ROW()-1,60),ROW()-1,FALSE))</f>
        <v>-12.03742806</v>
      </c>
      <c r="AX113">
        <f ca="1">IF(AND(ISNUMBER($AX$425),$B$294=1),$AX$425,HLOOKUP(INDIRECT(ADDRESS(2,COLUMN())),OFFSET($BN$2,0,0,ROW()-1,60),ROW()-1,FALSE))</f>
        <v>-19.941117810000001</v>
      </c>
      <c r="AY113">
        <f ca="1">IF(AND(ISNUMBER($AY$425),$B$294=1),$AY$425,HLOOKUP(INDIRECT(ADDRESS(2,COLUMN())),OFFSET($BN$2,0,0,ROW()-1,60),ROW()-1,FALSE))</f>
        <v>-0.384922402</v>
      </c>
      <c r="AZ113">
        <f ca="1">IF(AND(ISNUMBER($AZ$425),$B$294=1),$AZ$425,HLOOKUP(INDIRECT(ADDRESS(2,COLUMN())),OFFSET($BN$2,0,0,ROW()-1,60),ROW()-1,FALSE))</f>
        <v>9.4091786840000005</v>
      </c>
      <c r="BA113">
        <f ca="1">IF(AND(ISNUMBER($BA$425),$B$294=1),$BA$425,HLOOKUP(INDIRECT(ADDRESS(2,COLUMN())),OFFSET($BN$2,0,0,ROW()-1,60),ROW()-1,FALSE))</f>
        <v>12.09805993</v>
      </c>
      <c r="BB113">
        <f ca="1">IF(AND(ISNUMBER($BB$425),$B$294=1),$BB$425,HLOOKUP(INDIRECT(ADDRESS(2,COLUMN())),OFFSET($BN$2,0,0,ROW()-1,60),ROW()-1,FALSE))</f>
        <v>12.349878560000001</v>
      </c>
      <c r="BC113">
        <f ca="1">IF(AND(ISNUMBER($BC$425),$B$294=1),$BC$425,HLOOKUP(INDIRECT(ADDRESS(2,COLUMN())),OFFSET($BN$2,0,0,ROW()-1,60),ROW()-1,FALSE))</f>
        <v>7.9304213260000003</v>
      </c>
      <c r="BD113">
        <f ca="1">IF(AND(ISNUMBER($BD$425),$B$294=1),$BD$425,HLOOKUP(INDIRECT(ADDRESS(2,COLUMN())),OFFSET($BN$2,0,0,ROW()-1,60),ROW()-1,FALSE))</f>
        <v>42.643636229999998</v>
      </c>
      <c r="BE113">
        <f ca="1">IF(AND(ISNUMBER($BE$425),$B$294=1),$BE$425,HLOOKUP(INDIRECT(ADDRESS(2,COLUMN())),OFFSET($BN$2,0,0,ROW()-1,60),ROW()-1,FALSE))</f>
        <v>44.755423810000003</v>
      </c>
      <c r="BF113">
        <f ca="1">IF(AND(ISNUMBER($BF$425),$B$294=1),$BF$425,HLOOKUP(INDIRECT(ADDRESS(2,COLUMN())),OFFSET($BN$2,0,0,ROW()-1,60),ROW()-1,FALSE))</f>
        <v>48.195722230000001</v>
      </c>
      <c r="BG113">
        <f ca="1">IF(AND(ISNUMBER($BG$425),$B$294=1),$BG$425,HLOOKUP(INDIRECT(ADDRESS(2,COLUMN())),OFFSET($BN$2,0,0,ROW()-1,60),ROW()-1,FALSE))</f>
        <v>70.342819899999995</v>
      </c>
      <c r="BH113">
        <f ca="1">IF(AND(ISNUMBER($BH$425),$B$294=1),$BH$425,HLOOKUP(INDIRECT(ADDRESS(2,COLUMN())),OFFSET($BN$2,0,0,ROW()-1,60),ROW()-1,FALSE))</f>
        <v>13.09248154</v>
      </c>
      <c r="BI113">
        <f ca="1">IF(AND(ISNUMBER($BI$425),$B$294=1),$BI$425,HLOOKUP(INDIRECT(ADDRESS(2,COLUMN())),OFFSET($BN$2,0,0,ROW()-1,60),ROW()-1,FALSE))</f>
        <v>9.0297059740000005</v>
      </c>
      <c r="BJ113">
        <f ca="1">IF(AND(ISNUMBER($BJ$425),$B$294=1),$BJ$425,HLOOKUP(INDIRECT(ADDRESS(2,COLUMN())),OFFSET($BN$2,0,0,ROW()-1,60),ROW()-1,FALSE))</f>
        <v>7.3436459579999998</v>
      </c>
      <c r="BK113">
        <f ca="1">IF(AND(ISNUMBER($BK$425),$B$294=1),$BK$425,HLOOKUP(INDIRECT(ADDRESS(2,COLUMN())),OFFSET($BN$2,0,0,ROW()-1,60),ROW()-1,FALSE))</f>
        <v>9.0917905680000004</v>
      </c>
      <c r="BL113">
        <f ca="1">IF(AND(ISNUMBER($BL$425),$B$294=1),$BL$425,HLOOKUP(INDIRECT(ADDRESS(2,COLUMN())),OFFSET($BN$2,0,0,ROW()-1,60),ROW()-1,FALSE))</f>
        <v>6.0982483639999998</v>
      </c>
      <c r="BM113">
        <f ca="1">IF(AND(ISNUMBER($BM$425),$B$294=1),$BM$425,HLOOKUP(INDIRECT(ADDRESS(2,COLUMN())),OFFSET($BN$2,0,0,ROW()-1,60),ROW()-1,FALSE))</f>
        <v>5.3779576860000002</v>
      </c>
      <c r="BN113" t="str">
        <f>""</f>
        <v/>
      </c>
      <c r="BO113">
        <f>4.329401876</f>
        <v>4.3294018760000004</v>
      </c>
      <c r="BP113">
        <f>5.17192339</f>
        <v>5.1719233899999999</v>
      </c>
      <c r="BQ113">
        <f>0.696629286</f>
        <v>0.69662928599999996</v>
      </c>
      <c r="BR113">
        <f>1.274148216</f>
        <v>1.2741482159999999</v>
      </c>
      <c r="BS113">
        <f>-2.044411976</f>
        <v>-2.0444119760000001</v>
      </c>
      <c r="BT113">
        <f>0.892453107</f>
        <v>0.89245310700000002</v>
      </c>
      <c r="BU113">
        <f>0.879458954</f>
        <v>0.87945895399999996</v>
      </c>
      <c r="BV113">
        <f>1.027518037</f>
        <v>1.0275180370000001</v>
      </c>
      <c r="BW113">
        <f>9.140717911</f>
        <v>9.1407179109999994</v>
      </c>
      <c r="BX113">
        <f>8.447408892</f>
        <v>8.4474088920000003</v>
      </c>
      <c r="BY113">
        <f>7.290424452</f>
        <v>7.2904244519999999</v>
      </c>
      <c r="BZ113">
        <f>7.898737689</f>
        <v>7.8987376889999998</v>
      </c>
      <c r="CA113">
        <f>-8.067871568</f>
        <v>-8.0678715679999993</v>
      </c>
      <c r="CB113">
        <f>-13.49484072</f>
        <v>-13.494840719999999</v>
      </c>
      <c r="CC113">
        <f>-14.42233201</f>
        <v>-14.42233201</v>
      </c>
      <c r="CD113">
        <f>-21.75165887</f>
        <v>-21.75165887</v>
      </c>
      <c r="CE113">
        <f>-5.430374272</f>
        <v>-5.4303742719999999</v>
      </c>
      <c r="CF113">
        <f>-4.845018576</f>
        <v>-4.8450185760000002</v>
      </c>
      <c r="CG113">
        <f>-0.998107622</f>
        <v>-0.99810762200000003</v>
      </c>
      <c r="CH113">
        <f>7.392254808</f>
        <v>7.3922548079999997</v>
      </c>
      <c r="CI113">
        <f>-0.473361461</f>
        <v>-0.47336146099999998</v>
      </c>
      <c r="CJ113">
        <f>2.208588957</f>
        <v>2.2085889569999999</v>
      </c>
      <c r="CK113">
        <f>-2.593967571</f>
        <v>-2.5939675709999999</v>
      </c>
      <c r="CL113">
        <f>-7.930024502</f>
        <v>-7.9300245020000002</v>
      </c>
      <c r="CM113">
        <f>0.83390208</f>
        <v>0.83390207999999999</v>
      </c>
      <c r="CN113">
        <f>0.106967437</f>
        <v>0.106967437</v>
      </c>
      <c r="CO113">
        <f>1.761578037</f>
        <v>1.761578037</v>
      </c>
      <c r="CP113">
        <f>6.065686678</f>
        <v>6.0656866779999996</v>
      </c>
      <c r="CQ113">
        <f>-3.156030979</f>
        <v>-3.1560309790000001</v>
      </c>
      <c r="CR113">
        <f>2.369718378</f>
        <v>2.369718378</v>
      </c>
      <c r="CS113">
        <f>1.513676368</f>
        <v>1.513676368</v>
      </c>
      <c r="CT113">
        <f>0.994450061</f>
        <v>0.994450061</v>
      </c>
      <c r="CU113">
        <f>1.639782897</f>
        <v>1.6397828969999999</v>
      </c>
      <c r="CV113">
        <f>-0.717235544</f>
        <v>-0.717235544</v>
      </c>
      <c r="CW113">
        <f>-0.085265398</f>
        <v>-8.5265398000000006E-2</v>
      </c>
      <c r="CX113">
        <f>4.51021282</f>
        <v>4.5102128199999996</v>
      </c>
      <c r="CY113">
        <f>5.780426863</f>
        <v>5.7804268629999997</v>
      </c>
      <c r="CZ113">
        <f>6.120129717</f>
        <v>6.1201297170000002</v>
      </c>
      <c r="DA113">
        <f>15.62789342</f>
        <v>15.627893419999999</v>
      </c>
      <c r="DB113">
        <f>21.07958317</f>
        <v>21.079583169999999</v>
      </c>
      <c r="DC113">
        <f>-9.048936474</f>
        <v>-9.0489364739999996</v>
      </c>
      <c r="DD113">
        <f>-5.748071919</f>
        <v>-5.748071919</v>
      </c>
      <c r="DE113">
        <f>-12.03742806</f>
        <v>-12.03742806</v>
      </c>
      <c r="DF113">
        <f>-19.94111781</f>
        <v>-19.941117810000001</v>
      </c>
      <c r="DG113">
        <f>-0.384922402</f>
        <v>-0.384922402</v>
      </c>
      <c r="DH113">
        <f>9.409178684</f>
        <v>9.4091786840000005</v>
      </c>
      <c r="DI113">
        <f>12.09805993</f>
        <v>12.09805993</v>
      </c>
      <c r="DJ113">
        <f>12.34987856</f>
        <v>12.349878560000001</v>
      </c>
      <c r="DK113">
        <f>7.930421326</f>
        <v>7.9304213260000003</v>
      </c>
      <c r="DL113">
        <f>42.64363623</f>
        <v>42.643636229999998</v>
      </c>
      <c r="DM113">
        <f>44.75542381</f>
        <v>44.755423810000003</v>
      </c>
      <c r="DN113">
        <f>48.19572223</f>
        <v>48.195722230000001</v>
      </c>
      <c r="DO113">
        <f>70.3428199</f>
        <v>70.342819899999995</v>
      </c>
      <c r="DP113">
        <f>13.09248154</f>
        <v>13.09248154</v>
      </c>
      <c r="DQ113">
        <f>9.029705974</f>
        <v>9.0297059740000005</v>
      </c>
      <c r="DR113">
        <f>7.343645958</f>
        <v>7.3436459579999998</v>
      </c>
      <c r="DS113">
        <f>9.091790568</f>
        <v>9.0917905680000004</v>
      </c>
      <c r="DT113">
        <f>6.098248364</f>
        <v>6.0982483639999998</v>
      </c>
      <c r="DU113">
        <f>5.377957686</f>
        <v>5.3779576860000002</v>
      </c>
    </row>
    <row r="114" spans="1:125">
      <c r="A114" t="str">
        <f>"NOI增长(%)"</f>
        <v>NOI增长(%)</v>
      </c>
      <c r="B114" t="str">
        <f>""</f>
        <v/>
      </c>
      <c r="E114" t="str">
        <f>"Median"</f>
        <v>Median</v>
      </c>
      <c r="F114" t="str">
        <f ca="1">IF(ISERROR(IF(MEDIAN($F$115:$F$124) = 0, "", MEDIAN($F$115:$F$124))), "", (IF(MEDIAN($F$115:$F$124) = 0, "", MEDIAN($F$115:$F$124))))</f>
        <v/>
      </c>
      <c r="G114">
        <f ca="1">IF(ISERROR(IF(MEDIAN($G$115:$G$124) = 0, "", MEDIAN($G$115:$G$124))), "", (IF(MEDIAN($G$115:$G$124) = 0, "", MEDIAN($G$115:$G$124))))</f>
        <v>0.58210073699999998</v>
      </c>
      <c r="H114">
        <f ca="1">IF(ISERROR(IF(MEDIAN($H$115:$H$124) = 0, "", MEDIAN($H$115:$H$124))), "", (IF(MEDIAN($H$115:$H$124) = 0, "", MEDIAN($H$115:$H$124))))</f>
        <v>1.5285339755</v>
      </c>
      <c r="I114">
        <f ca="1">IF(ISERROR(IF(MEDIAN($I$115:$I$124) = 0, "", MEDIAN($I$115:$I$124))), "", (IF(MEDIAN($I$115:$I$124) = 0, "", MEDIAN($I$115:$I$124))))</f>
        <v>2.6417905910000004</v>
      </c>
      <c r="J114">
        <f ca="1">IF(ISERROR(IF(MEDIAN($J$115:$J$124) = 0, "", MEDIAN($J$115:$J$124))), "", (IF(MEDIAN($J$115:$J$124) = 0, "", MEDIAN($J$115:$J$124))))</f>
        <v>-1.2282166404999999</v>
      </c>
      <c r="K114">
        <f ca="1">IF(ISERROR(IF(MEDIAN($K$115:$K$124) = 0, "", MEDIAN($K$115:$K$124))), "", (IF(MEDIAN($K$115:$K$124) = 0, "", MEDIAN($K$115:$K$124))))</f>
        <v>-1.6858065150000003</v>
      </c>
      <c r="L114">
        <f ca="1">IF(ISERROR(IF(MEDIAN($L$115:$L$124) = 0, "", MEDIAN($L$115:$L$124))), "", (IF(MEDIAN($L$115:$L$124) = 0, "", MEDIAN($L$115:$L$124))))</f>
        <v>-3.7082658469999998</v>
      </c>
      <c r="M114">
        <f ca="1">IF(ISERROR(IF(MEDIAN($M$115:$M$124) = 0, "", MEDIAN($M$115:$M$124))), "", (IF(MEDIAN($M$115:$M$124) = 0, "", MEDIAN($M$115:$M$124))))</f>
        <v>2.8496632900000001</v>
      </c>
      <c r="N114">
        <f ca="1">IF(ISERROR(IF(MEDIAN($N$115:$N$124) = 0, "", MEDIAN($N$115:$N$124))), "", (IF(MEDIAN($N$115:$N$124) = 0, "", MEDIAN($N$115:$N$124))))</f>
        <v>3.5562640499999998</v>
      </c>
      <c r="O114">
        <f ca="1">IF(ISERROR(IF(MEDIAN($O$115:$O$124) = 0, "", MEDIAN($O$115:$O$124))), "", (IF(MEDIAN($O$115:$O$124) = 0, "", MEDIAN($O$115:$O$124))))</f>
        <v>3.3170451979999998</v>
      </c>
      <c r="P114">
        <f ca="1">IF(ISERROR(IF(MEDIAN($P$115:$P$124) = 0, "", MEDIAN($P$115:$P$124))), "", (IF(MEDIAN($P$115:$P$124) = 0, "", MEDIAN($P$115:$P$124))))</f>
        <v>8.9790464604999993</v>
      </c>
      <c r="Q114">
        <f ca="1">IF(ISERROR(IF(MEDIAN($Q$115:$Q$124) = 0, "", MEDIAN($Q$115:$Q$124))), "", (IF(MEDIAN($Q$115:$Q$124) = 0, "", MEDIAN($Q$115:$Q$124))))</f>
        <v>6.6396272679999999</v>
      </c>
      <c r="R114">
        <f ca="1">IF(ISERROR(IF(MEDIAN($R$115:$R$124) = 0, "", MEDIAN($R$115:$R$124))), "", (IF(MEDIAN($R$115:$R$124) = 0, "", MEDIAN($R$115:$R$124))))</f>
        <v>7.9070026255000005</v>
      </c>
      <c r="S114">
        <f ca="1">IF(ISERROR(IF(MEDIAN($S$115:$S$124) = 0, "", MEDIAN($S$115:$S$124))), "", (IF(MEDIAN($S$115:$S$124) = 0, "", MEDIAN($S$115:$S$124))))</f>
        <v>2.8375387410000004</v>
      </c>
      <c r="T114">
        <f ca="1">IF(ISERROR(IF(MEDIAN($T$115:$T$124) = 0, "", MEDIAN($T$115:$T$124))), "", (IF(MEDIAN($T$115:$T$124) = 0, "", MEDIAN($T$115:$T$124))))</f>
        <v>2.4998692624999999</v>
      </c>
      <c r="U114">
        <f ca="1">IF(ISERROR(IF(MEDIAN($U$115:$U$124) = 0, "", MEDIAN($U$115:$U$124))), "", (IF(MEDIAN($U$115:$U$124) = 0, "", MEDIAN($U$115:$U$124))))</f>
        <v>6.4883242735</v>
      </c>
      <c r="V114">
        <f ca="1">IF(ISERROR(IF(MEDIAN($V$115:$V$124) = 0, "", MEDIAN($V$115:$V$124))), "", (IF(MEDIAN($V$115:$V$124) = 0, "", MEDIAN($V$115:$V$124))))</f>
        <v>5.7368682700000004</v>
      </c>
      <c r="W114">
        <f ca="1">IF(ISERROR(IF(MEDIAN($W$115:$W$124) = 0, "", MEDIAN($W$115:$W$124))), "", (IF(MEDIAN($W$115:$W$124) = 0, "", MEDIAN($W$115:$W$124))))</f>
        <v>6.1356969220000002</v>
      </c>
      <c r="X114">
        <f ca="1">IF(ISERROR(IF(MEDIAN($X$115:$X$124) = 0, "", MEDIAN($X$115:$X$124))), "", (IF(MEDIAN($X$115:$X$124) = 0, "", MEDIAN($X$115:$X$124))))</f>
        <v>6.2789687764999993</v>
      </c>
      <c r="Y114">
        <f ca="1">IF(ISERROR(IF(MEDIAN($Y$115:$Y$124) = 0, "", MEDIAN($Y$115:$Y$124))), "", (IF(MEDIAN($Y$115:$Y$124) = 0, "", MEDIAN($Y$115:$Y$124))))</f>
        <v>4.3719814809999997</v>
      </c>
      <c r="Z114">
        <f ca="1">IF(ISERROR(IF(MEDIAN($Z$115:$Z$124) = 0, "", MEDIAN($Z$115:$Z$124))), "", (IF(MEDIAN($Z$115:$Z$124) = 0, "", MEDIAN($Z$115:$Z$124))))</f>
        <v>3.5855262845000002</v>
      </c>
      <c r="AA114">
        <f ca="1">IF(ISERROR(IF(MEDIAN($AA$115:$AA$124) = 0, "", MEDIAN($AA$115:$AA$124))), "", (IF(MEDIAN($AA$115:$AA$124) = 0, "", MEDIAN($AA$115:$AA$124))))</f>
        <v>0.43135122100000001</v>
      </c>
      <c r="AB114">
        <f ca="1">IF(ISERROR(IF(MEDIAN($AB$115:$AB$124) = 0, "", MEDIAN($AB$115:$AB$124))), "", (IF(MEDIAN($AB$115:$AB$124) = 0, "", MEDIAN($AB$115:$AB$124))))</f>
        <v>0.83759245000000004</v>
      </c>
      <c r="AC114">
        <f ca="1">IF(ISERROR(IF(MEDIAN($AC$115:$AC$124) = 0, "", MEDIAN($AC$115:$AC$124))), "", (IF(MEDIAN($AC$115:$AC$124) = 0, "", MEDIAN($AC$115:$AC$124))))</f>
        <v>0.62127532000000008</v>
      </c>
      <c r="AD114">
        <f ca="1">IF(ISERROR(IF(MEDIAN($AD$115:$AD$124) = 0, "", MEDIAN($AD$115:$AD$124))), "", (IF(MEDIAN($AD$115:$AD$124) = 0, "", MEDIAN($AD$115:$AD$124))))</f>
        <v>0.6757100935</v>
      </c>
      <c r="AE114">
        <f ca="1">IF(ISERROR(IF(MEDIAN($AE$115:$AE$124) = 0, "", MEDIAN($AE$115:$AE$124))), "", (IF(MEDIAN($AE$115:$AE$124) = 0, "", MEDIAN($AE$115:$AE$124))))</f>
        <v>1.0284768500000041E-2</v>
      </c>
      <c r="AF114">
        <f ca="1">IF(ISERROR(IF(MEDIAN($AF$115:$AF$124) = 0, "", MEDIAN($AF$115:$AF$124))), "", (IF(MEDIAN($AF$115:$AF$124) = 0, "", MEDIAN($AF$115:$AF$124))))</f>
        <v>2.8931450329999997</v>
      </c>
      <c r="AG114">
        <f ca="1">IF(ISERROR(IF(MEDIAN($AG$115:$AG$124) = 0, "", MEDIAN($AG$115:$AG$124))), "", (IF(MEDIAN($AG$115:$AG$124) = 0, "", MEDIAN($AG$115:$AG$124))))</f>
        <v>1.994998222</v>
      </c>
      <c r="AH114">
        <f ca="1">IF(ISERROR(IF(MEDIAN($AH$115:$AH$124) = 0, "", MEDIAN($AH$115:$AH$124))), "", (IF(MEDIAN($AH$115:$AH$124) = 0, "", MEDIAN($AH$115:$AH$124))))</f>
        <v>4.7016351504999996</v>
      </c>
      <c r="AI114">
        <f ca="1">IF(ISERROR(IF(MEDIAN($AI$115:$AI$124) = 0, "", MEDIAN($AI$115:$AI$124))), "", (IF(MEDIAN($AI$115:$AI$124) = 0, "", MEDIAN($AI$115:$AI$124))))</f>
        <v>2.8173557305000001</v>
      </c>
      <c r="AJ114">
        <f ca="1">IF(ISERROR(IF(MEDIAN($AJ$115:$AJ$124) = 0, "", MEDIAN($AJ$115:$AJ$124))), "", (IF(MEDIAN($AJ$115:$AJ$124) = 0, "", MEDIAN($AJ$115:$AJ$124))))</f>
        <v>2.311739303</v>
      </c>
      <c r="AK114">
        <f ca="1">IF(ISERROR(IF(MEDIAN($AK$115:$AK$124) = 0, "", MEDIAN($AK$115:$AK$124))), "", (IF(MEDIAN($AK$115:$AK$124) = 0, "", MEDIAN($AK$115:$AK$124))))</f>
        <v>-1.0285812365</v>
      </c>
      <c r="AL114">
        <f ca="1">IF(ISERROR(IF(MEDIAN($AL$115:$AL$124) = 0, "", MEDIAN($AL$115:$AL$124))), "", (IF(MEDIAN($AL$115:$AL$124) = 0, "", MEDIAN($AL$115:$AL$124))))</f>
        <v>-1.1444054834999999</v>
      </c>
      <c r="AM114">
        <f ca="1">IF(ISERROR(IF(MEDIAN($AM$115:$AM$124) = 0, "", MEDIAN($AM$115:$AM$124))), "", (IF(MEDIAN($AM$115:$AM$124) = 0, "", MEDIAN($AM$115:$AM$124))))</f>
        <v>-3.1450306399999999</v>
      </c>
      <c r="AN114">
        <f ca="1">IF(ISERROR(IF(MEDIAN($AN$115:$AN$124) = 0, "", MEDIAN($AN$115:$AN$124))), "", (IF(MEDIAN($AN$115:$AN$124) = 0, "", MEDIAN($AN$115:$AN$124))))</f>
        <v>0.57793720900000001</v>
      </c>
      <c r="AO114">
        <f ca="1">IF(ISERROR(IF(MEDIAN($AO$115:$AO$124) = 0, "", MEDIAN($AO$115:$AO$124))), "", (IF(MEDIAN($AO$115:$AO$124) = 0, "", MEDIAN($AO$115:$AO$124))))</f>
        <v>-0.48722220500000002</v>
      </c>
      <c r="AP114">
        <f ca="1">IF(ISERROR(IF(MEDIAN($AP$115:$AP$124) = 0, "", MEDIAN($AP$115:$AP$124))), "", (IF(MEDIAN($AP$115:$AP$124) = 0, "", MEDIAN($AP$115:$AP$124))))</f>
        <v>1.1595996000000001E-2</v>
      </c>
      <c r="AQ114">
        <f ca="1">IF(ISERROR(IF(MEDIAN($AQ$115:$AQ$124) = 0, "", MEDIAN($AQ$115:$AQ$124))), "", (IF(MEDIAN($AQ$115:$AQ$124) = 0, "", MEDIAN($AQ$115:$AQ$124))))</f>
        <v>3.8543409039999998</v>
      </c>
      <c r="AR114">
        <f ca="1">IF(ISERROR(IF(MEDIAN($AR$115:$AR$124) = 0, "", MEDIAN($AR$115:$AR$124))), "", (IF(MEDIAN($AR$115:$AR$124) = 0, "", MEDIAN($AR$115:$AR$124))))</f>
        <v>4.2758860920000004</v>
      </c>
      <c r="AS114">
        <f ca="1">IF(ISERROR(IF(MEDIAN($AS$115:$AS$124) = 0, "", MEDIAN($AS$115:$AS$124))), "", (IF(MEDIAN($AS$115:$AS$124) = 0, "", MEDIAN($AS$115:$AS$124))))</f>
        <v>5.5906409669999997</v>
      </c>
      <c r="AT114">
        <f ca="1">IF(ISERROR(IF(MEDIAN($AT$115:$AT$124) = 0, "", MEDIAN($AT$115:$AT$124))), "", (IF(MEDIAN($AT$115:$AT$124) = 0, "", MEDIAN($AT$115:$AT$124))))</f>
        <v>9.8016781080000008</v>
      </c>
      <c r="AU114">
        <f ca="1">IF(ISERROR(IF(MEDIAN($AU$115:$AU$124) = 0, "", MEDIAN($AU$115:$AU$124))), "", (IF(MEDIAN($AU$115:$AU$124) = 0, "", MEDIAN($AU$115:$AU$124))))</f>
        <v>14.522769220000001</v>
      </c>
      <c r="AV114">
        <f ca="1">IF(ISERROR(IF(MEDIAN($AV$115:$AV$124) = 0, "", MEDIAN($AV$115:$AV$124))), "", (IF(MEDIAN($AV$115:$AV$124) = 0, "", MEDIAN($AV$115:$AV$124))))</f>
        <v>6.8186046510000002</v>
      </c>
      <c r="AW114">
        <f ca="1">IF(ISERROR(IF(MEDIAN($AW$115:$AW$124) = 0, "", MEDIAN($AW$115:$AW$124))), "", (IF(MEDIAN($AW$115:$AW$124) = 0, "", MEDIAN($AW$115:$AW$124))))</f>
        <v>3.7376777849999998</v>
      </c>
      <c r="AX114">
        <f ca="1">IF(ISERROR(IF(MEDIAN($AX$115:$AX$124) = 0, "", MEDIAN($AX$115:$AX$124))), "", (IF(MEDIAN($AX$115:$AX$124) = 0, "", MEDIAN($AX$115:$AX$124))))</f>
        <v>4.9413503280000004</v>
      </c>
      <c r="AY114">
        <f ca="1">IF(ISERROR(IF(MEDIAN($AY$115:$AY$124) = 0, "", MEDIAN($AY$115:$AY$124))), "", (IF(MEDIAN($AY$115:$AY$124) = 0, "", MEDIAN($AY$115:$AY$124))))</f>
        <v>9.5680844450000002</v>
      </c>
      <c r="AZ114">
        <f ca="1">IF(ISERROR(IF(MEDIAN($AZ$115:$AZ$124) = 0, "", MEDIAN($AZ$115:$AZ$124))), "", (IF(MEDIAN($AZ$115:$AZ$124) = 0, "", MEDIAN($AZ$115:$AZ$124))))</f>
        <v>8.7512586950000006</v>
      </c>
      <c r="BA114">
        <f ca="1">IF(ISERROR(IF(MEDIAN($BA$115:$BA$124) = 0, "", MEDIAN($BA$115:$BA$124))), "", (IF(MEDIAN($BA$115:$BA$124) = 0, "", MEDIAN($BA$115:$BA$124))))</f>
        <v>3.4085346859999999</v>
      </c>
      <c r="BB114">
        <f ca="1">IF(ISERROR(IF(MEDIAN($BB$115:$BB$124) = 0, "", MEDIAN($BB$115:$BB$124))), "", (IF(MEDIAN($BB$115:$BB$124) = 0, "", MEDIAN($BB$115:$BB$124))))</f>
        <v>1.5982797989999999</v>
      </c>
      <c r="BC114">
        <f ca="1">IF(ISERROR(IF(MEDIAN($BC$115:$BC$124) = 0, "", MEDIAN($BC$115:$BC$124))), "", (IF(MEDIAN($BC$115:$BC$124) = 0, "", MEDIAN($BC$115:$BC$124))))</f>
        <v>2.657818851</v>
      </c>
      <c r="BD114">
        <f ca="1">IF(ISERROR(IF(MEDIAN($BD$115:$BD$124) = 0, "", MEDIAN($BD$115:$BD$124))), "", (IF(MEDIAN($BD$115:$BD$124) = 0, "", MEDIAN($BD$115:$BD$124))))</f>
        <v>5.1526169739999998</v>
      </c>
      <c r="BE114">
        <f ca="1">IF(ISERROR(IF(MEDIAN($BE$115:$BE$124) = 0, "", MEDIAN($BE$115:$BE$124))), "", (IF(MEDIAN($BE$115:$BE$124) = 0, "", MEDIAN($BE$115:$BE$124))))</f>
        <v>6.6963944450000001</v>
      </c>
      <c r="BF114">
        <f ca="1">IF(ISERROR(IF(MEDIAN($BF$115:$BF$124) = 0, "", MEDIAN($BF$115:$BF$124))), "", (IF(MEDIAN($BF$115:$BF$124) = 0, "", MEDIAN($BF$115:$BF$124))))</f>
        <v>12.62826755</v>
      </c>
      <c r="BG114">
        <f ca="1">IF(ISERROR(IF(MEDIAN($BG$115:$BG$124) = 0, "", MEDIAN($BG$115:$BG$124))), "", (IF(MEDIAN($BG$115:$BG$124) = 0, "", MEDIAN($BG$115:$BG$124))))</f>
        <v>11.34542486</v>
      </c>
      <c r="BH114">
        <f ca="1">IF(ISERROR(IF(MEDIAN($BH$115:$BH$124) = 0, "", MEDIAN($BH$115:$BH$124))), "", (IF(MEDIAN($BH$115:$BH$124) = 0, "", MEDIAN($BH$115:$BH$124))))</f>
        <v>8.8390741750000004</v>
      </c>
      <c r="BI114">
        <f ca="1">IF(ISERROR(IF(MEDIAN($BI$115:$BI$124) = 0, "", MEDIAN($BI$115:$BI$124))), "", (IF(MEDIAN($BI$115:$BI$124) = 0, "", MEDIAN($BI$115:$BI$124))))</f>
        <v>10.310326379999999</v>
      </c>
      <c r="BJ114">
        <f ca="1">IF(ISERROR(IF(MEDIAN($BJ$115:$BJ$124) = 0, "", MEDIAN($BJ$115:$BJ$124))), "", (IF(MEDIAN($BJ$115:$BJ$124) = 0, "", MEDIAN($BJ$115:$BJ$124))))</f>
        <v>7.9298070129999996</v>
      </c>
      <c r="BK114">
        <f ca="1">IF(ISERROR(IF(MEDIAN($BK$115:$BK$124) = 0, "", MEDIAN($BK$115:$BK$124))), "", (IF(MEDIAN($BK$115:$BK$124) = 0, "", MEDIAN($BK$115:$BK$124))))</f>
        <v>6.8695529439999996</v>
      </c>
      <c r="BL114">
        <f ca="1">IF(ISERROR(IF(MEDIAN($BL$115:$BL$124) = 0, "", MEDIAN($BL$115:$BL$124))), "", (IF(MEDIAN($BL$115:$BL$124) = 0, "", MEDIAN($BL$115:$BL$124))))</f>
        <v>8.4922512829999999</v>
      </c>
      <c r="BM114">
        <f ca="1">IF(ISERROR(IF(MEDIAN($BM$115:$BM$124) = 0, "", MEDIAN($BM$115:$BM$124))), "", (IF(MEDIAN($BM$115:$BM$124) = 0, "", MEDIAN($BM$115:$BM$124))))</f>
        <v>3.292060056</v>
      </c>
      <c r="BN114" t="str">
        <f>""</f>
        <v/>
      </c>
      <c r="BO114">
        <f>0.582100737</f>
        <v>0.58210073699999998</v>
      </c>
      <c r="BP114">
        <f>1.528533975</f>
        <v>1.528533975</v>
      </c>
      <c r="BQ114">
        <f>2.641790591</f>
        <v>2.6417905909999999</v>
      </c>
      <c r="BR114">
        <f>-1.228216641</f>
        <v>-1.2282166409999999</v>
      </c>
      <c r="BS114">
        <f>-1.685806515</f>
        <v>-1.6858065149999999</v>
      </c>
      <c r="BT114">
        <f>-3.708265847</f>
        <v>-3.7082658469999998</v>
      </c>
      <c r="BU114">
        <f>2.84966329</f>
        <v>2.8496632900000001</v>
      </c>
      <c r="BV114">
        <f>3.55626405</f>
        <v>3.5562640499999998</v>
      </c>
      <c r="BW114">
        <f>3.317045198</f>
        <v>3.3170451980000002</v>
      </c>
      <c r="BX114">
        <f>8.979046461</f>
        <v>8.9790464609999994</v>
      </c>
      <c r="BY114">
        <f>6.639627268</f>
        <v>6.6396272679999999</v>
      </c>
      <c r="BZ114">
        <f>7.907002625</f>
        <v>7.9070026249999996</v>
      </c>
      <c r="CA114">
        <f>2.837538741</f>
        <v>2.8375387409999999</v>
      </c>
      <c r="CB114">
        <f>2.499869263</f>
        <v>2.4998692629999999</v>
      </c>
      <c r="CC114">
        <f>6.488324273</f>
        <v>6.4883242729999999</v>
      </c>
      <c r="CD114">
        <f>5.73686827</f>
        <v>5.7368682700000004</v>
      </c>
      <c r="CE114">
        <f>6.135696922</f>
        <v>6.1356969220000002</v>
      </c>
      <c r="CF114">
        <f>6.278968777</f>
        <v>6.2789687770000002</v>
      </c>
      <c r="CG114">
        <f>4.371981481</f>
        <v>4.3719814809999997</v>
      </c>
      <c r="CH114">
        <f>3.585526285</f>
        <v>3.5855262849999998</v>
      </c>
      <c r="CI114">
        <f>0.431351221</f>
        <v>0.43135122100000001</v>
      </c>
      <c r="CJ114">
        <f>0.837592451</f>
        <v>0.83759245100000002</v>
      </c>
      <c r="CK114">
        <f>0.62127532</f>
        <v>0.62127531999999996</v>
      </c>
      <c r="CL114">
        <f>0.675710093</f>
        <v>0.67571009299999996</v>
      </c>
      <c r="CM114">
        <f>0.010284769</f>
        <v>1.0284768999999999E-2</v>
      </c>
      <c r="CN114">
        <f>2.893145033</f>
        <v>2.8931450330000001</v>
      </c>
      <c r="CO114">
        <f>1.994998222</f>
        <v>1.994998222</v>
      </c>
      <c r="CP114">
        <f>4.701635151</f>
        <v>4.7016351509999996</v>
      </c>
      <c r="CQ114">
        <f>2.81735573</f>
        <v>2.8173557300000001</v>
      </c>
      <c r="CR114">
        <f>2.311739303</f>
        <v>2.311739303</v>
      </c>
      <c r="CS114">
        <f>-1.028581236</f>
        <v>-1.028581236</v>
      </c>
      <c r="CT114">
        <f>-1.144405484</f>
        <v>-1.144405484</v>
      </c>
      <c r="CU114">
        <f>-3.14503064</f>
        <v>-3.1450306399999999</v>
      </c>
      <c r="CV114">
        <f>0.577937209</f>
        <v>0.57793720900000001</v>
      </c>
      <c r="CW114">
        <f>-0.487222205</f>
        <v>-0.48722220500000002</v>
      </c>
      <c r="CX114">
        <f>0.011595996</f>
        <v>1.1595996000000001E-2</v>
      </c>
      <c r="CY114">
        <f>3.854340904</f>
        <v>3.8543409039999998</v>
      </c>
      <c r="CZ114">
        <f>4.275886092</f>
        <v>4.2758860920000004</v>
      </c>
      <c r="DA114">
        <f>5.590640967</f>
        <v>5.5906409669999997</v>
      </c>
      <c r="DB114">
        <f>9.801678108</f>
        <v>9.8016781080000008</v>
      </c>
      <c r="DC114">
        <f>14.52276922</f>
        <v>14.522769220000001</v>
      </c>
      <c r="DD114">
        <f>6.818604651</f>
        <v>6.8186046510000002</v>
      </c>
      <c r="DE114">
        <f>3.737677785</f>
        <v>3.7376777849999998</v>
      </c>
      <c r="DF114">
        <f>4.941350328</f>
        <v>4.9413503280000004</v>
      </c>
      <c r="DG114">
        <f>9.568084445</f>
        <v>9.5680844450000002</v>
      </c>
      <c r="DH114">
        <f>8.751258695</f>
        <v>8.7512586950000006</v>
      </c>
      <c r="DI114">
        <f>3.408534686</f>
        <v>3.4085346859999999</v>
      </c>
      <c r="DJ114">
        <f>1.598279799</f>
        <v>1.5982797989999999</v>
      </c>
      <c r="DK114">
        <f>2.657818851</f>
        <v>2.657818851</v>
      </c>
      <c r="DL114">
        <f>5.152616974</f>
        <v>5.1526169739999998</v>
      </c>
      <c r="DM114">
        <f>6.696394445</f>
        <v>6.6963944450000001</v>
      </c>
      <c r="DN114">
        <f>12.62826755</f>
        <v>12.62826755</v>
      </c>
      <c r="DO114">
        <f>11.34542486</f>
        <v>11.34542486</v>
      </c>
      <c r="DP114">
        <f>8.839074175</f>
        <v>8.8390741750000004</v>
      </c>
      <c r="DQ114">
        <f>10.31032638</f>
        <v>10.310326379999999</v>
      </c>
      <c r="DR114">
        <f>7.929807013</f>
        <v>7.9298070129999996</v>
      </c>
      <c r="DS114">
        <f>6.869552944</f>
        <v>6.8695529439999996</v>
      </c>
      <c r="DT114">
        <f>8.492251283</f>
        <v>8.4922512829999999</v>
      </c>
      <c r="DU114">
        <f>3.292060056</f>
        <v>3.292060056</v>
      </c>
    </row>
    <row r="115" spans="1:125">
      <c r="A115" t="str">
        <f>"    Boston Properties Inc"</f>
        <v xml:space="preserve">    Boston Properties Inc</v>
      </c>
      <c r="B115" t="str">
        <f>"BXP US Equity"</f>
        <v>BXP US Equity</v>
      </c>
      <c r="C115" t="str">
        <f t="shared" ref="C115:C124" si="30">"RR551"</f>
        <v>RR551</v>
      </c>
      <c r="D115" t="str">
        <f t="shared" ref="D115:D124" si="31">"NOI_GROWTH"</f>
        <v>NOI_GROWTH</v>
      </c>
      <c r="E115" t="str">
        <f t="shared" ref="E115:E124" si="32">"动态"</f>
        <v>动态</v>
      </c>
      <c r="F115" t="str">
        <f ca="1">IF(AND(ISNUMBER($F$426),$B$294=1),$F$426,HLOOKUP(INDIRECT(ADDRESS(2,COLUMN())),OFFSET($BN$2,0,0,ROW()-1,60),ROW()-1,FALSE))</f>
        <v/>
      </c>
      <c r="G115">
        <f ca="1">IF(AND(ISNUMBER($G$426),$B$294=1),$G$426,HLOOKUP(INDIRECT(ADDRESS(2,COLUMN())),OFFSET($BN$2,0,0,ROW()-1,60),ROW()-1,FALSE))</f>
        <v>2.08792103</v>
      </c>
      <c r="H115">
        <f ca="1">IF(AND(ISNUMBER($H$426),$B$294=1),$H$426,HLOOKUP(INDIRECT(ADDRESS(2,COLUMN())),OFFSET($BN$2,0,0,ROW()-1,60),ROW()-1,FALSE))</f>
        <v>6.0245191340000002</v>
      </c>
      <c r="I115">
        <f ca="1">IF(AND(ISNUMBER($I$426),$B$294=1),$I$426,HLOOKUP(INDIRECT(ADDRESS(2,COLUMN())),OFFSET($BN$2,0,0,ROW()-1,60),ROW()-1,FALSE))</f>
        <v>5.1587487200000002</v>
      </c>
      <c r="J115">
        <f ca="1">IF(AND(ISNUMBER($J$426),$B$294=1),$J$426,HLOOKUP(INDIRECT(ADDRESS(2,COLUMN())),OFFSET($BN$2,0,0,ROW()-1,60),ROW()-1,FALSE))</f>
        <v>-9.5236767639999993</v>
      </c>
      <c r="K115">
        <f ca="1">IF(AND(ISNUMBER($K$426),$B$294=1),$K$426,HLOOKUP(INDIRECT(ADDRESS(2,COLUMN())),OFFSET($BN$2,0,0,ROW()-1,60),ROW()-1,FALSE))</f>
        <v>1.155178756</v>
      </c>
      <c r="L115">
        <f ca="1">IF(AND(ISNUMBER($L$426),$B$294=1),$L$426,HLOOKUP(INDIRECT(ADDRESS(2,COLUMN())),OFFSET($BN$2,0,0,ROW()-1,60),ROW()-1,FALSE))</f>
        <v>-3.3769622749999999</v>
      </c>
      <c r="M115">
        <f ca="1">IF(AND(ISNUMBER($M$426),$B$294=1),$M$426,HLOOKUP(INDIRECT(ADDRESS(2,COLUMN())),OFFSET($BN$2,0,0,ROW()-1,60),ROW()-1,FALSE))</f>
        <v>0.77594085800000001</v>
      </c>
      <c r="N115">
        <f ca="1">IF(AND(ISNUMBER($N$426),$B$294=1),$N$426,HLOOKUP(INDIRECT(ADDRESS(2,COLUMN())),OFFSET($BN$2,0,0,ROW()-1,60),ROW()-1,FALSE))</f>
        <v>13.130511350000001</v>
      </c>
      <c r="O115">
        <f ca="1">IF(AND(ISNUMBER($O$426),$B$294=1),$O$426,HLOOKUP(INDIRECT(ADDRESS(2,COLUMN())),OFFSET($BN$2,0,0,ROW()-1,60),ROW()-1,FALSE))</f>
        <v>1.193959145</v>
      </c>
      <c r="P115">
        <f ca="1">IF(AND(ISNUMBER($P$426),$B$294=1),$P$426,HLOOKUP(INDIRECT(ADDRESS(2,COLUMN())),OFFSET($BN$2,0,0,ROW()-1,60),ROW()-1,FALSE))</f>
        <v>8.7902538519999993</v>
      </c>
      <c r="Q115">
        <f ca="1">IF(AND(ISNUMBER($Q$426),$B$294=1),$Q$426,HLOOKUP(INDIRECT(ADDRESS(2,COLUMN())),OFFSET($BN$2,0,0,ROW()-1,60),ROW()-1,FALSE))</f>
        <v>11.927624679999999</v>
      </c>
      <c r="R115">
        <f ca="1">IF(AND(ISNUMBER($R$426),$B$294=1),$R$426,HLOOKUP(INDIRECT(ADDRESS(2,COLUMN())),OFFSET($BN$2,0,0,ROW()-1,60),ROW()-1,FALSE))</f>
        <v>7.6840561989999996</v>
      </c>
      <c r="S115">
        <f ca="1">IF(AND(ISNUMBER($S$426),$B$294=1),$S$426,HLOOKUP(INDIRECT(ADDRESS(2,COLUMN())),OFFSET($BN$2,0,0,ROW()-1,60),ROW()-1,FALSE))</f>
        <v>6.7610753250000002</v>
      </c>
      <c r="T115">
        <f ca="1">IF(AND(ISNUMBER($T$426),$B$294=1),$T$426,HLOOKUP(INDIRECT(ADDRESS(2,COLUMN())),OFFSET($BN$2,0,0,ROW()-1,60),ROW()-1,FALSE))</f>
        <v>5.9351634229999997</v>
      </c>
      <c r="U115">
        <f ca="1">IF(AND(ISNUMBER($U$426),$B$294=1),$U$426,HLOOKUP(INDIRECT(ADDRESS(2,COLUMN())),OFFSET($BN$2,0,0,ROW()-1,60),ROW()-1,FALSE))</f>
        <v>16.831669609999999</v>
      </c>
      <c r="V115">
        <f ca="1">IF(AND(ISNUMBER($V$426),$B$294=1),$V$426,HLOOKUP(INDIRECT(ADDRESS(2,COLUMN())),OFFSET($BN$2,0,0,ROW()-1,60),ROW()-1,FALSE))</f>
        <v>20.40936649</v>
      </c>
      <c r="W115">
        <f ca="1">IF(AND(ISNUMBER($W$426),$B$294=1),$W$426,HLOOKUP(INDIRECT(ADDRESS(2,COLUMN())),OFFSET($BN$2,0,0,ROW()-1,60),ROW()-1,FALSE))</f>
        <v>22.71738315</v>
      </c>
      <c r="X115">
        <f ca="1">IF(AND(ISNUMBER($X$426),$B$294=1),$X$426,HLOOKUP(INDIRECT(ADDRESS(2,COLUMN())),OFFSET($BN$2,0,0,ROW()-1,60),ROW()-1,FALSE))</f>
        <v>25.33910127</v>
      </c>
      <c r="Y115">
        <f ca="1">IF(AND(ISNUMBER($Y$426),$B$294=1),$Y$426,HLOOKUP(INDIRECT(ADDRESS(2,COLUMN())),OFFSET($BN$2,0,0,ROW()-1,60),ROW()-1,FALSE))</f>
        <v>5.5074212710000001</v>
      </c>
      <c r="Z115">
        <f ca="1">IF(AND(ISNUMBER($Z$426),$B$294=1),$Z$426,HLOOKUP(INDIRECT(ADDRESS(2,COLUMN())),OFFSET($BN$2,0,0,ROW()-1,60),ROW()-1,FALSE))</f>
        <v>13.39111819</v>
      </c>
      <c r="AA115">
        <f ca="1">IF(AND(ISNUMBER($AA$426),$B$294=1),$AA$426,HLOOKUP(INDIRECT(ADDRESS(2,COLUMN())),OFFSET($BN$2,0,0,ROW()-1,60),ROW()-1,FALSE))</f>
        <v>10.78753991</v>
      </c>
      <c r="AB115">
        <f ca="1">IF(AND(ISNUMBER($AB$426),$B$294=1),$AB$426,HLOOKUP(INDIRECT(ADDRESS(2,COLUMN())),OFFSET($BN$2,0,0,ROW()-1,60),ROW()-1,FALSE))</f>
        <v>1.2520520049999999</v>
      </c>
      <c r="AC115">
        <f ca="1">IF(AND(ISNUMBER($AC$426),$B$294=1),$AC$426,HLOOKUP(INDIRECT(ADDRESS(2,COLUMN())),OFFSET($BN$2,0,0,ROW()-1,60),ROW()-1,FALSE))</f>
        <v>6.3558670719999997</v>
      </c>
      <c r="AD115">
        <f ca="1">IF(AND(ISNUMBER($AD$426),$B$294=1),$AD$426,HLOOKUP(INDIRECT(ADDRESS(2,COLUMN())),OFFSET($BN$2,0,0,ROW()-1,60),ROW()-1,FALSE))</f>
        <v>2.4563292840000002</v>
      </c>
      <c r="AE115">
        <f ca="1">IF(AND(ISNUMBER($AE$426),$B$294=1),$AE$426,HLOOKUP(INDIRECT(ADDRESS(2,COLUMN())),OFFSET($BN$2,0,0,ROW()-1,60),ROW()-1,FALSE))</f>
        <v>10.4381895</v>
      </c>
      <c r="AF115">
        <f ca="1">IF(AND(ISNUMBER($AF$426),$B$294=1),$AF$426,HLOOKUP(INDIRECT(ADDRESS(2,COLUMN())),OFFSET($BN$2,0,0,ROW()-1,60),ROW()-1,FALSE))</f>
        <v>13.517950730000001</v>
      </c>
      <c r="AG115">
        <f ca="1">IF(AND(ISNUMBER($AG$426),$B$294=1),$AG$426,HLOOKUP(INDIRECT(ADDRESS(2,COLUMN())),OFFSET($BN$2,0,0,ROW()-1,60),ROW()-1,FALSE))</f>
        <v>5.8873793040000004</v>
      </c>
      <c r="AH115">
        <f ca="1">IF(AND(ISNUMBER($AH$426),$B$294=1),$AH$426,HLOOKUP(INDIRECT(ADDRESS(2,COLUMN())),OFFSET($BN$2,0,0,ROW()-1,60),ROW()-1,FALSE))</f>
        <v>8.9207627889999994</v>
      </c>
      <c r="AI115">
        <f ca="1">IF(AND(ISNUMBER($AI$426),$B$294=1),$AI$426,HLOOKUP(INDIRECT(ADDRESS(2,COLUMN())),OFFSET($BN$2,0,0,ROW()-1,60),ROW()-1,FALSE))</f>
        <v>5.9043949339999999</v>
      </c>
      <c r="AJ115">
        <f ca="1">IF(AND(ISNUMBER($AJ$426),$B$294=1),$AJ$426,HLOOKUP(INDIRECT(ADDRESS(2,COLUMN())),OFFSET($BN$2,0,0,ROW()-1,60),ROW()-1,FALSE))</f>
        <v>4.5781918240000001</v>
      </c>
      <c r="AK115">
        <f ca="1">IF(AND(ISNUMBER($AK$426),$B$294=1),$AK$426,HLOOKUP(INDIRECT(ADDRESS(2,COLUMN())),OFFSET($BN$2,0,0,ROW()-1,60),ROW()-1,FALSE))</f>
        <v>3.0426907500000002</v>
      </c>
      <c r="AL115">
        <f ca="1">IF(AND(ISNUMBER($AL$426),$B$294=1),$AL$426,HLOOKUP(INDIRECT(ADDRESS(2,COLUMN())),OFFSET($BN$2,0,0,ROW()-1,60),ROW()-1,FALSE))</f>
        <v>0.66244139599999996</v>
      </c>
      <c r="AM115">
        <f ca="1">IF(AND(ISNUMBER($AM$426),$B$294=1),$AM$426,HLOOKUP(INDIRECT(ADDRESS(2,COLUMN())),OFFSET($BN$2,0,0,ROW()-1,60),ROW()-1,FALSE))</f>
        <v>-7.6068229509999998</v>
      </c>
      <c r="AN115">
        <f ca="1">IF(AND(ISNUMBER($AN$426),$B$294=1),$AN$426,HLOOKUP(INDIRECT(ADDRESS(2,COLUMN())),OFFSET($BN$2,0,0,ROW()-1,60),ROW()-1,FALSE))</f>
        <v>1.6307180509999999</v>
      </c>
      <c r="AO115">
        <f ca="1">IF(AND(ISNUMBER($AO$426),$B$294=1),$AO$426,HLOOKUP(INDIRECT(ADDRESS(2,COLUMN())),OFFSET($BN$2,0,0,ROW()-1,60),ROW()-1,FALSE))</f>
        <v>4.0851862360000002</v>
      </c>
      <c r="AP115">
        <f ca="1">IF(AND(ISNUMBER($AP$426),$B$294=1),$AP$426,HLOOKUP(INDIRECT(ADDRESS(2,COLUMN())),OFFSET($BN$2,0,0,ROW()-1,60),ROW()-1,FALSE))</f>
        <v>0.75844392199999999</v>
      </c>
      <c r="AQ115">
        <f ca="1">IF(AND(ISNUMBER($AQ$426),$B$294=1),$AQ$426,HLOOKUP(INDIRECT(ADDRESS(2,COLUMN())),OFFSET($BN$2,0,0,ROW()-1,60),ROW()-1,FALSE))</f>
        <v>6.600456104</v>
      </c>
      <c r="AR115">
        <f ca="1">IF(AND(ISNUMBER($AR$426),$B$294=1),$AR$426,HLOOKUP(INDIRECT(ADDRESS(2,COLUMN())),OFFSET($BN$2,0,0,ROW()-1,60),ROW()-1,FALSE))</f>
        <v>-0.32166107199999999</v>
      </c>
      <c r="AS115">
        <f ca="1">IF(AND(ISNUMBER($AS$426),$B$294=1),$AS$426,HLOOKUP(INDIRECT(ADDRESS(2,COLUMN())),OFFSET($BN$2,0,0,ROW()-1,60),ROW()-1,FALSE))</f>
        <v>2.4455124619999999</v>
      </c>
      <c r="AT115">
        <f ca="1">IF(AND(ISNUMBER($AT$426),$B$294=1),$AT$426,HLOOKUP(INDIRECT(ADDRESS(2,COLUMN())),OFFSET($BN$2,0,0,ROW()-1,60),ROW()-1,FALSE))</f>
        <v>2.0037031249999999</v>
      </c>
      <c r="AU115">
        <f ca="1">IF(AND(ISNUMBER($AU$426),$B$294=1),$AU$426,HLOOKUP(INDIRECT(ADDRESS(2,COLUMN())),OFFSET($BN$2,0,0,ROW()-1,60),ROW()-1,FALSE))</f>
        <v>2.115896556</v>
      </c>
      <c r="AV115">
        <f ca="1">IF(AND(ISNUMBER($AV$426),$B$294=1),$AV$426,HLOOKUP(INDIRECT(ADDRESS(2,COLUMN())),OFFSET($BN$2,0,0,ROW()-1,60),ROW()-1,FALSE))</f>
        <v>-1.792440692</v>
      </c>
      <c r="AW115">
        <f ca="1">IF(AND(ISNUMBER($AW$426),$B$294=1),$AW$426,HLOOKUP(INDIRECT(ADDRESS(2,COLUMN())),OFFSET($BN$2,0,0,ROW()-1,60),ROW()-1,FALSE))</f>
        <v>-3.2798581680000001</v>
      </c>
      <c r="AX115">
        <f ca="1">IF(AND(ISNUMBER($AX$426),$B$294=1),$AX$426,HLOOKUP(INDIRECT(ADDRESS(2,COLUMN())),OFFSET($BN$2,0,0,ROW()-1,60),ROW()-1,FALSE))</f>
        <v>-1.9398956110000001</v>
      </c>
      <c r="AY115">
        <f ca="1">IF(AND(ISNUMBER($AY$426),$B$294=1),$AY$426,HLOOKUP(INDIRECT(ADDRESS(2,COLUMN())),OFFSET($BN$2,0,0,ROW()-1,60),ROW()-1,FALSE))</f>
        <v>-1.8113823410000001</v>
      </c>
      <c r="AZ115">
        <f ca="1">IF(AND(ISNUMBER($AZ$426),$B$294=1),$AZ$426,HLOOKUP(INDIRECT(ADDRESS(2,COLUMN())),OFFSET($BN$2,0,0,ROW()-1,60),ROW()-1,FALSE))</f>
        <v>-0.17538653700000001</v>
      </c>
      <c r="BA115">
        <f ca="1">IF(AND(ISNUMBER($BA$426),$B$294=1),$BA$426,HLOOKUP(INDIRECT(ADDRESS(2,COLUMN())),OFFSET($BN$2,0,0,ROW()-1,60),ROW()-1,FALSE))</f>
        <v>0.11342089499999999</v>
      </c>
      <c r="BB115">
        <f ca="1">IF(AND(ISNUMBER($BB$426),$B$294=1),$BB$426,HLOOKUP(INDIRECT(ADDRESS(2,COLUMN())),OFFSET($BN$2,0,0,ROW()-1,60),ROW()-1,FALSE))</f>
        <v>-1.505201196</v>
      </c>
      <c r="BC115">
        <f ca="1">IF(AND(ISNUMBER($BC$426),$B$294=1),$BC$426,HLOOKUP(INDIRECT(ADDRESS(2,COLUMN())),OFFSET($BN$2,0,0,ROW()-1,60),ROW()-1,FALSE))</f>
        <v>-0.72002911300000005</v>
      </c>
      <c r="BD115">
        <f ca="1">IF(AND(ISNUMBER($BD$426),$B$294=1),$BD$426,HLOOKUP(INDIRECT(ADDRESS(2,COLUMN())),OFFSET($BN$2,0,0,ROW()-1,60),ROW()-1,FALSE))</f>
        <v>-1.7065217859999999</v>
      </c>
      <c r="BE115">
        <f ca="1">IF(AND(ISNUMBER($BE$426),$B$294=1),$BE$426,HLOOKUP(INDIRECT(ADDRESS(2,COLUMN())),OFFSET($BN$2,0,0,ROW()-1,60),ROW()-1,FALSE))</f>
        <v>3.5805087599999998</v>
      </c>
      <c r="BF115">
        <f ca="1">IF(AND(ISNUMBER($BF$426),$B$294=1),$BF$426,HLOOKUP(INDIRECT(ADDRESS(2,COLUMN())),OFFSET($BN$2,0,0,ROW()-1,60),ROW()-1,FALSE))</f>
        <v>9.5065969540000008</v>
      </c>
      <c r="BG115">
        <f ca="1">IF(AND(ISNUMBER($BG$426),$B$294=1),$BG$426,HLOOKUP(INDIRECT(ADDRESS(2,COLUMN())),OFFSET($BN$2,0,0,ROW()-1,60),ROW()-1,FALSE))</f>
        <v>8.5183633709999995</v>
      </c>
      <c r="BH115">
        <f ca="1">IF(AND(ISNUMBER($BH$426),$B$294=1),$BH$426,HLOOKUP(INDIRECT(ADDRESS(2,COLUMN())),OFFSET($BN$2,0,0,ROW()-1,60),ROW()-1,FALSE))</f>
        <v>12.90477321</v>
      </c>
      <c r="BI115">
        <f ca="1">IF(AND(ISNUMBER($BI$426),$B$294=1),$BI$426,HLOOKUP(INDIRECT(ADDRESS(2,COLUMN())),OFFSET($BN$2,0,0,ROW()-1,60),ROW()-1,FALSE))</f>
        <v>41.231492150000001</v>
      </c>
      <c r="BJ115">
        <f ca="1">IF(AND(ISNUMBER($BJ$426),$B$294=1),$BJ$426,HLOOKUP(INDIRECT(ADDRESS(2,COLUMN())),OFFSET($BN$2,0,0,ROW()-1,60),ROW()-1,FALSE))</f>
        <v>3.2024934260000002</v>
      </c>
      <c r="BK115">
        <f ca="1">IF(AND(ISNUMBER($BK$426),$B$294=1),$BK$426,HLOOKUP(INDIRECT(ADDRESS(2,COLUMN())),OFFSET($BN$2,0,0,ROW()-1,60),ROW()-1,FALSE))</f>
        <v>1.472682163</v>
      </c>
      <c r="BL115">
        <f ca="1">IF(AND(ISNUMBER($BL$426),$B$294=1),$BL$426,HLOOKUP(INDIRECT(ADDRESS(2,COLUMN())),OFFSET($BN$2,0,0,ROW()-1,60),ROW()-1,FALSE))</f>
        <v>10.065661739999999</v>
      </c>
      <c r="BM115">
        <f ca="1">IF(AND(ISNUMBER($BM$426),$B$294=1),$BM$426,HLOOKUP(INDIRECT(ADDRESS(2,COLUMN())),OFFSET($BN$2,0,0,ROW()-1,60),ROW()-1,FALSE))</f>
        <v>-17.96622443</v>
      </c>
      <c r="BN115" t="str">
        <f>""</f>
        <v/>
      </c>
      <c r="BO115">
        <f>2.08792103</f>
        <v>2.08792103</v>
      </c>
      <c r="BP115">
        <f>6.024519134</f>
        <v>6.0245191340000002</v>
      </c>
      <c r="BQ115">
        <f>5.15874872</f>
        <v>5.1587487200000002</v>
      </c>
      <c r="BR115">
        <f>-9.523676764</f>
        <v>-9.5236767639999993</v>
      </c>
      <c r="BS115">
        <f>1.155178756</f>
        <v>1.155178756</v>
      </c>
      <c r="BT115">
        <f>-3.376962275</f>
        <v>-3.3769622749999999</v>
      </c>
      <c r="BU115">
        <f>0.775940858</f>
        <v>0.77594085800000001</v>
      </c>
      <c r="BV115">
        <f>13.13051135</f>
        <v>13.130511350000001</v>
      </c>
      <c r="BW115">
        <f>1.193959145</f>
        <v>1.193959145</v>
      </c>
      <c r="BX115">
        <f>8.790253852</f>
        <v>8.7902538519999993</v>
      </c>
      <c r="BY115">
        <f>11.92762468</f>
        <v>11.927624679999999</v>
      </c>
      <c r="BZ115">
        <f>7.684056199</f>
        <v>7.6840561989999996</v>
      </c>
      <c r="CA115">
        <f>6.761075325</f>
        <v>6.7610753250000002</v>
      </c>
      <c r="CB115">
        <f>5.935163423</f>
        <v>5.9351634229999997</v>
      </c>
      <c r="CC115">
        <f>16.83166961</f>
        <v>16.831669609999999</v>
      </c>
      <c r="CD115">
        <f>20.40936649</f>
        <v>20.40936649</v>
      </c>
      <c r="CE115">
        <f>22.71738315</f>
        <v>22.71738315</v>
      </c>
      <c r="CF115">
        <f>25.33910127</f>
        <v>25.33910127</v>
      </c>
      <c r="CG115">
        <f>5.507421271</f>
        <v>5.5074212710000001</v>
      </c>
      <c r="CH115">
        <f>13.39111819</f>
        <v>13.39111819</v>
      </c>
      <c r="CI115">
        <f>10.78753991</f>
        <v>10.78753991</v>
      </c>
      <c r="CJ115">
        <f>1.252052005</f>
        <v>1.2520520049999999</v>
      </c>
      <c r="CK115">
        <f>6.355867072</f>
        <v>6.3558670719999997</v>
      </c>
      <c r="CL115">
        <f>2.456329284</f>
        <v>2.4563292840000002</v>
      </c>
      <c r="CM115">
        <f>10.4381895</f>
        <v>10.4381895</v>
      </c>
      <c r="CN115">
        <f>13.51795073</f>
        <v>13.517950730000001</v>
      </c>
      <c r="CO115">
        <f>5.887379304</f>
        <v>5.8873793040000004</v>
      </c>
      <c r="CP115">
        <f>8.920762789</f>
        <v>8.9207627889999994</v>
      </c>
      <c r="CQ115">
        <f>5.904394934</f>
        <v>5.9043949339999999</v>
      </c>
      <c r="CR115">
        <f>4.578191824</f>
        <v>4.5781918240000001</v>
      </c>
      <c r="CS115">
        <f>3.04269075</f>
        <v>3.0426907500000002</v>
      </c>
      <c r="CT115">
        <f>0.662441396</f>
        <v>0.66244139599999996</v>
      </c>
      <c r="CU115">
        <f>-7.606822951</f>
        <v>-7.6068229509999998</v>
      </c>
      <c r="CV115">
        <f>1.630718051</f>
        <v>1.6307180509999999</v>
      </c>
      <c r="CW115">
        <f>4.085186236</f>
        <v>4.0851862360000002</v>
      </c>
      <c r="CX115">
        <f>0.758443922</f>
        <v>0.75844392199999999</v>
      </c>
      <c r="CY115">
        <f>6.600456104</f>
        <v>6.600456104</v>
      </c>
      <c r="CZ115">
        <f>-0.321661072</f>
        <v>-0.32166107199999999</v>
      </c>
      <c r="DA115">
        <f>2.445512462</f>
        <v>2.4455124619999999</v>
      </c>
      <c r="DB115">
        <f>2.003703125</f>
        <v>2.0037031249999999</v>
      </c>
      <c r="DC115">
        <f>2.115896556</f>
        <v>2.115896556</v>
      </c>
      <c r="DD115">
        <f>-1.792440692</f>
        <v>-1.792440692</v>
      </c>
      <c r="DE115">
        <f>-3.279858168</f>
        <v>-3.2798581680000001</v>
      </c>
      <c r="DF115">
        <f>-1.939895611</f>
        <v>-1.9398956110000001</v>
      </c>
      <c r="DG115">
        <f>-1.811382341</f>
        <v>-1.8113823410000001</v>
      </c>
      <c r="DH115">
        <f>-0.175386537</f>
        <v>-0.17538653700000001</v>
      </c>
      <c r="DI115">
        <f>0.113420895</f>
        <v>0.11342089499999999</v>
      </c>
      <c r="DJ115">
        <f>-1.505201196</f>
        <v>-1.505201196</v>
      </c>
      <c r="DK115">
        <f>-0.720029113</f>
        <v>-0.72002911300000005</v>
      </c>
      <c r="DL115">
        <f>-1.706521786</f>
        <v>-1.7065217859999999</v>
      </c>
      <c r="DM115">
        <f>3.58050876</f>
        <v>3.5805087599999998</v>
      </c>
      <c r="DN115">
        <f>9.506596954</f>
        <v>9.5065969540000008</v>
      </c>
      <c r="DO115">
        <f>8.518363371</f>
        <v>8.5183633709999995</v>
      </c>
      <c r="DP115">
        <f>12.90477321</f>
        <v>12.90477321</v>
      </c>
      <c r="DQ115">
        <f>41.23149215</f>
        <v>41.231492150000001</v>
      </c>
      <c r="DR115">
        <f>3.202493426</f>
        <v>3.2024934260000002</v>
      </c>
      <c r="DS115">
        <f>1.472682163</f>
        <v>1.472682163</v>
      </c>
      <c r="DT115">
        <f>10.06566174</f>
        <v>10.065661739999999</v>
      </c>
      <c r="DU115">
        <f>-17.96622443</f>
        <v>-17.96622443</v>
      </c>
    </row>
    <row r="116" spans="1:125">
      <c r="A116" t="str">
        <f>"    Brandywine Realty Trust"</f>
        <v xml:space="preserve">    Brandywine Realty Trust</v>
      </c>
      <c r="B116" t="str">
        <f>"BDN US Equity"</f>
        <v>BDN US Equity</v>
      </c>
      <c r="C116" t="str">
        <f t="shared" si="30"/>
        <v>RR551</v>
      </c>
      <c r="D116" t="str">
        <f t="shared" si="31"/>
        <v>NOI_GROWTH</v>
      </c>
      <c r="E116" t="str">
        <f t="shared" si="32"/>
        <v>动态</v>
      </c>
      <c r="F116" t="str">
        <f ca="1">IF(AND(ISNUMBER($F$427),$B$294=1),$F$427,HLOOKUP(INDIRECT(ADDRESS(2,COLUMN())),OFFSET($BN$2,0,0,ROW()-1,60),ROW()-1,FALSE))</f>
        <v/>
      </c>
      <c r="G116">
        <f ca="1">IF(AND(ISNUMBER($G$427),$B$294=1),$G$427,HLOOKUP(INDIRECT(ADDRESS(2,COLUMN())),OFFSET($BN$2,0,0,ROW()-1,60),ROW()-1,FALSE))</f>
        <v>1.4140864769999999</v>
      </c>
      <c r="H116">
        <f ca="1">IF(AND(ISNUMBER($H$427),$B$294=1),$H$427,HLOOKUP(INDIRECT(ADDRESS(2,COLUMN())),OFFSET($BN$2,0,0,ROW()-1,60),ROW()-1,FALSE))</f>
        <v>-1.537408111</v>
      </c>
      <c r="I116">
        <f ca="1">IF(AND(ISNUMBER($I$427),$B$294=1),$I$427,HLOOKUP(INDIRECT(ADDRESS(2,COLUMN())),OFFSET($BN$2,0,0,ROW()-1,60),ROW()-1,FALSE))</f>
        <v>0.12483246200000001</v>
      </c>
      <c r="J116">
        <f ca="1">IF(AND(ISNUMBER($J$427),$B$294=1),$J$427,HLOOKUP(INDIRECT(ADDRESS(2,COLUMN())),OFFSET($BN$2,0,0,ROW()-1,60),ROW()-1,FALSE))</f>
        <v>-2.503365402</v>
      </c>
      <c r="K116">
        <f ca="1">IF(AND(ISNUMBER($K$427),$B$294=1),$K$427,HLOOKUP(INDIRECT(ADDRESS(2,COLUMN())),OFFSET($BN$2,0,0,ROW()-1,60),ROW()-1,FALSE))</f>
        <v>-14.5952223</v>
      </c>
      <c r="L116">
        <f ca="1">IF(AND(ISNUMBER($L$427),$B$294=1),$L$427,HLOOKUP(INDIRECT(ADDRESS(2,COLUMN())),OFFSET($BN$2,0,0,ROW()-1,60),ROW()-1,FALSE))</f>
        <v>-16.383454499999999</v>
      </c>
      <c r="M116">
        <f ca="1">IF(AND(ISNUMBER($M$427),$B$294=1),$M$427,HLOOKUP(INDIRECT(ADDRESS(2,COLUMN())),OFFSET($BN$2,0,0,ROW()-1,60),ROW()-1,FALSE))</f>
        <v>-13.58330305</v>
      </c>
      <c r="N116">
        <f ca="1">IF(AND(ISNUMBER($N$427),$B$294=1),$N$427,HLOOKUP(INDIRECT(ADDRESS(2,COLUMN())),OFFSET($BN$2,0,0,ROW()-1,60),ROW()-1,FALSE))</f>
        <v>-6.7948983590000003</v>
      </c>
      <c r="O116">
        <f ca="1">IF(AND(ISNUMBER($O$427),$B$294=1),$O$427,HLOOKUP(INDIRECT(ADDRESS(2,COLUMN())),OFFSET($BN$2,0,0,ROW()-1,60),ROW()-1,FALSE))</f>
        <v>2.9477063910000001</v>
      </c>
      <c r="P116">
        <f ca="1">IF(AND(ISNUMBER($P$427),$B$294=1),$P$427,HLOOKUP(INDIRECT(ADDRESS(2,COLUMN())),OFFSET($BN$2,0,0,ROW()-1,60),ROW()-1,FALSE))</f>
        <v>4.5953763759999999</v>
      </c>
      <c r="Q116">
        <f ca="1">IF(AND(ISNUMBER($Q$427),$B$294=1),$Q$427,HLOOKUP(INDIRECT(ADDRESS(2,COLUMN())),OFFSET($BN$2,0,0,ROW()-1,60),ROW()-1,FALSE))</f>
        <v>-4.229334551</v>
      </c>
      <c r="R116">
        <f ca="1">IF(AND(ISNUMBER($R$427),$B$294=1),$R$427,HLOOKUP(INDIRECT(ADDRESS(2,COLUMN())),OFFSET($BN$2,0,0,ROW()-1,60),ROW()-1,FALSE))</f>
        <v>-2.9449223550000001</v>
      </c>
      <c r="S116">
        <f ca="1">IF(AND(ISNUMBER($S$427),$B$294=1),$S$427,HLOOKUP(INDIRECT(ADDRESS(2,COLUMN())),OFFSET($BN$2,0,0,ROW()-1,60),ROW()-1,FALSE))</f>
        <v>6.885473331</v>
      </c>
      <c r="T116">
        <f ca="1">IF(AND(ISNUMBER($T$427),$B$294=1),$T$427,HLOOKUP(INDIRECT(ADDRESS(2,COLUMN())),OFFSET($BN$2,0,0,ROW()-1,60),ROW()-1,FALSE))</f>
        <v>2.6038768320000001</v>
      </c>
      <c r="U116">
        <f ca="1">IF(AND(ISNUMBER($U$427),$B$294=1),$U$427,HLOOKUP(INDIRECT(ADDRESS(2,COLUMN())),OFFSET($BN$2,0,0,ROW()-1,60),ROW()-1,FALSE))</f>
        <v>9.1896834260000002</v>
      </c>
      <c r="V116">
        <f ca="1">IF(AND(ISNUMBER($V$427),$B$294=1),$V$427,HLOOKUP(INDIRECT(ADDRESS(2,COLUMN())),OFFSET($BN$2,0,0,ROW()-1,60),ROW()-1,FALSE))</f>
        <v>7.054011386</v>
      </c>
      <c r="W116">
        <f ca="1">IF(AND(ISNUMBER($W$427),$B$294=1),$W$427,HLOOKUP(INDIRECT(ADDRESS(2,COLUMN())),OFFSET($BN$2,0,0,ROW()-1,60),ROW()-1,FALSE))</f>
        <v>1.6124843879999999</v>
      </c>
      <c r="X116">
        <f ca="1">IF(AND(ISNUMBER($X$427),$B$294=1),$X$427,HLOOKUP(INDIRECT(ADDRESS(2,COLUMN())),OFFSET($BN$2,0,0,ROW()-1,60),ROW()-1,FALSE))</f>
        <v>8.7402140609999996</v>
      </c>
      <c r="Y116">
        <f ca="1">IF(AND(ISNUMBER($Y$427),$B$294=1),$Y$427,HLOOKUP(INDIRECT(ADDRESS(2,COLUMN())),OFFSET($BN$2,0,0,ROW()-1,60),ROW()-1,FALSE))</f>
        <v>5.5577839060000001</v>
      </c>
      <c r="Z116">
        <f ca="1">IF(AND(ISNUMBER($Z$427),$B$294=1),$Z$427,HLOOKUP(INDIRECT(ADDRESS(2,COLUMN())),OFFSET($BN$2,0,0,ROW()-1,60),ROW()-1,FALSE))</f>
        <v>4.3415322029999999</v>
      </c>
      <c r="AA116">
        <f ca="1">IF(AND(ISNUMBER($AA$427),$B$294=1),$AA$427,HLOOKUP(INDIRECT(ADDRESS(2,COLUMN())),OFFSET($BN$2,0,0,ROW()-1,60),ROW()-1,FALSE))</f>
        <v>-1.0074425890000001</v>
      </c>
      <c r="AB116">
        <f ca="1">IF(AND(ISNUMBER($AB$427),$B$294=1),$AB$427,HLOOKUP(INDIRECT(ADDRESS(2,COLUMN())),OFFSET($BN$2,0,0,ROW()-1,60),ROW()-1,FALSE))</f>
        <v>-4.5164008430000004</v>
      </c>
      <c r="AC116">
        <f ca="1">IF(AND(ISNUMBER($AC$427),$B$294=1),$AC$427,HLOOKUP(INDIRECT(ADDRESS(2,COLUMN())),OFFSET($BN$2,0,0,ROW()-1,60),ROW()-1,FALSE))</f>
        <v>-4.4619548299999998</v>
      </c>
      <c r="AD116">
        <f ca="1">IF(AND(ISNUMBER($AD$427),$B$294=1),$AD$427,HLOOKUP(INDIRECT(ADDRESS(2,COLUMN())),OFFSET($BN$2,0,0,ROW()-1,60),ROW()-1,FALSE))</f>
        <v>-3.1566862050000002</v>
      </c>
      <c r="AE116">
        <f ca="1">IF(AND(ISNUMBER($AE$427),$B$294=1),$AE$427,HLOOKUP(INDIRECT(ADDRESS(2,COLUMN())),OFFSET($BN$2,0,0,ROW()-1,60),ROW()-1,FALSE))</f>
        <v>-3.4978087009999999</v>
      </c>
      <c r="AF116">
        <f ca="1">IF(AND(ISNUMBER($AF$427),$B$294=1),$AF$427,HLOOKUP(INDIRECT(ADDRESS(2,COLUMN())),OFFSET($BN$2,0,0,ROW()-1,60),ROW()-1,FALSE))</f>
        <v>0.34424447400000002</v>
      </c>
      <c r="AG116">
        <f ca="1">IF(AND(ISNUMBER($AG$427),$B$294=1),$AG$427,HLOOKUP(INDIRECT(ADDRESS(2,COLUMN())),OFFSET($BN$2,0,0,ROW()-1,60),ROW()-1,FALSE))</f>
        <v>2.3596180480000002</v>
      </c>
      <c r="AH116">
        <f ca="1">IF(AND(ISNUMBER($AH$427),$B$294=1),$AH$427,HLOOKUP(INDIRECT(ADDRESS(2,COLUMN())),OFFSET($BN$2,0,0,ROW()-1,60),ROW()-1,FALSE))</f>
        <v>1.123114902</v>
      </c>
      <c r="AI116">
        <f ca="1">IF(AND(ISNUMBER($AI$427),$B$294=1),$AI$427,HLOOKUP(INDIRECT(ADDRESS(2,COLUMN())),OFFSET($BN$2,0,0,ROW()-1,60),ROW()-1,FALSE))</f>
        <v>1.5206571929999999</v>
      </c>
      <c r="AJ116">
        <f ca="1">IF(AND(ISNUMBER($AJ$427),$B$294=1),$AJ$427,HLOOKUP(INDIRECT(ADDRESS(2,COLUMN())),OFFSET($BN$2,0,0,ROW()-1,60),ROW()-1,FALSE))</f>
        <v>-6.856127087</v>
      </c>
      <c r="AK116">
        <f ca="1">IF(AND(ISNUMBER($AK$427),$B$294=1),$AK$427,HLOOKUP(INDIRECT(ADDRESS(2,COLUMN())),OFFSET($BN$2,0,0,ROW()-1,60),ROW()-1,FALSE))</f>
        <v>-5.6485283060000002</v>
      </c>
      <c r="AL116">
        <f ca="1">IF(AND(ISNUMBER($AL$427),$B$294=1),$AL$427,HLOOKUP(INDIRECT(ADDRESS(2,COLUMN())),OFFSET($BN$2,0,0,ROW()-1,60),ROW()-1,FALSE))</f>
        <v>-4.2758039800000001</v>
      </c>
      <c r="AM116">
        <f ca="1">IF(AND(ISNUMBER($AM$427),$B$294=1),$AM$427,HLOOKUP(INDIRECT(ADDRESS(2,COLUMN())),OFFSET($BN$2,0,0,ROW()-1,60),ROW()-1,FALSE))</f>
        <v>-6.2889830409999998</v>
      </c>
      <c r="AN116">
        <f ca="1">IF(AND(ISNUMBER($AN$427),$B$294=1),$AN$427,HLOOKUP(INDIRECT(ADDRESS(2,COLUMN())),OFFSET($BN$2,0,0,ROW()-1,60),ROW()-1,FALSE))</f>
        <v>0.87730249299999996</v>
      </c>
      <c r="AO116">
        <f ca="1">IF(AND(ISNUMBER($AO$427),$B$294=1),$AO$427,HLOOKUP(INDIRECT(ADDRESS(2,COLUMN())),OFFSET($BN$2,0,0,ROW()-1,60),ROW()-1,FALSE))</f>
        <v>-6.1050962679999996</v>
      </c>
      <c r="AP116">
        <f ca="1">IF(AND(ISNUMBER($AP$427),$B$294=1),$AP$427,HLOOKUP(INDIRECT(ADDRESS(2,COLUMN())),OFFSET($BN$2,0,0,ROW()-1,60),ROW()-1,FALSE))</f>
        <v>-7.8173190979999996</v>
      </c>
      <c r="AQ116">
        <f ca="1">IF(AND(ISNUMBER($AQ$427),$B$294=1),$AQ$427,HLOOKUP(INDIRECT(ADDRESS(2,COLUMN())),OFFSET($BN$2,0,0,ROW()-1,60),ROW()-1,FALSE))</f>
        <v>-7.4502829090000002</v>
      </c>
      <c r="AR116">
        <f ca="1">IF(AND(ISNUMBER($AR$427),$B$294=1),$AR$427,HLOOKUP(INDIRECT(ADDRESS(2,COLUMN())),OFFSET($BN$2,0,0,ROW()-1,60),ROW()-1,FALSE))</f>
        <v>-11.638052070000001</v>
      </c>
      <c r="AS116">
        <f ca="1">IF(AND(ISNUMBER($AS$427),$B$294=1),$AS$427,HLOOKUP(INDIRECT(ADDRESS(2,COLUMN())),OFFSET($BN$2,0,0,ROW()-1,60),ROW()-1,FALSE))</f>
        <v>0.14245943699999999</v>
      </c>
      <c r="AT116">
        <f ca="1">IF(AND(ISNUMBER($AT$427),$B$294=1),$AT$427,HLOOKUP(INDIRECT(ADDRESS(2,COLUMN())),OFFSET($BN$2,0,0,ROW()-1,60),ROW()-1,FALSE))</f>
        <v>-9.6788646790000001</v>
      </c>
      <c r="AU116">
        <f ca="1">IF(AND(ISNUMBER($AU$427),$B$294=1),$AU$427,HLOOKUP(INDIRECT(ADDRESS(2,COLUMN())),OFFSET($BN$2,0,0,ROW()-1,60),ROW()-1,FALSE))</f>
        <v>-7.9045174139999999</v>
      </c>
      <c r="AV116">
        <f ca="1">IF(AND(ISNUMBER($AV$427),$B$294=1),$AV$427,HLOOKUP(INDIRECT(ADDRESS(2,COLUMN())),OFFSET($BN$2,0,0,ROW()-1,60),ROW()-1,FALSE))</f>
        <v>8.1788298600000005</v>
      </c>
      <c r="AW116">
        <f ca="1">IF(AND(ISNUMBER($AW$427),$B$294=1),$AW$427,HLOOKUP(INDIRECT(ADDRESS(2,COLUMN())),OFFSET($BN$2,0,0,ROW()-1,60),ROW()-1,FALSE))</f>
        <v>2.092793463</v>
      </c>
      <c r="AX116">
        <f ca="1">IF(AND(ISNUMBER($AX$427),$B$294=1),$AX$427,HLOOKUP(INDIRECT(ADDRESS(2,COLUMN())),OFFSET($BN$2,0,0,ROW()-1,60),ROW()-1,FALSE))</f>
        <v>21.467783539999999</v>
      </c>
      <c r="AY116">
        <f ca="1">IF(AND(ISNUMBER($AY$427),$B$294=1),$AY$427,HLOOKUP(INDIRECT(ADDRESS(2,COLUMN())),OFFSET($BN$2,0,0,ROW()-1,60),ROW()-1,FALSE))</f>
        <v>76.654934339999997</v>
      </c>
      <c r="AZ116">
        <f ca="1">IF(AND(ISNUMBER($AZ$427),$B$294=1),$AZ$427,HLOOKUP(INDIRECT(ADDRESS(2,COLUMN())),OFFSET($BN$2,0,0,ROW()-1,60),ROW()-1,FALSE))</f>
        <v>65.815794210000007</v>
      </c>
      <c r="BA116">
        <f ca="1">IF(AND(ISNUMBER($BA$427),$B$294=1),$BA$427,HLOOKUP(INDIRECT(ADDRESS(2,COLUMN())),OFFSET($BN$2,0,0,ROW()-1,60),ROW()-1,FALSE))</f>
        <v>62.583032490000001</v>
      </c>
      <c r="BB116">
        <f ca="1">IF(AND(ISNUMBER($BB$427),$B$294=1),$BB$427,HLOOKUP(INDIRECT(ADDRESS(2,COLUMN())),OFFSET($BN$2,0,0,ROW()-1,60),ROW()-1,FALSE))</f>
        <v>57.180049840000002</v>
      </c>
      <c r="BC116">
        <f ca="1">IF(AND(ISNUMBER($BC$427),$B$294=1),$BC$427,HLOOKUP(INDIRECT(ADDRESS(2,COLUMN())),OFFSET($BN$2,0,0,ROW()-1,60),ROW()-1,FALSE))</f>
        <v>2.657818851</v>
      </c>
      <c r="BD116">
        <f ca="1">IF(AND(ISNUMBER($BD$427),$B$294=1),$BD$427,HLOOKUP(INDIRECT(ADDRESS(2,COLUMN())),OFFSET($BN$2,0,0,ROW()-1,60),ROW()-1,FALSE))</f>
        <v>19.28672589</v>
      </c>
      <c r="BE116">
        <f ca="1">IF(AND(ISNUMBER($BE$427),$B$294=1),$BE$427,HLOOKUP(INDIRECT(ADDRESS(2,COLUMN())),OFFSET($BN$2,0,0,ROW()-1,60),ROW()-1,FALSE))</f>
        <v>21.827857680000001</v>
      </c>
      <c r="BF116">
        <f ca="1">IF(AND(ISNUMBER($BF$427),$B$294=1),$BF$427,HLOOKUP(INDIRECT(ADDRESS(2,COLUMN())),OFFSET($BN$2,0,0,ROW()-1,60),ROW()-1,FALSE))</f>
        <v>26.402143760000001</v>
      </c>
      <c r="BG116" t="str">
        <f ca="1">IF(AND(ISNUMBER($BG$427),$B$294=1),$BG$427,HLOOKUP(INDIRECT(ADDRESS(2,COLUMN())),OFFSET($BN$2,0,0,ROW()-1,60),ROW()-1,FALSE))</f>
        <v/>
      </c>
      <c r="BH116">
        <f ca="1">IF(AND(ISNUMBER($BH$427),$B$294=1),$BH$427,HLOOKUP(INDIRECT(ADDRESS(2,COLUMN())),OFFSET($BN$2,0,0,ROW()-1,60),ROW()-1,FALSE))</f>
        <v>-0.66716401999999997</v>
      </c>
      <c r="BI116">
        <f ca="1">IF(AND(ISNUMBER($BI$427),$B$294=1),$BI$427,HLOOKUP(INDIRECT(ADDRESS(2,COLUMN())),OFFSET($BN$2,0,0,ROW()-1,60),ROW()-1,FALSE))</f>
        <v>-3.6975857689999998</v>
      </c>
      <c r="BJ116">
        <f ca="1">IF(AND(ISNUMBER($BJ$427),$B$294=1),$BJ$427,HLOOKUP(INDIRECT(ADDRESS(2,COLUMN())),OFFSET($BN$2,0,0,ROW()-1,60),ROW()-1,FALSE))</f>
        <v>-4.6549676150000003</v>
      </c>
      <c r="BK116" t="str">
        <f ca="1">IF(AND(ISNUMBER($BK$427),$B$294=1),$BK$427,HLOOKUP(INDIRECT(ADDRESS(2,COLUMN())),OFFSET($BN$2,0,0,ROW()-1,60),ROW()-1,FALSE))</f>
        <v/>
      </c>
      <c r="BL116">
        <f ca="1">IF(AND(ISNUMBER($BL$427),$B$294=1),$BL$427,HLOOKUP(INDIRECT(ADDRESS(2,COLUMN())),OFFSET($BN$2,0,0,ROW()-1,60),ROW()-1,FALSE))</f>
        <v>1.0293515950000001</v>
      </c>
      <c r="BM116">
        <f ca="1">IF(AND(ISNUMBER($BM$427),$B$294=1),$BM$427,HLOOKUP(INDIRECT(ADDRESS(2,COLUMN())),OFFSET($BN$2,0,0,ROW()-1,60),ROW()-1,FALSE))</f>
        <v>2.9947433860000001</v>
      </c>
      <c r="BN116" t="str">
        <f>""</f>
        <v/>
      </c>
      <c r="BO116">
        <f>1.414086477</f>
        <v>1.4140864769999999</v>
      </c>
      <c r="BP116">
        <f>-1.537408111</f>
        <v>-1.537408111</v>
      </c>
      <c r="BQ116">
        <f>0.124832462</f>
        <v>0.12483246200000001</v>
      </c>
      <c r="BR116">
        <f>-2.503365402</f>
        <v>-2.503365402</v>
      </c>
      <c r="BS116">
        <f>-14.5952223</f>
        <v>-14.5952223</v>
      </c>
      <c r="BT116">
        <f>-16.3834545</f>
        <v>-16.383454499999999</v>
      </c>
      <c r="BU116">
        <f>-13.58330305</f>
        <v>-13.58330305</v>
      </c>
      <c r="BV116">
        <f>-6.794898359</f>
        <v>-6.7948983590000003</v>
      </c>
      <c r="BW116">
        <f>2.947706391</f>
        <v>2.9477063910000001</v>
      </c>
      <c r="BX116">
        <f>4.595376376</f>
        <v>4.5953763759999999</v>
      </c>
      <c r="BY116">
        <f>-4.229334551</f>
        <v>-4.229334551</v>
      </c>
      <c r="BZ116">
        <f>-2.944922355</f>
        <v>-2.9449223550000001</v>
      </c>
      <c r="CA116">
        <f>6.885473331</f>
        <v>6.885473331</v>
      </c>
      <c r="CB116">
        <f>2.603876832</f>
        <v>2.6038768320000001</v>
      </c>
      <c r="CC116">
        <f>9.189683426</f>
        <v>9.1896834260000002</v>
      </c>
      <c r="CD116">
        <f>7.054011386</f>
        <v>7.054011386</v>
      </c>
      <c r="CE116">
        <f>1.612484388</f>
        <v>1.6124843879999999</v>
      </c>
      <c r="CF116">
        <f>8.740214061</f>
        <v>8.7402140609999996</v>
      </c>
      <c r="CG116">
        <f>5.557783906</f>
        <v>5.5577839060000001</v>
      </c>
      <c r="CH116">
        <f>4.341532203</f>
        <v>4.3415322029999999</v>
      </c>
      <c r="CI116">
        <f>-1.007442589</f>
        <v>-1.0074425890000001</v>
      </c>
      <c r="CJ116">
        <f>-4.516400843</f>
        <v>-4.5164008430000004</v>
      </c>
      <c r="CK116">
        <f>-4.46195483</f>
        <v>-4.4619548299999998</v>
      </c>
      <c r="CL116">
        <f>-3.156686205</f>
        <v>-3.1566862050000002</v>
      </c>
      <c r="CM116">
        <f>-3.497808701</f>
        <v>-3.4978087009999999</v>
      </c>
      <c r="CN116">
        <f>0.344244474</f>
        <v>0.34424447400000002</v>
      </c>
      <c r="CO116">
        <f>2.359618048</f>
        <v>2.3596180480000002</v>
      </c>
      <c r="CP116">
        <f>1.123114902</f>
        <v>1.123114902</v>
      </c>
      <c r="CQ116">
        <f>1.520657193</f>
        <v>1.5206571929999999</v>
      </c>
      <c r="CR116">
        <f>-6.856127087</f>
        <v>-6.856127087</v>
      </c>
      <c r="CS116">
        <f>-5.648528306</f>
        <v>-5.6485283060000002</v>
      </c>
      <c r="CT116">
        <f>-4.27580398</f>
        <v>-4.2758039800000001</v>
      </c>
      <c r="CU116">
        <f>-6.288983041</f>
        <v>-6.2889830409999998</v>
      </c>
      <c r="CV116">
        <f>0.877302493</f>
        <v>0.87730249299999996</v>
      </c>
      <c r="CW116">
        <f>-6.105096268</f>
        <v>-6.1050962679999996</v>
      </c>
      <c r="CX116">
        <f>-7.817319098</f>
        <v>-7.8173190979999996</v>
      </c>
      <c r="CY116">
        <f>-7.450282909</f>
        <v>-7.4502829090000002</v>
      </c>
      <c r="CZ116">
        <f>-11.63805207</f>
        <v>-11.638052070000001</v>
      </c>
      <c r="DA116">
        <f>0.142459437</f>
        <v>0.14245943699999999</v>
      </c>
      <c r="DB116">
        <f>-9.678864679</f>
        <v>-9.6788646790000001</v>
      </c>
      <c r="DC116">
        <f>-7.904517414</f>
        <v>-7.9045174139999999</v>
      </c>
      <c r="DD116">
        <f>8.17882986</f>
        <v>8.1788298600000005</v>
      </c>
      <c r="DE116">
        <f>2.092793463</f>
        <v>2.092793463</v>
      </c>
      <c r="DF116">
        <f>21.46778354</f>
        <v>21.467783539999999</v>
      </c>
      <c r="DG116">
        <f>76.65493434</f>
        <v>76.654934339999997</v>
      </c>
      <c r="DH116">
        <f>65.81579421</f>
        <v>65.815794210000007</v>
      </c>
      <c r="DI116">
        <f>62.58303249</f>
        <v>62.583032490000001</v>
      </c>
      <c r="DJ116">
        <f>57.18004984</f>
        <v>57.180049840000002</v>
      </c>
      <c r="DK116">
        <f>2.657818851</f>
        <v>2.657818851</v>
      </c>
      <c r="DL116">
        <f>19.28672589</f>
        <v>19.28672589</v>
      </c>
      <c r="DM116">
        <f>21.82785768</f>
        <v>21.827857680000001</v>
      </c>
      <c r="DN116">
        <f>26.40214376</f>
        <v>26.402143760000001</v>
      </c>
      <c r="DO116" t="str">
        <f>""</f>
        <v/>
      </c>
      <c r="DP116">
        <f>-0.66716402</f>
        <v>-0.66716401999999997</v>
      </c>
      <c r="DQ116">
        <f>-3.697585769</f>
        <v>-3.6975857689999998</v>
      </c>
      <c r="DR116">
        <f>-4.654967615</f>
        <v>-4.6549676150000003</v>
      </c>
      <c r="DS116" t="str">
        <f>""</f>
        <v/>
      </c>
      <c r="DT116">
        <f>1.029351595</f>
        <v>1.0293515950000001</v>
      </c>
      <c r="DU116">
        <f>2.994743386</f>
        <v>2.9947433860000001</v>
      </c>
    </row>
    <row r="117" spans="1:125">
      <c r="A117" t="str">
        <f>"    Columbia Property Trust Inc"</f>
        <v xml:space="preserve">    Columbia Property Trust Inc</v>
      </c>
      <c r="B117" t="str">
        <f>"CXP US Equity"</f>
        <v>CXP US Equity</v>
      </c>
      <c r="C117" t="str">
        <f t="shared" si="30"/>
        <v>RR551</v>
      </c>
      <c r="D117" t="str">
        <f t="shared" si="31"/>
        <v>NOI_GROWTH</v>
      </c>
      <c r="E117" t="str">
        <f t="shared" si="32"/>
        <v>动态</v>
      </c>
      <c r="F117" t="str">
        <f ca="1">IF(AND(ISNUMBER($F$428),$B$294=1),$F$428,HLOOKUP(INDIRECT(ADDRESS(2,COLUMN())),OFFSET($BN$2,0,0,ROW()-1,60),ROW()-1,FALSE))</f>
        <v/>
      </c>
      <c r="G117">
        <f ca="1">IF(AND(ISNUMBER($G$428),$B$294=1),$G$428,HLOOKUP(INDIRECT(ADDRESS(2,COLUMN())),OFFSET($BN$2,0,0,ROW()-1,60),ROW()-1,FALSE))</f>
        <v>-25.746256540000001</v>
      </c>
      <c r="H117">
        <f ca="1">IF(AND(ISNUMBER($H$428),$B$294=1),$H$428,HLOOKUP(INDIRECT(ADDRESS(2,COLUMN())),OFFSET($BN$2,0,0,ROW()-1,60),ROW()-1,FALSE))</f>
        <v>-33.494773189999997</v>
      </c>
      <c r="I117">
        <f ca="1">IF(AND(ISNUMBER($I$428),$B$294=1),$I$428,HLOOKUP(INDIRECT(ADDRESS(2,COLUMN())),OFFSET($BN$2,0,0,ROW()-1,60),ROW()-1,FALSE))</f>
        <v>-30.36114998</v>
      </c>
      <c r="J117">
        <f ca="1">IF(AND(ISNUMBER($J$428),$B$294=1),$J$428,HLOOKUP(INDIRECT(ADDRESS(2,COLUMN())),OFFSET($BN$2,0,0,ROW()-1,60),ROW()-1,FALSE))</f>
        <v>-28.388150530000001</v>
      </c>
      <c r="K117">
        <f ca="1">IF(AND(ISNUMBER($K$428),$B$294=1),$K$428,HLOOKUP(INDIRECT(ADDRESS(2,COLUMN())),OFFSET($BN$2,0,0,ROW()-1,60),ROW()-1,FALSE))</f>
        <v>-21.63665288</v>
      </c>
      <c r="L117">
        <f ca="1">IF(AND(ISNUMBER($L$428),$B$294=1),$L$428,HLOOKUP(INDIRECT(ADDRESS(2,COLUMN())),OFFSET($BN$2,0,0,ROW()-1,60),ROW()-1,FALSE))</f>
        <v>-18.493427310000001</v>
      </c>
      <c r="M117">
        <f ca="1">IF(AND(ISNUMBER($M$428),$B$294=1),$M$428,HLOOKUP(INDIRECT(ADDRESS(2,COLUMN())),OFFSET($BN$2,0,0,ROW()-1,60),ROW()-1,FALSE))</f>
        <v>-13.34713532</v>
      </c>
      <c r="N117">
        <f ca="1">IF(AND(ISNUMBER($N$428),$B$294=1),$N$428,HLOOKUP(INDIRECT(ADDRESS(2,COLUMN())),OFFSET($BN$2,0,0,ROW()-1,60),ROW()-1,FALSE))</f>
        <v>-11.5297216</v>
      </c>
      <c r="O117">
        <f ca="1">IF(AND(ISNUMBER($O$428),$B$294=1),$O$428,HLOOKUP(INDIRECT(ADDRESS(2,COLUMN())),OFFSET($BN$2,0,0,ROW()-1,60),ROW()-1,FALSE))</f>
        <v>-4.1288937150000002</v>
      </c>
      <c r="P117">
        <f ca="1">IF(AND(ISNUMBER($P$428),$B$294=1),$P$428,HLOOKUP(INDIRECT(ADDRESS(2,COLUMN())),OFFSET($BN$2,0,0,ROW()-1,60),ROW()-1,FALSE))</f>
        <v>1.8159388759999999</v>
      </c>
      <c r="Q117">
        <f ca="1">IF(AND(ISNUMBER($Q$428),$B$294=1),$Q$428,HLOOKUP(INDIRECT(ADDRESS(2,COLUMN())),OFFSET($BN$2,0,0,ROW()-1,60),ROW()-1,FALSE))</f>
        <v>1.593148647</v>
      </c>
      <c r="R117">
        <f ca="1">IF(AND(ISNUMBER($R$428),$B$294=1),$R$428,HLOOKUP(INDIRECT(ADDRESS(2,COLUMN())),OFFSET($BN$2,0,0,ROW()-1,60),ROW()-1,FALSE))</f>
        <v>5.0381286950000002</v>
      </c>
      <c r="S117">
        <f ca="1">IF(AND(ISNUMBER($S$428),$B$294=1),$S$428,HLOOKUP(INDIRECT(ADDRESS(2,COLUMN())),OFFSET($BN$2,0,0,ROW()-1,60),ROW()-1,FALSE))</f>
        <v>-1.2030328969999999</v>
      </c>
      <c r="T117">
        <f ca="1">IF(AND(ISNUMBER($T$428),$B$294=1),$T$428,HLOOKUP(INDIRECT(ADDRESS(2,COLUMN())),OFFSET($BN$2,0,0,ROW()-1,60),ROW()-1,FALSE))</f>
        <v>-6.0503719949999999</v>
      </c>
      <c r="U117">
        <f ca="1">IF(AND(ISNUMBER($U$428),$B$294=1),$U$428,HLOOKUP(INDIRECT(ADDRESS(2,COLUMN())),OFFSET($BN$2,0,0,ROW()-1,60),ROW()-1,FALSE))</f>
        <v>3.7869651210000002</v>
      </c>
      <c r="V117">
        <f ca="1">IF(AND(ISNUMBER($V$428),$B$294=1),$V$428,HLOOKUP(INDIRECT(ADDRESS(2,COLUMN())),OFFSET($BN$2,0,0,ROW()-1,60),ROW()-1,FALSE))</f>
        <v>6.5330499299999998</v>
      </c>
      <c r="W117">
        <f ca="1">IF(AND(ISNUMBER($W$428),$B$294=1),$W$428,HLOOKUP(INDIRECT(ADDRESS(2,COLUMN())),OFFSET($BN$2,0,0,ROW()-1,60),ROW()-1,FALSE))</f>
        <v>20.988536589999999</v>
      </c>
      <c r="X117">
        <f ca="1">IF(AND(ISNUMBER($X$428),$B$294=1),$X$428,HLOOKUP(INDIRECT(ADDRESS(2,COLUMN())),OFFSET($BN$2,0,0,ROW()-1,60),ROW()-1,FALSE))</f>
        <v>0.75209683100000002</v>
      </c>
      <c r="Y117">
        <f ca="1">IF(AND(ISNUMBER($Y$428),$B$294=1),$Y$428,HLOOKUP(INDIRECT(ADDRESS(2,COLUMN())),OFFSET($BN$2,0,0,ROW()-1,60),ROW()-1,FALSE))</f>
        <v>3.429091771</v>
      </c>
      <c r="Z117">
        <f ca="1">IF(AND(ISNUMBER($Z$428),$B$294=1),$Z$428,HLOOKUP(INDIRECT(ADDRESS(2,COLUMN())),OFFSET($BN$2,0,0,ROW()-1,60),ROW()-1,FALSE))</f>
        <v>-6.6034174090000004</v>
      </c>
      <c r="AA117">
        <f ca="1">IF(AND(ISNUMBER($AA$428),$B$294=1),$AA$428,HLOOKUP(INDIRECT(ADDRESS(2,COLUMN())),OFFSET($BN$2,0,0,ROW()-1,60),ROW()-1,FALSE))</f>
        <v>-0.54250072500000002</v>
      </c>
      <c r="AB117">
        <f ca="1">IF(AND(ISNUMBER($AB$428),$B$294=1),$AB$428,HLOOKUP(INDIRECT(ADDRESS(2,COLUMN())),OFFSET($BN$2,0,0,ROW()-1,60),ROW()-1,FALSE))</f>
        <v>-12.410782040000001</v>
      </c>
      <c r="AC117">
        <f ca="1">IF(AND(ISNUMBER($AC$428),$B$294=1),$AC$428,HLOOKUP(INDIRECT(ADDRESS(2,COLUMN())),OFFSET($BN$2,0,0,ROW()-1,60),ROW()-1,FALSE))</f>
        <v>-10.226318320000001</v>
      </c>
      <c r="AD117">
        <f ca="1">IF(AND(ISNUMBER($AD$428),$B$294=1),$AD$428,HLOOKUP(INDIRECT(ADDRESS(2,COLUMN())),OFFSET($BN$2,0,0,ROW()-1,60),ROW()-1,FALSE))</f>
        <v>-2.7662975900000002</v>
      </c>
      <c r="AE117">
        <f ca="1">IF(AND(ISNUMBER($AE$428),$B$294=1),$AE$428,HLOOKUP(INDIRECT(ADDRESS(2,COLUMN())),OFFSET($BN$2,0,0,ROW()-1,60),ROW()-1,FALSE))</f>
        <v>-7.3561426609999998</v>
      </c>
      <c r="AF117">
        <f ca="1">IF(AND(ISNUMBER($AF$428),$B$294=1),$AF$428,HLOOKUP(INDIRECT(ADDRESS(2,COLUMN())),OFFSET($BN$2,0,0,ROW()-1,60),ROW()-1,FALSE))</f>
        <v>10.25840013</v>
      </c>
      <c r="AG117">
        <f ca="1">IF(AND(ISNUMBER($AG$428),$B$294=1),$AG$428,HLOOKUP(INDIRECT(ADDRESS(2,COLUMN())),OFFSET($BN$2,0,0,ROW()-1,60),ROW()-1,FALSE))</f>
        <v>12.23825444</v>
      </c>
      <c r="AH117">
        <f ca="1">IF(AND(ISNUMBER($AH$428),$B$294=1),$AH$428,HLOOKUP(INDIRECT(ADDRESS(2,COLUMN())),OFFSET($BN$2,0,0,ROW()-1,60),ROW()-1,FALSE))</f>
        <v>8.9472326150000008</v>
      </c>
      <c r="AI117">
        <f ca="1">IF(AND(ISNUMBER($AI$428),$B$294=1),$AI$428,HLOOKUP(INDIRECT(ADDRESS(2,COLUMN())),OFFSET($BN$2,0,0,ROW()-1,60),ROW()-1,FALSE))</f>
        <v>-19.521981289999999</v>
      </c>
      <c r="AJ117">
        <f ca="1">IF(AND(ISNUMBER($AJ$428),$B$294=1),$AJ$428,HLOOKUP(INDIRECT(ADDRESS(2,COLUMN())),OFFSET($BN$2,0,0,ROW()-1,60),ROW()-1,FALSE))</f>
        <v>8.5404053700000002</v>
      </c>
      <c r="AK117">
        <f ca="1">IF(AND(ISNUMBER($AK$428),$B$294=1),$AK$428,HLOOKUP(INDIRECT(ADDRESS(2,COLUMN())),OFFSET($BN$2,0,0,ROW()-1,60),ROW()-1,FALSE))</f>
        <v>2.0522818809999999</v>
      </c>
      <c r="AL117">
        <f ca="1">IF(AND(ISNUMBER($AL$428),$B$294=1),$AL$428,HLOOKUP(INDIRECT(ADDRESS(2,COLUMN())),OFFSET($BN$2,0,0,ROW()-1,60),ROW()-1,FALSE))</f>
        <v>0.47573986000000001</v>
      </c>
      <c r="AM117" t="str">
        <f ca="1">IF(AND(ISNUMBER($AM$428),$B$294=1),$AM$428,HLOOKUP(INDIRECT(ADDRESS(2,COLUMN())),OFFSET($BN$2,0,0,ROW()-1,60),ROW()-1,FALSE))</f>
        <v/>
      </c>
      <c r="AN117" t="str">
        <f ca="1">IF(AND(ISNUMBER($AN$428),$B$294=1),$AN$428,HLOOKUP(INDIRECT(ADDRESS(2,COLUMN())),OFFSET($BN$2,0,0,ROW()-1,60),ROW()-1,FALSE))</f>
        <v/>
      </c>
      <c r="AO117" t="str">
        <f ca="1">IF(AND(ISNUMBER($AO$428),$B$294=1),$AO$428,HLOOKUP(INDIRECT(ADDRESS(2,COLUMN())),OFFSET($BN$2,0,0,ROW()-1,60),ROW()-1,FALSE))</f>
        <v/>
      </c>
      <c r="AP117" t="str">
        <f ca="1">IF(AND(ISNUMBER($AP$428),$B$294=1),$AP$428,HLOOKUP(INDIRECT(ADDRESS(2,COLUMN())),OFFSET($BN$2,0,0,ROW()-1,60),ROW()-1,FALSE))</f>
        <v/>
      </c>
      <c r="AQ117" t="str">
        <f ca="1">IF(AND(ISNUMBER($AQ$428),$B$294=1),$AQ$428,HLOOKUP(INDIRECT(ADDRESS(2,COLUMN())),OFFSET($BN$2,0,0,ROW()-1,60),ROW()-1,FALSE))</f>
        <v/>
      </c>
      <c r="AR117" t="str">
        <f ca="1">IF(AND(ISNUMBER($AR$428),$B$294=1),$AR$428,HLOOKUP(INDIRECT(ADDRESS(2,COLUMN())),OFFSET($BN$2,0,0,ROW()-1,60),ROW()-1,FALSE))</f>
        <v/>
      </c>
      <c r="AS117" t="str">
        <f ca="1">IF(AND(ISNUMBER($AS$428),$B$294=1),$AS$428,HLOOKUP(INDIRECT(ADDRESS(2,COLUMN())),OFFSET($BN$2,0,0,ROW()-1,60),ROW()-1,FALSE))</f>
        <v/>
      </c>
      <c r="AT117" t="str">
        <f ca="1">IF(AND(ISNUMBER($AT$428),$B$294=1),$AT$428,HLOOKUP(INDIRECT(ADDRESS(2,COLUMN())),OFFSET($BN$2,0,0,ROW()-1,60),ROW()-1,FALSE))</f>
        <v/>
      </c>
      <c r="AU117" t="str">
        <f ca="1">IF(AND(ISNUMBER($AU$428),$B$294=1),$AU$428,HLOOKUP(INDIRECT(ADDRESS(2,COLUMN())),OFFSET($BN$2,0,0,ROW()-1,60),ROW()-1,FALSE))</f>
        <v/>
      </c>
      <c r="AV117" t="str">
        <f ca="1">IF(AND(ISNUMBER($AV$428),$B$294=1),$AV$428,HLOOKUP(INDIRECT(ADDRESS(2,COLUMN())),OFFSET($BN$2,0,0,ROW()-1,60),ROW()-1,FALSE))</f>
        <v/>
      </c>
      <c r="AW117" t="str">
        <f ca="1">IF(AND(ISNUMBER($AW$428),$B$294=1),$AW$428,HLOOKUP(INDIRECT(ADDRESS(2,COLUMN())),OFFSET($BN$2,0,0,ROW()-1,60),ROW()-1,FALSE))</f>
        <v/>
      </c>
      <c r="AX117" t="str">
        <f ca="1">IF(AND(ISNUMBER($AX$428),$B$294=1),$AX$428,HLOOKUP(INDIRECT(ADDRESS(2,COLUMN())),OFFSET($BN$2,0,0,ROW()-1,60),ROW()-1,FALSE))</f>
        <v/>
      </c>
      <c r="AY117" t="str">
        <f ca="1">IF(AND(ISNUMBER($AY$428),$B$294=1),$AY$428,HLOOKUP(INDIRECT(ADDRESS(2,COLUMN())),OFFSET($BN$2,0,0,ROW()-1,60),ROW()-1,FALSE))</f>
        <v/>
      </c>
      <c r="AZ117" t="str">
        <f ca="1">IF(AND(ISNUMBER($AZ$428),$B$294=1),$AZ$428,HLOOKUP(INDIRECT(ADDRESS(2,COLUMN())),OFFSET($BN$2,0,0,ROW()-1,60),ROW()-1,FALSE))</f>
        <v/>
      </c>
      <c r="BA117" t="str">
        <f ca="1">IF(AND(ISNUMBER($BA$428),$B$294=1),$BA$428,HLOOKUP(INDIRECT(ADDRESS(2,COLUMN())),OFFSET($BN$2,0,0,ROW()-1,60),ROW()-1,FALSE))</f>
        <v/>
      </c>
      <c r="BB117" t="str">
        <f ca="1">IF(AND(ISNUMBER($BB$428),$B$294=1),$BB$428,HLOOKUP(INDIRECT(ADDRESS(2,COLUMN())),OFFSET($BN$2,0,0,ROW()-1,60),ROW()-1,FALSE))</f>
        <v/>
      </c>
      <c r="BC117" t="str">
        <f ca="1">IF(AND(ISNUMBER($BC$428),$B$294=1),$BC$428,HLOOKUP(INDIRECT(ADDRESS(2,COLUMN())),OFFSET($BN$2,0,0,ROW()-1,60),ROW()-1,FALSE))</f>
        <v/>
      </c>
      <c r="BD117" t="str">
        <f ca="1">IF(AND(ISNUMBER($BD$428),$B$294=1),$BD$428,HLOOKUP(INDIRECT(ADDRESS(2,COLUMN())),OFFSET($BN$2,0,0,ROW()-1,60),ROW()-1,FALSE))</f>
        <v/>
      </c>
      <c r="BE117" t="str">
        <f ca="1">IF(AND(ISNUMBER($BE$428),$B$294=1),$BE$428,HLOOKUP(INDIRECT(ADDRESS(2,COLUMN())),OFFSET($BN$2,0,0,ROW()-1,60),ROW()-1,FALSE))</f>
        <v/>
      </c>
      <c r="BF117" t="str">
        <f ca="1">IF(AND(ISNUMBER($BF$428),$B$294=1),$BF$428,HLOOKUP(INDIRECT(ADDRESS(2,COLUMN())),OFFSET($BN$2,0,0,ROW()-1,60),ROW()-1,FALSE))</f>
        <v/>
      </c>
      <c r="BG117" t="str">
        <f ca="1">IF(AND(ISNUMBER($BG$428),$B$294=1),$BG$428,HLOOKUP(INDIRECT(ADDRESS(2,COLUMN())),OFFSET($BN$2,0,0,ROW()-1,60),ROW()-1,FALSE))</f>
        <v/>
      </c>
      <c r="BH117" t="str">
        <f ca="1">IF(AND(ISNUMBER($BH$428),$B$294=1),$BH$428,HLOOKUP(INDIRECT(ADDRESS(2,COLUMN())),OFFSET($BN$2,0,0,ROW()-1,60),ROW()-1,FALSE))</f>
        <v/>
      </c>
      <c r="BI117" t="str">
        <f ca="1">IF(AND(ISNUMBER($BI$428),$B$294=1),$BI$428,HLOOKUP(INDIRECT(ADDRESS(2,COLUMN())),OFFSET($BN$2,0,0,ROW()-1,60),ROW()-1,FALSE))</f>
        <v/>
      </c>
      <c r="BJ117" t="str">
        <f ca="1">IF(AND(ISNUMBER($BJ$428),$B$294=1),$BJ$428,HLOOKUP(INDIRECT(ADDRESS(2,COLUMN())),OFFSET($BN$2,0,0,ROW()-1,60),ROW()-1,FALSE))</f>
        <v/>
      </c>
      <c r="BK117" t="str">
        <f ca="1">IF(AND(ISNUMBER($BK$428),$B$294=1),$BK$428,HLOOKUP(INDIRECT(ADDRESS(2,COLUMN())),OFFSET($BN$2,0,0,ROW()-1,60),ROW()-1,FALSE))</f>
        <v/>
      </c>
      <c r="BL117" t="str">
        <f ca="1">IF(AND(ISNUMBER($BL$428),$B$294=1),$BL$428,HLOOKUP(INDIRECT(ADDRESS(2,COLUMN())),OFFSET($BN$2,0,0,ROW()-1,60),ROW()-1,FALSE))</f>
        <v/>
      </c>
      <c r="BM117" t="str">
        <f ca="1">IF(AND(ISNUMBER($BM$428),$B$294=1),$BM$428,HLOOKUP(INDIRECT(ADDRESS(2,COLUMN())),OFFSET($BN$2,0,0,ROW()-1,60),ROW()-1,FALSE))</f>
        <v/>
      </c>
      <c r="BN117" t="str">
        <f>""</f>
        <v/>
      </c>
      <c r="BO117">
        <f>-25.74625654</f>
        <v>-25.746256540000001</v>
      </c>
      <c r="BP117">
        <f>-33.49477319</f>
        <v>-33.494773189999997</v>
      </c>
      <c r="BQ117">
        <f>-30.36114998</f>
        <v>-30.36114998</v>
      </c>
      <c r="BR117">
        <f>-28.38815053</f>
        <v>-28.388150530000001</v>
      </c>
      <c r="BS117">
        <f>-21.63665288</f>
        <v>-21.63665288</v>
      </c>
      <c r="BT117">
        <f>-18.49342731</f>
        <v>-18.493427310000001</v>
      </c>
      <c r="BU117">
        <f>-13.34713532</f>
        <v>-13.34713532</v>
      </c>
      <c r="BV117">
        <f>-11.5297216</f>
        <v>-11.5297216</v>
      </c>
      <c r="BW117">
        <f>-4.128893715</f>
        <v>-4.1288937150000002</v>
      </c>
      <c r="BX117">
        <f>1.815938876</f>
        <v>1.8159388759999999</v>
      </c>
      <c r="BY117">
        <f>1.593148647</f>
        <v>1.593148647</v>
      </c>
      <c r="BZ117">
        <f>5.038128695</f>
        <v>5.0381286950000002</v>
      </c>
      <c r="CA117">
        <f>-1.203032897</f>
        <v>-1.2030328969999999</v>
      </c>
      <c r="CB117">
        <f>-6.050371995</f>
        <v>-6.0503719949999999</v>
      </c>
      <c r="CC117">
        <f>3.786965121</f>
        <v>3.7869651210000002</v>
      </c>
      <c r="CD117">
        <f>6.53304993</f>
        <v>6.5330499299999998</v>
      </c>
      <c r="CE117">
        <f>20.98853659</f>
        <v>20.988536589999999</v>
      </c>
      <c r="CF117">
        <f>0.752096831</f>
        <v>0.75209683100000002</v>
      </c>
      <c r="CG117">
        <f>3.429091771</f>
        <v>3.429091771</v>
      </c>
      <c r="CH117">
        <f>-6.603417409</f>
        <v>-6.6034174090000004</v>
      </c>
      <c r="CI117">
        <f>-0.542500725</f>
        <v>-0.54250072500000002</v>
      </c>
      <c r="CJ117">
        <f>-12.41078204</f>
        <v>-12.410782040000001</v>
      </c>
      <c r="CK117">
        <f>-10.22631832</f>
        <v>-10.226318320000001</v>
      </c>
      <c r="CL117">
        <f>-2.76629759</f>
        <v>-2.7662975900000002</v>
      </c>
      <c r="CM117">
        <f>-7.356142661</f>
        <v>-7.3561426609999998</v>
      </c>
      <c r="CN117">
        <f>10.25840013</f>
        <v>10.25840013</v>
      </c>
      <c r="CO117">
        <f>12.23825444</f>
        <v>12.23825444</v>
      </c>
      <c r="CP117">
        <f>8.947232615</f>
        <v>8.9472326150000008</v>
      </c>
      <c r="CQ117">
        <f>-19.52198129</f>
        <v>-19.521981289999999</v>
      </c>
      <c r="CR117">
        <f>8.54040537</f>
        <v>8.5404053700000002</v>
      </c>
      <c r="CS117">
        <f>2.052281881</f>
        <v>2.0522818809999999</v>
      </c>
      <c r="CT117">
        <f>0.47573986</f>
        <v>0.47573986000000001</v>
      </c>
      <c r="CU117" t="str">
        <f>""</f>
        <v/>
      </c>
      <c r="CV117" t="str">
        <f>""</f>
        <v/>
      </c>
      <c r="CW117" t="str">
        <f>""</f>
        <v/>
      </c>
      <c r="CX117" t="str">
        <f>""</f>
        <v/>
      </c>
      <c r="CY117" t="str">
        <f>""</f>
        <v/>
      </c>
      <c r="CZ117" t="str">
        <f>""</f>
        <v/>
      </c>
      <c r="DA117" t="str">
        <f>""</f>
        <v/>
      </c>
      <c r="DB117" t="str">
        <f>""</f>
        <v/>
      </c>
      <c r="DC117" t="str">
        <f>""</f>
        <v/>
      </c>
      <c r="DD117" t="str">
        <f>""</f>
        <v/>
      </c>
      <c r="DE117" t="str">
        <f>""</f>
        <v/>
      </c>
      <c r="DF117" t="str">
        <f>""</f>
        <v/>
      </c>
      <c r="DG117" t="str">
        <f>""</f>
        <v/>
      </c>
      <c r="DH117" t="str">
        <f>""</f>
        <v/>
      </c>
      <c r="DI117" t="str">
        <f>""</f>
        <v/>
      </c>
      <c r="DJ117" t="str">
        <f>""</f>
        <v/>
      </c>
      <c r="DK117" t="str">
        <f>""</f>
        <v/>
      </c>
      <c r="DL117" t="str">
        <f>""</f>
        <v/>
      </c>
      <c r="DM117" t="str">
        <f>""</f>
        <v/>
      </c>
      <c r="DN117" t="str">
        <f>""</f>
        <v/>
      </c>
      <c r="DO117" t="str">
        <f>""</f>
        <v/>
      </c>
      <c r="DP117" t="str">
        <f>""</f>
        <v/>
      </c>
      <c r="DQ117" t="str">
        <f>""</f>
        <v/>
      </c>
      <c r="DR117" t="str">
        <f>""</f>
        <v/>
      </c>
      <c r="DS117" t="str">
        <f>""</f>
        <v/>
      </c>
      <c r="DT117" t="str">
        <f>""</f>
        <v/>
      </c>
      <c r="DU117" t="str">
        <f>""</f>
        <v/>
      </c>
    </row>
    <row r="118" spans="1:125">
      <c r="A118" t="str">
        <f>"    Corporate Office Properties Tr"</f>
        <v xml:space="preserve">    Corporate Office Properties Tr</v>
      </c>
      <c r="B118" t="str">
        <f>"OFC US Equity"</f>
        <v>OFC US Equity</v>
      </c>
      <c r="C118" t="str">
        <f t="shared" si="30"/>
        <v>RR551</v>
      </c>
      <c r="D118" t="str">
        <f t="shared" si="31"/>
        <v>NOI_GROWTH</v>
      </c>
      <c r="E118" t="str">
        <f t="shared" si="32"/>
        <v>动态</v>
      </c>
      <c r="F118" t="str">
        <f ca="1">IF(AND(ISNUMBER($F$429),$B$294=1),$F$429,HLOOKUP(INDIRECT(ADDRESS(2,COLUMN())),OFFSET($BN$2,0,0,ROW()-1,60),ROW()-1,FALSE))</f>
        <v/>
      </c>
      <c r="G118">
        <f ca="1">IF(AND(ISNUMBER($G$429),$B$294=1),$G$429,HLOOKUP(INDIRECT(ADDRESS(2,COLUMN())),OFFSET($BN$2,0,0,ROW()-1,60),ROW()-1,FALSE))</f>
        <v>-0.24988500299999999</v>
      </c>
      <c r="H118">
        <f ca="1">IF(AND(ISNUMBER($H$429),$B$294=1),$H$429,HLOOKUP(INDIRECT(ADDRESS(2,COLUMN())),OFFSET($BN$2,0,0,ROW()-1,60),ROW()-1,FALSE))</f>
        <v>-0.17160070099999999</v>
      </c>
      <c r="I118">
        <f ca="1">IF(AND(ISNUMBER($I$429),$B$294=1),$I$429,HLOOKUP(INDIRECT(ADDRESS(2,COLUMN())),OFFSET($BN$2,0,0,ROW()-1,60),ROW()-1,FALSE))</f>
        <v>-7.127286292</v>
      </c>
      <c r="J118">
        <f ca="1">IF(AND(ISNUMBER($J$429),$B$294=1),$J$429,HLOOKUP(INDIRECT(ADDRESS(2,COLUMN())),OFFSET($BN$2,0,0,ROW()-1,60),ROW()-1,FALSE))</f>
        <v>-3.6497069400000002</v>
      </c>
      <c r="K118">
        <f ca="1">IF(AND(ISNUMBER($K$429),$B$294=1),$K$429,HLOOKUP(INDIRECT(ADDRESS(2,COLUMN())),OFFSET($BN$2,0,0,ROW()-1,60),ROW()-1,FALSE))</f>
        <v>-6.445760011</v>
      </c>
      <c r="L118">
        <f ca="1">IF(AND(ISNUMBER($L$429),$B$294=1),$L$429,HLOOKUP(INDIRECT(ADDRESS(2,COLUMN())),OFFSET($BN$2,0,0,ROW()-1,60),ROW()-1,FALSE))</f>
        <v>-4.4663812519999997</v>
      </c>
      <c r="M118">
        <f ca="1">IF(AND(ISNUMBER($M$429),$B$294=1),$M$429,HLOOKUP(INDIRECT(ADDRESS(2,COLUMN())),OFFSET($BN$2,0,0,ROW()-1,60),ROW()-1,FALSE))</f>
        <v>4.9038191089999996</v>
      </c>
      <c r="N118">
        <f ca="1">IF(AND(ISNUMBER($N$429),$B$294=1),$N$429,HLOOKUP(INDIRECT(ADDRESS(2,COLUMN())),OFFSET($BN$2,0,0,ROW()-1,60),ROW()-1,FALSE))</f>
        <v>12.74903164</v>
      </c>
      <c r="O118">
        <f ca="1">IF(AND(ISNUMBER($O$429),$B$294=1),$O$429,HLOOKUP(INDIRECT(ADDRESS(2,COLUMN())),OFFSET($BN$2,0,0,ROW()-1,60),ROW()-1,FALSE))</f>
        <v>11.25790965</v>
      </c>
      <c r="P118">
        <f ca="1">IF(AND(ISNUMBER($P$429),$B$294=1),$P$429,HLOOKUP(INDIRECT(ADDRESS(2,COLUMN())),OFFSET($BN$2,0,0,ROW()-1,60),ROW()-1,FALSE))</f>
        <v>12.7213507</v>
      </c>
      <c r="Q118">
        <f ca="1">IF(AND(ISNUMBER($Q$429),$B$294=1),$Q$429,HLOOKUP(INDIRECT(ADDRESS(2,COLUMN())),OFFSET($BN$2,0,0,ROW()-1,60),ROW()-1,FALSE))</f>
        <v>13.279399339999999</v>
      </c>
      <c r="R118">
        <f ca="1">IF(AND(ISNUMBER($R$429),$B$294=1),$R$429,HLOOKUP(INDIRECT(ADDRESS(2,COLUMN())),OFFSET($BN$2,0,0,ROW()-1,60),ROW()-1,FALSE))</f>
        <v>-4.095599494</v>
      </c>
      <c r="S118">
        <f ca="1">IF(AND(ISNUMBER($S$429),$B$294=1),$S$429,HLOOKUP(INDIRECT(ADDRESS(2,COLUMN())),OFFSET($BN$2,0,0,ROW()-1,60),ROW()-1,FALSE))</f>
        <v>3.9115234640000001</v>
      </c>
      <c r="T118">
        <f ca="1">IF(AND(ISNUMBER($T$429),$B$294=1),$T$429,HLOOKUP(INDIRECT(ADDRESS(2,COLUMN())),OFFSET($BN$2,0,0,ROW()-1,60),ROW()-1,FALSE))</f>
        <v>2.3958616930000001</v>
      </c>
      <c r="U118">
        <f ca="1">IF(AND(ISNUMBER($U$429),$B$294=1),$U$429,HLOOKUP(INDIRECT(ADDRESS(2,COLUMN())),OFFSET($BN$2,0,0,ROW()-1,60),ROW()-1,FALSE))</f>
        <v>-2.9731582410000001</v>
      </c>
      <c r="V118">
        <f ca="1">IF(AND(ISNUMBER($V$429),$B$294=1),$V$429,HLOOKUP(INDIRECT(ADDRESS(2,COLUMN())),OFFSET($BN$2,0,0,ROW()-1,60),ROW()-1,FALSE))</f>
        <v>4.9406866100000002</v>
      </c>
      <c r="W118">
        <f ca="1">IF(AND(ISNUMBER($W$429),$B$294=1),$W$429,HLOOKUP(INDIRECT(ADDRESS(2,COLUMN())),OFFSET($BN$2,0,0,ROW()-1,60),ROW()-1,FALSE))</f>
        <v>6.3537689300000002</v>
      </c>
      <c r="X118">
        <f ca="1">IF(AND(ISNUMBER($X$429),$B$294=1),$X$429,HLOOKUP(INDIRECT(ADDRESS(2,COLUMN())),OFFSET($BN$2,0,0,ROW()-1,60),ROW()-1,FALSE))</f>
        <v>1.9399961139999999</v>
      </c>
      <c r="Y118">
        <f ca="1">IF(AND(ISNUMBER($Y$429),$B$294=1),$Y$429,HLOOKUP(INDIRECT(ADDRESS(2,COLUMN())),OFFSET($BN$2,0,0,ROW()-1,60),ROW()-1,FALSE))</f>
        <v>4.4519009379999996</v>
      </c>
      <c r="Z118">
        <f ca="1">IF(AND(ISNUMBER($Z$429),$B$294=1),$Z$429,HLOOKUP(INDIRECT(ADDRESS(2,COLUMN())),OFFSET($BN$2,0,0,ROW()-1,60),ROW()-1,FALSE))</f>
        <v>3.113473951</v>
      </c>
      <c r="AA118">
        <f ca="1">IF(AND(ISNUMBER($AA$429),$B$294=1),$AA$429,HLOOKUP(INDIRECT(ADDRESS(2,COLUMN())),OFFSET($BN$2,0,0,ROW()-1,60),ROW()-1,FALSE))</f>
        <v>1.405203167</v>
      </c>
      <c r="AB118">
        <f ca="1">IF(AND(ISNUMBER($AB$429),$B$294=1),$AB$429,HLOOKUP(INDIRECT(ADDRESS(2,COLUMN())),OFFSET($BN$2,0,0,ROW()-1,60),ROW()-1,FALSE))</f>
        <v>8.6760469919999998</v>
      </c>
      <c r="AC118">
        <f ca="1">IF(AND(ISNUMBER($AC$429),$B$294=1),$AC$429,HLOOKUP(INDIRECT(ADDRESS(2,COLUMN())),OFFSET($BN$2,0,0,ROW()-1,60),ROW()-1,FALSE))</f>
        <v>3.877845674</v>
      </c>
      <c r="AD118">
        <f ca="1">IF(AND(ISNUMBER($AD$429),$B$294=1),$AD$429,HLOOKUP(INDIRECT(ADDRESS(2,COLUMN())),OFFSET($BN$2,0,0,ROW()-1,60),ROW()-1,FALSE))</f>
        <v>1.1527378E-2</v>
      </c>
      <c r="AE118">
        <f ca="1">IF(AND(ISNUMBER($AE$429),$B$294=1),$AE$429,HLOOKUP(INDIRECT(ADDRESS(2,COLUMN())),OFFSET($BN$2,0,0,ROW()-1,60),ROW()-1,FALSE))</f>
        <v>-3.988972892</v>
      </c>
      <c r="AF118">
        <f ca="1">IF(AND(ISNUMBER($AF$429),$B$294=1),$AF$429,HLOOKUP(INDIRECT(ADDRESS(2,COLUMN())),OFFSET($BN$2,0,0,ROW()-1,60),ROW()-1,FALSE))</f>
        <v>-2.5741614140000002</v>
      </c>
      <c r="AG118">
        <f ca="1">IF(AND(ISNUMBER($AG$429),$B$294=1),$AG$429,HLOOKUP(INDIRECT(ADDRESS(2,COLUMN())),OFFSET($BN$2,0,0,ROW()-1,60),ROW()-1,FALSE))</f>
        <v>1.630378396</v>
      </c>
      <c r="AH118">
        <f ca="1">IF(AND(ISNUMBER($AH$429),$B$294=1),$AH$429,HLOOKUP(INDIRECT(ADDRESS(2,COLUMN())),OFFSET($BN$2,0,0,ROW()-1,60),ROW()-1,FALSE))</f>
        <v>8.2801553989999999</v>
      </c>
      <c r="AI118">
        <f ca="1">IF(AND(ISNUMBER($AI$429),$B$294=1),$AI$429,HLOOKUP(INDIRECT(ADDRESS(2,COLUMN())),OFFSET($BN$2,0,0,ROW()-1,60),ROW()-1,FALSE))</f>
        <v>8.5431464409999993</v>
      </c>
      <c r="AJ118">
        <f ca="1">IF(AND(ISNUMBER($AJ$429),$B$294=1),$AJ$429,HLOOKUP(INDIRECT(ADDRESS(2,COLUMN())),OFFSET($BN$2,0,0,ROW()-1,60),ROW()-1,FALSE))</f>
        <v>3.7372921400000001</v>
      </c>
      <c r="AK118">
        <f ca="1">IF(AND(ISNUMBER($AK$429),$B$294=1),$AK$429,HLOOKUP(INDIRECT(ADDRESS(2,COLUMN())),OFFSET($BN$2,0,0,ROW()-1,60),ROW()-1,FALSE))</f>
        <v>-0.64499977900000005</v>
      </c>
      <c r="AL118">
        <f ca="1">IF(AND(ISNUMBER($AL$429),$B$294=1),$AL$429,HLOOKUP(INDIRECT(ADDRESS(2,COLUMN())),OFFSET($BN$2,0,0,ROW()-1,60),ROW()-1,FALSE))</f>
        <v>-4.5439652089999996</v>
      </c>
      <c r="AM118">
        <f ca="1">IF(AND(ISNUMBER($AM$429),$B$294=1),$AM$429,HLOOKUP(INDIRECT(ADDRESS(2,COLUMN())),OFFSET($BN$2,0,0,ROW()-1,60),ROW()-1,FALSE))</f>
        <v>-3.7767202999999999E-2</v>
      </c>
      <c r="AN118">
        <f ca="1">IF(AND(ISNUMBER($AN$429),$B$294=1),$AN$429,HLOOKUP(INDIRECT(ADDRESS(2,COLUMN())),OFFSET($BN$2,0,0,ROW()-1,60),ROW()-1,FALSE))</f>
        <v>0.57793720900000001</v>
      </c>
      <c r="AO118">
        <f ca="1">IF(AND(ISNUMBER($AO$429),$B$294=1),$AO$429,HLOOKUP(INDIRECT(ADDRESS(2,COLUMN())),OFFSET($BN$2,0,0,ROW()-1,60),ROW()-1,FALSE))</f>
        <v>6.122927378</v>
      </c>
      <c r="AP118">
        <f ca="1">IF(AND(ISNUMBER($AP$429),$B$294=1),$AP$429,HLOOKUP(INDIRECT(ADDRESS(2,COLUMN())),OFFSET($BN$2,0,0,ROW()-1,60),ROW()-1,FALSE))</f>
        <v>7.4991994880000004</v>
      </c>
      <c r="AQ118">
        <f ca="1">IF(AND(ISNUMBER($AQ$429),$B$294=1),$AQ$429,HLOOKUP(INDIRECT(ADDRESS(2,COLUMN())),OFFSET($BN$2,0,0,ROW()-1,60),ROW()-1,FALSE))</f>
        <v>8.5769117210000001</v>
      </c>
      <c r="AR118">
        <f ca="1">IF(AND(ISNUMBER($AR$429),$B$294=1),$AR$429,HLOOKUP(INDIRECT(ADDRESS(2,COLUMN())),OFFSET($BN$2,0,0,ROW()-1,60),ROW()-1,FALSE))</f>
        <v>3.671211977</v>
      </c>
      <c r="AS118">
        <f ca="1">IF(AND(ISNUMBER($AS$429),$B$294=1),$AS$429,HLOOKUP(INDIRECT(ADDRESS(2,COLUMN())),OFFSET($BN$2,0,0,ROW()-1,60),ROW()-1,FALSE))</f>
        <v>4.3151511200000003</v>
      </c>
      <c r="AT118">
        <f ca="1">IF(AND(ISNUMBER($AT$429),$B$294=1),$AT$429,HLOOKUP(INDIRECT(ADDRESS(2,COLUMN())),OFFSET($BN$2,0,0,ROW()-1,60),ROW()-1,FALSE))</f>
        <v>8.7660641520000002</v>
      </c>
      <c r="AU118">
        <f ca="1">IF(AND(ISNUMBER($AU$429),$B$294=1),$AU$429,HLOOKUP(INDIRECT(ADDRESS(2,COLUMN())),OFFSET($BN$2,0,0,ROW()-1,60),ROW()-1,FALSE))</f>
        <v>18.392076899999999</v>
      </c>
      <c r="AV118">
        <f ca="1">IF(AND(ISNUMBER($AV$429),$B$294=1),$AV$429,HLOOKUP(INDIRECT(ADDRESS(2,COLUMN())),OFFSET($BN$2,0,0,ROW()-1,60),ROW()-1,FALSE))</f>
        <v>21.269706660000001</v>
      </c>
      <c r="AW118">
        <f ca="1">IF(AND(ISNUMBER($AW$429),$B$294=1),$AW$429,HLOOKUP(INDIRECT(ADDRESS(2,COLUMN())),OFFSET($BN$2,0,0,ROW()-1,60),ROW()-1,FALSE))</f>
        <v>24.859044560000001</v>
      </c>
      <c r="AX118">
        <f ca="1">IF(AND(ISNUMBER($AX$429),$B$294=1),$AX$429,HLOOKUP(INDIRECT(ADDRESS(2,COLUMN())),OFFSET($BN$2,0,0,ROW()-1,60),ROW()-1,FALSE))</f>
        <v>19.23755736</v>
      </c>
      <c r="AY118">
        <f ca="1">IF(AND(ISNUMBER($AY$429),$B$294=1),$AY$429,HLOOKUP(INDIRECT(ADDRESS(2,COLUMN())),OFFSET($BN$2,0,0,ROW()-1,60),ROW()-1,FALSE))</f>
        <v>15.84405651</v>
      </c>
      <c r="AZ118">
        <f ca="1">IF(AND(ISNUMBER($AZ$429),$B$294=1),$AZ$429,HLOOKUP(INDIRECT(ADDRESS(2,COLUMN())),OFFSET($BN$2,0,0,ROW()-1,60),ROW()-1,FALSE))</f>
        <v>21.410520399999999</v>
      </c>
      <c r="BA118">
        <f ca="1">IF(AND(ISNUMBER($BA$429),$B$294=1),$BA$429,HLOOKUP(INDIRECT(ADDRESS(2,COLUMN())),OFFSET($BN$2,0,0,ROW()-1,60),ROW()-1,FALSE))</f>
        <v>17.328588830000001</v>
      </c>
      <c r="BB118">
        <f ca="1">IF(AND(ISNUMBER($BB$429),$B$294=1),$BB$429,HLOOKUP(INDIRECT(ADDRESS(2,COLUMN())),OFFSET($BN$2,0,0,ROW()-1,60),ROW()-1,FALSE))</f>
        <v>18.160406290000001</v>
      </c>
      <c r="BC118">
        <f ca="1">IF(AND(ISNUMBER($BC$429),$B$294=1),$BC$429,HLOOKUP(INDIRECT(ADDRESS(2,COLUMN())),OFFSET($BN$2,0,0,ROW()-1,60),ROW()-1,FALSE))</f>
        <v>9.9861441010000007</v>
      </c>
      <c r="BD118">
        <f ca="1">IF(AND(ISNUMBER($BD$429),$B$294=1),$BD$429,HLOOKUP(INDIRECT(ADDRESS(2,COLUMN())),OFFSET($BN$2,0,0,ROW()-1,60),ROW()-1,FALSE))</f>
        <v>17.126647850000001</v>
      </c>
      <c r="BE118">
        <f ca="1">IF(AND(ISNUMBER($BE$429),$B$294=1),$BE$429,HLOOKUP(INDIRECT(ADDRESS(2,COLUMN())),OFFSET($BN$2,0,0,ROW()-1,60),ROW()-1,FALSE))</f>
        <v>6.6963944450000001</v>
      </c>
      <c r="BF118">
        <f ca="1">IF(AND(ISNUMBER($BF$429),$B$294=1),$BF$429,HLOOKUP(INDIRECT(ADDRESS(2,COLUMN())),OFFSET($BN$2,0,0,ROW()-1,60),ROW()-1,FALSE))</f>
        <v>20.11965107</v>
      </c>
      <c r="BG118">
        <f ca="1">IF(AND(ISNUMBER($BG$429),$B$294=1),$BG$429,HLOOKUP(INDIRECT(ADDRESS(2,COLUMN())),OFFSET($BN$2,0,0,ROW()-1,60),ROW()-1,FALSE))</f>
        <v>23.558551850000001</v>
      </c>
      <c r="BH118">
        <f ca="1">IF(AND(ISNUMBER($BH$429),$B$294=1),$BH$429,HLOOKUP(INDIRECT(ADDRESS(2,COLUMN())),OFFSET($BN$2,0,0,ROW()-1,60),ROW()-1,FALSE))</f>
        <v>12.70812097</v>
      </c>
      <c r="BI118">
        <f ca="1">IF(AND(ISNUMBER($BI$429),$B$294=1),$BI$429,HLOOKUP(INDIRECT(ADDRESS(2,COLUMN())),OFFSET($BN$2,0,0,ROW()-1,60),ROW()-1,FALSE))</f>
        <v>31.796352890000001</v>
      </c>
      <c r="BJ118">
        <f ca="1">IF(AND(ISNUMBER($BJ$429),$B$294=1),$BJ$429,HLOOKUP(INDIRECT(ADDRESS(2,COLUMN())),OFFSET($BN$2,0,0,ROW()-1,60),ROW()-1,FALSE))</f>
        <v>21.77720356</v>
      </c>
      <c r="BK118">
        <f ca="1">IF(AND(ISNUMBER($BK$429),$B$294=1),$BK$429,HLOOKUP(INDIRECT(ADDRESS(2,COLUMN())),OFFSET($BN$2,0,0,ROW()-1,60),ROW()-1,FALSE))</f>
        <v>11.49362576</v>
      </c>
      <c r="BL118">
        <f ca="1">IF(AND(ISNUMBER($BL$429),$B$294=1),$BL$429,HLOOKUP(INDIRECT(ADDRESS(2,COLUMN())),OFFSET($BN$2,0,0,ROW()-1,60),ROW()-1,FALSE))</f>
        <v>24.172452150000002</v>
      </c>
      <c r="BM118">
        <f ca="1">IF(AND(ISNUMBER($BM$429),$B$294=1),$BM$429,HLOOKUP(INDIRECT(ADDRESS(2,COLUMN())),OFFSET($BN$2,0,0,ROW()-1,60),ROW()-1,FALSE))</f>
        <v>9.6435672730000004</v>
      </c>
      <c r="BN118" t="str">
        <f>""</f>
        <v/>
      </c>
      <c r="BO118">
        <f>-0.249885003</f>
        <v>-0.24988500299999999</v>
      </c>
      <c r="BP118">
        <f>-0.171600701</f>
        <v>-0.17160070099999999</v>
      </c>
      <c r="BQ118">
        <f>-7.127286292</f>
        <v>-7.127286292</v>
      </c>
      <c r="BR118">
        <f>-3.64970694</f>
        <v>-3.6497069400000002</v>
      </c>
      <c r="BS118">
        <f>-6.445760011</f>
        <v>-6.445760011</v>
      </c>
      <c r="BT118">
        <f>-4.466381252</f>
        <v>-4.4663812519999997</v>
      </c>
      <c r="BU118">
        <f>4.903819109</f>
        <v>4.9038191089999996</v>
      </c>
      <c r="BV118">
        <f>12.74903164</f>
        <v>12.74903164</v>
      </c>
      <c r="BW118">
        <f>11.25790965</f>
        <v>11.25790965</v>
      </c>
      <c r="BX118">
        <f>12.7213507</f>
        <v>12.7213507</v>
      </c>
      <c r="BY118">
        <f>13.27939934</f>
        <v>13.279399339999999</v>
      </c>
      <c r="BZ118">
        <f>-4.095599494</f>
        <v>-4.095599494</v>
      </c>
      <c r="CA118">
        <f>3.911523464</f>
        <v>3.9115234640000001</v>
      </c>
      <c r="CB118">
        <f>2.395861693</f>
        <v>2.3958616930000001</v>
      </c>
      <c r="CC118">
        <f>-2.973158241</f>
        <v>-2.9731582410000001</v>
      </c>
      <c r="CD118">
        <f>4.94068661</f>
        <v>4.9406866100000002</v>
      </c>
      <c r="CE118">
        <f>6.35376893</f>
        <v>6.3537689300000002</v>
      </c>
      <c r="CF118">
        <f>1.939996114</f>
        <v>1.9399961139999999</v>
      </c>
      <c r="CG118">
        <f>4.451900938</f>
        <v>4.4519009379999996</v>
      </c>
      <c r="CH118">
        <f>3.113473951</f>
        <v>3.113473951</v>
      </c>
      <c r="CI118">
        <f>1.405203167</f>
        <v>1.405203167</v>
      </c>
      <c r="CJ118">
        <f>8.676046992</f>
        <v>8.6760469919999998</v>
      </c>
      <c r="CK118">
        <f>3.877845674</f>
        <v>3.877845674</v>
      </c>
      <c r="CL118">
        <f>0.011527378</f>
        <v>1.1527378E-2</v>
      </c>
      <c r="CM118">
        <f>-3.988972892</f>
        <v>-3.988972892</v>
      </c>
      <c r="CN118">
        <f>-2.574161414</f>
        <v>-2.5741614140000002</v>
      </c>
      <c r="CO118">
        <f>1.630378396</f>
        <v>1.630378396</v>
      </c>
      <c r="CP118">
        <f>8.280155399</f>
        <v>8.2801553989999999</v>
      </c>
      <c r="CQ118">
        <f>8.543146441</f>
        <v>8.5431464409999993</v>
      </c>
      <c r="CR118">
        <f>3.73729214</f>
        <v>3.7372921400000001</v>
      </c>
      <c r="CS118">
        <f>-0.644999779</f>
        <v>-0.64499977900000005</v>
      </c>
      <c r="CT118">
        <f>-4.543965209</f>
        <v>-4.5439652089999996</v>
      </c>
      <c r="CU118">
        <f>-0.037767203</f>
        <v>-3.7767202999999999E-2</v>
      </c>
      <c r="CV118">
        <f>0.577937209</f>
        <v>0.57793720900000001</v>
      </c>
      <c r="CW118">
        <f>6.122927378</f>
        <v>6.122927378</v>
      </c>
      <c r="CX118">
        <f>7.499199488</f>
        <v>7.4991994880000004</v>
      </c>
      <c r="CY118">
        <f>8.576911721</f>
        <v>8.5769117210000001</v>
      </c>
      <c r="CZ118">
        <f>3.671211977</f>
        <v>3.671211977</v>
      </c>
      <c r="DA118">
        <f>4.31515112</f>
        <v>4.3151511200000003</v>
      </c>
      <c r="DB118">
        <f>8.766064152</f>
        <v>8.7660641520000002</v>
      </c>
      <c r="DC118">
        <f>18.3920769</f>
        <v>18.392076899999999</v>
      </c>
      <c r="DD118">
        <f>21.26970666</f>
        <v>21.269706660000001</v>
      </c>
      <c r="DE118">
        <f>24.85904456</f>
        <v>24.859044560000001</v>
      </c>
      <c r="DF118">
        <f>19.23755736</f>
        <v>19.23755736</v>
      </c>
      <c r="DG118">
        <f>15.84405651</f>
        <v>15.84405651</v>
      </c>
      <c r="DH118">
        <f>21.4105204</f>
        <v>21.410520399999999</v>
      </c>
      <c r="DI118">
        <f>17.32858883</f>
        <v>17.328588830000001</v>
      </c>
      <c r="DJ118">
        <f>18.16040629</f>
        <v>18.160406290000001</v>
      </c>
      <c r="DK118">
        <f>9.986144101</f>
        <v>9.9861441010000007</v>
      </c>
      <c r="DL118">
        <f>17.12664785</f>
        <v>17.126647850000001</v>
      </c>
      <c r="DM118">
        <f>6.696394445</f>
        <v>6.6963944450000001</v>
      </c>
      <c r="DN118">
        <f>20.11965107</f>
        <v>20.11965107</v>
      </c>
      <c r="DO118">
        <f>23.55855185</f>
        <v>23.558551850000001</v>
      </c>
      <c r="DP118">
        <f>12.70812097</f>
        <v>12.70812097</v>
      </c>
      <c r="DQ118">
        <f>31.79635289</f>
        <v>31.796352890000001</v>
      </c>
      <c r="DR118">
        <f>21.77720356</f>
        <v>21.77720356</v>
      </c>
      <c r="DS118">
        <f>11.49362576</f>
        <v>11.49362576</v>
      </c>
      <c r="DT118">
        <f>24.17245215</f>
        <v>24.172452150000002</v>
      </c>
      <c r="DU118">
        <f>9.643567273</f>
        <v>9.6435672730000004</v>
      </c>
    </row>
    <row r="119" spans="1:125">
      <c r="A119" t="str">
        <f>"    Highwoods Properties Inc"</f>
        <v xml:space="preserve">    Highwoods Properties Inc</v>
      </c>
      <c r="B119" t="str">
        <f>"HIW US Equity"</f>
        <v>HIW US Equity</v>
      </c>
      <c r="C119" t="str">
        <f t="shared" si="30"/>
        <v>RR551</v>
      </c>
      <c r="D119" t="str">
        <f t="shared" si="31"/>
        <v>NOI_GROWTH</v>
      </c>
      <c r="E119" t="str">
        <f t="shared" si="32"/>
        <v>动态</v>
      </c>
      <c r="F119" t="str">
        <f ca="1">IF(AND(ISNUMBER($F$430),$B$294=1),$F$430,HLOOKUP(INDIRECT(ADDRESS(2,COLUMN())),OFFSET($BN$2,0,0,ROW()-1,60),ROW()-1,FALSE))</f>
        <v/>
      </c>
      <c r="G119">
        <f ca="1">IF(AND(ISNUMBER($G$430),$B$294=1),$G$430,HLOOKUP(INDIRECT(ADDRESS(2,COLUMN())),OFFSET($BN$2,0,0,ROW()-1,60),ROW()-1,FALSE))</f>
        <v>5.6050273859999997</v>
      </c>
      <c r="H119">
        <f ca="1">IF(AND(ISNUMBER($H$430),$B$294=1),$H$430,HLOOKUP(INDIRECT(ADDRESS(2,COLUMN())),OFFSET($BN$2,0,0,ROW()-1,60),ROW()-1,FALSE))</f>
        <v>10.49893636</v>
      </c>
      <c r="I119">
        <f ca="1">IF(AND(ISNUMBER($I$430),$B$294=1),$I$430,HLOOKUP(INDIRECT(ADDRESS(2,COLUMN())),OFFSET($BN$2,0,0,ROW()-1,60),ROW()-1,FALSE))</f>
        <v>8.3076500979999999</v>
      </c>
      <c r="J119">
        <f ca="1">IF(AND(ISNUMBER($J$430),$B$294=1),$J$430,HLOOKUP(INDIRECT(ADDRESS(2,COLUMN())),OFFSET($BN$2,0,0,ROW()-1,60),ROW()-1,FALSE))</f>
        <v>4.4118606619999996</v>
      </c>
      <c r="K119">
        <f ca="1">IF(AND(ISNUMBER($K$430),$B$294=1),$K$430,HLOOKUP(INDIRECT(ADDRESS(2,COLUMN())),OFFSET($BN$2,0,0,ROW()-1,60),ROW()-1,FALSE))</f>
        <v>6.5478893520000003</v>
      </c>
      <c r="L119">
        <f ca="1">IF(AND(ISNUMBER($L$430),$B$294=1),$L$430,HLOOKUP(INDIRECT(ADDRESS(2,COLUMN())),OFFSET($BN$2,0,0,ROW()-1,60),ROW()-1,FALSE))</f>
        <v>3.5305545399999998</v>
      </c>
      <c r="M119">
        <f ca="1">IF(AND(ISNUMBER($M$430),$B$294=1),$M$430,HLOOKUP(INDIRECT(ADDRESS(2,COLUMN())),OFFSET($BN$2,0,0,ROW()-1,60),ROW()-1,FALSE))</f>
        <v>13.69615173</v>
      </c>
      <c r="N119">
        <f ca="1">IF(AND(ISNUMBER($N$430),$B$294=1),$N$430,HLOOKUP(INDIRECT(ADDRESS(2,COLUMN())),OFFSET($BN$2,0,0,ROW()-1,60),ROW()-1,FALSE))</f>
        <v>7.4972193550000004</v>
      </c>
      <c r="O119">
        <f ca="1">IF(AND(ISNUMBER($O$430),$B$294=1),$O$430,HLOOKUP(INDIRECT(ADDRESS(2,COLUMN())),OFFSET($BN$2,0,0,ROW()-1,60),ROW()-1,FALSE))</f>
        <v>15.936687879999999</v>
      </c>
      <c r="P119">
        <f ca="1">IF(AND(ISNUMBER($P$430),$B$294=1),$P$430,HLOOKUP(INDIRECT(ADDRESS(2,COLUMN())),OFFSET($BN$2,0,0,ROW()-1,60),ROW()-1,FALSE))</f>
        <v>9.1678390689999993</v>
      </c>
      <c r="Q119">
        <f ca="1">IF(AND(ISNUMBER($Q$430),$B$294=1),$Q$430,HLOOKUP(INDIRECT(ADDRESS(2,COLUMN())),OFFSET($BN$2,0,0,ROW()-1,60),ROW()-1,FALSE))</f>
        <v>-1.3073773440000001</v>
      </c>
      <c r="R119">
        <f ca="1">IF(AND(ISNUMBER($R$430),$B$294=1),$R$430,HLOOKUP(INDIRECT(ADDRESS(2,COLUMN())),OFFSET($BN$2,0,0,ROW()-1,60),ROW()-1,FALSE))</f>
        <v>8.400769039</v>
      </c>
      <c r="S119">
        <f ca="1">IF(AND(ISNUMBER($S$430),$B$294=1),$S$430,HLOOKUP(INDIRECT(ADDRESS(2,COLUMN())),OFFSET($BN$2,0,0,ROW()-1,60),ROW()-1,FALSE))</f>
        <v>-4.6819778550000004</v>
      </c>
      <c r="T119">
        <f ca="1">IF(AND(ISNUMBER($T$430),$B$294=1),$T$430,HLOOKUP(INDIRECT(ADDRESS(2,COLUMN())),OFFSET($BN$2,0,0,ROW()-1,60),ROW()-1,FALSE))</f>
        <v>4.9831909620000001</v>
      </c>
      <c r="U119">
        <f ca="1">IF(AND(ISNUMBER($U$430),$B$294=1),$U$430,HLOOKUP(INDIRECT(ADDRESS(2,COLUMN())),OFFSET($BN$2,0,0,ROW()-1,60),ROW()-1,FALSE))</f>
        <v>14.238988989999999</v>
      </c>
      <c r="V119">
        <f ca="1">IF(AND(ISNUMBER($V$430),$B$294=1),$V$430,HLOOKUP(INDIRECT(ADDRESS(2,COLUMN())),OFFSET($BN$2,0,0,ROW()-1,60),ROW()-1,FALSE))</f>
        <v>9.8826730959999995</v>
      </c>
      <c r="W119">
        <f ca="1">IF(AND(ISNUMBER($W$430),$B$294=1),$W$430,HLOOKUP(INDIRECT(ADDRESS(2,COLUMN())),OFFSET($BN$2,0,0,ROW()-1,60),ROW()-1,FALSE))</f>
        <v>17.351426530000001</v>
      </c>
      <c r="X119">
        <f ca="1">IF(AND(ISNUMBER($X$430),$B$294=1),$X$430,HLOOKUP(INDIRECT(ADDRESS(2,COLUMN())),OFFSET($BN$2,0,0,ROW()-1,60),ROW()-1,FALSE))</f>
        <v>17.043372810000001</v>
      </c>
      <c r="Y119">
        <f ca="1">IF(AND(ISNUMBER($Y$430),$B$294=1),$Y$430,HLOOKUP(INDIRECT(ADDRESS(2,COLUMN())),OFFSET($BN$2,0,0,ROW()-1,60),ROW()-1,FALSE))</f>
        <v>5.5130869330000003</v>
      </c>
      <c r="Z119">
        <f ca="1">IF(AND(ISNUMBER($Z$430),$B$294=1),$Z$430,HLOOKUP(INDIRECT(ADDRESS(2,COLUMN())),OFFSET($BN$2,0,0,ROW()-1,60),ROW()-1,FALSE))</f>
        <v>4.057578618</v>
      </c>
      <c r="AA119">
        <f ca="1">IF(AND(ISNUMBER($AA$430),$B$294=1),$AA$430,HLOOKUP(INDIRECT(ADDRESS(2,COLUMN())),OFFSET($BN$2,0,0,ROW()-1,60),ROW()-1,FALSE))</f>
        <v>1.729720084</v>
      </c>
      <c r="AB119">
        <f ca="1">IF(AND(ISNUMBER($AB$430),$B$294=1),$AB$430,HLOOKUP(INDIRECT(ADDRESS(2,COLUMN())),OFFSET($BN$2,0,0,ROW()-1,60),ROW()-1,FALSE))</f>
        <v>5.8442799790000004</v>
      </c>
      <c r="AC119">
        <f ca="1">IF(AND(ISNUMBER($AC$430),$B$294=1),$AC$430,HLOOKUP(INDIRECT(ADDRESS(2,COLUMN())),OFFSET($BN$2,0,0,ROW()-1,60),ROW()-1,FALSE))</f>
        <v>8.1959314780000003</v>
      </c>
      <c r="AD119">
        <f ca="1">IF(AND(ISNUMBER($AD$430),$B$294=1),$AD$430,HLOOKUP(INDIRECT(ADDRESS(2,COLUMN())),OFFSET($BN$2,0,0,ROW()-1,60),ROW()-1,FALSE))</f>
        <v>9.6694226130000001</v>
      </c>
      <c r="AE119">
        <f ca="1">IF(AND(ISNUMBER($AE$430),$B$294=1),$AE$430,HLOOKUP(INDIRECT(ADDRESS(2,COLUMN())),OFFSET($BN$2,0,0,ROW()-1,60),ROW()-1,FALSE))</f>
        <v>2.7692630139999999</v>
      </c>
      <c r="AF119">
        <f ca="1">IF(AND(ISNUMBER($AF$430),$B$294=1),$AF$430,HLOOKUP(INDIRECT(ADDRESS(2,COLUMN())),OFFSET($BN$2,0,0,ROW()-1,60),ROW()-1,FALSE))</f>
        <v>1.447588968</v>
      </c>
      <c r="AG119">
        <f ca="1">IF(AND(ISNUMBER($AG$430),$B$294=1),$AG$430,HLOOKUP(INDIRECT(ADDRESS(2,COLUMN())),OFFSET($BN$2,0,0,ROW()-1,60),ROW()-1,FALSE))</f>
        <v>-1.1927745890000001</v>
      </c>
      <c r="AH119">
        <f ca="1">IF(AND(ISNUMBER($AH$430),$B$294=1),$AH$430,HLOOKUP(INDIRECT(ADDRESS(2,COLUMN())),OFFSET($BN$2,0,0,ROW()-1,60),ROW()-1,FALSE))</f>
        <v>0.10635541799999999</v>
      </c>
      <c r="AI119">
        <f ca="1">IF(AND(ISNUMBER($AI$430),$B$294=1),$AI$430,HLOOKUP(INDIRECT(ADDRESS(2,COLUMN())),OFFSET($BN$2,0,0,ROW()-1,60),ROW()-1,FALSE))</f>
        <v>6.5577889450000004</v>
      </c>
      <c r="AJ119">
        <f ca="1">IF(AND(ISNUMBER($AJ$430),$B$294=1),$AJ$430,HLOOKUP(INDIRECT(ADDRESS(2,COLUMN())),OFFSET($BN$2,0,0,ROW()-1,60),ROW()-1,FALSE))</f>
        <v>2.242019092</v>
      </c>
      <c r="AK119">
        <f ca="1">IF(AND(ISNUMBER($AK$430),$B$294=1),$AK$430,HLOOKUP(INDIRECT(ADDRESS(2,COLUMN())),OFFSET($BN$2,0,0,ROW()-1,60),ROW()-1,FALSE))</f>
        <v>3.5733362550000001</v>
      </c>
      <c r="AL119">
        <f ca="1">IF(AND(ISNUMBER($AL$430),$B$294=1),$AL$430,HLOOKUP(INDIRECT(ADDRESS(2,COLUMN())),OFFSET($BN$2,0,0,ROW()-1,60),ROW()-1,FALSE))</f>
        <v>1.1140064249999999</v>
      </c>
      <c r="AM119">
        <f ca="1">IF(AND(ISNUMBER($AM$430),$B$294=1),$AM$430,HLOOKUP(INDIRECT(ADDRESS(2,COLUMN())),OFFSET($BN$2,0,0,ROW()-1,60),ROW()-1,FALSE))</f>
        <v>3.206845881</v>
      </c>
      <c r="AN119">
        <f ca="1">IF(AND(ISNUMBER($AN$430),$B$294=1),$AN$430,HLOOKUP(INDIRECT(ADDRESS(2,COLUMN())),OFFSET($BN$2,0,0,ROW()-1,60),ROW()-1,FALSE))</f>
        <v>-1.7231779970000001</v>
      </c>
      <c r="AO119">
        <f ca="1">IF(AND(ISNUMBER($AO$430),$B$294=1),$AO$430,HLOOKUP(INDIRECT(ADDRESS(2,COLUMN())),OFFSET($BN$2,0,0,ROW()-1,60),ROW()-1,FALSE))</f>
        <v>0.94847014299999999</v>
      </c>
      <c r="AP119">
        <f ca="1">IF(AND(ISNUMBER($AP$430),$B$294=1),$AP$430,HLOOKUP(INDIRECT(ADDRESS(2,COLUMN())),OFFSET($BN$2,0,0,ROW()-1,60),ROW()-1,FALSE))</f>
        <v>-3.1033745690000001</v>
      </c>
      <c r="AQ119">
        <f ca="1">IF(AND(ISNUMBER($AQ$430),$B$294=1),$AQ$430,HLOOKUP(INDIRECT(ADDRESS(2,COLUMN())),OFFSET($BN$2,0,0,ROW()-1,60),ROW()-1,FALSE))</f>
        <v>-4.393697317</v>
      </c>
      <c r="AR119">
        <f ca="1">IF(AND(ISNUMBER($AR$430),$B$294=1),$AR$430,HLOOKUP(INDIRECT(ADDRESS(2,COLUMN())),OFFSET($BN$2,0,0,ROW()-1,60),ROW()-1,FALSE))</f>
        <v>4.2758860920000004</v>
      </c>
      <c r="AS119">
        <f ca="1">IF(AND(ISNUMBER($AS$430),$B$294=1),$AS$430,HLOOKUP(INDIRECT(ADDRESS(2,COLUMN())),OFFSET($BN$2,0,0,ROW()-1,60),ROW()-1,FALSE))</f>
        <v>7.0575348949999999</v>
      </c>
      <c r="AT119">
        <f ca="1">IF(AND(ISNUMBER($AT$430),$B$294=1),$AT$430,HLOOKUP(INDIRECT(ADDRESS(2,COLUMN())),OFFSET($BN$2,0,0,ROW()-1,60),ROW()-1,FALSE))</f>
        <v>9.8016781080000008</v>
      </c>
      <c r="AU119">
        <f ca="1">IF(AND(ISNUMBER($AU$430),$B$294=1),$AU$430,HLOOKUP(INDIRECT(ADDRESS(2,COLUMN())),OFFSET($BN$2,0,0,ROW()-1,60),ROW()-1,FALSE))</f>
        <v>14.522769220000001</v>
      </c>
      <c r="AV119">
        <f ca="1">IF(AND(ISNUMBER($AV$430),$B$294=1),$AV$430,HLOOKUP(INDIRECT(ADDRESS(2,COLUMN())),OFFSET($BN$2,0,0,ROW()-1,60),ROW()-1,FALSE))</f>
        <v>6.8186046510000002</v>
      </c>
      <c r="AW119">
        <f ca="1">IF(AND(ISNUMBER($AW$430),$B$294=1),$AW$430,HLOOKUP(INDIRECT(ADDRESS(2,COLUMN())),OFFSET($BN$2,0,0,ROW()-1,60),ROW()-1,FALSE))</f>
        <v>2.4521549239999998</v>
      </c>
      <c r="AX119">
        <f ca="1">IF(AND(ISNUMBER($AX$430),$B$294=1),$AX$430,HLOOKUP(INDIRECT(ADDRESS(2,COLUMN())),OFFSET($BN$2,0,0,ROW()-1,60),ROW()-1,FALSE))</f>
        <v>4.9413503280000004</v>
      </c>
      <c r="AY119">
        <f ca="1">IF(AND(ISNUMBER($AY$430),$B$294=1),$AY$430,HLOOKUP(INDIRECT(ADDRESS(2,COLUMN())),OFFSET($BN$2,0,0,ROW()-1,60),ROW()-1,FALSE))</f>
        <v>10.771945759999999</v>
      </c>
      <c r="AZ119">
        <f ca="1">IF(AND(ISNUMBER($AZ$430),$B$294=1),$AZ$430,HLOOKUP(INDIRECT(ADDRESS(2,COLUMN())),OFFSET($BN$2,0,0,ROW()-1,60),ROW()-1,FALSE))</f>
        <v>2.306252577</v>
      </c>
      <c r="BA119">
        <f ca="1">IF(AND(ISNUMBER($BA$430),$B$294=1),$BA$430,HLOOKUP(INDIRECT(ADDRESS(2,COLUMN())),OFFSET($BN$2,0,0,ROW()-1,60),ROW()-1,FALSE))</f>
        <v>-1.662764514</v>
      </c>
      <c r="BB119">
        <f ca="1">IF(AND(ISNUMBER($BB$430),$B$294=1),$BB$430,HLOOKUP(INDIRECT(ADDRESS(2,COLUMN())),OFFSET($BN$2,0,0,ROW()-1,60),ROW()-1,FALSE))</f>
        <v>-3.2799821339999999</v>
      </c>
      <c r="BC119">
        <f ca="1">IF(AND(ISNUMBER($BC$430),$B$294=1),$BC$430,HLOOKUP(INDIRECT(ADDRESS(2,COLUMN())),OFFSET($BN$2,0,0,ROW()-1,60),ROW()-1,FALSE))</f>
        <v>7.3891995350000004</v>
      </c>
      <c r="BD119">
        <f ca="1">IF(AND(ISNUMBER($BD$430),$B$294=1),$BD$430,HLOOKUP(INDIRECT(ADDRESS(2,COLUMN())),OFFSET($BN$2,0,0,ROW()-1,60),ROW()-1,FALSE))</f>
        <v>-3.5123429389999998</v>
      </c>
      <c r="BE119">
        <f ca="1">IF(AND(ISNUMBER($BE$430),$B$294=1),$BE$430,HLOOKUP(INDIRECT(ADDRESS(2,COLUMN())),OFFSET($BN$2,0,0,ROW()-1,60),ROW()-1,FALSE))</f>
        <v>-2.7496990700000001</v>
      </c>
      <c r="BF119">
        <f ca="1">IF(AND(ISNUMBER($BF$430),$B$294=1),$BF$430,HLOOKUP(INDIRECT(ADDRESS(2,COLUMN())),OFFSET($BN$2,0,0,ROW()-1,60),ROW()-1,FALSE))</f>
        <v>-8.4633730830000005</v>
      </c>
      <c r="BG119" t="str">
        <f ca="1">IF(AND(ISNUMBER($BG$430),$B$294=1),$BG$430,HLOOKUP(INDIRECT(ADDRESS(2,COLUMN())),OFFSET($BN$2,0,0,ROW()-1,60),ROW()-1,FALSE))</f>
        <v/>
      </c>
      <c r="BH119">
        <f ca="1">IF(AND(ISNUMBER($BH$430),$B$294=1),$BH$430,HLOOKUP(INDIRECT(ADDRESS(2,COLUMN())),OFFSET($BN$2,0,0,ROW()-1,60),ROW()-1,FALSE))</f>
        <v>-17.059951000000002</v>
      </c>
      <c r="BI119">
        <f ca="1">IF(AND(ISNUMBER($BI$430),$B$294=1),$BI$430,HLOOKUP(INDIRECT(ADDRESS(2,COLUMN())),OFFSET($BN$2,0,0,ROW()-1,60),ROW()-1,FALSE))</f>
        <v>-16.152293400000001</v>
      </c>
      <c r="BJ119">
        <f ca="1">IF(AND(ISNUMBER($BJ$430),$B$294=1),$BJ$430,HLOOKUP(INDIRECT(ADDRESS(2,COLUMN())),OFFSET($BN$2,0,0,ROW()-1,60),ROW()-1,FALSE))</f>
        <v>7.9298070129999996</v>
      </c>
      <c r="BK119" t="str">
        <f ca="1">IF(AND(ISNUMBER($BK$430),$B$294=1),$BK$430,HLOOKUP(INDIRECT(ADDRESS(2,COLUMN())),OFFSET($BN$2,0,0,ROW()-1,60),ROW()-1,FALSE))</f>
        <v/>
      </c>
      <c r="BL119">
        <f ca="1">IF(AND(ISNUMBER($BL$430),$B$294=1),$BL$430,HLOOKUP(INDIRECT(ADDRESS(2,COLUMN())),OFFSET($BN$2,0,0,ROW()-1,60),ROW()-1,FALSE))</f>
        <v>5.6824736739999997</v>
      </c>
      <c r="BM119">
        <f ca="1">IF(AND(ISNUMBER($BM$430),$B$294=1),$BM$430,HLOOKUP(INDIRECT(ADDRESS(2,COLUMN())),OFFSET($BN$2,0,0,ROW()-1,60),ROW()-1,FALSE))</f>
        <v>11.71092848</v>
      </c>
      <c r="BN119" t="str">
        <f>""</f>
        <v/>
      </c>
      <c r="BO119">
        <f>5.605027386</f>
        <v>5.6050273859999997</v>
      </c>
      <c r="BP119">
        <f>10.49893636</f>
        <v>10.49893636</v>
      </c>
      <c r="BQ119">
        <f>8.307650098</f>
        <v>8.3076500979999999</v>
      </c>
      <c r="BR119">
        <f>4.411860662</f>
        <v>4.4118606619999996</v>
      </c>
      <c r="BS119">
        <f>6.547889352</f>
        <v>6.5478893520000003</v>
      </c>
      <c r="BT119">
        <f>3.53055454</f>
        <v>3.5305545399999998</v>
      </c>
      <c r="BU119">
        <f>13.69615173</f>
        <v>13.69615173</v>
      </c>
      <c r="BV119">
        <f>7.497219355</f>
        <v>7.4972193550000004</v>
      </c>
      <c r="BW119">
        <f>15.93668788</f>
        <v>15.936687879999999</v>
      </c>
      <c r="BX119">
        <f>9.167839069</f>
        <v>9.1678390689999993</v>
      </c>
      <c r="BY119">
        <f>-1.307377344</f>
        <v>-1.3073773440000001</v>
      </c>
      <c r="BZ119">
        <f>8.400769039</f>
        <v>8.400769039</v>
      </c>
      <c r="CA119">
        <f>-4.681977855</f>
        <v>-4.6819778550000004</v>
      </c>
      <c r="CB119">
        <f>4.983190962</f>
        <v>4.9831909620000001</v>
      </c>
      <c r="CC119">
        <f>14.23898899</f>
        <v>14.238988989999999</v>
      </c>
      <c r="CD119">
        <f>9.882673096</f>
        <v>9.8826730959999995</v>
      </c>
      <c r="CE119">
        <f>17.35142653</f>
        <v>17.351426530000001</v>
      </c>
      <c r="CF119">
        <f>17.04337281</f>
        <v>17.043372810000001</v>
      </c>
      <c r="CG119">
        <f>5.513086933</f>
        <v>5.5130869330000003</v>
      </c>
      <c r="CH119">
        <f>4.057578618</f>
        <v>4.057578618</v>
      </c>
      <c r="CI119">
        <f>1.729720084</f>
        <v>1.729720084</v>
      </c>
      <c r="CJ119">
        <f>5.844279979</f>
        <v>5.8442799790000004</v>
      </c>
      <c r="CK119">
        <f>8.195931478</f>
        <v>8.1959314780000003</v>
      </c>
      <c r="CL119">
        <f>9.669422613</f>
        <v>9.6694226130000001</v>
      </c>
      <c r="CM119">
        <f>2.769263014</f>
        <v>2.7692630139999999</v>
      </c>
      <c r="CN119">
        <f>1.447588968</f>
        <v>1.447588968</v>
      </c>
      <c r="CO119">
        <f>-1.192774589</f>
        <v>-1.1927745890000001</v>
      </c>
      <c r="CP119">
        <f>0.106355418</f>
        <v>0.10635541799999999</v>
      </c>
      <c r="CQ119">
        <f>6.557788945</f>
        <v>6.5577889450000004</v>
      </c>
      <c r="CR119">
        <f>2.242019092</f>
        <v>2.242019092</v>
      </c>
      <c r="CS119">
        <f>3.573336255</f>
        <v>3.5733362550000001</v>
      </c>
      <c r="CT119">
        <f>1.114006425</f>
        <v>1.1140064249999999</v>
      </c>
      <c r="CU119">
        <f>3.206845881</f>
        <v>3.206845881</v>
      </c>
      <c r="CV119">
        <f>-1.723177997</f>
        <v>-1.7231779970000001</v>
      </c>
      <c r="CW119">
        <f>0.948470143</f>
        <v>0.94847014299999999</v>
      </c>
      <c r="CX119">
        <f>-3.103374569</f>
        <v>-3.1033745690000001</v>
      </c>
      <c r="CY119">
        <f>-4.393697317</f>
        <v>-4.393697317</v>
      </c>
      <c r="CZ119">
        <f>4.275886092</f>
        <v>4.2758860920000004</v>
      </c>
      <c r="DA119">
        <f>7.057534895</f>
        <v>7.0575348949999999</v>
      </c>
      <c r="DB119">
        <f>9.801678108</f>
        <v>9.8016781080000008</v>
      </c>
      <c r="DC119">
        <f>14.52276922</f>
        <v>14.522769220000001</v>
      </c>
      <c r="DD119">
        <f>6.818604651</f>
        <v>6.8186046510000002</v>
      </c>
      <c r="DE119">
        <f>2.452154924</f>
        <v>2.4521549239999998</v>
      </c>
      <c r="DF119">
        <f>4.941350328</f>
        <v>4.9413503280000004</v>
      </c>
      <c r="DG119">
        <f>10.77194576</f>
        <v>10.771945759999999</v>
      </c>
      <c r="DH119">
        <f>2.306252577</f>
        <v>2.306252577</v>
      </c>
      <c r="DI119">
        <f>-1.662764514</f>
        <v>-1.662764514</v>
      </c>
      <c r="DJ119">
        <f>-3.279982134</f>
        <v>-3.2799821339999999</v>
      </c>
      <c r="DK119">
        <f>7.389199535</f>
        <v>7.3891995350000004</v>
      </c>
      <c r="DL119">
        <f>-3.512342939</f>
        <v>-3.5123429389999998</v>
      </c>
      <c r="DM119">
        <f>-2.74969907</f>
        <v>-2.7496990700000001</v>
      </c>
      <c r="DN119">
        <f>-8.463373083</f>
        <v>-8.4633730830000005</v>
      </c>
      <c r="DO119" t="str">
        <f>""</f>
        <v/>
      </c>
      <c r="DP119">
        <f>-17.059951</f>
        <v>-17.059951000000002</v>
      </c>
      <c r="DQ119">
        <f>-16.1522934</f>
        <v>-16.152293400000001</v>
      </c>
      <c r="DR119">
        <f>7.929807013</f>
        <v>7.9298070129999996</v>
      </c>
      <c r="DS119" t="str">
        <f>""</f>
        <v/>
      </c>
      <c r="DT119">
        <f>5.682473674</f>
        <v>5.6824736739999997</v>
      </c>
      <c r="DU119">
        <f>11.71092848</f>
        <v>11.71092848</v>
      </c>
    </row>
    <row r="120" spans="1:125">
      <c r="A120" t="str">
        <f>"    Kilroy Realty Corp"</f>
        <v xml:space="preserve">    Kilroy Realty Corp</v>
      </c>
      <c r="B120" t="str">
        <f>"KRC US Equity"</f>
        <v>KRC US Equity</v>
      </c>
      <c r="C120" t="str">
        <f t="shared" si="30"/>
        <v>RR551</v>
      </c>
      <c r="D120" t="str">
        <f t="shared" si="31"/>
        <v>NOI_GROWTH</v>
      </c>
      <c r="E120" t="str">
        <f t="shared" si="32"/>
        <v>动态</v>
      </c>
      <c r="F120" t="str">
        <f ca="1">IF(AND(ISNUMBER($F$431),$B$294=1),$F$431,HLOOKUP(INDIRECT(ADDRESS(2,COLUMN())),OFFSET($BN$2,0,0,ROW()-1,60),ROW()-1,FALSE))</f>
        <v/>
      </c>
      <c r="G120">
        <f ca="1">IF(AND(ISNUMBER($G$431),$B$294=1),$G$431,HLOOKUP(INDIRECT(ADDRESS(2,COLUMN())),OFFSET($BN$2,0,0,ROW()-1,60),ROW()-1,FALSE))</f>
        <v>4.1321434420000003</v>
      </c>
      <c r="H120">
        <f ca="1">IF(AND(ISNUMBER($H$431),$B$294=1),$H$431,HLOOKUP(INDIRECT(ADDRESS(2,COLUMN())),OFFSET($BN$2,0,0,ROW()-1,60),ROW()-1,FALSE))</f>
        <v>9.4744009869999992</v>
      </c>
      <c r="I120">
        <f ca="1">IF(AND(ISNUMBER($I$431),$B$294=1),$I$431,HLOOKUP(INDIRECT(ADDRESS(2,COLUMN())),OFFSET($BN$2,0,0,ROW()-1,60),ROW()-1,FALSE))</f>
        <v>9.3491552900000006</v>
      </c>
      <c r="J120">
        <f ca="1">IF(AND(ISNUMBER($J$431),$B$294=1),$J$431,HLOOKUP(INDIRECT(ADDRESS(2,COLUMN())),OFFSET($BN$2,0,0,ROW()-1,60),ROW()-1,FALSE))</f>
        <v>16.55036196</v>
      </c>
      <c r="K120">
        <f ca="1">IF(AND(ISNUMBER($K$431),$B$294=1),$K$431,HLOOKUP(INDIRECT(ADDRESS(2,COLUMN())),OFFSET($BN$2,0,0,ROW()-1,60),ROW()-1,FALSE))</f>
        <v>15.001836040000001</v>
      </c>
      <c r="L120">
        <f ca="1">IF(AND(ISNUMBER($L$431),$B$294=1),$L$431,HLOOKUP(INDIRECT(ADDRESS(2,COLUMN())),OFFSET($BN$2,0,0,ROW()-1,60),ROW()-1,FALSE))</f>
        <v>15.682664089999999</v>
      </c>
      <c r="M120">
        <f ca="1">IF(AND(ISNUMBER($M$431),$B$294=1),$M$431,HLOOKUP(INDIRECT(ADDRESS(2,COLUMN())),OFFSET($BN$2,0,0,ROW()-1,60),ROW()-1,FALSE))</f>
        <v>9.8962232859999997</v>
      </c>
      <c r="N120">
        <f ca="1">IF(AND(ISNUMBER($N$431),$B$294=1),$N$431,HLOOKUP(INDIRECT(ADDRESS(2,COLUMN())),OFFSET($BN$2,0,0,ROW()-1,60),ROW()-1,FALSE))</f>
        <v>0.168918919</v>
      </c>
      <c r="O120">
        <f ca="1">IF(AND(ISNUMBER($O$431),$B$294=1),$O$431,HLOOKUP(INDIRECT(ADDRESS(2,COLUMN())),OFFSET($BN$2,0,0,ROW()-1,60),ROW()-1,FALSE))</f>
        <v>3.6863840049999999</v>
      </c>
      <c r="P120">
        <f ca="1">IF(AND(ISNUMBER($P$431),$B$294=1),$P$431,HLOOKUP(INDIRECT(ADDRESS(2,COLUMN())),OFFSET($BN$2,0,0,ROW()-1,60),ROW()-1,FALSE))</f>
        <v>14.126782560000001</v>
      </c>
      <c r="Q120">
        <f ca="1">IF(AND(ISNUMBER($Q$431),$B$294=1),$Q$431,HLOOKUP(INDIRECT(ADDRESS(2,COLUMN())),OFFSET($BN$2,0,0,ROW()-1,60),ROW()-1,FALSE))</f>
        <v>20.646481739999999</v>
      </c>
      <c r="R120">
        <f ca="1">IF(AND(ISNUMBER($R$431),$B$294=1),$R$431,HLOOKUP(INDIRECT(ADDRESS(2,COLUMN())),OFFSET($BN$2,0,0,ROW()-1,60),ROW()-1,FALSE))</f>
        <v>25.495707580000001</v>
      </c>
      <c r="S120">
        <f ca="1">IF(AND(ISNUMBER($S$431),$B$294=1),$S$431,HLOOKUP(INDIRECT(ADDRESS(2,COLUMN())),OFFSET($BN$2,0,0,ROW()-1,60),ROW()-1,FALSE))</f>
        <v>23.894479659999998</v>
      </c>
      <c r="T120">
        <f ca="1">IF(AND(ISNUMBER($T$431),$B$294=1),$T$431,HLOOKUP(INDIRECT(ADDRESS(2,COLUMN())),OFFSET($BN$2,0,0,ROW()-1,60),ROW()-1,FALSE))</f>
        <v>14.896061980000001</v>
      </c>
      <c r="U120">
        <f ca="1">IF(AND(ISNUMBER($U$431),$B$294=1),$U$431,HLOOKUP(INDIRECT(ADDRESS(2,COLUMN())),OFFSET($BN$2,0,0,ROW()-1,60),ROW()-1,FALSE))</f>
        <v>12.60928346</v>
      </c>
      <c r="V120">
        <f ca="1">IF(AND(ISNUMBER($V$431),$B$294=1),$V$431,HLOOKUP(INDIRECT(ADDRESS(2,COLUMN())),OFFSET($BN$2,0,0,ROW()-1,60),ROW()-1,FALSE))</f>
        <v>10.28403146</v>
      </c>
      <c r="W120">
        <f ca="1">IF(AND(ISNUMBER($W$431),$B$294=1),$W$431,HLOOKUP(INDIRECT(ADDRESS(2,COLUMN())),OFFSET($BN$2,0,0,ROW()-1,60),ROW()-1,FALSE))</f>
        <v>6.0410948360000001</v>
      </c>
      <c r="X120">
        <f ca="1">IF(AND(ISNUMBER($X$431),$B$294=1),$X$431,HLOOKUP(INDIRECT(ADDRESS(2,COLUMN())),OFFSET($BN$2,0,0,ROW()-1,60),ROW()-1,FALSE))</f>
        <v>13.5147811</v>
      </c>
      <c r="Y120">
        <f ca="1">IF(AND(ISNUMBER($Y$431),$B$294=1),$Y$431,HLOOKUP(INDIRECT(ADDRESS(2,COLUMN())),OFFSET($BN$2,0,0,ROW()-1,60),ROW()-1,FALSE))</f>
        <v>14.38986671</v>
      </c>
      <c r="Z120">
        <f ca="1">IF(AND(ISNUMBER($Z$431),$B$294=1),$Z$431,HLOOKUP(INDIRECT(ADDRESS(2,COLUMN())),OFFSET($BN$2,0,0,ROW()-1,60),ROW()-1,FALSE))</f>
        <v>15.68322749</v>
      </c>
      <c r="AA120">
        <f ca="1">IF(AND(ISNUMBER($AA$431),$B$294=1),$AA$431,HLOOKUP(INDIRECT(ADDRESS(2,COLUMN())),OFFSET($BN$2,0,0,ROW()-1,60),ROW()-1,FALSE))</f>
        <v>22.022067450000002</v>
      </c>
      <c r="AB120">
        <f ca="1">IF(AND(ISNUMBER($AB$431),$B$294=1),$AB$431,HLOOKUP(INDIRECT(ADDRESS(2,COLUMN())),OFFSET($BN$2,0,0,ROW()-1,60),ROW()-1,FALSE))</f>
        <v>13.576814880000001</v>
      </c>
      <c r="AC120">
        <f ca="1">IF(AND(ISNUMBER($AC$431),$B$294=1),$AC$431,HLOOKUP(INDIRECT(ADDRESS(2,COLUMN())),OFFSET($BN$2,0,0,ROW()-1,60),ROW()-1,FALSE))</f>
        <v>10.612404489999999</v>
      </c>
      <c r="AD120">
        <f ca="1">IF(AND(ISNUMBER($AD$431),$B$294=1),$AD$431,HLOOKUP(INDIRECT(ADDRESS(2,COLUMN())),OFFSET($BN$2,0,0,ROW()-1,60),ROW()-1,FALSE))</f>
        <v>16.836298249999999</v>
      </c>
      <c r="AE120">
        <f ca="1">IF(AND(ISNUMBER($AE$431),$B$294=1),$AE$431,HLOOKUP(INDIRECT(ADDRESS(2,COLUMN())),OFFSET($BN$2,0,0,ROW()-1,60),ROW()-1,FALSE))</f>
        <v>14.318686039999999</v>
      </c>
      <c r="AF120">
        <f ca="1">IF(AND(ISNUMBER($AF$431),$B$294=1),$AF$431,HLOOKUP(INDIRECT(ADDRESS(2,COLUMN())),OFFSET($BN$2,0,0,ROW()-1,60),ROW()-1,FALSE))</f>
        <v>10.082278130000001</v>
      </c>
      <c r="AG120">
        <f ca="1">IF(AND(ISNUMBER($AG$431),$B$294=1),$AG$431,HLOOKUP(INDIRECT(ADDRESS(2,COLUMN())),OFFSET($BN$2,0,0,ROW()-1,60),ROW()-1,FALSE))</f>
        <v>22.453417389999998</v>
      </c>
      <c r="AH120">
        <f ca="1">IF(AND(ISNUMBER($AH$431),$B$294=1),$AH$431,HLOOKUP(INDIRECT(ADDRESS(2,COLUMN())),OFFSET($BN$2,0,0,ROW()-1,60),ROW()-1,FALSE))</f>
        <v>18.407888209999999</v>
      </c>
      <c r="AI120">
        <f ca="1">IF(AND(ISNUMBER($AI$431),$B$294=1),$AI$431,HLOOKUP(INDIRECT(ADDRESS(2,COLUMN())),OFFSET($BN$2,0,0,ROW()-1,60),ROW()-1,FALSE))</f>
        <v>15.648989220000001</v>
      </c>
      <c r="AJ120">
        <f ca="1">IF(AND(ISNUMBER($AJ$431),$B$294=1),$AJ$431,HLOOKUP(INDIRECT(ADDRESS(2,COLUMN())),OFFSET($BN$2,0,0,ROW()-1,60),ROW()-1,FALSE))</f>
        <v>11.24452146</v>
      </c>
      <c r="AK120">
        <f ca="1">IF(AND(ISNUMBER($AK$431),$B$294=1),$AK$431,HLOOKUP(INDIRECT(ADDRESS(2,COLUMN())),OFFSET($BN$2,0,0,ROW()-1,60),ROW()-1,FALSE))</f>
        <v>-1.4121626940000001</v>
      </c>
      <c r="AL120">
        <f ca="1">IF(AND(ISNUMBER($AL$431),$B$294=1),$AL$431,HLOOKUP(INDIRECT(ADDRESS(2,COLUMN())),OFFSET($BN$2,0,0,ROW()-1,60),ROW()-1,FALSE))</f>
        <v>-6.7216844699999996</v>
      </c>
      <c r="AM120">
        <f ca="1">IF(AND(ISNUMBER($AM$431),$B$294=1),$AM$431,HLOOKUP(INDIRECT(ADDRESS(2,COLUMN())),OFFSET($BN$2,0,0,ROW()-1,60),ROW()-1,FALSE))</f>
        <v>-7.874571102</v>
      </c>
      <c r="AN120">
        <f ca="1">IF(AND(ISNUMBER($AN$431),$B$294=1),$AN$431,HLOOKUP(INDIRECT(ADDRESS(2,COLUMN())),OFFSET($BN$2,0,0,ROW()-1,60),ROW()-1,FALSE))</f>
        <v>-6.7253574690000004</v>
      </c>
      <c r="AO120">
        <f ca="1">IF(AND(ISNUMBER($AO$431),$B$294=1),$AO$431,HLOOKUP(INDIRECT(ADDRESS(2,COLUMN())),OFFSET($BN$2,0,0,ROW()-1,60),ROW()-1,FALSE))</f>
        <v>-2.0648740270000001</v>
      </c>
      <c r="AP120">
        <f ca="1">IF(AND(ISNUMBER($AP$431),$B$294=1),$AP$431,HLOOKUP(INDIRECT(ADDRESS(2,COLUMN())),OFFSET($BN$2,0,0,ROW()-1,60),ROW()-1,FALSE))</f>
        <v>-2.397621198</v>
      </c>
      <c r="AQ120">
        <f ca="1">IF(AND(ISNUMBER($AQ$431),$B$294=1),$AQ$431,HLOOKUP(INDIRECT(ADDRESS(2,COLUMN())),OFFSET($BN$2,0,0,ROW()-1,60),ROW()-1,FALSE))</f>
        <v>0.741252833</v>
      </c>
      <c r="AR120">
        <f ca="1">IF(AND(ISNUMBER($AR$431),$B$294=1),$AR$431,HLOOKUP(INDIRECT(ADDRESS(2,COLUMN())),OFFSET($BN$2,0,0,ROW()-1,60),ROW()-1,FALSE))</f>
        <v>9.7335531119999992</v>
      </c>
      <c r="AS120">
        <f ca="1">IF(AND(ISNUMBER($AS$431),$B$294=1),$AS$431,HLOOKUP(INDIRECT(ADDRESS(2,COLUMN())),OFFSET($BN$2,0,0,ROW()-1,60),ROW()-1,FALSE))</f>
        <v>16.484552040000001</v>
      </c>
      <c r="AT120">
        <f ca="1">IF(AND(ISNUMBER($AT$431),$B$294=1),$AT$431,HLOOKUP(INDIRECT(ADDRESS(2,COLUMN())),OFFSET($BN$2,0,0,ROW()-1,60),ROW()-1,FALSE))</f>
        <v>17.0216046</v>
      </c>
      <c r="AU120">
        <f ca="1">IF(AND(ISNUMBER($AU$431),$B$294=1),$AU$431,HLOOKUP(INDIRECT(ADDRESS(2,COLUMN())),OFFSET($BN$2,0,0,ROW()-1,60),ROW()-1,FALSE))</f>
        <v>17.694654759999999</v>
      </c>
      <c r="AV120">
        <f ca="1">IF(AND(ISNUMBER($AV$431),$B$294=1),$AV$431,HLOOKUP(INDIRECT(ADDRESS(2,COLUMN())),OFFSET($BN$2,0,0,ROW()-1,60),ROW()-1,FALSE))</f>
        <v>5.2092022650000001</v>
      </c>
      <c r="AW120">
        <f ca="1">IF(AND(ISNUMBER($AW$431),$B$294=1),$AW$431,HLOOKUP(INDIRECT(ADDRESS(2,COLUMN())),OFFSET($BN$2,0,0,ROW()-1,60),ROW()-1,FALSE))</f>
        <v>-4.1073195919999996</v>
      </c>
      <c r="AX120">
        <f ca="1">IF(AND(ISNUMBER($AX$431),$B$294=1),$AX$431,HLOOKUP(INDIRECT(ADDRESS(2,COLUMN())),OFFSET($BN$2,0,0,ROW()-1,60),ROW()-1,FALSE))</f>
        <v>-0.92729970299999998</v>
      </c>
      <c r="AY120">
        <f ca="1">IF(AND(ISNUMBER($AY$431),$B$294=1),$AY$431,HLOOKUP(INDIRECT(ADDRESS(2,COLUMN())),OFFSET($BN$2,0,0,ROW()-1,60),ROW()-1,FALSE))</f>
        <v>-0.28396925899999997</v>
      </c>
      <c r="AZ120">
        <f ca="1">IF(AND(ISNUMBER($AZ$431),$B$294=1),$AZ$431,HLOOKUP(INDIRECT(ADDRESS(2,COLUMN())),OFFSET($BN$2,0,0,ROW()-1,60),ROW()-1,FALSE))</f>
        <v>3.6307384319999998</v>
      </c>
      <c r="BA120">
        <f ca="1">IF(AND(ISNUMBER($BA$431),$B$294=1),$BA$431,HLOOKUP(INDIRECT(ADDRESS(2,COLUMN())),OFFSET($BN$2,0,0,ROW()-1,60),ROW()-1,FALSE))</f>
        <v>3.4085346859999999</v>
      </c>
      <c r="BB120">
        <f ca="1">IF(AND(ISNUMBER($BB$431),$B$294=1),$BB$431,HLOOKUP(INDIRECT(ADDRESS(2,COLUMN())),OFFSET($BN$2,0,0,ROW()-1,60),ROW()-1,FALSE))</f>
        <v>1.5982797989999999</v>
      </c>
      <c r="BC120">
        <f ca="1">IF(AND(ISNUMBER($BC$431),$B$294=1),$BC$431,HLOOKUP(INDIRECT(ADDRESS(2,COLUMN())),OFFSET($BN$2,0,0,ROW()-1,60),ROW()-1,FALSE))</f>
        <v>2.4616095140000001</v>
      </c>
      <c r="BD120">
        <f ca="1">IF(AND(ISNUMBER($BD$431),$B$294=1),$BD$431,HLOOKUP(INDIRECT(ADDRESS(2,COLUMN())),OFFSET($BN$2,0,0,ROW()-1,60),ROW()-1,FALSE))</f>
        <v>5.1526169739999998</v>
      </c>
      <c r="BE120">
        <f ca="1">IF(AND(ISNUMBER($BE$431),$B$294=1),$BE$431,HLOOKUP(INDIRECT(ADDRESS(2,COLUMN())),OFFSET($BN$2,0,0,ROW()-1,60),ROW()-1,FALSE))</f>
        <v>9.0022796720000002</v>
      </c>
      <c r="BF120">
        <f ca="1">IF(AND(ISNUMBER($BF$431),$B$294=1),$BF$431,HLOOKUP(INDIRECT(ADDRESS(2,COLUMN())),OFFSET($BN$2,0,0,ROW()-1,60),ROW()-1,FALSE))</f>
        <v>12.62826755</v>
      </c>
      <c r="BG120">
        <f ca="1">IF(AND(ISNUMBER($BG$431),$B$294=1),$BG$431,HLOOKUP(INDIRECT(ADDRESS(2,COLUMN())),OFFSET($BN$2,0,0,ROW()-1,60),ROW()-1,FALSE))</f>
        <v>10.64694291</v>
      </c>
      <c r="BH120">
        <f ca="1">IF(AND(ISNUMBER($BH$431),$B$294=1),$BH$431,HLOOKUP(INDIRECT(ADDRESS(2,COLUMN())),OFFSET($BN$2,0,0,ROW()-1,60),ROW()-1,FALSE))</f>
        <v>8.8390741750000004</v>
      </c>
      <c r="BI120">
        <f ca="1">IF(AND(ISNUMBER($BI$431),$B$294=1),$BI$431,HLOOKUP(INDIRECT(ADDRESS(2,COLUMN())),OFFSET($BN$2,0,0,ROW()-1,60),ROW()-1,FALSE))</f>
        <v>10.310326379999999</v>
      </c>
      <c r="BJ120">
        <f ca="1">IF(AND(ISNUMBER($BJ$431),$B$294=1),$BJ$431,HLOOKUP(INDIRECT(ADDRESS(2,COLUMN())),OFFSET($BN$2,0,0,ROW()-1,60),ROW()-1,FALSE))</f>
        <v>11.29543181</v>
      </c>
      <c r="BK120">
        <f ca="1">IF(AND(ISNUMBER($BK$431),$B$294=1),$BK$431,HLOOKUP(INDIRECT(ADDRESS(2,COLUMN())),OFFSET($BN$2,0,0,ROW()-1,60),ROW()-1,FALSE))</f>
        <v>0.145851337</v>
      </c>
      <c r="BL120">
        <f ca="1">IF(AND(ISNUMBER($BL$431),$B$294=1),$BL$431,HLOOKUP(INDIRECT(ADDRESS(2,COLUMN())),OFFSET($BN$2,0,0,ROW()-1,60),ROW()-1,FALSE))</f>
        <v>0.55501741000000004</v>
      </c>
      <c r="BM120">
        <f ca="1">IF(AND(ISNUMBER($BM$431),$B$294=1),$BM$431,HLOOKUP(INDIRECT(ADDRESS(2,COLUMN())),OFFSET($BN$2,0,0,ROW()-1,60),ROW()-1,FALSE))</f>
        <v>-5.2399422009999999</v>
      </c>
      <c r="BN120" t="str">
        <f>""</f>
        <v/>
      </c>
      <c r="BO120">
        <f>4.132143442</f>
        <v>4.1321434420000003</v>
      </c>
      <c r="BP120">
        <f>9.474400987</f>
        <v>9.4744009869999992</v>
      </c>
      <c r="BQ120">
        <f>9.34915529</f>
        <v>9.3491552900000006</v>
      </c>
      <c r="BR120">
        <f>16.55036196</f>
        <v>16.55036196</v>
      </c>
      <c r="BS120">
        <f>15.00183604</f>
        <v>15.001836040000001</v>
      </c>
      <c r="BT120">
        <f>15.68266409</f>
        <v>15.682664089999999</v>
      </c>
      <c r="BU120">
        <f>9.896223286</f>
        <v>9.8962232859999997</v>
      </c>
      <c r="BV120">
        <f>0.168918919</f>
        <v>0.168918919</v>
      </c>
      <c r="BW120">
        <f>3.686384005</f>
        <v>3.6863840049999999</v>
      </c>
      <c r="BX120">
        <f>14.12678256</f>
        <v>14.126782560000001</v>
      </c>
      <c r="BY120">
        <f>20.64648174</f>
        <v>20.646481739999999</v>
      </c>
      <c r="BZ120">
        <f>25.49570758</f>
        <v>25.495707580000001</v>
      </c>
      <c r="CA120">
        <f>23.89447966</f>
        <v>23.894479659999998</v>
      </c>
      <c r="CB120">
        <f>14.89606198</f>
        <v>14.896061980000001</v>
      </c>
      <c r="CC120">
        <f>12.60928346</f>
        <v>12.60928346</v>
      </c>
      <c r="CD120">
        <f>10.28403146</f>
        <v>10.28403146</v>
      </c>
      <c r="CE120">
        <f>6.041094836</f>
        <v>6.0410948360000001</v>
      </c>
      <c r="CF120">
        <f>13.5147811</f>
        <v>13.5147811</v>
      </c>
      <c r="CG120">
        <f>14.38986671</f>
        <v>14.38986671</v>
      </c>
      <c r="CH120">
        <f>15.68322749</f>
        <v>15.68322749</v>
      </c>
      <c r="CI120">
        <f>22.02206745</f>
        <v>22.022067450000002</v>
      </c>
      <c r="CJ120">
        <f>13.57681488</f>
        <v>13.576814880000001</v>
      </c>
      <c r="CK120">
        <f>10.61240449</f>
        <v>10.612404489999999</v>
      </c>
      <c r="CL120">
        <f>16.83629825</f>
        <v>16.836298249999999</v>
      </c>
      <c r="CM120">
        <f>14.31868604</f>
        <v>14.318686039999999</v>
      </c>
      <c r="CN120">
        <f>10.08227813</f>
        <v>10.082278130000001</v>
      </c>
      <c r="CO120">
        <f>22.45341739</f>
        <v>22.453417389999998</v>
      </c>
      <c r="CP120">
        <f>18.40788821</f>
        <v>18.407888209999999</v>
      </c>
      <c r="CQ120">
        <f>15.64898922</f>
        <v>15.648989220000001</v>
      </c>
      <c r="CR120">
        <f>11.24452146</f>
        <v>11.24452146</v>
      </c>
      <c r="CS120">
        <f>-1.412162694</f>
        <v>-1.4121626940000001</v>
      </c>
      <c r="CT120">
        <f>-6.72168447</f>
        <v>-6.7216844699999996</v>
      </c>
      <c r="CU120">
        <f>-7.874571102</f>
        <v>-7.874571102</v>
      </c>
      <c r="CV120">
        <f>-6.725357469</f>
        <v>-6.7253574690000004</v>
      </c>
      <c r="CW120">
        <f>-2.064874027</f>
        <v>-2.0648740270000001</v>
      </c>
      <c r="CX120">
        <f>-2.397621198</f>
        <v>-2.397621198</v>
      </c>
      <c r="CY120">
        <f>0.741252833</f>
        <v>0.741252833</v>
      </c>
      <c r="CZ120">
        <f>9.733553112</f>
        <v>9.7335531119999992</v>
      </c>
      <c r="DA120">
        <f>16.48455204</f>
        <v>16.484552040000001</v>
      </c>
      <c r="DB120">
        <f>17.0216046</f>
        <v>17.0216046</v>
      </c>
      <c r="DC120">
        <f>17.69465476</f>
        <v>17.694654759999999</v>
      </c>
      <c r="DD120">
        <f>5.209202265</f>
        <v>5.2092022650000001</v>
      </c>
      <c r="DE120">
        <f>-4.107319592</f>
        <v>-4.1073195919999996</v>
      </c>
      <c r="DF120">
        <f>-0.927299703</f>
        <v>-0.92729970299999998</v>
      </c>
      <c r="DG120">
        <f>-0.283969259</f>
        <v>-0.28396925899999997</v>
      </c>
      <c r="DH120">
        <f>3.630738432</f>
        <v>3.6307384319999998</v>
      </c>
      <c r="DI120">
        <f>3.408534686</f>
        <v>3.4085346859999999</v>
      </c>
      <c r="DJ120">
        <f>1.598279799</f>
        <v>1.5982797989999999</v>
      </c>
      <c r="DK120">
        <f>2.461609514</f>
        <v>2.4616095140000001</v>
      </c>
      <c r="DL120">
        <f>5.152616974</f>
        <v>5.1526169739999998</v>
      </c>
      <c r="DM120">
        <f>9.002279672</f>
        <v>9.0022796720000002</v>
      </c>
      <c r="DN120">
        <f>12.62826755</f>
        <v>12.62826755</v>
      </c>
      <c r="DO120">
        <f>10.64694291</f>
        <v>10.64694291</v>
      </c>
      <c r="DP120">
        <f>8.839074175</f>
        <v>8.8390741750000004</v>
      </c>
      <c r="DQ120">
        <f>10.31032638</f>
        <v>10.310326379999999</v>
      </c>
      <c r="DR120">
        <f>11.29543181</f>
        <v>11.29543181</v>
      </c>
      <c r="DS120">
        <f>0.145851337</f>
        <v>0.145851337</v>
      </c>
      <c r="DT120">
        <f>0.55501741</f>
        <v>0.55501741000000004</v>
      </c>
      <c r="DU120">
        <f>-5.239942201</f>
        <v>-5.2399422009999999</v>
      </c>
    </row>
    <row r="121" spans="1:125">
      <c r="A121" t="str">
        <f>"    Mack-Cali Realty Corp"</f>
        <v xml:space="preserve">    Mack-Cali Realty Corp</v>
      </c>
      <c r="B121" t="str">
        <f>"CLI US Equity"</f>
        <v>CLI US Equity</v>
      </c>
      <c r="C121" t="str">
        <f t="shared" si="30"/>
        <v>RR551</v>
      </c>
      <c r="D121" t="str">
        <f t="shared" si="31"/>
        <v>NOI_GROWTH</v>
      </c>
      <c r="E121" t="str">
        <f t="shared" si="32"/>
        <v>动态</v>
      </c>
      <c r="F121" t="str">
        <f ca="1">IF(AND(ISNUMBER($F$432),$B$294=1),$F$432,HLOOKUP(INDIRECT(ADDRESS(2,COLUMN())),OFFSET($BN$2,0,0,ROW()-1,60),ROW()-1,FALSE))</f>
        <v/>
      </c>
      <c r="G121">
        <f ca="1">IF(AND(ISNUMBER($G$432),$B$294=1),$G$432,HLOOKUP(INDIRECT(ADDRESS(2,COLUMN())),OFFSET($BN$2,0,0,ROW()-1,60),ROW()-1,FALSE))</f>
        <v>-5.5876865670000004</v>
      </c>
      <c r="H121">
        <f ca="1">IF(AND(ISNUMBER($H$432),$B$294=1),$H$432,HLOOKUP(INDIRECT(ADDRESS(2,COLUMN())),OFFSET($BN$2,0,0,ROW()-1,60),ROW()-1,FALSE))</f>
        <v>3.201773636</v>
      </c>
      <c r="I121">
        <f ca="1">IF(AND(ISNUMBER($I$432),$B$294=1),$I$432,HLOOKUP(INDIRECT(ADDRESS(2,COLUMN())),OFFSET($BN$2,0,0,ROW()-1,60),ROW()-1,FALSE))</f>
        <v>12.885047950000001</v>
      </c>
      <c r="J121">
        <f ca="1">IF(AND(ISNUMBER($J$432),$B$294=1),$J$432,HLOOKUP(INDIRECT(ADDRESS(2,COLUMN())),OFFSET($BN$2,0,0,ROW()-1,60),ROW()-1,FALSE))</f>
        <v>4.6932121E-2</v>
      </c>
      <c r="K121">
        <f ca="1">IF(AND(ISNUMBER($K$432),$B$294=1),$K$432,HLOOKUP(INDIRECT(ADDRESS(2,COLUMN())),OFFSET($BN$2,0,0,ROW()-1,60),ROW()-1,FALSE))</f>
        <v>10.48414109</v>
      </c>
      <c r="L121">
        <f ca="1">IF(AND(ISNUMBER($L$432),$B$294=1),$L$432,HLOOKUP(INDIRECT(ADDRESS(2,COLUMN())),OFFSET($BN$2,0,0,ROW()-1,60),ROW()-1,FALSE))</f>
        <v>10.167873439999999</v>
      </c>
      <c r="M121">
        <f ca="1">IF(AND(ISNUMBER($M$432),$B$294=1),$M$432,HLOOKUP(INDIRECT(ADDRESS(2,COLUMN())),OFFSET($BN$2,0,0,ROW()-1,60),ROW()-1,FALSE))</f>
        <v>6.5396985560000003</v>
      </c>
      <c r="N121">
        <f ca="1">IF(AND(ISNUMBER($N$432),$B$294=1),$N$432,HLOOKUP(INDIRECT(ADDRESS(2,COLUMN())),OFFSET($BN$2,0,0,ROW()-1,60),ROW()-1,FALSE))</f>
        <v>5.8695851149999996</v>
      </c>
      <c r="O121">
        <f ca="1">IF(AND(ISNUMBER($O$432),$B$294=1),$O$432,HLOOKUP(INDIRECT(ADDRESS(2,COLUMN())),OFFSET($BN$2,0,0,ROW()-1,60),ROW()-1,FALSE))</f>
        <v>-1.5149208279999999</v>
      </c>
      <c r="P121">
        <f ca="1">IF(AND(ISNUMBER($P$432),$B$294=1),$P$432,HLOOKUP(INDIRECT(ADDRESS(2,COLUMN())),OFFSET($BN$2,0,0,ROW()-1,60),ROW()-1,FALSE))</f>
        <v>-2.6434589480000001</v>
      </c>
      <c r="Q121">
        <f ca="1">IF(AND(ISNUMBER($Q$432),$B$294=1),$Q$432,HLOOKUP(INDIRECT(ADDRESS(2,COLUMN())),OFFSET($BN$2,0,0,ROW()-1,60),ROW()-1,FALSE))</f>
        <v>-8.5039351910000001</v>
      </c>
      <c r="R121">
        <f ca="1">IF(AND(ISNUMBER($R$432),$B$294=1),$R$432,HLOOKUP(INDIRECT(ADDRESS(2,COLUMN())),OFFSET($BN$2,0,0,ROW()-1,60),ROW()-1,FALSE))</f>
        <v>-4.2564378620000003</v>
      </c>
      <c r="S121">
        <f ca="1">IF(AND(ISNUMBER($S$432),$B$294=1),$S$432,HLOOKUP(INDIRECT(ADDRESS(2,COLUMN())),OFFSET($BN$2,0,0,ROW()-1,60),ROW()-1,FALSE))</f>
        <v>-11.65116018</v>
      </c>
      <c r="T121">
        <f ca="1">IF(AND(ISNUMBER($T$432),$B$294=1),$T$432,HLOOKUP(INDIRECT(ADDRESS(2,COLUMN())),OFFSET($BN$2,0,0,ROW()-1,60),ROW()-1,FALSE))</f>
        <v>-7.1545444360000001</v>
      </c>
      <c r="U121">
        <f ca="1">IF(AND(ISNUMBER($U$432),$B$294=1),$U$432,HLOOKUP(INDIRECT(ADDRESS(2,COLUMN())),OFFSET($BN$2,0,0,ROW()-1,60),ROW()-1,FALSE))</f>
        <v>-9.3492065150000006</v>
      </c>
      <c r="V121">
        <f ca="1">IF(AND(ISNUMBER($V$432),$B$294=1),$V$432,HLOOKUP(INDIRECT(ADDRESS(2,COLUMN())),OFFSET($BN$2,0,0,ROW()-1,60),ROW()-1,FALSE))</f>
        <v>-12.469043810000001</v>
      </c>
      <c r="W121">
        <f ca="1">IF(AND(ISNUMBER($W$432),$B$294=1),$W$432,HLOOKUP(INDIRECT(ADDRESS(2,COLUMN())),OFFSET($BN$2,0,0,ROW()-1,60),ROW()-1,FALSE))</f>
        <v>-7.0487106019999999</v>
      </c>
      <c r="X121">
        <f ca="1">IF(AND(ISNUMBER($X$432),$B$294=1),$X$432,HLOOKUP(INDIRECT(ADDRESS(2,COLUMN())),OFFSET($BN$2,0,0,ROW()-1,60),ROW()-1,FALSE))</f>
        <v>-3.1708481640000001</v>
      </c>
      <c r="Y121">
        <f ca="1">IF(AND(ISNUMBER($Y$432),$B$294=1),$Y$432,HLOOKUP(INDIRECT(ADDRESS(2,COLUMN())),OFFSET($BN$2,0,0,ROW()-1,60),ROW()-1,FALSE))</f>
        <v>-4.387009012</v>
      </c>
      <c r="Z121">
        <f ca="1">IF(AND(ISNUMBER($Z$432),$B$294=1),$Z$432,HLOOKUP(INDIRECT(ADDRESS(2,COLUMN())),OFFSET($BN$2,0,0,ROW()-1,60),ROW()-1,FALSE))</f>
        <v>-9.9557958719999995</v>
      </c>
      <c r="AA121">
        <f ca="1">IF(AND(ISNUMBER($AA$432),$B$294=1),$AA$432,HLOOKUP(INDIRECT(ADDRESS(2,COLUMN())),OFFSET($BN$2,0,0,ROW()-1,60),ROW()-1,FALSE))</f>
        <v>-3.6395582329999998</v>
      </c>
      <c r="AB121">
        <f ca="1">IF(AND(ISNUMBER($AB$432),$B$294=1),$AB$432,HLOOKUP(INDIRECT(ADDRESS(2,COLUMN())),OFFSET($BN$2,0,0,ROW()-1,60),ROW()-1,FALSE))</f>
        <v>-14.57995384</v>
      </c>
      <c r="AC121">
        <f ca="1">IF(AND(ISNUMBER($AC$432),$B$294=1),$AC$432,HLOOKUP(INDIRECT(ADDRESS(2,COLUMN())),OFFSET($BN$2,0,0,ROW()-1,60),ROW()-1,FALSE))</f>
        <v>-2.6352950339999999</v>
      </c>
      <c r="AD121">
        <f ca="1">IF(AND(ISNUMBER($AD$432),$B$294=1),$AD$432,HLOOKUP(INDIRECT(ADDRESS(2,COLUMN())),OFFSET($BN$2,0,0,ROW()-1,60),ROW()-1,FALSE))</f>
        <v>1.339892809</v>
      </c>
      <c r="AE121">
        <f ca="1">IF(AND(ISNUMBER($AE$432),$B$294=1),$AE$432,HLOOKUP(INDIRECT(ADDRESS(2,COLUMN())),OFFSET($BN$2,0,0,ROW()-1,60),ROW()-1,FALSE))</f>
        <v>-5.4292713499999996</v>
      </c>
      <c r="AF121">
        <f ca="1">IF(AND(ISNUMBER($AF$432),$B$294=1),$AF$432,HLOOKUP(INDIRECT(ADDRESS(2,COLUMN())),OFFSET($BN$2,0,0,ROW()-1,60),ROW()-1,FALSE))</f>
        <v>4.3387010979999996</v>
      </c>
      <c r="AG121">
        <f ca="1">IF(AND(ISNUMBER($AG$432),$B$294=1),$AG$432,HLOOKUP(INDIRECT(ADDRESS(2,COLUMN())),OFFSET($BN$2,0,0,ROW()-1,60),ROW()-1,FALSE))</f>
        <v>-2.3322395020000002</v>
      </c>
      <c r="AH121">
        <f ca="1">IF(AND(ISNUMBER($AH$432),$B$294=1),$AH$432,HLOOKUP(INDIRECT(ADDRESS(2,COLUMN())),OFFSET($BN$2,0,0,ROW()-1,60),ROW()-1,FALSE))</f>
        <v>-7.5233022639999998</v>
      </c>
      <c r="AI121">
        <f ca="1">IF(AND(ISNUMBER($AI$432),$B$294=1),$AI$432,HLOOKUP(INDIRECT(ADDRESS(2,COLUMN())),OFFSET($BN$2,0,0,ROW()-1,60),ROW()-1,FALSE))</f>
        <v>-4.2598450970000004</v>
      </c>
      <c r="AJ121">
        <f ca="1">IF(AND(ISNUMBER($AJ$432),$B$294=1),$AJ$432,HLOOKUP(INDIRECT(ADDRESS(2,COLUMN())),OFFSET($BN$2,0,0,ROW()-1,60),ROW()-1,FALSE))</f>
        <v>-8.5526024849999995</v>
      </c>
      <c r="AK121">
        <f ca="1">IF(AND(ISNUMBER($AK$432),$B$294=1),$AK$432,HLOOKUP(INDIRECT(ADDRESS(2,COLUMN())),OFFSET($BN$2,0,0,ROW()-1,60),ROW()-1,FALSE))</f>
        <v>-5.8318255920000004</v>
      </c>
      <c r="AL121">
        <f ca="1">IF(AND(ISNUMBER($AL$432),$B$294=1),$AL$432,HLOOKUP(INDIRECT(ADDRESS(2,COLUMN())),OFFSET($BN$2,0,0,ROW()-1,60),ROW()-1,FALSE))</f>
        <v>3.0090012860000002</v>
      </c>
      <c r="AM121">
        <f ca="1">IF(AND(ISNUMBER($AM$432),$B$294=1),$AM$432,HLOOKUP(INDIRECT(ADDRESS(2,COLUMN())),OFFSET($BN$2,0,0,ROW()-1,60),ROW()-1,FALSE))</f>
        <v>-3.1450306399999999</v>
      </c>
      <c r="AN121">
        <f ca="1">IF(AND(ISNUMBER($AN$432),$B$294=1),$AN$432,HLOOKUP(INDIRECT(ADDRESS(2,COLUMN())),OFFSET($BN$2,0,0,ROW()-1,60),ROW()-1,FALSE))</f>
        <v>9.1972339729999995</v>
      </c>
      <c r="AO121">
        <f ca="1">IF(AND(ISNUMBER($AO$432),$B$294=1),$AO$432,HLOOKUP(INDIRECT(ADDRESS(2,COLUMN())),OFFSET($BN$2,0,0,ROW()-1,60),ROW()-1,FALSE))</f>
        <v>7.6251253180000003</v>
      </c>
      <c r="AP121">
        <f ca="1">IF(AND(ISNUMBER($AP$432),$B$294=1),$AP$432,HLOOKUP(INDIRECT(ADDRESS(2,COLUMN())),OFFSET($BN$2,0,0,ROW()-1,60),ROW()-1,FALSE))</f>
        <v>2.0361551169999998</v>
      </c>
      <c r="AQ121">
        <f ca="1">IF(AND(ISNUMBER($AQ$432),$B$294=1),$AQ$432,HLOOKUP(INDIRECT(ADDRESS(2,COLUMN())),OFFSET($BN$2,0,0,ROW()-1,60),ROW()-1,FALSE))</f>
        <v>7.2361960869999997</v>
      </c>
      <c r="AR121">
        <f ca="1">IF(AND(ISNUMBER($AR$432),$B$294=1),$AR$432,HLOOKUP(INDIRECT(ADDRESS(2,COLUMN())),OFFSET($BN$2,0,0,ROW()-1,60),ROW()-1,FALSE))</f>
        <v>1.9475404670000001</v>
      </c>
      <c r="AS121">
        <f ca="1">IF(AND(ISNUMBER($AS$432),$B$294=1),$AS$432,HLOOKUP(INDIRECT(ADDRESS(2,COLUMN())),OFFSET($BN$2,0,0,ROW()-1,60),ROW()-1,FALSE))</f>
        <v>1.9829137130000001</v>
      </c>
      <c r="AT121">
        <f ca="1">IF(AND(ISNUMBER($AT$432),$B$294=1),$AT$432,HLOOKUP(INDIRECT(ADDRESS(2,COLUMN())),OFFSET($BN$2,0,0,ROW()-1,60),ROW()-1,FALSE))</f>
        <v>2.750259647</v>
      </c>
      <c r="AU121">
        <f ca="1">IF(AND(ISNUMBER($AU$432),$B$294=1),$AU$432,HLOOKUP(INDIRECT(ADDRESS(2,COLUMN())),OFFSET($BN$2,0,0,ROW()-1,60),ROW()-1,FALSE))</f>
        <v>7.014246741</v>
      </c>
      <c r="AV121">
        <f ca="1">IF(AND(ISNUMBER($AV$432),$B$294=1),$AV$432,HLOOKUP(INDIRECT(ADDRESS(2,COLUMN())),OFFSET($BN$2,0,0,ROW()-1,60),ROW()-1,FALSE))</f>
        <v>1.110016028</v>
      </c>
      <c r="AW121">
        <f ca="1">IF(AND(ISNUMBER($AW$432),$B$294=1),$AW$432,HLOOKUP(INDIRECT(ADDRESS(2,COLUMN())),OFFSET($BN$2,0,0,ROW()-1,60),ROW()-1,FALSE))</f>
        <v>5.5734880489999998</v>
      </c>
      <c r="AX121">
        <f ca="1">IF(AND(ISNUMBER($AX$432),$B$294=1),$AX$432,HLOOKUP(INDIRECT(ADDRESS(2,COLUMN())),OFFSET($BN$2,0,0,ROW()-1,60),ROW()-1,FALSE))</f>
        <v>7.1729777170000002</v>
      </c>
      <c r="AY121">
        <f ca="1">IF(AND(ISNUMBER($AY$432),$B$294=1),$AY$432,HLOOKUP(INDIRECT(ADDRESS(2,COLUMN())),OFFSET($BN$2,0,0,ROW()-1,60),ROW()-1,FALSE))</f>
        <v>18.965765940000001</v>
      </c>
      <c r="AZ121">
        <f ca="1">IF(AND(ISNUMBER($AZ$432),$B$294=1),$AZ$432,HLOOKUP(INDIRECT(ADDRESS(2,COLUMN())),OFFSET($BN$2,0,0,ROW()-1,60),ROW()-1,FALSE))</f>
        <v>7.2749020150000003</v>
      </c>
      <c r="BA121">
        <f ca="1">IF(AND(ISNUMBER($BA$432),$B$294=1),$BA$432,HLOOKUP(INDIRECT(ADDRESS(2,COLUMN())),OFFSET($BN$2,0,0,ROW()-1,60),ROW()-1,FALSE))</f>
        <v>-5.1888370630000002</v>
      </c>
      <c r="BB121">
        <f ca="1">IF(AND(ISNUMBER($BB$432),$B$294=1),$BB$432,HLOOKUP(INDIRECT(ADDRESS(2,COLUMN())),OFFSET($BN$2,0,0,ROW()-1,60),ROW()-1,FALSE))</f>
        <v>-6.6779864160000004</v>
      </c>
      <c r="BC121">
        <f ca="1">IF(AND(ISNUMBER($BC$432),$B$294=1),$BC$432,HLOOKUP(INDIRECT(ADDRESS(2,COLUMN())),OFFSET($BN$2,0,0,ROW()-1,60),ROW()-1,FALSE))</f>
        <v>-16.45460297</v>
      </c>
      <c r="BD121">
        <f ca="1">IF(AND(ISNUMBER($BD$432),$B$294=1),$BD$432,HLOOKUP(INDIRECT(ADDRESS(2,COLUMN())),OFFSET($BN$2,0,0,ROW()-1,60),ROW()-1,FALSE))</f>
        <v>-7.1383944069999998</v>
      </c>
      <c r="BE121">
        <f ca="1">IF(AND(ISNUMBER($BE$432),$B$294=1),$BE$432,HLOOKUP(INDIRECT(ADDRESS(2,COLUMN())),OFFSET($BN$2,0,0,ROW()-1,60),ROW()-1,FALSE))</f>
        <v>1.008870098</v>
      </c>
      <c r="BF121">
        <f ca="1">IF(AND(ISNUMBER($BF$432),$B$294=1),$BF$432,HLOOKUP(INDIRECT(ADDRESS(2,COLUMN())),OFFSET($BN$2,0,0,ROW()-1,60),ROW()-1,FALSE))</f>
        <v>5.3772654510000004</v>
      </c>
      <c r="BG121">
        <f ca="1">IF(AND(ISNUMBER($BG$432),$B$294=1),$BG$432,HLOOKUP(INDIRECT(ADDRESS(2,COLUMN())),OFFSET($BN$2,0,0,ROW()-1,60),ROW()-1,FALSE))</f>
        <v>1.0851994739999999</v>
      </c>
      <c r="BH121">
        <f ca="1">IF(AND(ISNUMBER($BH$432),$B$294=1),$BH$432,HLOOKUP(INDIRECT(ADDRESS(2,COLUMN())),OFFSET($BN$2,0,0,ROW()-1,60),ROW()-1,FALSE))</f>
        <v>1.800062557</v>
      </c>
      <c r="BI121">
        <f ca="1">IF(AND(ISNUMBER($BI$432),$B$294=1),$BI$432,HLOOKUP(INDIRECT(ADDRESS(2,COLUMN())),OFFSET($BN$2,0,0,ROW()-1,60),ROW()-1,FALSE))</f>
        <v>0.13037938600000001</v>
      </c>
      <c r="BJ121">
        <f ca="1">IF(AND(ISNUMBER($BJ$432),$B$294=1),$BJ$432,HLOOKUP(INDIRECT(ADDRESS(2,COLUMN())),OFFSET($BN$2,0,0,ROW()-1,60),ROW()-1,FALSE))</f>
        <v>-5.5528472799999999</v>
      </c>
      <c r="BK121">
        <f ca="1">IF(AND(ISNUMBER($BK$432),$B$294=1),$BK$432,HLOOKUP(INDIRECT(ADDRESS(2,COLUMN())),OFFSET($BN$2,0,0,ROW()-1,60),ROW()-1,FALSE))</f>
        <v>1.3717403619999999</v>
      </c>
      <c r="BL121">
        <f ca="1">IF(AND(ISNUMBER($BL$432),$B$294=1),$BL$432,HLOOKUP(INDIRECT(ADDRESS(2,COLUMN())),OFFSET($BN$2,0,0,ROW()-1,60),ROW()-1,FALSE))</f>
        <v>-1.46040488</v>
      </c>
      <c r="BM121">
        <f ca="1">IF(AND(ISNUMBER($BM$432),$B$294=1),$BM$432,HLOOKUP(INDIRECT(ADDRESS(2,COLUMN())),OFFSET($BN$2,0,0,ROW()-1,60),ROW()-1,FALSE))</f>
        <v>0.79351262</v>
      </c>
      <c r="BN121" t="str">
        <f>""</f>
        <v/>
      </c>
      <c r="BO121">
        <f>-5.587686567</f>
        <v>-5.5876865670000004</v>
      </c>
      <c r="BP121">
        <f>3.201773636</f>
        <v>3.201773636</v>
      </c>
      <c r="BQ121">
        <f>12.88504795</f>
        <v>12.885047950000001</v>
      </c>
      <c r="BR121">
        <f>0.046932121</f>
        <v>4.6932121E-2</v>
      </c>
      <c r="BS121">
        <f>10.48414109</f>
        <v>10.48414109</v>
      </c>
      <c r="BT121">
        <f>10.16787344</f>
        <v>10.167873439999999</v>
      </c>
      <c r="BU121">
        <f>6.539698556</f>
        <v>6.5396985560000003</v>
      </c>
      <c r="BV121">
        <f>5.869585115</f>
        <v>5.8695851149999996</v>
      </c>
      <c r="BW121">
        <f>-1.514920828</f>
        <v>-1.5149208279999999</v>
      </c>
      <c r="BX121">
        <f>-2.643458948</f>
        <v>-2.6434589480000001</v>
      </c>
      <c r="BY121">
        <f>-8.503935191</f>
        <v>-8.5039351910000001</v>
      </c>
      <c r="BZ121">
        <f>-4.256437862</f>
        <v>-4.2564378620000003</v>
      </c>
      <c r="CA121">
        <f>-11.65116018</f>
        <v>-11.65116018</v>
      </c>
      <c r="CB121">
        <f>-7.154544436</f>
        <v>-7.1545444360000001</v>
      </c>
      <c r="CC121">
        <f>-9.349206515</f>
        <v>-9.3492065150000006</v>
      </c>
      <c r="CD121">
        <f>-12.46904381</f>
        <v>-12.469043810000001</v>
      </c>
      <c r="CE121">
        <f>-7.048710602</f>
        <v>-7.0487106019999999</v>
      </c>
      <c r="CF121">
        <f>-3.170848164</f>
        <v>-3.1708481640000001</v>
      </c>
      <c r="CG121">
        <f>-4.387009012</f>
        <v>-4.387009012</v>
      </c>
      <c r="CH121">
        <f>-9.955795872</f>
        <v>-9.9557958719999995</v>
      </c>
      <c r="CI121">
        <f>-3.639558233</f>
        <v>-3.6395582329999998</v>
      </c>
      <c r="CJ121">
        <f>-14.57995384</f>
        <v>-14.57995384</v>
      </c>
      <c r="CK121">
        <f>-2.635295034</f>
        <v>-2.6352950339999999</v>
      </c>
      <c r="CL121">
        <f>1.339892809</f>
        <v>1.339892809</v>
      </c>
      <c r="CM121">
        <f>-5.42927135</f>
        <v>-5.4292713499999996</v>
      </c>
      <c r="CN121">
        <f>4.338701098</f>
        <v>4.3387010979999996</v>
      </c>
      <c r="CO121">
        <f>-2.332239502</f>
        <v>-2.3322395020000002</v>
      </c>
      <c r="CP121">
        <f>-7.523302264</f>
        <v>-7.5233022639999998</v>
      </c>
      <c r="CQ121">
        <f>-4.259845097</f>
        <v>-4.2598450970000004</v>
      </c>
      <c r="CR121">
        <f>-8.552602485</f>
        <v>-8.5526024849999995</v>
      </c>
      <c r="CS121">
        <f>-5.831825592</f>
        <v>-5.8318255920000004</v>
      </c>
      <c r="CT121">
        <f>3.009001286</f>
        <v>3.0090012860000002</v>
      </c>
      <c r="CU121">
        <f>-3.14503064</f>
        <v>-3.1450306399999999</v>
      </c>
      <c r="CV121">
        <f>9.197233973</f>
        <v>9.1972339729999995</v>
      </c>
      <c r="CW121">
        <f>7.625125318</f>
        <v>7.6251253180000003</v>
      </c>
      <c r="CX121">
        <f>2.036155117</f>
        <v>2.0361551169999998</v>
      </c>
      <c r="CY121">
        <f>7.236196087</f>
        <v>7.2361960869999997</v>
      </c>
      <c r="CZ121">
        <f>1.947540467</f>
        <v>1.9475404670000001</v>
      </c>
      <c r="DA121">
        <f>1.982913713</f>
        <v>1.9829137130000001</v>
      </c>
      <c r="DB121">
        <f>2.750259647</f>
        <v>2.750259647</v>
      </c>
      <c r="DC121">
        <f>7.014246741</f>
        <v>7.014246741</v>
      </c>
      <c r="DD121">
        <f>1.110016028</f>
        <v>1.110016028</v>
      </c>
      <c r="DE121">
        <f>5.573488049</f>
        <v>5.5734880489999998</v>
      </c>
      <c r="DF121">
        <f>7.172977717</f>
        <v>7.1729777170000002</v>
      </c>
      <c r="DG121">
        <f>18.96576594</f>
        <v>18.965765940000001</v>
      </c>
      <c r="DH121">
        <f>7.274902015</f>
        <v>7.2749020150000003</v>
      </c>
      <c r="DI121">
        <f>-5.188837063</f>
        <v>-5.1888370630000002</v>
      </c>
      <c r="DJ121">
        <f>-6.677986416</f>
        <v>-6.6779864160000004</v>
      </c>
      <c r="DK121">
        <f>-16.45460297</f>
        <v>-16.45460297</v>
      </c>
      <c r="DL121">
        <f>-7.138394407</f>
        <v>-7.1383944069999998</v>
      </c>
      <c r="DM121">
        <f>1.008870098</f>
        <v>1.008870098</v>
      </c>
      <c r="DN121">
        <f>5.377265451</f>
        <v>5.3772654510000004</v>
      </c>
      <c r="DO121">
        <f>1.085199474</f>
        <v>1.0851994739999999</v>
      </c>
      <c r="DP121">
        <f>1.800062557</f>
        <v>1.800062557</v>
      </c>
      <c r="DQ121">
        <f>0.130379386</f>
        <v>0.13037938600000001</v>
      </c>
      <c r="DR121">
        <f>-5.55284728</f>
        <v>-5.5528472799999999</v>
      </c>
      <c r="DS121">
        <f>1.371740362</f>
        <v>1.3717403619999999</v>
      </c>
      <c r="DT121">
        <f>-1.46040488</f>
        <v>-1.46040488</v>
      </c>
      <c r="DU121">
        <f>0.79351262</f>
        <v>0.79351262</v>
      </c>
    </row>
    <row r="122" spans="1:125">
      <c r="A122" t="str">
        <f>"    Piedmont Office Realty Trust I"</f>
        <v xml:space="preserve">    Piedmont Office Realty Trust I</v>
      </c>
      <c r="B122" t="str">
        <f>"PDM US Equity"</f>
        <v>PDM US Equity</v>
      </c>
      <c r="C122" t="str">
        <f t="shared" si="30"/>
        <v>RR551</v>
      </c>
      <c r="D122" t="str">
        <f t="shared" si="31"/>
        <v>NOI_GROWTH</v>
      </c>
      <c r="E122" t="str">
        <f t="shared" si="32"/>
        <v>动态</v>
      </c>
      <c r="F122" t="str">
        <f ca="1">IF(AND(ISNUMBER($F$433),$B$294=1),$F$433,HLOOKUP(INDIRECT(ADDRESS(2,COLUMN())),OFFSET($BN$2,0,0,ROW()-1,60),ROW()-1,FALSE))</f>
        <v/>
      </c>
      <c r="G122">
        <f ca="1">IF(AND(ISNUMBER($G$433),$B$294=1),$G$433,HLOOKUP(INDIRECT(ADDRESS(2,COLUMN())),OFFSET($BN$2,0,0,ROW()-1,60),ROW()-1,FALSE))</f>
        <v>-2.71712087</v>
      </c>
      <c r="H122">
        <f ca="1">IF(AND(ISNUMBER($H$433),$B$294=1),$H$433,HLOOKUP(INDIRECT(ADDRESS(2,COLUMN())),OFFSET($BN$2,0,0,ROW()-1,60),ROW()-1,FALSE))</f>
        <v>-0.144705685</v>
      </c>
      <c r="I122">
        <f ca="1">IF(AND(ISNUMBER($I$433),$B$294=1),$I$433,HLOOKUP(INDIRECT(ADDRESS(2,COLUMN())),OFFSET($BN$2,0,0,ROW()-1,60),ROW()-1,FALSE))</f>
        <v>11.9074866</v>
      </c>
      <c r="J122">
        <f ca="1">IF(AND(ISNUMBER($J$433),$B$294=1),$J$433,HLOOKUP(INDIRECT(ADDRESS(2,COLUMN())),OFFSET($BN$2,0,0,ROW()-1,60),ROW()-1,FALSE))</f>
        <v>11.040990649999999</v>
      </c>
      <c r="K122">
        <f ca="1">IF(AND(ISNUMBER($K$433),$B$294=1),$K$433,HLOOKUP(INDIRECT(ADDRESS(2,COLUMN())),OFFSET($BN$2,0,0,ROW()-1,60),ROW()-1,FALSE))</f>
        <v>1.8408306130000001</v>
      </c>
      <c r="L122">
        <f ca="1">IF(AND(ISNUMBER($L$433),$B$294=1),$L$433,HLOOKUP(INDIRECT(ADDRESS(2,COLUMN())),OFFSET($BN$2,0,0,ROW()-1,60),ROW()-1,FALSE))</f>
        <v>-4.0395694190000002</v>
      </c>
      <c r="M122">
        <f ca="1">IF(AND(ISNUMBER($M$433),$B$294=1),$M$433,HLOOKUP(INDIRECT(ADDRESS(2,COLUMN())),OFFSET($BN$2,0,0,ROW()-1,60),ROW()-1,FALSE))</f>
        <v>-2.6274118820000001</v>
      </c>
      <c r="N122">
        <f ca="1">IF(AND(ISNUMBER($N$433),$B$294=1),$N$433,HLOOKUP(INDIRECT(ADDRESS(2,COLUMN())),OFFSET($BN$2,0,0,ROW()-1,60),ROW()-1,FALSE))</f>
        <v>-1.9866000960000001</v>
      </c>
      <c r="O122">
        <f ca="1">IF(AND(ISNUMBER($O$433),$B$294=1),$O$433,HLOOKUP(INDIRECT(ADDRESS(2,COLUMN())),OFFSET($BN$2,0,0,ROW()-1,60),ROW()-1,FALSE))</f>
        <v>0.169993743</v>
      </c>
      <c r="P122">
        <f ca="1">IF(AND(ISNUMBER($P$433),$B$294=1),$P$433,HLOOKUP(INDIRECT(ADDRESS(2,COLUMN())),OFFSET($BN$2,0,0,ROW()-1,60),ROW()-1,FALSE))</f>
        <v>5.476069431</v>
      </c>
      <c r="Q122">
        <f ca="1">IF(AND(ISNUMBER($Q$433),$B$294=1),$Q$433,HLOOKUP(INDIRECT(ADDRESS(2,COLUMN())),OFFSET($BN$2,0,0,ROW()-1,60),ROW()-1,FALSE))</f>
        <v>4.6792888369999996</v>
      </c>
      <c r="R122">
        <f ca="1">IF(AND(ISNUMBER($R$433),$B$294=1),$R$433,HLOOKUP(INDIRECT(ADDRESS(2,COLUMN())),OFFSET($BN$2,0,0,ROW()-1,60),ROW()-1,FALSE))</f>
        <v>9.5760355669999999</v>
      </c>
      <c r="S122">
        <f ca="1">IF(AND(ISNUMBER($S$433),$B$294=1),$S$433,HLOOKUP(INDIRECT(ADDRESS(2,COLUMN())),OFFSET($BN$2,0,0,ROW()-1,60),ROW()-1,FALSE))</f>
        <v>1.763554018</v>
      </c>
      <c r="T122">
        <f ca="1">IF(AND(ISNUMBER($T$433),$B$294=1),$T$433,HLOOKUP(INDIRECT(ADDRESS(2,COLUMN())),OFFSET($BN$2,0,0,ROW()-1,60),ROW()-1,FALSE))</f>
        <v>-3.0943555580000002</v>
      </c>
      <c r="U122">
        <f ca="1">IF(AND(ISNUMBER($U$433),$B$294=1),$U$433,HLOOKUP(INDIRECT(ADDRESS(2,COLUMN())),OFFSET($BN$2,0,0,ROW()-1,60),ROW()-1,FALSE))</f>
        <v>1.3716362550000001</v>
      </c>
      <c r="V122">
        <f ca="1">IF(AND(ISNUMBER($V$433),$B$294=1),$V$433,HLOOKUP(INDIRECT(ADDRESS(2,COLUMN())),OFFSET($BN$2,0,0,ROW()-1,60),ROW()-1,FALSE))</f>
        <v>-2.433871694</v>
      </c>
      <c r="W122">
        <f ca="1">IF(AND(ISNUMBER($W$433),$B$294=1),$W$433,HLOOKUP(INDIRECT(ADDRESS(2,COLUMN())),OFFSET($BN$2,0,0,ROW()-1,60),ROW()-1,FALSE))</f>
        <v>6.2302990080000002</v>
      </c>
      <c r="X122">
        <f ca="1">IF(AND(ISNUMBER($X$433),$B$294=1),$X$433,HLOOKUP(INDIRECT(ADDRESS(2,COLUMN())),OFFSET($BN$2,0,0,ROW()-1,60),ROW()-1,FALSE))</f>
        <v>3.8177234919999998</v>
      </c>
      <c r="Y122">
        <f ca="1">IF(AND(ISNUMBER($Y$433),$B$294=1),$Y$433,HLOOKUP(INDIRECT(ADDRESS(2,COLUMN())),OFFSET($BN$2,0,0,ROW()-1,60),ROW()-1,FALSE))</f>
        <v>1.5650283169999999</v>
      </c>
      <c r="Z122">
        <f ca="1">IF(AND(ISNUMBER($Z$433),$B$294=1),$Z$433,HLOOKUP(INDIRECT(ADDRESS(2,COLUMN())),OFFSET($BN$2,0,0,ROW()-1,60),ROW()-1,FALSE))</f>
        <v>0.75697462100000001</v>
      </c>
      <c r="AA122">
        <f ca="1">IF(AND(ISNUMBER($AA$433),$B$294=1),$AA$433,HLOOKUP(INDIRECT(ADDRESS(2,COLUMN())),OFFSET($BN$2,0,0,ROW()-1,60),ROW()-1,FALSE))</f>
        <v>-2.8177748010000001</v>
      </c>
      <c r="AB122">
        <f ca="1">IF(AND(ISNUMBER($AB$433),$B$294=1),$AB$433,HLOOKUP(INDIRECT(ADDRESS(2,COLUMN())),OFFSET($BN$2,0,0,ROW()-1,60),ROW()-1,FALSE))</f>
        <v>0.42313289500000001</v>
      </c>
      <c r="AC122">
        <f ca="1">IF(AND(ISNUMBER($AC$433),$B$294=1),$AC$433,HLOOKUP(INDIRECT(ADDRESS(2,COLUMN())),OFFSET($BN$2,0,0,ROW()-1,60),ROW()-1,FALSE))</f>
        <v>-4.2382422369999997</v>
      </c>
      <c r="AD122">
        <f ca="1">IF(AND(ISNUMBER($AD$433),$B$294=1),$AD$433,HLOOKUP(INDIRECT(ADDRESS(2,COLUMN())),OFFSET($BN$2,0,0,ROW()-1,60),ROW()-1,FALSE))</f>
        <v>-3.9185313370000001</v>
      </c>
      <c r="AE122">
        <f ca="1">IF(AND(ISNUMBER($AE$433),$B$294=1),$AE$433,HLOOKUP(INDIRECT(ADDRESS(2,COLUMN())),OFFSET($BN$2,0,0,ROW()-1,60),ROW()-1,FALSE))</f>
        <v>-1.3989605629999999</v>
      </c>
      <c r="AF122">
        <f ca="1">IF(AND(ISNUMBER($AF$433),$B$294=1),$AF$433,HLOOKUP(INDIRECT(ADDRESS(2,COLUMN())),OFFSET($BN$2,0,0,ROW()-1,60),ROW()-1,FALSE))</f>
        <v>-8.8384485890000004</v>
      </c>
      <c r="AG122">
        <f ca="1">IF(AND(ISNUMBER($AG$433),$B$294=1),$AG$433,HLOOKUP(INDIRECT(ADDRESS(2,COLUMN())),OFFSET($BN$2,0,0,ROW()-1,60),ROW()-1,FALSE))</f>
        <v>-7.1634880140000003</v>
      </c>
      <c r="AH122">
        <f ca="1">IF(AND(ISNUMBER($AH$433),$B$294=1),$AH$433,HLOOKUP(INDIRECT(ADDRESS(2,COLUMN())),OFFSET($BN$2,0,0,ROW()-1,60),ROW()-1,FALSE))</f>
        <v>-9.6739284889999997</v>
      </c>
      <c r="AI122">
        <f ca="1">IF(AND(ISNUMBER($AI$433),$B$294=1),$AI$433,HLOOKUP(INDIRECT(ADDRESS(2,COLUMN())),OFFSET($BN$2,0,0,ROW()-1,60),ROW()-1,FALSE))</f>
        <v>-11.251112409999999</v>
      </c>
      <c r="AJ122">
        <f ca="1">IF(AND(ISNUMBER($AJ$433),$B$294=1),$AJ$433,HLOOKUP(INDIRECT(ADDRESS(2,COLUMN())),OFFSET($BN$2,0,0,ROW()-1,60),ROW()-1,FALSE))</f>
        <v>-1.8094841930000001</v>
      </c>
      <c r="AK122">
        <f ca="1">IF(AND(ISNUMBER($AK$433),$B$294=1),$AK$433,HLOOKUP(INDIRECT(ADDRESS(2,COLUMN())),OFFSET($BN$2,0,0,ROW()-1,60),ROW()-1,FALSE))</f>
        <v>-3.6596325209999998</v>
      </c>
      <c r="AL122">
        <f ca="1">IF(AND(ISNUMBER($AL$433),$B$294=1),$AL$433,HLOOKUP(INDIRECT(ADDRESS(2,COLUMN())),OFFSET($BN$2,0,0,ROW()-1,60),ROW()-1,FALSE))</f>
        <v>-2.7645508269999999</v>
      </c>
      <c r="AM122">
        <f ca="1">IF(AND(ISNUMBER($AM$433),$B$294=1),$AM$433,HLOOKUP(INDIRECT(ADDRESS(2,COLUMN())),OFFSET($BN$2,0,0,ROW()-1,60),ROW()-1,FALSE))</f>
        <v>-7.8755036540000001</v>
      </c>
      <c r="AN122">
        <f ca="1">IF(AND(ISNUMBER($AN$433),$B$294=1),$AN$433,HLOOKUP(INDIRECT(ADDRESS(2,COLUMN())),OFFSET($BN$2,0,0,ROW()-1,60),ROW()-1,FALSE))</f>
        <v>-9.582912683</v>
      </c>
      <c r="AO122">
        <f ca="1">IF(AND(ISNUMBER($AO$433),$B$294=1),$AO$433,HLOOKUP(INDIRECT(ADDRESS(2,COLUMN())),OFFSET($BN$2,0,0,ROW()-1,60),ROW()-1,FALSE))</f>
        <v>-4.0973988889999999</v>
      </c>
      <c r="AP122">
        <f ca="1">IF(AND(ISNUMBER($AP$433),$B$294=1),$AP$433,HLOOKUP(INDIRECT(ADDRESS(2,COLUMN())),OFFSET($BN$2,0,0,ROW()-1,60),ROW()-1,FALSE))</f>
        <v>-7.1252295119999998</v>
      </c>
      <c r="AQ122">
        <f ca="1">IF(AND(ISNUMBER($AQ$433),$B$294=1),$AQ$433,HLOOKUP(INDIRECT(ADDRESS(2,COLUMN())),OFFSET($BN$2,0,0,ROW()-1,60),ROW()-1,FALSE))</f>
        <v>3.1506538509999999</v>
      </c>
      <c r="AR122">
        <f ca="1">IF(AND(ISNUMBER($AR$433),$B$294=1),$AR$433,HLOOKUP(INDIRECT(ADDRESS(2,COLUMN())),OFFSET($BN$2,0,0,ROW()-1,60),ROW()-1,FALSE))</f>
        <v>8.2743026159999999</v>
      </c>
      <c r="AS122">
        <f ca="1">IF(AND(ISNUMBER($AS$433),$B$294=1),$AS$433,HLOOKUP(INDIRECT(ADDRESS(2,COLUMN())),OFFSET($BN$2,0,0,ROW()-1,60),ROW()-1,FALSE))</f>
        <v>5.5906409669999997</v>
      </c>
      <c r="AT122">
        <f ca="1">IF(AND(ISNUMBER($AT$433),$B$294=1),$AT$433,HLOOKUP(INDIRECT(ADDRESS(2,COLUMN())),OFFSET($BN$2,0,0,ROW()-1,60),ROW()-1,FALSE))</f>
        <v>17.11349264</v>
      </c>
      <c r="AU122">
        <f ca="1">IF(AND(ISNUMBER($AU$433),$B$294=1),$AU$433,HLOOKUP(INDIRECT(ADDRESS(2,COLUMN())),OFFSET($BN$2,0,0,ROW()-1,60),ROW()-1,FALSE))</f>
        <v>20.332588730000001</v>
      </c>
      <c r="AV122">
        <f ca="1">IF(AND(ISNUMBER($AV$433),$B$294=1),$AV$433,HLOOKUP(INDIRECT(ADDRESS(2,COLUMN())),OFFSET($BN$2,0,0,ROW()-1,60),ROW()-1,FALSE))</f>
        <v>-0.68859088999999996</v>
      </c>
      <c r="AW122">
        <f ca="1">IF(AND(ISNUMBER($AW$433),$B$294=1),$AW$433,HLOOKUP(INDIRECT(ADDRESS(2,COLUMN())),OFFSET($BN$2,0,0,ROW()-1,60),ROW()-1,FALSE))</f>
        <v>7.2734115880000001</v>
      </c>
      <c r="AX122">
        <f ca="1">IF(AND(ISNUMBER($AX$433),$B$294=1),$AX$433,HLOOKUP(INDIRECT(ADDRESS(2,COLUMN())),OFFSET($BN$2,0,0,ROW()-1,60),ROW()-1,FALSE))</f>
        <v>1.8965943759999999</v>
      </c>
      <c r="AY122">
        <f ca="1">IF(AND(ISNUMBER($AY$433),$B$294=1),$AY$433,HLOOKUP(INDIRECT(ADDRESS(2,COLUMN())),OFFSET($BN$2,0,0,ROW()-1,60),ROW()-1,FALSE))</f>
        <v>-4.887808218</v>
      </c>
      <c r="AZ122">
        <f ca="1">IF(AND(ISNUMBER($AZ$433),$B$294=1),$AZ$433,HLOOKUP(INDIRECT(ADDRESS(2,COLUMN())),OFFSET($BN$2,0,0,ROW()-1,60),ROW()-1,FALSE))</f>
        <v>8.7512586950000006</v>
      </c>
      <c r="BA122">
        <f ca="1">IF(AND(ISNUMBER($BA$433),$B$294=1),$BA$433,HLOOKUP(INDIRECT(ADDRESS(2,COLUMN())),OFFSET($BN$2,0,0,ROW()-1,60),ROW()-1,FALSE))</f>
        <v>-8.3024158759999995</v>
      </c>
      <c r="BB122">
        <f ca="1">IF(AND(ISNUMBER($BB$433),$B$294=1),$BB$433,HLOOKUP(INDIRECT(ADDRESS(2,COLUMN())),OFFSET($BN$2,0,0,ROW()-1,60),ROW()-1,FALSE))</f>
        <v>-6.8678756759999997</v>
      </c>
      <c r="BC122">
        <f ca="1">IF(AND(ISNUMBER($BC$433),$B$294=1),$BC$433,HLOOKUP(INDIRECT(ADDRESS(2,COLUMN())),OFFSET($BN$2,0,0,ROW()-1,60),ROW()-1,FALSE))</f>
        <v>-6.2187980830000003</v>
      </c>
      <c r="BD122">
        <f ca="1">IF(AND(ISNUMBER($BD$433),$B$294=1),$BD$433,HLOOKUP(INDIRECT(ADDRESS(2,COLUMN())),OFFSET($BN$2,0,0,ROW()-1,60),ROW()-1,FALSE))</f>
        <v>1.9842300340000001</v>
      </c>
      <c r="BE122">
        <f ca="1">IF(AND(ISNUMBER($BE$433),$B$294=1),$BE$433,HLOOKUP(INDIRECT(ADDRESS(2,COLUMN())),OFFSET($BN$2,0,0,ROW()-1,60),ROW()-1,FALSE))</f>
        <v>-3.393526402</v>
      </c>
      <c r="BF122">
        <f ca="1">IF(AND(ISNUMBER($BF$433),$B$294=1),$BF$433,HLOOKUP(INDIRECT(ADDRESS(2,COLUMN())),OFFSET($BN$2,0,0,ROW()-1,60),ROW()-1,FALSE))</f>
        <v>4.4783468900000001</v>
      </c>
      <c r="BG122">
        <f ca="1">IF(AND(ISNUMBER($BG$433),$B$294=1),$BG$433,HLOOKUP(INDIRECT(ADDRESS(2,COLUMN())),OFFSET($BN$2,0,0,ROW()-1,60),ROW()-1,FALSE))</f>
        <v>11.34542486</v>
      </c>
      <c r="BH122">
        <f ca="1">IF(AND(ISNUMBER($BH$433),$B$294=1),$BH$433,HLOOKUP(INDIRECT(ADDRESS(2,COLUMN())),OFFSET($BN$2,0,0,ROW()-1,60),ROW()-1,FALSE))</f>
        <v>23.53344577</v>
      </c>
      <c r="BI122">
        <f ca="1">IF(AND(ISNUMBER($BI$433),$B$294=1),$BI$433,HLOOKUP(INDIRECT(ADDRESS(2,COLUMN())),OFFSET($BN$2,0,0,ROW()-1,60),ROW()-1,FALSE))</f>
        <v>67.402725649999994</v>
      </c>
      <c r="BJ122">
        <f ca="1">IF(AND(ISNUMBER($BJ$433),$B$294=1),$BJ$433,HLOOKUP(INDIRECT(ADDRESS(2,COLUMN())),OFFSET($BN$2,0,0,ROW()-1,60),ROW()-1,FALSE))</f>
        <v>92.201095249999995</v>
      </c>
      <c r="BK122">
        <f ca="1">IF(AND(ISNUMBER($BK$433),$B$294=1),$BK$433,HLOOKUP(INDIRECT(ADDRESS(2,COLUMN())),OFFSET($BN$2,0,0,ROW()-1,60),ROW()-1,FALSE))</f>
        <v>117.48245110000001</v>
      </c>
      <c r="BL122">
        <f ca="1">IF(AND(ISNUMBER($BL$433),$B$294=1),$BL$433,HLOOKUP(INDIRECT(ADDRESS(2,COLUMN())),OFFSET($BN$2,0,0,ROW()-1,60),ROW()-1,FALSE))</f>
        <v>186.78542899999999</v>
      </c>
      <c r="BM122">
        <f ca="1">IF(AND(ISNUMBER($BM$433),$B$294=1),$BM$433,HLOOKUP(INDIRECT(ADDRESS(2,COLUMN())),OFFSET($BN$2,0,0,ROW()-1,60),ROW()-1,FALSE))</f>
        <v>195.668083</v>
      </c>
      <c r="BN122" t="str">
        <f>""</f>
        <v/>
      </c>
      <c r="BO122">
        <f>-2.71712087</f>
        <v>-2.71712087</v>
      </c>
      <c r="BP122">
        <f>-0.144705685</f>
        <v>-0.144705685</v>
      </c>
      <c r="BQ122">
        <f>11.9074866</f>
        <v>11.9074866</v>
      </c>
      <c r="BR122">
        <f>11.04099065</f>
        <v>11.040990649999999</v>
      </c>
      <c r="BS122">
        <f>1.840830613</f>
        <v>1.8408306130000001</v>
      </c>
      <c r="BT122">
        <f>-4.039569419</f>
        <v>-4.0395694190000002</v>
      </c>
      <c r="BU122">
        <f>-2.627411882</f>
        <v>-2.6274118820000001</v>
      </c>
      <c r="BV122">
        <f>-1.986600096</f>
        <v>-1.9866000960000001</v>
      </c>
      <c r="BW122">
        <f>0.169993743</f>
        <v>0.169993743</v>
      </c>
      <c r="BX122">
        <f>5.476069431</f>
        <v>5.476069431</v>
      </c>
      <c r="BY122">
        <f>4.679288837</f>
        <v>4.6792888369999996</v>
      </c>
      <c r="BZ122">
        <f>9.576035567</f>
        <v>9.5760355669999999</v>
      </c>
      <c r="CA122">
        <f>1.763554018</f>
        <v>1.763554018</v>
      </c>
      <c r="CB122">
        <f>-3.094355558</f>
        <v>-3.0943555580000002</v>
      </c>
      <c r="CC122">
        <f>1.371636255</f>
        <v>1.3716362550000001</v>
      </c>
      <c r="CD122">
        <f>-2.433871694</f>
        <v>-2.433871694</v>
      </c>
      <c r="CE122">
        <f>6.230299008</f>
        <v>6.2302990080000002</v>
      </c>
      <c r="CF122">
        <f>3.817723492</f>
        <v>3.8177234919999998</v>
      </c>
      <c r="CG122">
        <f>1.565028317</f>
        <v>1.5650283169999999</v>
      </c>
      <c r="CH122">
        <f>0.756974621</f>
        <v>0.75697462100000001</v>
      </c>
      <c r="CI122">
        <f>-2.817774801</f>
        <v>-2.8177748010000001</v>
      </c>
      <c r="CJ122">
        <f>0.423132895</f>
        <v>0.42313289500000001</v>
      </c>
      <c r="CK122">
        <f>-4.238242237</f>
        <v>-4.2382422369999997</v>
      </c>
      <c r="CL122">
        <f>-3.918531337</f>
        <v>-3.9185313370000001</v>
      </c>
      <c r="CM122">
        <f>-1.398960563</f>
        <v>-1.3989605629999999</v>
      </c>
      <c r="CN122">
        <f>-8.838448589</f>
        <v>-8.8384485890000004</v>
      </c>
      <c r="CO122">
        <f>-7.163488014</f>
        <v>-7.1634880140000003</v>
      </c>
      <c r="CP122">
        <f>-9.673928489</f>
        <v>-9.6739284889999997</v>
      </c>
      <c r="CQ122">
        <f>-11.25111241</f>
        <v>-11.251112409999999</v>
      </c>
      <c r="CR122">
        <f>-1.809484193</f>
        <v>-1.8094841930000001</v>
      </c>
      <c r="CS122">
        <f>-3.659632521</f>
        <v>-3.6596325209999998</v>
      </c>
      <c r="CT122">
        <f>-2.764550827</f>
        <v>-2.7645508269999999</v>
      </c>
      <c r="CU122">
        <f>-7.875503654</f>
        <v>-7.8755036540000001</v>
      </c>
      <c r="CV122">
        <f>-9.582912683</f>
        <v>-9.582912683</v>
      </c>
      <c r="CW122">
        <f>-4.097398889</f>
        <v>-4.0973988889999999</v>
      </c>
      <c r="CX122">
        <f>-7.125229512</f>
        <v>-7.1252295119999998</v>
      </c>
      <c r="CY122">
        <f>3.150653851</f>
        <v>3.1506538509999999</v>
      </c>
      <c r="CZ122">
        <f>8.274302616</f>
        <v>8.2743026159999999</v>
      </c>
      <c r="DA122">
        <f>5.590640967</f>
        <v>5.5906409669999997</v>
      </c>
      <c r="DB122">
        <f>17.11349264</f>
        <v>17.11349264</v>
      </c>
      <c r="DC122">
        <f>20.33258873</f>
        <v>20.332588730000001</v>
      </c>
      <c r="DD122">
        <f>-0.68859089</f>
        <v>-0.68859088999999996</v>
      </c>
      <c r="DE122">
        <f>7.273411588</f>
        <v>7.2734115880000001</v>
      </c>
      <c r="DF122">
        <f>1.896594376</f>
        <v>1.8965943759999999</v>
      </c>
      <c r="DG122">
        <f>-4.887808218</f>
        <v>-4.887808218</v>
      </c>
      <c r="DH122">
        <f>8.751258695</f>
        <v>8.7512586950000006</v>
      </c>
      <c r="DI122">
        <f>-8.302415876</f>
        <v>-8.3024158759999995</v>
      </c>
      <c r="DJ122">
        <f>-6.867875676</f>
        <v>-6.8678756759999997</v>
      </c>
      <c r="DK122">
        <f>-6.218798083</f>
        <v>-6.2187980830000003</v>
      </c>
      <c r="DL122">
        <f>1.984230034</f>
        <v>1.9842300340000001</v>
      </c>
      <c r="DM122">
        <f>-3.393526402</f>
        <v>-3.393526402</v>
      </c>
      <c r="DN122">
        <f>4.47834689</f>
        <v>4.4783468900000001</v>
      </c>
      <c r="DO122">
        <f>11.34542486</f>
        <v>11.34542486</v>
      </c>
      <c r="DP122">
        <f>23.53344577</f>
        <v>23.53344577</v>
      </c>
      <c r="DQ122">
        <f>67.40272565</f>
        <v>67.402725649999994</v>
      </c>
      <c r="DR122">
        <f>92.20109525</f>
        <v>92.201095249999995</v>
      </c>
      <c r="DS122">
        <f>117.4824511</f>
        <v>117.48245110000001</v>
      </c>
      <c r="DT122">
        <f>186.785429</f>
        <v>186.78542899999999</v>
      </c>
      <c r="DU122">
        <f>195.668083</f>
        <v>195.668083</v>
      </c>
    </row>
    <row r="123" spans="1:125">
      <c r="A123" t="str">
        <f>"    SL Green Realty Corp"</f>
        <v xml:space="preserve">    SL Green Realty Corp</v>
      </c>
      <c r="B123" t="str">
        <f>"SLG US Equity"</f>
        <v>SLG US Equity</v>
      </c>
      <c r="C123" t="str">
        <f t="shared" si="30"/>
        <v>RR551</v>
      </c>
      <c r="D123" t="str">
        <f t="shared" si="31"/>
        <v>NOI_GROWTH</v>
      </c>
      <c r="E123" t="str">
        <f t="shared" si="32"/>
        <v>动态</v>
      </c>
      <c r="F123" t="str">
        <f ca="1">IF(AND(ISNUMBER($F$434),$B$294=1),$F$434,HLOOKUP(INDIRECT(ADDRESS(2,COLUMN())),OFFSET($BN$2,0,0,ROW()-1,60),ROW()-1,FALSE))</f>
        <v/>
      </c>
      <c r="G123">
        <f ca="1">IF(AND(ISNUMBER($G$434),$B$294=1),$G$434,HLOOKUP(INDIRECT(ADDRESS(2,COLUMN())),OFFSET($BN$2,0,0,ROW()-1,60),ROW()-1,FALSE))</f>
        <v>-7.5169628880000001</v>
      </c>
      <c r="H123">
        <f ca="1">IF(AND(ISNUMBER($H$434),$B$294=1),$H$434,HLOOKUP(INDIRECT(ADDRESS(2,COLUMN())),OFFSET($BN$2,0,0,ROW()-1,60),ROW()-1,FALSE))</f>
        <v>-6.346461175</v>
      </c>
      <c r="I123">
        <f ca="1">IF(AND(ISNUMBER($I$434),$B$294=1),$I$434,HLOOKUP(INDIRECT(ADDRESS(2,COLUMN())),OFFSET($BN$2,0,0,ROW()-1,60),ROW()-1,FALSE))</f>
        <v>-43.090687269999997</v>
      </c>
      <c r="J123">
        <f ca="1">IF(AND(ISNUMBER($J$434),$B$294=1),$J$434,HLOOKUP(INDIRECT(ADDRESS(2,COLUMN())),OFFSET($BN$2,0,0,ROW()-1,60),ROW()-1,FALSE))</f>
        <v>-24.85437456</v>
      </c>
      <c r="K123">
        <f ca="1">IF(AND(ISNUMBER($K$434),$B$294=1),$K$434,HLOOKUP(INDIRECT(ADDRESS(2,COLUMN())),OFFSET($BN$2,0,0,ROW()-1,60),ROW()-1,FALSE))</f>
        <v>-18.658330580000001</v>
      </c>
      <c r="L123">
        <f ca="1">IF(AND(ISNUMBER($L$434),$B$294=1),$L$434,HLOOKUP(INDIRECT(ADDRESS(2,COLUMN())),OFFSET($BN$2,0,0,ROW()-1,60),ROW()-1,FALSE))</f>
        <v>-16.49558978</v>
      </c>
      <c r="M123">
        <f ca="1">IF(AND(ISNUMBER($M$434),$B$294=1),$M$434,HLOOKUP(INDIRECT(ADDRESS(2,COLUMN())),OFFSET($BN$2,0,0,ROW()-1,60),ROW()-1,FALSE))</f>
        <v>51.396894109999998</v>
      </c>
      <c r="N123">
        <f ca="1">IF(AND(ISNUMBER($N$434),$B$294=1),$N$434,HLOOKUP(INDIRECT(ADDRESS(2,COLUMN())),OFFSET($BN$2,0,0,ROW()-1,60),ROW()-1,FALSE))</f>
        <v>18.715190809999999</v>
      </c>
      <c r="O123">
        <f ca="1">IF(AND(ISNUMBER($O$434),$B$294=1),$O$434,HLOOKUP(INDIRECT(ADDRESS(2,COLUMN())),OFFSET($BN$2,0,0,ROW()-1,60),ROW()-1,FALSE))</f>
        <v>11.379564370000001</v>
      </c>
      <c r="P123">
        <f ca="1">IF(AND(ISNUMBER($P$434),$B$294=1),$P$434,HLOOKUP(INDIRECT(ADDRESS(2,COLUMN())),OFFSET($BN$2,0,0,ROW()-1,60),ROW()-1,FALSE))</f>
        <v>9.7496137869999995</v>
      </c>
      <c r="Q123">
        <f ca="1">IF(AND(ISNUMBER($Q$434),$B$294=1),$Q$434,HLOOKUP(INDIRECT(ADDRESS(2,COLUMN())),OFFSET($BN$2,0,0,ROW()-1,60),ROW()-1,FALSE))</f>
        <v>11.57512603</v>
      </c>
      <c r="R123">
        <f ca="1">IF(AND(ISNUMBER($R$434),$B$294=1),$R$434,HLOOKUP(INDIRECT(ADDRESS(2,COLUMN())),OFFSET($BN$2,0,0,ROW()-1,60),ROW()-1,FALSE))</f>
        <v>24.538965449999999</v>
      </c>
      <c r="S123">
        <f ca="1">IF(AND(ISNUMBER($S$434),$B$294=1),$S$434,HLOOKUP(INDIRECT(ADDRESS(2,COLUMN())),OFFSET($BN$2,0,0,ROW()-1,60),ROW()-1,FALSE))</f>
        <v>21.740816599999999</v>
      </c>
      <c r="T123">
        <f ca="1">IF(AND(ISNUMBER($T$434),$B$294=1),$T$434,HLOOKUP(INDIRECT(ADDRESS(2,COLUMN())),OFFSET($BN$2,0,0,ROW()-1,60),ROW()-1,FALSE))</f>
        <v>30.974497769999999</v>
      </c>
      <c r="U123">
        <f ca="1">IF(AND(ISNUMBER($U$434),$B$294=1),$U$434,HLOOKUP(INDIRECT(ADDRESS(2,COLUMN())),OFFSET($BN$2,0,0,ROW()-1,60),ROW()-1,FALSE))</f>
        <v>9.2621247110000002</v>
      </c>
      <c r="V123">
        <f ca="1">IF(AND(ISNUMBER($V$434),$B$294=1),$V$434,HLOOKUP(INDIRECT(ADDRESS(2,COLUMN())),OFFSET($BN$2,0,0,ROW()-1,60),ROW()-1,FALSE))</f>
        <v>-3.6798105300000001</v>
      </c>
      <c r="W123">
        <f ca="1">IF(AND(ISNUMBER($W$434),$B$294=1),$W$434,HLOOKUP(INDIRECT(ADDRESS(2,COLUMN())),OFFSET($BN$2,0,0,ROW()-1,60),ROW()-1,FALSE))</f>
        <v>-3.3171634800000001</v>
      </c>
      <c r="X123">
        <f ca="1">IF(AND(ISNUMBER($X$434),$B$294=1),$X$434,HLOOKUP(INDIRECT(ADDRESS(2,COLUMN())),OFFSET($BN$2,0,0,ROW()-1,60),ROW()-1,FALSE))</f>
        <v>-13.19061089</v>
      </c>
      <c r="Y123">
        <f ca="1">IF(AND(ISNUMBER($Y$434),$B$294=1),$Y$434,HLOOKUP(INDIRECT(ADDRESS(2,COLUMN())),OFFSET($BN$2,0,0,ROW()-1,60),ROW()-1,FALSE))</f>
        <v>-1.7165555400000001</v>
      </c>
      <c r="Z123">
        <f ca="1">IF(AND(ISNUMBER($Z$434),$B$294=1),$Z$434,HLOOKUP(INDIRECT(ADDRESS(2,COLUMN())),OFFSET($BN$2,0,0,ROW()-1,60),ROW()-1,FALSE))</f>
        <v>0.50865121599999996</v>
      </c>
      <c r="AA123">
        <f ca="1">IF(AND(ISNUMBER($AA$434),$B$294=1),$AA$434,HLOOKUP(INDIRECT(ADDRESS(2,COLUMN())),OFFSET($BN$2,0,0,ROW()-1,60),ROW()-1,FALSE))</f>
        <v>1.435770657</v>
      </c>
      <c r="AB123">
        <f ca="1">IF(AND(ISNUMBER($AB$434),$B$294=1),$AB$434,HLOOKUP(INDIRECT(ADDRESS(2,COLUMN())),OFFSET($BN$2,0,0,ROW()-1,60),ROW()-1,FALSE))</f>
        <v>9.8400806799999998</v>
      </c>
      <c r="AC123">
        <f ca="1">IF(AND(ISNUMBER($AC$434),$B$294=1),$AC$434,HLOOKUP(INDIRECT(ADDRESS(2,COLUMN())),OFFSET($BN$2,0,0,ROW()-1,60),ROW()-1,FALSE))</f>
        <v>10.52331197</v>
      </c>
      <c r="AD123">
        <f ca="1">IF(AND(ISNUMBER($AD$434),$B$294=1),$AD$434,HLOOKUP(INDIRECT(ADDRESS(2,COLUMN())),OFFSET($BN$2,0,0,ROW()-1,60),ROW()-1,FALSE))</f>
        <v>13.26796158</v>
      </c>
      <c r="AE123">
        <f ca="1">IF(AND(ISNUMBER($AE$434),$B$294=1),$AE$434,HLOOKUP(INDIRECT(ADDRESS(2,COLUMN())),OFFSET($BN$2,0,0,ROW()-1,60),ROW()-1,FALSE))</f>
        <v>30.402975820000002</v>
      </c>
      <c r="AF123">
        <f ca="1">IF(AND(ISNUMBER($AF$434),$B$294=1),$AF$434,HLOOKUP(INDIRECT(ADDRESS(2,COLUMN())),OFFSET($BN$2,0,0,ROW()-1,60),ROW()-1,FALSE))</f>
        <v>27.739947990000001</v>
      </c>
      <c r="AG123">
        <f ca="1">IF(AND(ISNUMBER($AG$434),$B$294=1),$AG$434,HLOOKUP(INDIRECT(ADDRESS(2,COLUMN())),OFFSET($BN$2,0,0,ROW()-1,60),ROW()-1,FALSE))</f>
        <v>28.289590140000001</v>
      </c>
      <c r="AH123">
        <f ca="1">IF(AND(ISNUMBER($AH$434),$B$294=1),$AH$434,HLOOKUP(INDIRECT(ADDRESS(2,COLUMN())),OFFSET($BN$2,0,0,ROW()-1,60),ROW()-1,FALSE))</f>
        <v>23.5015407</v>
      </c>
      <c r="AI123">
        <f ca="1">IF(AND(ISNUMBER($AI$434),$B$294=1),$AI$434,HLOOKUP(INDIRECT(ADDRESS(2,COLUMN())),OFFSET($BN$2,0,0,ROW()-1,60),ROW()-1,FALSE))</f>
        <v>4.1140542680000003</v>
      </c>
      <c r="AJ123">
        <f ca="1">IF(AND(ISNUMBER($AJ$434),$B$294=1),$AJ$434,HLOOKUP(INDIRECT(ADDRESS(2,COLUMN())),OFFSET($BN$2,0,0,ROW()-1,60),ROW()-1,FALSE))</f>
        <v>2.3814595139999999</v>
      </c>
      <c r="AK123">
        <f ca="1">IF(AND(ISNUMBER($AK$434),$B$294=1),$AK$434,HLOOKUP(INDIRECT(ADDRESS(2,COLUMN())),OFFSET($BN$2,0,0,ROW()-1,60),ROW()-1,FALSE))</f>
        <v>-1.852612294</v>
      </c>
      <c r="AL123">
        <f ca="1">IF(AND(ISNUMBER($AL$434),$B$294=1),$AL$434,HLOOKUP(INDIRECT(ADDRESS(2,COLUMN())),OFFSET($BN$2,0,0,ROW()-1,60),ROW()-1,FALSE))</f>
        <v>-6.6831568370000003</v>
      </c>
      <c r="AM123">
        <f ca="1">IF(AND(ISNUMBER($AM$434),$B$294=1),$AM$434,HLOOKUP(INDIRECT(ADDRESS(2,COLUMN())),OFFSET($BN$2,0,0,ROW()-1,60),ROW()-1,FALSE))</f>
        <v>-1.7121332279999999</v>
      </c>
      <c r="AN123">
        <f ca="1">IF(AND(ISNUMBER($AN$434),$B$294=1),$AN$434,HLOOKUP(INDIRECT(ADDRESS(2,COLUMN())),OFFSET($BN$2,0,0,ROW()-1,60),ROW()-1,FALSE))</f>
        <v>-5.4601217489999998</v>
      </c>
      <c r="AO123">
        <f ca="1">IF(AND(ISNUMBER($AO$434),$B$294=1),$AO$434,HLOOKUP(INDIRECT(ADDRESS(2,COLUMN())),OFFSET($BN$2,0,0,ROW()-1,60),ROW()-1,FALSE))</f>
        <v>-0.48722220500000002</v>
      </c>
      <c r="AP123">
        <f ca="1">IF(AND(ISNUMBER($AP$434),$B$294=1),$AP$434,HLOOKUP(INDIRECT(ADDRESS(2,COLUMN())),OFFSET($BN$2,0,0,ROW()-1,60),ROW()-1,FALSE))</f>
        <v>1.1595996000000001E-2</v>
      </c>
      <c r="AQ123">
        <f ca="1">IF(AND(ISNUMBER($AQ$434),$B$294=1),$AQ$434,HLOOKUP(INDIRECT(ADDRESS(2,COLUMN())),OFFSET($BN$2,0,0,ROW()-1,60),ROW()-1,FALSE))</f>
        <v>11.8929519</v>
      </c>
      <c r="AR123">
        <f ca="1">IF(AND(ISNUMBER($AR$434),$B$294=1),$AR$434,HLOOKUP(INDIRECT(ADDRESS(2,COLUMN())),OFFSET($BN$2,0,0,ROW()-1,60),ROW()-1,FALSE))</f>
        <v>13.146272209999999</v>
      </c>
      <c r="AS123">
        <f ca="1">IF(AND(ISNUMBER($AS$434),$B$294=1),$AS$434,HLOOKUP(INDIRECT(ADDRESS(2,COLUMN())),OFFSET($BN$2,0,0,ROW()-1,60),ROW()-1,FALSE))</f>
        <v>19.27601301</v>
      </c>
      <c r="AT123">
        <f ca="1">IF(AND(ISNUMBER($AT$434),$B$294=1),$AT$434,HLOOKUP(INDIRECT(ADDRESS(2,COLUMN())),OFFSET($BN$2,0,0,ROW()-1,60),ROW()-1,FALSE))</f>
        <v>42.165536490000001</v>
      </c>
      <c r="AU123">
        <f ca="1">IF(AND(ISNUMBER($AU$434),$B$294=1),$AU$434,HLOOKUP(INDIRECT(ADDRESS(2,COLUMN())),OFFSET($BN$2,0,0,ROW()-1,60),ROW()-1,FALSE))</f>
        <v>194.40946729999999</v>
      </c>
      <c r="AV123">
        <f ca="1">IF(AND(ISNUMBER($AV$434),$B$294=1),$AV$434,HLOOKUP(INDIRECT(ADDRESS(2,COLUMN())),OFFSET($BN$2,0,0,ROW()-1,60),ROW()-1,FALSE))</f>
        <v>129.13019030000001</v>
      </c>
      <c r="AW123">
        <f ca="1">IF(AND(ISNUMBER($AW$434),$B$294=1),$AW$434,HLOOKUP(INDIRECT(ADDRESS(2,COLUMN())),OFFSET($BN$2,0,0,ROW()-1,60),ROW()-1,FALSE))</f>
        <v>131.43018290000001</v>
      </c>
      <c r="AX123">
        <f ca="1">IF(AND(ISNUMBER($AX$434),$B$294=1),$AX$434,HLOOKUP(INDIRECT(ADDRESS(2,COLUMN())),OFFSET($BN$2,0,0,ROW()-1,60),ROW()-1,FALSE))</f>
        <v>113.62430449999999</v>
      </c>
      <c r="AY123">
        <f ca="1">IF(AND(ISNUMBER($AY$434),$B$294=1),$AY$434,HLOOKUP(INDIRECT(ADDRESS(2,COLUMN())),OFFSET($BN$2,0,0,ROW()-1,60),ROW()-1,FALSE))</f>
        <v>-9.4138249280000004</v>
      </c>
      <c r="AZ123">
        <f ca="1">IF(AND(ISNUMBER($AZ$434),$B$294=1),$AZ$434,HLOOKUP(INDIRECT(ADDRESS(2,COLUMN())),OFFSET($BN$2,0,0,ROW()-1,60),ROW()-1,FALSE))</f>
        <v>20.40712714</v>
      </c>
      <c r="BA123">
        <f ca="1">IF(AND(ISNUMBER($BA$434),$B$294=1),$BA$434,HLOOKUP(INDIRECT(ADDRESS(2,COLUMN())),OFFSET($BN$2,0,0,ROW()-1,60),ROW()-1,FALSE))</f>
        <v>11.549629769999999</v>
      </c>
      <c r="BB123">
        <f ca="1">IF(AND(ISNUMBER($BB$434),$B$294=1),$BB$434,HLOOKUP(INDIRECT(ADDRESS(2,COLUMN())),OFFSET($BN$2,0,0,ROW()-1,60),ROW()-1,FALSE))</f>
        <v>8.2139227639999994</v>
      </c>
      <c r="BC123">
        <f ca="1">IF(AND(ISNUMBER($BC$434),$B$294=1),$BC$434,HLOOKUP(INDIRECT(ADDRESS(2,COLUMN())),OFFSET($BN$2,0,0,ROW()-1,60),ROW()-1,FALSE))</f>
        <v>3.078424198</v>
      </c>
      <c r="BD123">
        <f ca="1">IF(AND(ISNUMBER($BD$434),$B$294=1),$BD$434,HLOOKUP(INDIRECT(ADDRESS(2,COLUMN())),OFFSET($BN$2,0,0,ROW()-1,60),ROW()-1,FALSE))</f>
        <v>43.372616979999997</v>
      </c>
      <c r="BE123">
        <f ca="1">IF(AND(ISNUMBER($BE$434),$B$294=1),$BE$434,HLOOKUP(INDIRECT(ADDRESS(2,COLUMN())),OFFSET($BN$2,0,0,ROW()-1,60),ROW()-1,FALSE))</f>
        <v>16.585324570000001</v>
      </c>
      <c r="BF123">
        <f ca="1">IF(AND(ISNUMBER($BF$434),$B$294=1),$BF$434,HLOOKUP(INDIRECT(ADDRESS(2,COLUMN())),OFFSET($BN$2,0,0,ROW()-1,60),ROW()-1,FALSE))</f>
        <v>23.73856456</v>
      </c>
      <c r="BG123">
        <f ca="1">IF(AND(ISNUMBER($BG$434),$B$294=1),$BG$434,HLOOKUP(INDIRECT(ADDRESS(2,COLUMN())),OFFSET($BN$2,0,0,ROW()-1,60),ROW()-1,FALSE))</f>
        <v>23.765944869999998</v>
      </c>
      <c r="BH123">
        <f ca="1">IF(AND(ISNUMBER($BH$434),$B$294=1),$BH$434,HLOOKUP(INDIRECT(ADDRESS(2,COLUMN())),OFFSET($BN$2,0,0,ROW()-1,60),ROW()-1,FALSE))</f>
        <v>-9.8972485090000006</v>
      </c>
      <c r="BI123">
        <f ca="1">IF(AND(ISNUMBER($BI$434),$B$294=1),$BI$434,HLOOKUP(INDIRECT(ADDRESS(2,COLUMN())),OFFSET($BN$2,0,0,ROW()-1,60),ROW()-1,FALSE))</f>
        <v>-2.0909291790000002</v>
      </c>
      <c r="BJ123">
        <f ca="1">IF(AND(ISNUMBER($BJ$434),$B$294=1),$BJ$434,HLOOKUP(INDIRECT(ADDRESS(2,COLUMN())),OFFSET($BN$2,0,0,ROW()-1,60),ROW()-1,FALSE))</f>
        <v>4.005362281</v>
      </c>
      <c r="BK123">
        <f ca="1">IF(AND(ISNUMBER($BK$434),$B$294=1),$BK$434,HLOOKUP(INDIRECT(ADDRESS(2,COLUMN())),OFFSET($BN$2,0,0,ROW()-1,60),ROW()-1,FALSE))</f>
        <v>22.518975080000001</v>
      </c>
      <c r="BL123">
        <f ca="1">IF(AND(ISNUMBER($BL$434),$B$294=1),$BL$434,HLOOKUP(INDIRECT(ADDRESS(2,COLUMN())),OFFSET($BN$2,0,0,ROW()-1,60),ROW()-1,FALSE))</f>
        <v>15.41289695</v>
      </c>
      <c r="BM123">
        <f ca="1">IF(AND(ISNUMBER($BM$434),$B$294=1),$BM$434,HLOOKUP(INDIRECT(ADDRESS(2,COLUMN())),OFFSET($BN$2,0,0,ROW()-1,60),ROW()-1,FALSE))</f>
        <v>31.426289610000001</v>
      </c>
      <c r="BN123" t="str">
        <f>""</f>
        <v/>
      </c>
      <c r="BO123">
        <f>-7.516962888</f>
        <v>-7.5169628880000001</v>
      </c>
      <c r="BP123">
        <f>-6.346461175</f>
        <v>-6.346461175</v>
      </c>
      <c r="BQ123">
        <f>-43.09068727</f>
        <v>-43.090687269999997</v>
      </c>
      <c r="BR123">
        <f>-24.85437456</f>
        <v>-24.85437456</v>
      </c>
      <c r="BS123">
        <f>-18.65833058</f>
        <v>-18.658330580000001</v>
      </c>
      <c r="BT123">
        <f>-16.49558978</f>
        <v>-16.49558978</v>
      </c>
      <c r="BU123">
        <f>51.39689411</f>
        <v>51.396894109999998</v>
      </c>
      <c r="BV123">
        <f>18.71519081</f>
        <v>18.715190809999999</v>
      </c>
      <c r="BW123">
        <f>11.37956437</f>
        <v>11.379564370000001</v>
      </c>
      <c r="BX123">
        <f>9.749613787</f>
        <v>9.7496137869999995</v>
      </c>
      <c r="BY123">
        <f>11.57512603</f>
        <v>11.57512603</v>
      </c>
      <c r="BZ123">
        <f>24.53896545</f>
        <v>24.538965449999999</v>
      </c>
      <c r="CA123">
        <f>21.7408166</f>
        <v>21.740816599999999</v>
      </c>
      <c r="CB123">
        <f>30.97449777</f>
        <v>30.974497769999999</v>
      </c>
      <c r="CC123">
        <f>9.262124711</f>
        <v>9.2621247110000002</v>
      </c>
      <c r="CD123">
        <f>-3.67981053</f>
        <v>-3.6798105300000001</v>
      </c>
      <c r="CE123">
        <f>-3.31716348</f>
        <v>-3.3171634800000001</v>
      </c>
      <c r="CF123">
        <f>-13.19061089</f>
        <v>-13.19061089</v>
      </c>
      <c r="CG123">
        <f>-1.71655554</f>
        <v>-1.7165555400000001</v>
      </c>
      <c r="CH123">
        <f>0.508651216</f>
        <v>0.50865121599999996</v>
      </c>
      <c r="CI123">
        <f>1.435770657</f>
        <v>1.435770657</v>
      </c>
      <c r="CJ123">
        <f>9.84008068</f>
        <v>9.8400806799999998</v>
      </c>
      <c r="CK123">
        <f>10.52331197</f>
        <v>10.52331197</v>
      </c>
      <c r="CL123">
        <f>13.26796158</f>
        <v>13.26796158</v>
      </c>
      <c r="CM123">
        <f>30.40297582</f>
        <v>30.402975820000002</v>
      </c>
      <c r="CN123">
        <f>27.73994799</f>
        <v>27.739947990000001</v>
      </c>
      <c r="CO123">
        <f>28.28959014</f>
        <v>28.289590140000001</v>
      </c>
      <c r="CP123">
        <f>23.5015407</f>
        <v>23.5015407</v>
      </c>
      <c r="CQ123">
        <f>4.114054268</f>
        <v>4.1140542680000003</v>
      </c>
      <c r="CR123">
        <f>2.381459514</f>
        <v>2.3814595139999999</v>
      </c>
      <c r="CS123">
        <f>-1.852612294</f>
        <v>-1.852612294</v>
      </c>
      <c r="CT123">
        <f>-6.683156837</f>
        <v>-6.6831568370000003</v>
      </c>
      <c r="CU123">
        <f>-1.712133228</f>
        <v>-1.7121332279999999</v>
      </c>
      <c r="CV123">
        <f>-5.460121749</f>
        <v>-5.4601217489999998</v>
      </c>
      <c r="CW123">
        <f>-0.487222205</f>
        <v>-0.48722220500000002</v>
      </c>
      <c r="CX123">
        <f>0.011595996</f>
        <v>1.1595996000000001E-2</v>
      </c>
      <c r="CY123">
        <f>11.8929519</f>
        <v>11.8929519</v>
      </c>
      <c r="CZ123">
        <f>13.14627221</f>
        <v>13.146272209999999</v>
      </c>
      <c r="DA123">
        <f>19.27601301</f>
        <v>19.27601301</v>
      </c>
      <c r="DB123">
        <f>42.16553649</f>
        <v>42.165536490000001</v>
      </c>
      <c r="DC123">
        <f>194.4094673</f>
        <v>194.40946729999999</v>
      </c>
      <c r="DD123">
        <f>129.1301903</f>
        <v>129.13019030000001</v>
      </c>
      <c r="DE123">
        <f>131.4301829</f>
        <v>131.43018290000001</v>
      </c>
      <c r="DF123">
        <f>113.6243045</f>
        <v>113.62430449999999</v>
      </c>
      <c r="DG123">
        <f>-9.413824928</f>
        <v>-9.4138249280000004</v>
      </c>
      <c r="DH123">
        <f>20.40712714</f>
        <v>20.40712714</v>
      </c>
      <c r="DI123">
        <f>11.54962977</f>
        <v>11.549629769999999</v>
      </c>
      <c r="DJ123">
        <f>8.213922764</f>
        <v>8.2139227639999994</v>
      </c>
      <c r="DK123">
        <f>3.078424198</f>
        <v>3.078424198</v>
      </c>
      <c r="DL123">
        <f>43.37261698</f>
        <v>43.372616979999997</v>
      </c>
      <c r="DM123">
        <f>16.58532457</f>
        <v>16.585324570000001</v>
      </c>
      <c r="DN123">
        <f>23.73856456</f>
        <v>23.73856456</v>
      </c>
      <c r="DO123">
        <f>23.76594487</f>
        <v>23.765944869999998</v>
      </c>
      <c r="DP123">
        <f>-9.897248509</f>
        <v>-9.8972485090000006</v>
      </c>
      <c r="DQ123">
        <f>-2.090929179</f>
        <v>-2.0909291790000002</v>
      </c>
      <c r="DR123">
        <f>4.005362281</f>
        <v>4.005362281</v>
      </c>
      <c r="DS123">
        <f>22.51897508</f>
        <v>22.518975080000001</v>
      </c>
      <c r="DT123">
        <f>15.41289695</f>
        <v>15.41289695</v>
      </c>
      <c r="DU123">
        <f>31.42628961</f>
        <v>31.426289610000001</v>
      </c>
    </row>
    <row r="124" spans="1:125">
      <c r="A124" t="str">
        <f>"    Vornado Realty Trust"</f>
        <v xml:space="preserve">    Vornado Realty Trust</v>
      </c>
      <c r="B124" t="str">
        <f>"VNO US Equity"</f>
        <v>VNO US Equity</v>
      </c>
      <c r="C124" t="str">
        <f t="shared" si="30"/>
        <v>RR551</v>
      </c>
      <c r="D124" t="str">
        <f t="shared" si="31"/>
        <v>NOI_GROWTH</v>
      </c>
      <c r="E124" t="str">
        <f t="shared" si="32"/>
        <v>动态</v>
      </c>
      <c r="F124" t="str">
        <f ca="1">IF(AND(ISNUMBER($F$435),$B$294=1),$F$435,HLOOKUP(INDIRECT(ADDRESS(2,COLUMN())),OFFSET($BN$2,0,0,ROW()-1,60),ROW()-1,FALSE))</f>
        <v/>
      </c>
      <c r="G124">
        <f ca="1">IF(AND(ISNUMBER($G$435),$B$294=1),$G$435,HLOOKUP(INDIRECT(ADDRESS(2,COLUMN())),OFFSET($BN$2,0,0,ROW()-1,60),ROW()-1,FALSE))</f>
        <v>5.156544598</v>
      </c>
      <c r="H124">
        <f ca="1">IF(AND(ISNUMBER($H$435),$B$294=1),$H$435,HLOOKUP(INDIRECT(ADDRESS(2,COLUMN())),OFFSET($BN$2,0,0,ROW()-1,60),ROW()-1,FALSE))</f>
        <v>5.0306064890000002</v>
      </c>
      <c r="I124">
        <f ca="1">IF(AND(ISNUMBER($I$435),$B$294=1),$I$435,HLOOKUP(INDIRECT(ADDRESS(2,COLUMN())),OFFSET($BN$2,0,0,ROW()-1,60),ROW()-1,FALSE))</f>
        <v>-1.9167751019999999</v>
      </c>
      <c r="J124">
        <f ca="1">IF(AND(ISNUMBER($J$435),$B$294=1),$J$435,HLOOKUP(INDIRECT(ADDRESS(2,COLUMN())),OFFSET($BN$2,0,0,ROW()-1,60),ROW()-1,FALSE))</f>
        <v>0.91200152499999998</v>
      </c>
      <c r="K124">
        <f ca="1">IF(AND(ISNUMBER($K$435),$B$294=1),$K$435,HLOOKUP(INDIRECT(ADDRESS(2,COLUMN())),OFFSET($BN$2,0,0,ROW()-1,60),ROW()-1,FALSE))</f>
        <v>-4.5267917860000004</v>
      </c>
      <c r="L124">
        <f ca="1">IF(AND(ISNUMBER($L$435),$B$294=1),$L$435,HLOOKUP(INDIRECT(ADDRESS(2,COLUMN())),OFFSET($BN$2,0,0,ROW()-1,60),ROW()-1,FALSE))</f>
        <v>0.360073847</v>
      </c>
      <c r="M124">
        <f ca="1">IF(AND(ISNUMBER($M$435),$B$294=1),$M$435,HLOOKUP(INDIRECT(ADDRESS(2,COLUMN())),OFFSET($BN$2,0,0,ROW()-1,60),ROW()-1,FALSE))</f>
        <v>0.79550747099999997</v>
      </c>
      <c r="N124">
        <f ca="1">IF(AND(ISNUMBER($N$435),$B$294=1),$N$435,HLOOKUP(INDIRECT(ADDRESS(2,COLUMN())),OFFSET($BN$2,0,0,ROW()-1,60),ROW()-1,FALSE))</f>
        <v>1.242942985</v>
      </c>
      <c r="O124">
        <f ca="1">IF(AND(ISNUMBER($O$435),$B$294=1),$O$435,HLOOKUP(INDIRECT(ADDRESS(2,COLUMN())),OFFSET($BN$2,0,0,ROW()-1,60),ROW()-1,FALSE))</f>
        <v>12.44984962</v>
      </c>
      <c r="P124">
        <f ca="1">IF(AND(ISNUMBER($P$435),$B$294=1),$P$435,HLOOKUP(INDIRECT(ADDRESS(2,COLUMN())),OFFSET($BN$2,0,0,ROW()-1,60),ROW()-1,FALSE))</f>
        <v>9.5720301689999996</v>
      </c>
      <c r="Q124">
        <f ca="1">IF(AND(ISNUMBER($Q$435),$B$294=1),$Q$435,HLOOKUP(INDIRECT(ADDRESS(2,COLUMN())),OFFSET($BN$2,0,0,ROW()-1,60),ROW()-1,FALSE))</f>
        <v>8.5999656990000002</v>
      </c>
      <c r="R124">
        <f ca="1">IF(AND(ISNUMBER($R$435),$B$294=1),$R$435,HLOOKUP(INDIRECT(ADDRESS(2,COLUMN())),OFFSET($BN$2,0,0,ROW()-1,60),ROW()-1,FALSE))</f>
        <v>8.1299490520000006</v>
      </c>
      <c r="S124">
        <f ca="1">IF(AND(ISNUMBER($S$435),$B$294=1),$S$435,HLOOKUP(INDIRECT(ADDRESS(2,COLUMN())),OFFSET($BN$2,0,0,ROW()-1,60),ROW()-1,FALSE))</f>
        <v>-9.9615125710000001</v>
      </c>
      <c r="T124">
        <f ca="1">IF(AND(ISNUMBER($T$435),$B$294=1),$T$435,HLOOKUP(INDIRECT(ADDRESS(2,COLUMN())),OFFSET($BN$2,0,0,ROW()-1,60),ROW()-1,FALSE))</f>
        <v>-16.177278739999998</v>
      </c>
      <c r="U124">
        <f ca="1">IF(AND(ISNUMBER($U$435),$B$294=1),$U$435,HLOOKUP(INDIRECT(ADDRESS(2,COLUMN())),OFFSET($BN$2,0,0,ROW()-1,60),ROW()-1,FALSE))</f>
        <v>-13.32436375</v>
      </c>
      <c r="V124">
        <f ca="1">IF(AND(ISNUMBER($V$435),$B$294=1),$V$435,HLOOKUP(INDIRECT(ADDRESS(2,COLUMN())),OFFSET($BN$2,0,0,ROW()-1,60),ROW()-1,FALSE))</f>
        <v>-26.216960449999998</v>
      </c>
      <c r="W124">
        <f ca="1">IF(AND(ISNUMBER($W$435),$B$294=1),$W$435,HLOOKUP(INDIRECT(ADDRESS(2,COLUMN())),OFFSET($BN$2,0,0,ROW()-1,60),ROW()-1,FALSE))</f>
        <v>3.1090224169999998</v>
      </c>
      <c r="X124">
        <f ca="1">IF(AND(ISNUMBER($X$435),$B$294=1),$X$435,HLOOKUP(INDIRECT(ADDRESS(2,COLUMN())),OFFSET($BN$2,0,0,ROW()-1,60),ROW()-1,FALSE))</f>
        <v>8.8558887009999996</v>
      </c>
      <c r="Y124">
        <f ca="1">IF(AND(ISNUMBER($Y$435),$B$294=1),$Y$435,HLOOKUP(INDIRECT(ADDRESS(2,COLUMN())),OFFSET($BN$2,0,0,ROW()-1,60),ROW()-1,FALSE))</f>
        <v>4.2920620239999998</v>
      </c>
      <c r="Z124">
        <f ca="1">IF(AND(ISNUMBER($Z$435),$B$294=1),$Z$435,HLOOKUP(INDIRECT(ADDRESS(2,COLUMN())),OFFSET($BN$2,0,0,ROW()-1,60),ROW()-1,FALSE))</f>
        <v>19.435053310000001</v>
      </c>
      <c r="AA124">
        <f ca="1">IF(AND(ISNUMBER($AA$435),$B$294=1),$AA$435,HLOOKUP(INDIRECT(ADDRESS(2,COLUMN())),OFFSET($BN$2,0,0,ROW()-1,60),ROW()-1,FALSE))</f>
        <v>-9.8845273309999993</v>
      </c>
      <c r="AB124">
        <f ca="1">IF(AND(ISNUMBER($AB$435),$B$294=1),$AB$435,HLOOKUP(INDIRECT(ADDRESS(2,COLUMN())),OFFSET($BN$2,0,0,ROW()-1,60),ROW()-1,FALSE))</f>
        <v>-5.2336033339999997</v>
      </c>
      <c r="AC124">
        <f ca="1">IF(AND(ISNUMBER($AC$435),$B$294=1),$AC$435,HLOOKUP(INDIRECT(ADDRESS(2,COLUMN())),OFFSET($BN$2,0,0,ROW()-1,60),ROW()-1,FALSE))</f>
        <v>-6.923227432</v>
      </c>
      <c r="AD124">
        <f ca="1">IF(AND(ISNUMBER($AD$435),$B$294=1),$AD$435,HLOOKUP(INDIRECT(ADDRESS(2,COLUMN())),OFFSET($BN$2,0,0,ROW()-1,60),ROW()-1,FALSE))</f>
        <v>-8.0819305739999994</v>
      </c>
      <c r="AE124">
        <f ca="1">IF(AND(ISNUMBER($AE$435),$B$294=1),$AE$435,HLOOKUP(INDIRECT(ADDRESS(2,COLUMN())),OFFSET($BN$2,0,0,ROW()-1,60),ROW()-1,FALSE))</f>
        <v>1.4195301</v>
      </c>
      <c r="AF124">
        <f ca="1">IF(AND(ISNUMBER($AF$435),$B$294=1),$AF$435,HLOOKUP(INDIRECT(ADDRESS(2,COLUMN())),OFFSET($BN$2,0,0,ROW()-1,60),ROW()-1,FALSE))</f>
        <v>-4.9615578769999997</v>
      </c>
      <c r="AG124">
        <f ca="1">IF(AND(ISNUMBER($AG$435),$B$294=1),$AG$435,HLOOKUP(INDIRECT(ADDRESS(2,COLUMN())),OFFSET($BN$2,0,0,ROW()-1,60),ROW()-1,FALSE))</f>
        <v>-2.6995768820000001</v>
      </c>
      <c r="AH124">
        <f ca="1">IF(AND(ISNUMBER($AH$435),$B$294=1),$AH$435,HLOOKUP(INDIRECT(ADDRESS(2,COLUMN())),OFFSET($BN$2,0,0,ROW()-1,60),ROW()-1,FALSE))</f>
        <v>-2.040324289</v>
      </c>
      <c r="AI124">
        <f ca="1">IF(AND(ISNUMBER($AI$435),$B$294=1),$AI$435,HLOOKUP(INDIRECT(ADDRESS(2,COLUMN())),OFFSET($BN$2,0,0,ROW()-1,60),ROW()-1,FALSE))</f>
        <v>-5.8913598250000003</v>
      </c>
      <c r="AJ124">
        <f ca="1">IF(AND(ISNUMBER($AJ$435),$B$294=1),$AJ$435,HLOOKUP(INDIRECT(ADDRESS(2,COLUMN())),OFFSET($BN$2,0,0,ROW()-1,60),ROW()-1,FALSE))</f>
        <v>1.6732179030000001</v>
      </c>
      <c r="AK124">
        <f ca="1">IF(AND(ISNUMBER($AK$435),$B$294=1),$AK$435,HLOOKUP(INDIRECT(ADDRESS(2,COLUMN())),OFFSET($BN$2,0,0,ROW()-1,60),ROW()-1,FALSE))</f>
        <v>3.9930310659999999</v>
      </c>
      <c r="AL124">
        <f ca="1">IF(AND(ISNUMBER($AL$435),$B$294=1),$AL$435,HLOOKUP(INDIRECT(ADDRESS(2,COLUMN())),OFFSET($BN$2,0,0,ROW()-1,60),ROW()-1,FALSE))</f>
        <v>2.7405246349999999</v>
      </c>
      <c r="AM124">
        <f ca="1">IF(AND(ISNUMBER($AM$435),$B$294=1),$AM$435,HLOOKUP(INDIRECT(ADDRESS(2,COLUMN())),OFFSET($BN$2,0,0,ROW()-1,60),ROW()-1,FALSE))</f>
        <v>4.7198871870000003</v>
      </c>
      <c r="AN124">
        <f ca="1">IF(AND(ISNUMBER($AN$435),$B$294=1),$AN$435,HLOOKUP(INDIRECT(ADDRESS(2,COLUMN())),OFFSET($BN$2,0,0,ROW()-1,60),ROW()-1,FALSE))</f>
        <v>1.328656117</v>
      </c>
      <c r="AO124">
        <f ca="1">IF(AND(ISNUMBER($AO$435),$B$294=1),$AO$435,HLOOKUP(INDIRECT(ADDRESS(2,COLUMN())),OFFSET($BN$2,0,0,ROW()-1,60),ROW()-1,FALSE))</f>
        <v>-3.332001617</v>
      </c>
      <c r="AP124">
        <f ca="1">IF(AND(ISNUMBER($AP$435),$B$294=1),$AP$435,HLOOKUP(INDIRECT(ADDRESS(2,COLUMN())),OFFSET($BN$2,0,0,ROW()-1,60),ROW()-1,FALSE))</f>
        <v>2.9989871940000001</v>
      </c>
      <c r="AQ124">
        <f ca="1">IF(AND(ISNUMBER($AQ$435),$B$294=1),$AQ$435,HLOOKUP(INDIRECT(ADDRESS(2,COLUMN())),OFFSET($BN$2,0,0,ROW()-1,60),ROW()-1,FALSE))</f>
        <v>3.8543409039999998</v>
      </c>
      <c r="AR124">
        <f ca="1">IF(AND(ISNUMBER($AR$435),$B$294=1),$AR$435,HLOOKUP(INDIRECT(ADDRESS(2,COLUMN())),OFFSET($BN$2,0,0,ROW()-1,60),ROW()-1,FALSE))</f>
        <v>5.7858431330000002</v>
      </c>
      <c r="AS124">
        <f ca="1">IF(AND(ISNUMBER($AS$435),$B$294=1),$AS$435,HLOOKUP(INDIRECT(ADDRESS(2,COLUMN())),OFFSET($BN$2,0,0,ROW()-1,60),ROW()-1,FALSE))</f>
        <v>17.415058089999999</v>
      </c>
      <c r="AT124">
        <f ca="1">IF(AND(ISNUMBER($AT$435),$B$294=1),$AT$435,HLOOKUP(INDIRECT(ADDRESS(2,COLUMN())),OFFSET($BN$2,0,0,ROW()-1,60),ROW()-1,FALSE))</f>
        <v>19.969268060000001</v>
      </c>
      <c r="AU124">
        <f ca="1">IF(AND(ISNUMBER($AU$435),$B$294=1),$AU$435,HLOOKUP(INDIRECT(ADDRESS(2,COLUMN())),OFFSET($BN$2,0,0,ROW()-1,60),ROW()-1,FALSE))</f>
        <v>13.278333269999999</v>
      </c>
      <c r="AV124">
        <f ca="1">IF(AND(ISNUMBER($AV$435),$B$294=1),$AV$435,HLOOKUP(INDIRECT(ADDRESS(2,COLUMN())),OFFSET($BN$2,0,0,ROW()-1,60),ROW()-1,FALSE))</f>
        <v>14.78962613</v>
      </c>
      <c r="AW124">
        <f ca="1">IF(AND(ISNUMBER($AW$435),$B$294=1),$AW$435,HLOOKUP(INDIRECT(ADDRESS(2,COLUMN())),OFFSET($BN$2,0,0,ROW()-1,60),ROW()-1,FALSE))</f>
        <v>3.7376777849999998</v>
      </c>
      <c r="AX124">
        <f ca="1">IF(AND(ISNUMBER($AX$435),$B$294=1),$AX$435,HLOOKUP(INDIRECT(ADDRESS(2,COLUMN())),OFFSET($BN$2,0,0,ROW()-1,60),ROW()-1,FALSE))</f>
        <v>2.5426254350000002</v>
      </c>
      <c r="AY124">
        <f ca="1">IF(AND(ISNUMBER($AY$435),$B$294=1),$AY$435,HLOOKUP(INDIRECT(ADDRESS(2,COLUMN())),OFFSET($BN$2,0,0,ROW()-1,60),ROW()-1,FALSE))</f>
        <v>9.5680844450000002</v>
      </c>
      <c r="AZ124">
        <f ca="1">IF(AND(ISNUMBER($AZ$435),$B$294=1),$AZ$435,HLOOKUP(INDIRECT(ADDRESS(2,COLUMN())),OFFSET($BN$2,0,0,ROW()-1,60),ROW()-1,FALSE))</f>
        <v>9.2515133919999997</v>
      </c>
      <c r="BA124">
        <f ca="1">IF(AND(ISNUMBER($BA$435),$B$294=1),$BA$435,HLOOKUP(INDIRECT(ADDRESS(2,COLUMN())),OFFSET($BN$2,0,0,ROW()-1,60),ROW()-1,FALSE))</f>
        <v>11.0456406</v>
      </c>
      <c r="BB124">
        <f ca="1">IF(AND(ISNUMBER($BB$435),$B$294=1),$BB$435,HLOOKUP(INDIRECT(ADDRESS(2,COLUMN())),OFFSET($BN$2,0,0,ROW()-1,60),ROW()-1,FALSE))</f>
        <v>5.1052812220000003</v>
      </c>
      <c r="BC124">
        <f ca="1">IF(AND(ISNUMBER($BC$435),$B$294=1),$BC$435,HLOOKUP(INDIRECT(ADDRESS(2,COLUMN())),OFFSET($BN$2,0,0,ROW()-1,60),ROW()-1,FALSE))</f>
        <v>15.64848705</v>
      </c>
      <c r="BD124">
        <f ca="1">IF(AND(ISNUMBER($BD$435),$B$294=1),$BD$435,HLOOKUP(INDIRECT(ADDRESS(2,COLUMN())),OFFSET($BN$2,0,0,ROW()-1,60),ROW()-1,FALSE))</f>
        <v>18.28811331</v>
      </c>
      <c r="BE124">
        <f ca="1">IF(AND(ISNUMBER($BE$435),$B$294=1),$BE$435,HLOOKUP(INDIRECT(ADDRESS(2,COLUMN())),OFFSET($BN$2,0,0,ROW()-1,60),ROW()-1,FALSE))</f>
        <v>20.925231620000002</v>
      </c>
      <c r="BF124">
        <f ca="1">IF(AND(ISNUMBER($BF$435),$B$294=1),$BF$435,HLOOKUP(INDIRECT(ADDRESS(2,COLUMN())),OFFSET($BN$2,0,0,ROW()-1,60),ROW()-1,FALSE))</f>
        <v>25.73150691</v>
      </c>
      <c r="BG124">
        <f ca="1">IF(AND(ISNUMBER($BG$435),$B$294=1),$BG$435,HLOOKUP(INDIRECT(ADDRESS(2,COLUMN())),OFFSET($BN$2,0,0,ROW()-1,60),ROW()-1,FALSE))</f>
        <v>20.904405149999999</v>
      </c>
      <c r="BH124">
        <f ca="1">IF(AND(ISNUMBER($BH$435),$B$294=1),$BH$435,HLOOKUP(INDIRECT(ADDRESS(2,COLUMN())),OFFSET($BN$2,0,0,ROW()-1,60),ROW()-1,FALSE))</f>
        <v>10.176157180000001</v>
      </c>
      <c r="BI124">
        <f ca="1">IF(AND(ISNUMBER($BI$435),$B$294=1),$BI$435,HLOOKUP(INDIRECT(ADDRESS(2,COLUMN())),OFFSET($BN$2,0,0,ROW()-1,60),ROW()-1,FALSE))</f>
        <v>10.399939809999999</v>
      </c>
      <c r="BJ124">
        <f ca="1">IF(AND(ISNUMBER($BJ$435),$B$294=1),$BJ$435,HLOOKUP(INDIRECT(ADDRESS(2,COLUMN())),OFFSET($BN$2,0,0,ROW()-1,60),ROW()-1,FALSE))</f>
        <v>9.1860609069999999</v>
      </c>
      <c r="BK124">
        <f ca="1">IF(AND(ISNUMBER($BK$435),$B$294=1),$BK$435,HLOOKUP(INDIRECT(ADDRESS(2,COLUMN())),OFFSET($BN$2,0,0,ROW()-1,60),ROW()-1,FALSE))</f>
        <v>6.8695529439999996</v>
      </c>
      <c r="BL124">
        <f ca="1">IF(AND(ISNUMBER($BL$435),$B$294=1),$BL$435,HLOOKUP(INDIRECT(ADDRESS(2,COLUMN())),OFFSET($BN$2,0,0,ROW()-1,60),ROW()-1,FALSE))</f>
        <v>8.4922512829999999</v>
      </c>
      <c r="BM124">
        <f ca="1">IF(AND(ISNUMBER($BM$435),$B$294=1),$BM$435,HLOOKUP(INDIRECT(ADDRESS(2,COLUMN())),OFFSET($BN$2,0,0,ROW()-1,60),ROW()-1,FALSE))</f>
        <v>3.292060056</v>
      </c>
      <c r="BN124" t="str">
        <f>""</f>
        <v/>
      </c>
      <c r="BO124">
        <f>5.156544598</f>
        <v>5.156544598</v>
      </c>
      <c r="BP124">
        <f>5.030606489</f>
        <v>5.0306064890000002</v>
      </c>
      <c r="BQ124">
        <f>-1.916775102</f>
        <v>-1.9167751019999999</v>
      </c>
      <c r="BR124">
        <f>0.912001525</f>
        <v>0.91200152499999998</v>
      </c>
      <c r="BS124">
        <f>-4.526791786</f>
        <v>-4.5267917860000004</v>
      </c>
      <c r="BT124">
        <f>0.360073847</f>
        <v>0.360073847</v>
      </c>
      <c r="BU124">
        <f>0.795507471</f>
        <v>0.79550747099999997</v>
      </c>
      <c r="BV124">
        <f>1.242942985</f>
        <v>1.242942985</v>
      </c>
      <c r="BW124">
        <f>12.44984962</f>
        <v>12.44984962</v>
      </c>
      <c r="BX124">
        <f>9.572030169</f>
        <v>9.5720301689999996</v>
      </c>
      <c r="BY124">
        <f>8.599965699</f>
        <v>8.5999656990000002</v>
      </c>
      <c r="BZ124">
        <f>8.129949052</f>
        <v>8.1299490520000006</v>
      </c>
      <c r="CA124">
        <f>-9.961512571</f>
        <v>-9.9615125710000001</v>
      </c>
      <c r="CB124">
        <f>-16.17727874</f>
        <v>-16.177278739999998</v>
      </c>
      <c r="CC124">
        <f>-13.32436375</f>
        <v>-13.32436375</v>
      </c>
      <c r="CD124">
        <f>-26.21696045</f>
        <v>-26.216960449999998</v>
      </c>
      <c r="CE124">
        <f>3.109022417</f>
        <v>3.1090224169999998</v>
      </c>
      <c r="CF124">
        <f>8.855888701</f>
        <v>8.8558887009999996</v>
      </c>
      <c r="CG124">
        <f>4.292062024</f>
        <v>4.2920620239999998</v>
      </c>
      <c r="CH124">
        <f>19.43505331</f>
        <v>19.435053310000001</v>
      </c>
      <c r="CI124">
        <f>-9.884527331</f>
        <v>-9.8845273309999993</v>
      </c>
      <c r="CJ124">
        <f>-5.233603334</f>
        <v>-5.2336033339999997</v>
      </c>
      <c r="CK124">
        <f>-6.923227432</f>
        <v>-6.923227432</v>
      </c>
      <c r="CL124">
        <f>-8.081930574</f>
        <v>-8.0819305739999994</v>
      </c>
      <c r="CM124">
        <f>1.4195301</f>
        <v>1.4195301</v>
      </c>
      <c r="CN124">
        <f>-4.961557877</f>
        <v>-4.9615578769999997</v>
      </c>
      <c r="CO124">
        <f>-2.699576882</f>
        <v>-2.6995768820000001</v>
      </c>
      <c r="CP124">
        <f>-2.040324289</f>
        <v>-2.040324289</v>
      </c>
      <c r="CQ124">
        <f>-5.891359825</f>
        <v>-5.8913598250000003</v>
      </c>
      <c r="CR124">
        <f>1.673217903</f>
        <v>1.6732179030000001</v>
      </c>
      <c r="CS124">
        <f>3.993031066</f>
        <v>3.9930310659999999</v>
      </c>
      <c r="CT124">
        <f>2.740524635</f>
        <v>2.7405246349999999</v>
      </c>
      <c r="CU124">
        <f>4.719887187</f>
        <v>4.7198871870000003</v>
      </c>
      <c r="CV124">
        <f>1.328656117</f>
        <v>1.328656117</v>
      </c>
      <c r="CW124">
        <f>-3.332001617</f>
        <v>-3.332001617</v>
      </c>
      <c r="CX124">
        <f>2.998987194</f>
        <v>2.9989871940000001</v>
      </c>
      <c r="CY124">
        <f>3.854340904</f>
        <v>3.8543409039999998</v>
      </c>
      <c r="CZ124">
        <f>5.785843133</f>
        <v>5.7858431330000002</v>
      </c>
      <c r="DA124">
        <f>17.41505809</f>
        <v>17.415058089999999</v>
      </c>
      <c r="DB124">
        <f>19.96926806</f>
        <v>19.969268060000001</v>
      </c>
      <c r="DC124">
        <f>13.27833327</f>
        <v>13.278333269999999</v>
      </c>
      <c r="DD124">
        <f>14.78962613</f>
        <v>14.78962613</v>
      </c>
      <c r="DE124">
        <f>3.737677785</f>
        <v>3.7376777849999998</v>
      </c>
      <c r="DF124">
        <f>2.542625435</f>
        <v>2.5426254350000002</v>
      </c>
      <c r="DG124">
        <f>9.568084445</f>
        <v>9.5680844450000002</v>
      </c>
      <c r="DH124">
        <f>9.251513392</f>
        <v>9.2515133919999997</v>
      </c>
      <c r="DI124">
        <f>11.0456406</f>
        <v>11.0456406</v>
      </c>
      <c r="DJ124">
        <f>5.105281222</f>
        <v>5.1052812220000003</v>
      </c>
      <c r="DK124">
        <f>15.64848705</f>
        <v>15.64848705</v>
      </c>
      <c r="DL124">
        <f>18.28811331</f>
        <v>18.28811331</v>
      </c>
      <c r="DM124">
        <f>20.92523162</f>
        <v>20.925231620000002</v>
      </c>
      <c r="DN124">
        <f>25.73150691</f>
        <v>25.73150691</v>
      </c>
      <c r="DO124">
        <f>20.90440515</f>
        <v>20.904405149999999</v>
      </c>
      <c r="DP124">
        <f>10.17615718</f>
        <v>10.176157180000001</v>
      </c>
      <c r="DQ124">
        <f>10.39993981</f>
        <v>10.399939809999999</v>
      </c>
      <c r="DR124">
        <f>9.186060907</f>
        <v>9.1860609069999999</v>
      </c>
      <c r="DS124">
        <f>6.869552944</f>
        <v>6.8695529439999996</v>
      </c>
      <c r="DT124">
        <f>8.492251283</f>
        <v>8.4922512829999999</v>
      </c>
      <c r="DU124">
        <f>3.292060056</f>
        <v>3.292060056</v>
      </c>
    </row>
    <row r="125" spans="1:125">
      <c r="A125" t="str">
        <f>"FFO增长同比(%)"</f>
        <v>FFO增长同比(%)</v>
      </c>
      <c r="B125" t="str">
        <f>""</f>
        <v/>
      </c>
      <c r="E125" t="str">
        <f>"Median"</f>
        <v>Median</v>
      </c>
      <c r="F125" t="str">
        <f ca="1">IF(ISERROR(IF(MEDIAN($F$126:$F$135) = 0, "", MEDIAN($F$126:$F$135))), "", (IF(MEDIAN($F$126:$F$135) = 0, "", MEDIAN($F$126:$F$135))))</f>
        <v/>
      </c>
      <c r="G125" t="str">
        <f ca="1">IF(ISERROR(IF(MEDIAN($G$126:$G$135) = 0, "", MEDIAN($G$126:$G$135))), "", (IF(MEDIAN($G$126:$G$135) = 0, "", MEDIAN($G$126:$G$135))))</f>
        <v/>
      </c>
      <c r="H125" t="str">
        <f ca="1">IF(ISERROR(IF(MEDIAN($H$126:$H$135) = 0, "", MEDIAN($H$126:$H$135))), "", (IF(MEDIAN($H$126:$H$135) = 0, "", MEDIAN($H$126:$H$135))))</f>
        <v/>
      </c>
      <c r="I125" t="str">
        <f ca="1">IF(ISERROR(IF(MEDIAN($I$126:$I$135) = 0, "", MEDIAN($I$126:$I$135))), "", (IF(MEDIAN($I$126:$I$135) = 0, "", MEDIAN($I$126:$I$135))))</f>
        <v/>
      </c>
      <c r="J125" t="str">
        <f ca="1">IF(ISERROR(IF(MEDIAN($J$126:$J$135) = 0, "", MEDIAN($J$126:$J$135))), "", (IF(MEDIAN($J$126:$J$135) = 0, "", MEDIAN($J$126:$J$135))))</f>
        <v/>
      </c>
      <c r="K125" t="str">
        <f ca="1">IF(ISERROR(IF(MEDIAN($K$126:$K$135) = 0, "", MEDIAN($K$126:$K$135))), "", (IF(MEDIAN($K$126:$K$135) = 0, "", MEDIAN($K$126:$K$135))))</f>
        <v/>
      </c>
      <c r="L125" t="str">
        <f ca="1">IF(ISERROR(IF(MEDIAN($L$126:$L$135) = 0, "", MEDIAN($L$126:$L$135))), "", (IF(MEDIAN($L$126:$L$135) = 0, "", MEDIAN($L$126:$L$135))))</f>
        <v/>
      </c>
      <c r="M125" t="str">
        <f ca="1">IF(ISERROR(IF(MEDIAN($M$126:$M$135) = 0, "", MEDIAN($M$126:$M$135))), "", (IF(MEDIAN($M$126:$M$135) = 0, "", MEDIAN($M$126:$M$135))))</f>
        <v/>
      </c>
      <c r="N125" t="str">
        <f ca="1">IF(ISERROR(IF(MEDIAN($N$126:$N$135) = 0, "", MEDIAN($N$126:$N$135))), "", (IF(MEDIAN($N$126:$N$135) = 0, "", MEDIAN($N$126:$N$135))))</f>
        <v/>
      </c>
      <c r="O125" t="str">
        <f ca="1">IF(ISERROR(IF(MEDIAN($O$126:$O$135) = 0, "", MEDIAN($O$126:$O$135))), "", (IF(MEDIAN($O$126:$O$135) = 0, "", MEDIAN($O$126:$O$135))))</f>
        <v/>
      </c>
      <c r="P125" t="str">
        <f ca="1">IF(ISERROR(IF(MEDIAN($P$126:$P$135) = 0, "", MEDIAN($P$126:$P$135))), "", (IF(MEDIAN($P$126:$P$135) = 0, "", MEDIAN($P$126:$P$135))))</f>
        <v/>
      </c>
      <c r="Q125" t="str">
        <f ca="1">IF(ISERROR(IF(MEDIAN($Q$126:$Q$135) = 0, "", MEDIAN($Q$126:$Q$135))), "", (IF(MEDIAN($Q$126:$Q$135) = 0, "", MEDIAN($Q$126:$Q$135))))</f>
        <v/>
      </c>
      <c r="R125" t="str">
        <f ca="1">IF(ISERROR(IF(MEDIAN($R$126:$R$135) = 0, "", MEDIAN($R$126:$R$135))), "", (IF(MEDIAN($R$126:$R$135) = 0, "", MEDIAN($R$126:$R$135))))</f>
        <v/>
      </c>
      <c r="S125" t="str">
        <f ca="1">IF(ISERROR(IF(MEDIAN($S$126:$S$135) = 0, "", MEDIAN($S$126:$S$135))), "", (IF(MEDIAN($S$126:$S$135) = 0, "", MEDIAN($S$126:$S$135))))</f>
        <v/>
      </c>
      <c r="T125" t="str">
        <f ca="1">IF(ISERROR(IF(MEDIAN($T$126:$T$135) = 0, "", MEDIAN($T$126:$T$135))), "", (IF(MEDIAN($T$126:$T$135) = 0, "", MEDIAN($T$126:$T$135))))</f>
        <v/>
      </c>
      <c r="U125" t="str">
        <f ca="1">IF(ISERROR(IF(MEDIAN($U$126:$U$135) = 0, "", MEDIAN($U$126:$U$135))), "", (IF(MEDIAN($U$126:$U$135) = 0, "", MEDIAN($U$126:$U$135))))</f>
        <v/>
      </c>
      <c r="V125" t="str">
        <f ca="1">IF(ISERROR(IF(MEDIAN($V$126:$V$135) = 0, "", MEDIAN($V$126:$V$135))), "", (IF(MEDIAN($V$126:$V$135) = 0, "", MEDIAN($V$126:$V$135))))</f>
        <v/>
      </c>
      <c r="W125" t="str">
        <f ca="1">IF(ISERROR(IF(MEDIAN($W$126:$W$135) = 0, "", MEDIAN($W$126:$W$135))), "", (IF(MEDIAN($W$126:$W$135) = 0, "", MEDIAN($W$126:$W$135))))</f>
        <v/>
      </c>
      <c r="X125" t="str">
        <f ca="1">IF(ISERROR(IF(MEDIAN($X$126:$X$135) = 0, "", MEDIAN($X$126:$X$135))), "", (IF(MEDIAN($X$126:$X$135) = 0, "", MEDIAN($X$126:$X$135))))</f>
        <v/>
      </c>
      <c r="Y125" t="str">
        <f ca="1">IF(ISERROR(IF(MEDIAN($Y$126:$Y$135) = 0, "", MEDIAN($Y$126:$Y$135))), "", (IF(MEDIAN($Y$126:$Y$135) = 0, "", MEDIAN($Y$126:$Y$135))))</f>
        <v/>
      </c>
      <c r="Z125" t="str">
        <f ca="1">IF(ISERROR(IF(MEDIAN($Z$126:$Z$135) = 0, "", MEDIAN($Z$126:$Z$135))), "", (IF(MEDIAN($Z$126:$Z$135) = 0, "", MEDIAN($Z$126:$Z$135))))</f>
        <v/>
      </c>
      <c r="AA125" t="str">
        <f ca="1">IF(ISERROR(IF(MEDIAN($AA$126:$AA$135) = 0, "", MEDIAN($AA$126:$AA$135))), "", (IF(MEDIAN($AA$126:$AA$135) = 0, "", MEDIAN($AA$126:$AA$135))))</f>
        <v/>
      </c>
      <c r="AB125" t="str">
        <f ca="1">IF(ISERROR(IF(MEDIAN($AB$126:$AB$135) = 0, "", MEDIAN($AB$126:$AB$135))), "", (IF(MEDIAN($AB$126:$AB$135) = 0, "", MEDIAN($AB$126:$AB$135))))</f>
        <v/>
      </c>
      <c r="AC125" t="str">
        <f ca="1">IF(ISERROR(IF(MEDIAN($AC$126:$AC$135) = 0, "", MEDIAN($AC$126:$AC$135))), "", (IF(MEDIAN($AC$126:$AC$135) = 0, "", MEDIAN($AC$126:$AC$135))))</f>
        <v/>
      </c>
      <c r="AD125" t="str">
        <f ca="1">IF(ISERROR(IF(MEDIAN($AD$126:$AD$135) = 0, "", MEDIAN($AD$126:$AD$135))), "", (IF(MEDIAN($AD$126:$AD$135) = 0, "", MEDIAN($AD$126:$AD$135))))</f>
        <v/>
      </c>
      <c r="AE125" t="str">
        <f ca="1">IF(ISERROR(IF(MEDIAN($AE$126:$AE$135) = 0, "", MEDIAN($AE$126:$AE$135))), "", (IF(MEDIAN($AE$126:$AE$135) = 0, "", MEDIAN($AE$126:$AE$135))))</f>
        <v/>
      </c>
      <c r="AF125" t="str">
        <f ca="1">IF(ISERROR(IF(MEDIAN($AF$126:$AF$135) = 0, "", MEDIAN($AF$126:$AF$135))), "", (IF(MEDIAN($AF$126:$AF$135) = 0, "", MEDIAN($AF$126:$AF$135))))</f>
        <v/>
      </c>
      <c r="AG125" t="str">
        <f ca="1">IF(ISERROR(IF(MEDIAN($AG$126:$AG$135) = 0, "", MEDIAN($AG$126:$AG$135))), "", (IF(MEDIAN($AG$126:$AG$135) = 0, "", MEDIAN($AG$126:$AG$135))))</f>
        <v/>
      </c>
      <c r="AH125" t="str">
        <f ca="1">IF(ISERROR(IF(MEDIAN($AH$126:$AH$135) = 0, "", MEDIAN($AH$126:$AH$135))), "", (IF(MEDIAN($AH$126:$AH$135) = 0, "", MEDIAN($AH$126:$AH$135))))</f>
        <v/>
      </c>
      <c r="AI125" t="str">
        <f ca="1">IF(ISERROR(IF(MEDIAN($AI$126:$AI$135) = 0, "", MEDIAN($AI$126:$AI$135))), "", (IF(MEDIAN($AI$126:$AI$135) = 0, "", MEDIAN($AI$126:$AI$135))))</f>
        <v/>
      </c>
      <c r="AJ125" t="str">
        <f ca="1">IF(ISERROR(IF(MEDIAN($AJ$126:$AJ$135) = 0, "", MEDIAN($AJ$126:$AJ$135))), "", (IF(MEDIAN($AJ$126:$AJ$135) = 0, "", MEDIAN($AJ$126:$AJ$135))))</f>
        <v/>
      </c>
      <c r="AK125" t="str">
        <f ca="1">IF(ISERROR(IF(MEDIAN($AK$126:$AK$135) = 0, "", MEDIAN($AK$126:$AK$135))), "", (IF(MEDIAN($AK$126:$AK$135) = 0, "", MEDIAN($AK$126:$AK$135))))</f>
        <v/>
      </c>
      <c r="AL125" t="str">
        <f ca="1">IF(ISERROR(IF(MEDIAN($AL$126:$AL$135) = 0, "", MEDIAN($AL$126:$AL$135))), "", (IF(MEDIAN($AL$126:$AL$135) = 0, "", MEDIAN($AL$126:$AL$135))))</f>
        <v/>
      </c>
      <c r="AM125" t="str">
        <f ca="1">IF(ISERROR(IF(MEDIAN($AM$126:$AM$135) = 0, "", MEDIAN($AM$126:$AM$135))), "", (IF(MEDIAN($AM$126:$AM$135) = 0, "", MEDIAN($AM$126:$AM$135))))</f>
        <v/>
      </c>
      <c r="AN125" t="str">
        <f ca="1">IF(ISERROR(IF(MEDIAN($AN$126:$AN$135) = 0, "", MEDIAN($AN$126:$AN$135))), "", (IF(MEDIAN($AN$126:$AN$135) = 0, "", MEDIAN($AN$126:$AN$135))))</f>
        <v/>
      </c>
      <c r="AO125" t="str">
        <f ca="1">IF(ISERROR(IF(MEDIAN($AO$126:$AO$135) = 0, "", MEDIAN($AO$126:$AO$135))), "", (IF(MEDIAN($AO$126:$AO$135) = 0, "", MEDIAN($AO$126:$AO$135))))</f>
        <v/>
      </c>
      <c r="AP125" t="str">
        <f ca="1">IF(ISERROR(IF(MEDIAN($AP$126:$AP$135) = 0, "", MEDIAN($AP$126:$AP$135))), "", (IF(MEDIAN($AP$126:$AP$135) = 0, "", MEDIAN($AP$126:$AP$135))))</f>
        <v/>
      </c>
      <c r="AQ125" t="str">
        <f ca="1">IF(ISERROR(IF(MEDIAN($AQ$126:$AQ$135) = 0, "", MEDIAN($AQ$126:$AQ$135))), "", (IF(MEDIAN($AQ$126:$AQ$135) = 0, "", MEDIAN($AQ$126:$AQ$135))))</f>
        <v/>
      </c>
      <c r="AR125" t="str">
        <f ca="1">IF(ISERROR(IF(MEDIAN($AR$126:$AR$135) = 0, "", MEDIAN($AR$126:$AR$135))), "", (IF(MEDIAN($AR$126:$AR$135) = 0, "", MEDIAN($AR$126:$AR$135))))</f>
        <v/>
      </c>
      <c r="AS125" t="str">
        <f ca="1">IF(ISERROR(IF(MEDIAN($AS$126:$AS$135) = 0, "", MEDIAN($AS$126:$AS$135))), "", (IF(MEDIAN($AS$126:$AS$135) = 0, "", MEDIAN($AS$126:$AS$135))))</f>
        <v/>
      </c>
      <c r="AT125" t="str">
        <f ca="1">IF(ISERROR(IF(MEDIAN($AT$126:$AT$135) = 0, "", MEDIAN($AT$126:$AT$135))), "", (IF(MEDIAN($AT$126:$AT$135) = 0, "", MEDIAN($AT$126:$AT$135))))</f>
        <v/>
      </c>
      <c r="AU125" t="str">
        <f ca="1">IF(ISERROR(IF(MEDIAN($AU$126:$AU$135) = 0, "", MEDIAN($AU$126:$AU$135))), "", (IF(MEDIAN($AU$126:$AU$135) = 0, "", MEDIAN($AU$126:$AU$135))))</f>
        <v/>
      </c>
      <c r="AV125" t="str">
        <f ca="1">IF(ISERROR(IF(MEDIAN($AV$126:$AV$135) = 0, "", MEDIAN($AV$126:$AV$135))), "", (IF(MEDIAN($AV$126:$AV$135) = 0, "", MEDIAN($AV$126:$AV$135))))</f>
        <v/>
      </c>
      <c r="AW125" t="str">
        <f ca="1">IF(ISERROR(IF(MEDIAN($AW$126:$AW$135) = 0, "", MEDIAN($AW$126:$AW$135))), "", (IF(MEDIAN($AW$126:$AW$135) = 0, "", MEDIAN($AW$126:$AW$135))))</f>
        <v/>
      </c>
      <c r="AX125" t="str">
        <f ca="1">IF(ISERROR(IF(MEDIAN($AX$126:$AX$135) = 0, "", MEDIAN($AX$126:$AX$135))), "", (IF(MEDIAN($AX$126:$AX$135) = 0, "", MEDIAN($AX$126:$AX$135))))</f>
        <v/>
      </c>
      <c r="AY125" t="str">
        <f ca="1">IF(ISERROR(IF(MEDIAN($AY$126:$AY$135) = 0, "", MEDIAN($AY$126:$AY$135))), "", (IF(MEDIAN($AY$126:$AY$135) = 0, "", MEDIAN($AY$126:$AY$135))))</f>
        <v/>
      </c>
      <c r="AZ125" t="str">
        <f ca="1">IF(ISERROR(IF(MEDIAN($AZ$126:$AZ$135) = 0, "", MEDIAN($AZ$126:$AZ$135))), "", (IF(MEDIAN($AZ$126:$AZ$135) = 0, "", MEDIAN($AZ$126:$AZ$135))))</f>
        <v/>
      </c>
      <c r="BA125" t="str">
        <f ca="1">IF(ISERROR(IF(MEDIAN($BA$126:$BA$135) = 0, "", MEDIAN($BA$126:$BA$135))), "", (IF(MEDIAN($BA$126:$BA$135) = 0, "", MEDIAN($BA$126:$BA$135))))</f>
        <v/>
      </c>
      <c r="BB125" t="str">
        <f ca="1">IF(ISERROR(IF(MEDIAN($BB$126:$BB$135) = 0, "", MEDIAN($BB$126:$BB$135))), "", (IF(MEDIAN($BB$126:$BB$135) = 0, "", MEDIAN($BB$126:$BB$135))))</f>
        <v/>
      </c>
      <c r="BC125" t="str">
        <f ca="1">IF(ISERROR(IF(MEDIAN($BC$126:$BC$135) = 0, "", MEDIAN($BC$126:$BC$135))), "", (IF(MEDIAN($BC$126:$BC$135) = 0, "", MEDIAN($BC$126:$BC$135))))</f>
        <v/>
      </c>
      <c r="BD125" t="str">
        <f ca="1">IF(ISERROR(IF(MEDIAN($BD$126:$BD$135) = 0, "", MEDIAN($BD$126:$BD$135))), "", (IF(MEDIAN($BD$126:$BD$135) = 0, "", MEDIAN($BD$126:$BD$135))))</f>
        <v/>
      </c>
      <c r="BE125" t="str">
        <f ca="1">IF(ISERROR(IF(MEDIAN($BE$126:$BE$135) = 0, "", MEDIAN($BE$126:$BE$135))), "", (IF(MEDIAN($BE$126:$BE$135) = 0, "", MEDIAN($BE$126:$BE$135))))</f>
        <v/>
      </c>
      <c r="BF125" t="str">
        <f ca="1">IF(ISERROR(IF(MEDIAN($BF$126:$BF$135) = 0, "", MEDIAN($BF$126:$BF$135))), "", (IF(MEDIAN($BF$126:$BF$135) = 0, "", MEDIAN($BF$126:$BF$135))))</f>
        <v/>
      </c>
      <c r="BG125" t="str">
        <f ca="1">IF(ISERROR(IF(MEDIAN($BG$126:$BG$135) = 0, "", MEDIAN($BG$126:$BG$135))), "", (IF(MEDIAN($BG$126:$BG$135) = 0, "", MEDIAN($BG$126:$BG$135))))</f>
        <v/>
      </c>
      <c r="BH125" t="str">
        <f ca="1">IF(ISERROR(IF(MEDIAN($BH$126:$BH$135) = 0, "", MEDIAN($BH$126:$BH$135))), "", (IF(MEDIAN($BH$126:$BH$135) = 0, "", MEDIAN($BH$126:$BH$135))))</f>
        <v/>
      </c>
      <c r="BI125" t="str">
        <f ca="1">IF(ISERROR(IF(MEDIAN($BI$126:$BI$135) = 0, "", MEDIAN($BI$126:$BI$135))), "", (IF(MEDIAN($BI$126:$BI$135) = 0, "", MEDIAN($BI$126:$BI$135))))</f>
        <v/>
      </c>
      <c r="BJ125" t="str">
        <f ca="1">IF(ISERROR(IF(MEDIAN($BJ$126:$BJ$135) = 0, "", MEDIAN($BJ$126:$BJ$135))), "", (IF(MEDIAN($BJ$126:$BJ$135) = 0, "", MEDIAN($BJ$126:$BJ$135))))</f>
        <v/>
      </c>
      <c r="BK125" t="str">
        <f ca="1">IF(ISERROR(IF(MEDIAN($BK$126:$BK$135) = 0, "", MEDIAN($BK$126:$BK$135))), "", (IF(MEDIAN($BK$126:$BK$135) = 0, "", MEDIAN($BK$126:$BK$135))))</f>
        <v/>
      </c>
      <c r="BL125" t="str">
        <f ca="1">IF(ISERROR(IF(MEDIAN($BL$126:$BL$135) = 0, "", MEDIAN($BL$126:$BL$135))), "", (IF(MEDIAN($BL$126:$BL$135) = 0, "", MEDIAN($BL$126:$BL$135))))</f>
        <v/>
      </c>
      <c r="BM125" t="str">
        <f ca="1">IF(ISERROR(IF(MEDIAN($BM$126:$BM$135) = 0, "", MEDIAN($BM$126:$BM$135))), "", (IF(MEDIAN($BM$126:$BM$135) = 0, "", MEDIAN($BM$126:$BM$135))))</f>
        <v/>
      </c>
      <c r="BN125" t="str">
        <f>""</f>
        <v/>
      </c>
      <c r="BO125" t="str">
        <f>""</f>
        <v/>
      </c>
      <c r="BP125" t="str">
        <f>""</f>
        <v/>
      </c>
      <c r="BQ125" t="str">
        <f>""</f>
        <v/>
      </c>
      <c r="BR125" t="str">
        <f>""</f>
        <v/>
      </c>
      <c r="BS125" t="str">
        <f>""</f>
        <v/>
      </c>
      <c r="BT125" t="str">
        <f>""</f>
        <v/>
      </c>
      <c r="BU125" t="str">
        <f>""</f>
        <v/>
      </c>
      <c r="BV125" t="str">
        <f>""</f>
        <v/>
      </c>
      <c r="BW125" t="str">
        <f>""</f>
        <v/>
      </c>
      <c r="BX125" t="str">
        <f>""</f>
        <v/>
      </c>
      <c r="BY125" t="str">
        <f>""</f>
        <v/>
      </c>
      <c r="BZ125" t="str">
        <f>""</f>
        <v/>
      </c>
      <c r="CA125" t="str">
        <f>""</f>
        <v/>
      </c>
      <c r="CB125" t="str">
        <f>""</f>
        <v/>
      </c>
      <c r="CC125" t="str">
        <f>""</f>
        <v/>
      </c>
      <c r="CD125" t="str">
        <f>""</f>
        <v/>
      </c>
      <c r="CE125" t="str">
        <f>""</f>
        <v/>
      </c>
      <c r="CF125" t="str">
        <f>""</f>
        <v/>
      </c>
      <c r="CG125" t="str">
        <f>""</f>
        <v/>
      </c>
      <c r="CH125" t="str">
        <f>""</f>
        <v/>
      </c>
      <c r="CI125" t="str">
        <f>""</f>
        <v/>
      </c>
      <c r="CJ125" t="str">
        <f>""</f>
        <v/>
      </c>
      <c r="CK125" t="str">
        <f>""</f>
        <v/>
      </c>
      <c r="CL125" t="str">
        <f>""</f>
        <v/>
      </c>
      <c r="CM125" t="str">
        <f>""</f>
        <v/>
      </c>
      <c r="CN125" t="str">
        <f>""</f>
        <v/>
      </c>
      <c r="CO125" t="str">
        <f>""</f>
        <v/>
      </c>
      <c r="CP125" t="str">
        <f>""</f>
        <v/>
      </c>
      <c r="CQ125" t="str">
        <f>""</f>
        <v/>
      </c>
      <c r="CR125" t="str">
        <f>""</f>
        <v/>
      </c>
      <c r="CS125" t="str">
        <f>""</f>
        <v/>
      </c>
      <c r="CT125" t="str">
        <f>""</f>
        <v/>
      </c>
      <c r="CU125" t="str">
        <f>""</f>
        <v/>
      </c>
      <c r="CV125" t="str">
        <f>""</f>
        <v/>
      </c>
      <c r="CW125" t="str">
        <f>""</f>
        <v/>
      </c>
      <c r="CX125" t="str">
        <f>""</f>
        <v/>
      </c>
      <c r="CY125" t="str">
        <f>""</f>
        <v/>
      </c>
      <c r="CZ125" t="str">
        <f>""</f>
        <v/>
      </c>
      <c r="DA125" t="str">
        <f>""</f>
        <v/>
      </c>
      <c r="DB125" t="str">
        <f>""</f>
        <v/>
      </c>
      <c r="DC125" t="str">
        <f>""</f>
        <v/>
      </c>
      <c r="DD125" t="str">
        <f>""</f>
        <v/>
      </c>
      <c r="DE125" t="str">
        <f>""</f>
        <v/>
      </c>
      <c r="DF125" t="str">
        <f>""</f>
        <v/>
      </c>
      <c r="DG125" t="str">
        <f>""</f>
        <v/>
      </c>
      <c r="DH125" t="str">
        <f>""</f>
        <v/>
      </c>
      <c r="DI125" t="str">
        <f>""</f>
        <v/>
      </c>
      <c r="DJ125" t="str">
        <f>""</f>
        <v/>
      </c>
      <c r="DK125" t="str">
        <f>""</f>
        <v/>
      </c>
      <c r="DL125" t="str">
        <f>""</f>
        <v/>
      </c>
      <c r="DM125" t="str">
        <f>""</f>
        <v/>
      </c>
      <c r="DN125" t="str">
        <f>""</f>
        <v/>
      </c>
      <c r="DO125" t="str">
        <f>""</f>
        <v/>
      </c>
      <c r="DP125" t="str">
        <f>""</f>
        <v/>
      </c>
      <c r="DQ125" t="str">
        <f>""</f>
        <v/>
      </c>
      <c r="DR125" t="str">
        <f>""</f>
        <v/>
      </c>
      <c r="DS125" t="str">
        <f>""</f>
        <v/>
      </c>
      <c r="DT125" t="str">
        <f>""</f>
        <v/>
      </c>
      <c r="DU125" t="str">
        <f>""</f>
        <v/>
      </c>
    </row>
    <row r="126" spans="1:125">
      <c r="A126" t="str">
        <f>"    Boston Properties Inc"</f>
        <v xml:space="preserve">    Boston Properties Inc</v>
      </c>
      <c r="B126" t="str">
        <f>"BXP US Equity"</f>
        <v>BXP US Equity</v>
      </c>
      <c r="C126" t="str">
        <f t="shared" ref="C126:C135" si="33">"BE592"</f>
        <v>BE592</v>
      </c>
      <c r="D126" t="str">
        <f t="shared" ref="D126:D135" si="34">"BEST_FFOPS_YOY_GTH"</f>
        <v>BEST_FFOPS_YOY_GTH</v>
      </c>
      <c r="E126" t="str">
        <f t="shared" ref="E126:E135" si="35">"动态"</f>
        <v>动态</v>
      </c>
      <c r="F126" t="str">
        <f ca="1">IF(AND(ISNUMBER($F$436),$B$294=1),$F$436,HLOOKUP(INDIRECT(ADDRESS(2,COLUMN())),OFFSET($BN$2,0,0,ROW()-1,60),ROW()-1,FALSE))</f>
        <v/>
      </c>
      <c r="G126" t="str">
        <f ca="1">IF(AND(ISNUMBER($G$436),$B$294=1),$G$436,HLOOKUP(INDIRECT(ADDRESS(2,COLUMN())),OFFSET($BN$2,0,0,ROW()-1,60),ROW()-1,FALSE))</f>
        <v/>
      </c>
      <c r="H126" t="str">
        <f ca="1">IF(AND(ISNUMBER($H$436),$B$294=1),$H$436,HLOOKUP(INDIRECT(ADDRESS(2,COLUMN())),OFFSET($BN$2,0,0,ROW()-1,60),ROW()-1,FALSE))</f>
        <v/>
      </c>
      <c r="I126" t="str">
        <f ca="1">IF(AND(ISNUMBER($I$436),$B$294=1),$I$436,HLOOKUP(INDIRECT(ADDRESS(2,COLUMN())),OFFSET($BN$2,0,0,ROW()-1,60),ROW()-1,FALSE))</f>
        <v/>
      </c>
      <c r="J126" t="str">
        <f ca="1">IF(AND(ISNUMBER($J$436),$B$294=1),$J$436,HLOOKUP(INDIRECT(ADDRESS(2,COLUMN())),OFFSET($BN$2,0,0,ROW()-1,60),ROW()-1,FALSE))</f>
        <v/>
      </c>
      <c r="K126" t="str">
        <f ca="1">IF(AND(ISNUMBER($K$436),$B$294=1),$K$436,HLOOKUP(INDIRECT(ADDRESS(2,COLUMN())),OFFSET($BN$2,0,0,ROW()-1,60),ROW()-1,FALSE))</f>
        <v/>
      </c>
      <c r="L126" t="str">
        <f ca="1">IF(AND(ISNUMBER($L$436),$B$294=1),$L$436,HLOOKUP(INDIRECT(ADDRESS(2,COLUMN())),OFFSET($BN$2,0,0,ROW()-1,60),ROW()-1,FALSE))</f>
        <v/>
      </c>
      <c r="M126" t="str">
        <f ca="1">IF(AND(ISNUMBER($M$436),$B$294=1),$M$436,HLOOKUP(INDIRECT(ADDRESS(2,COLUMN())),OFFSET($BN$2,0,0,ROW()-1,60),ROW()-1,FALSE))</f>
        <v/>
      </c>
      <c r="N126" t="str">
        <f ca="1">IF(AND(ISNUMBER($N$436),$B$294=1),$N$436,HLOOKUP(INDIRECT(ADDRESS(2,COLUMN())),OFFSET($BN$2,0,0,ROW()-1,60),ROW()-1,FALSE))</f>
        <v/>
      </c>
      <c r="O126" t="str">
        <f ca="1">IF(AND(ISNUMBER($O$436),$B$294=1),$O$436,HLOOKUP(INDIRECT(ADDRESS(2,COLUMN())),OFFSET($BN$2,0,0,ROW()-1,60),ROW()-1,FALSE))</f>
        <v/>
      </c>
      <c r="P126" t="str">
        <f ca="1">IF(AND(ISNUMBER($P$436),$B$294=1),$P$436,HLOOKUP(INDIRECT(ADDRESS(2,COLUMN())),OFFSET($BN$2,0,0,ROW()-1,60),ROW()-1,FALSE))</f>
        <v/>
      </c>
      <c r="Q126" t="str">
        <f ca="1">IF(AND(ISNUMBER($Q$436),$B$294=1),$Q$436,HLOOKUP(INDIRECT(ADDRESS(2,COLUMN())),OFFSET($BN$2,0,0,ROW()-1,60),ROW()-1,FALSE))</f>
        <v/>
      </c>
      <c r="R126" t="str">
        <f ca="1">IF(AND(ISNUMBER($R$436),$B$294=1),$R$436,HLOOKUP(INDIRECT(ADDRESS(2,COLUMN())),OFFSET($BN$2,0,0,ROW()-1,60),ROW()-1,FALSE))</f>
        <v/>
      </c>
      <c r="S126" t="str">
        <f ca="1">IF(AND(ISNUMBER($S$436),$B$294=1),$S$436,HLOOKUP(INDIRECT(ADDRESS(2,COLUMN())),OFFSET($BN$2,0,0,ROW()-1,60),ROW()-1,FALSE))</f>
        <v/>
      </c>
      <c r="T126" t="str">
        <f ca="1">IF(AND(ISNUMBER($T$436),$B$294=1),$T$436,HLOOKUP(INDIRECT(ADDRESS(2,COLUMN())),OFFSET($BN$2,0,0,ROW()-1,60),ROW()-1,FALSE))</f>
        <v/>
      </c>
      <c r="U126" t="str">
        <f ca="1">IF(AND(ISNUMBER($U$436),$B$294=1),$U$436,HLOOKUP(INDIRECT(ADDRESS(2,COLUMN())),OFFSET($BN$2,0,0,ROW()-1,60),ROW()-1,FALSE))</f>
        <v/>
      </c>
      <c r="V126" t="str">
        <f ca="1">IF(AND(ISNUMBER($V$436),$B$294=1),$V$436,HLOOKUP(INDIRECT(ADDRESS(2,COLUMN())),OFFSET($BN$2,0,0,ROW()-1,60),ROW()-1,FALSE))</f>
        <v/>
      </c>
      <c r="W126" t="str">
        <f ca="1">IF(AND(ISNUMBER($W$436),$B$294=1),$W$436,HLOOKUP(INDIRECT(ADDRESS(2,COLUMN())),OFFSET($BN$2,0,0,ROW()-1,60),ROW()-1,FALSE))</f>
        <v/>
      </c>
      <c r="X126" t="str">
        <f ca="1">IF(AND(ISNUMBER($X$436),$B$294=1),$X$436,HLOOKUP(INDIRECT(ADDRESS(2,COLUMN())),OFFSET($BN$2,0,0,ROW()-1,60),ROW()-1,FALSE))</f>
        <v/>
      </c>
      <c r="Y126" t="str">
        <f ca="1">IF(AND(ISNUMBER($Y$436),$B$294=1),$Y$436,HLOOKUP(INDIRECT(ADDRESS(2,COLUMN())),OFFSET($BN$2,0,0,ROW()-1,60),ROW()-1,FALSE))</f>
        <v/>
      </c>
      <c r="Z126" t="str">
        <f ca="1">IF(AND(ISNUMBER($Z$436),$B$294=1),$Z$436,HLOOKUP(INDIRECT(ADDRESS(2,COLUMN())),OFFSET($BN$2,0,0,ROW()-1,60),ROW()-1,FALSE))</f>
        <v/>
      </c>
      <c r="AA126" t="str">
        <f ca="1">IF(AND(ISNUMBER($AA$436),$B$294=1),$AA$436,HLOOKUP(INDIRECT(ADDRESS(2,COLUMN())),OFFSET($BN$2,0,0,ROW()-1,60),ROW()-1,FALSE))</f>
        <v/>
      </c>
      <c r="AB126" t="str">
        <f ca="1">IF(AND(ISNUMBER($AB$436),$B$294=1),$AB$436,HLOOKUP(INDIRECT(ADDRESS(2,COLUMN())),OFFSET($BN$2,0,0,ROW()-1,60),ROW()-1,FALSE))</f>
        <v/>
      </c>
      <c r="AC126" t="str">
        <f ca="1">IF(AND(ISNUMBER($AC$436),$B$294=1),$AC$436,HLOOKUP(INDIRECT(ADDRESS(2,COLUMN())),OFFSET($BN$2,0,0,ROW()-1,60),ROW()-1,FALSE))</f>
        <v/>
      </c>
      <c r="AD126" t="str">
        <f ca="1">IF(AND(ISNUMBER($AD$436),$B$294=1),$AD$436,HLOOKUP(INDIRECT(ADDRESS(2,COLUMN())),OFFSET($BN$2,0,0,ROW()-1,60),ROW()-1,FALSE))</f>
        <v/>
      </c>
      <c r="AE126" t="str">
        <f ca="1">IF(AND(ISNUMBER($AE$436),$B$294=1),$AE$436,HLOOKUP(INDIRECT(ADDRESS(2,COLUMN())),OFFSET($BN$2,0,0,ROW()-1,60),ROW()-1,FALSE))</f>
        <v/>
      </c>
      <c r="AF126" t="str">
        <f ca="1">IF(AND(ISNUMBER($AF$436),$B$294=1),$AF$436,HLOOKUP(INDIRECT(ADDRESS(2,COLUMN())),OFFSET($BN$2,0,0,ROW()-1,60),ROW()-1,FALSE))</f>
        <v/>
      </c>
      <c r="AG126" t="str">
        <f ca="1">IF(AND(ISNUMBER($AG$436),$B$294=1),$AG$436,HLOOKUP(INDIRECT(ADDRESS(2,COLUMN())),OFFSET($BN$2,0,0,ROW()-1,60),ROW()-1,FALSE))</f>
        <v/>
      </c>
      <c r="AH126" t="str">
        <f ca="1">IF(AND(ISNUMBER($AH$436),$B$294=1),$AH$436,HLOOKUP(INDIRECT(ADDRESS(2,COLUMN())),OFFSET($BN$2,0,0,ROW()-1,60),ROW()-1,FALSE))</f>
        <v/>
      </c>
      <c r="AI126" t="str">
        <f ca="1">IF(AND(ISNUMBER($AI$436),$B$294=1),$AI$436,HLOOKUP(INDIRECT(ADDRESS(2,COLUMN())),OFFSET($BN$2,0,0,ROW()-1,60),ROW()-1,FALSE))</f>
        <v/>
      </c>
      <c r="AJ126" t="str">
        <f ca="1">IF(AND(ISNUMBER($AJ$436),$B$294=1),$AJ$436,HLOOKUP(INDIRECT(ADDRESS(2,COLUMN())),OFFSET($BN$2,0,0,ROW()-1,60),ROW()-1,FALSE))</f>
        <v/>
      </c>
      <c r="AK126" t="str">
        <f ca="1">IF(AND(ISNUMBER($AK$436),$B$294=1),$AK$436,HLOOKUP(INDIRECT(ADDRESS(2,COLUMN())),OFFSET($BN$2,0,0,ROW()-1,60),ROW()-1,FALSE))</f>
        <v/>
      </c>
      <c r="AL126" t="str">
        <f ca="1">IF(AND(ISNUMBER($AL$436),$B$294=1),$AL$436,HLOOKUP(INDIRECT(ADDRESS(2,COLUMN())),OFFSET($BN$2,0,0,ROW()-1,60),ROW()-1,FALSE))</f>
        <v/>
      </c>
      <c r="AM126" t="str">
        <f ca="1">IF(AND(ISNUMBER($AM$436),$B$294=1),$AM$436,HLOOKUP(INDIRECT(ADDRESS(2,COLUMN())),OFFSET($BN$2,0,0,ROW()-1,60),ROW()-1,FALSE))</f>
        <v/>
      </c>
      <c r="AN126" t="str">
        <f ca="1">IF(AND(ISNUMBER($AN$436),$B$294=1),$AN$436,HLOOKUP(INDIRECT(ADDRESS(2,COLUMN())),OFFSET($BN$2,0,0,ROW()-1,60),ROW()-1,FALSE))</f>
        <v/>
      </c>
      <c r="AO126" t="str">
        <f ca="1">IF(AND(ISNUMBER($AO$436),$B$294=1),$AO$436,HLOOKUP(INDIRECT(ADDRESS(2,COLUMN())),OFFSET($BN$2,0,0,ROW()-1,60),ROW()-1,FALSE))</f>
        <v/>
      </c>
      <c r="AP126" t="str">
        <f ca="1">IF(AND(ISNUMBER($AP$436),$B$294=1),$AP$436,HLOOKUP(INDIRECT(ADDRESS(2,COLUMN())),OFFSET($BN$2,0,0,ROW()-1,60),ROW()-1,FALSE))</f>
        <v/>
      </c>
      <c r="AQ126" t="str">
        <f ca="1">IF(AND(ISNUMBER($AQ$436),$B$294=1),$AQ$436,HLOOKUP(INDIRECT(ADDRESS(2,COLUMN())),OFFSET($BN$2,0,0,ROW()-1,60),ROW()-1,FALSE))</f>
        <v/>
      </c>
      <c r="AR126" t="str">
        <f ca="1">IF(AND(ISNUMBER($AR$436),$B$294=1),$AR$436,HLOOKUP(INDIRECT(ADDRESS(2,COLUMN())),OFFSET($BN$2,0,0,ROW()-1,60),ROW()-1,FALSE))</f>
        <v/>
      </c>
      <c r="AS126" t="str">
        <f ca="1">IF(AND(ISNUMBER($AS$436),$B$294=1),$AS$436,HLOOKUP(INDIRECT(ADDRESS(2,COLUMN())),OFFSET($BN$2,0,0,ROW()-1,60),ROW()-1,FALSE))</f>
        <v/>
      </c>
      <c r="AT126" t="str">
        <f ca="1">IF(AND(ISNUMBER($AT$436),$B$294=1),$AT$436,HLOOKUP(INDIRECT(ADDRESS(2,COLUMN())),OFFSET($BN$2,0,0,ROW()-1,60),ROW()-1,FALSE))</f>
        <v/>
      </c>
      <c r="AU126" t="str">
        <f ca="1">IF(AND(ISNUMBER($AU$436),$B$294=1),$AU$436,HLOOKUP(INDIRECT(ADDRESS(2,COLUMN())),OFFSET($BN$2,0,0,ROW()-1,60),ROW()-1,FALSE))</f>
        <v/>
      </c>
      <c r="AV126" t="str">
        <f ca="1">IF(AND(ISNUMBER($AV$436),$B$294=1),$AV$436,HLOOKUP(INDIRECT(ADDRESS(2,COLUMN())),OFFSET($BN$2,0,0,ROW()-1,60),ROW()-1,FALSE))</f>
        <v/>
      </c>
      <c r="AW126" t="str">
        <f ca="1">IF(AND(ISNUMBER($AW$436),$B$294=1),$AW$436,HLOOKUP(INDIRECT(ADDRESS(2,COLUMN())),OFFSET($BN$2,0,0,ROW()-1,60),ROW()-1,FALSE))</f>
        <v/>
      </c>
      <c r="AX126" t="str">
        <f ca="1">IF(AND(ISNUMBER($AX$436),$B$294=1),$AX$436,HLOOKUP(INDIRECT(ADDRESS(2,COLUMN())),OFFSET($BN$2,0,0,ROW()-1,60),ROW()-1,FALSE))</f>
        <v/>
      </c>
      <c r="AY126" t="str">
        <f ca="1">IF(AND(ISNUMBER($AY$436),$B$294=1),$AY$436,HLOOKUP(INDIRECT(ADDRESS(2,COLUMN())),OFFSET($BN$2,0,0,ROW()-1,60),ROW()-1,FALSE))</f>
        <v/>
      </c>
      <c r="AZ126" t="str">
        <f ca="1">IF(AND(ISNUMBER($AZ$436),$B$294=1),$AZ$436,HLOOKUP(INDIRECT(ADDRESS(2,COLUMN())),OFFSET($BN$2,0,0,ROW()-1,60),ROW()-1,FALSE))</f>
        <v/>
      </c>
      <c r="BA126" t="str">
        <f ca="1">IF(AND(ISNUMBER($BA$436),$B$294=1),$BA$436,HLOOKUP(INDIRECT(ADDRESS(2,COLUMN())),OFFSET($BN$2,0,0,ROW()-1,60),ROW()-1,FALSE))</f>
        <v/>
      </c>
      <c r="BB126" t="str">
        <f ca="1">IF(AND(ISNUMBER($BB$436),$B$294=1),$BB$436,HLOOKUP(INDIRECT(ADDRESS(2,COLUMN())),OFFSET($BN$2,0,0,ROW()-1,60),ROW()-1,FALSE))</f>
        <v/>
      </c>
      <c r="BC126" t="str">
        <f ca="1">IF(AND(ISNUMBER($BC$436),$B$294=1),$BC$436,HLOOKUP(INDIRECT(ADDRESS(2,COLUMN())),OFFSET($BN$2,0,0,ROW()-1,60),ROW()-1,FALSE))</f>
        <v/>
      </c>
      <c r="BD126" t="str">
        <f ca="1">IF(AND(ISNUMBER($BD$436),$B$294=1),$BD$436,HLOOKUP(INDIRECT(ADDRESS(2,COLUMN())),OFFSET($BN$2,0,0,ROW()-1,60),ROW()-1,FALSE))</f>
        <v/>
      </c>
      <c r="BE126" t="str">
        <f ca="1">IF(AND(ISNUMBER($BE$436),$B$294=1),$BE$436,HLOOKUP(INDIRECT(ADDRESS(2,COLUMN())),OFFSET($BN$2,0,0,ROW()-1,60),ROW()-1,FALSE))</f>
        <v/>
      </c>
      <c r="BF126" t="str">
        <f ca="1">IF(AND(ISNUMBER($BF$436),$B$294=1),$BF$436,HLOOKUP(INDIRECT(ADDRESS(2,COLUMN())),OFFSET($BN$2,0,0,ROW()-1,60),ROW()-1,FALSE))</f>
        <v/>
      </c>
      <c r="BG126" t="str">
        <f ca="1">IF(AND(ISNUMBER($BG$436),$B$294=1),$BG$436,HLOOKUP(INDIRECT(ADDRESS(2,COLUMN())),OFFSET($BN$2,0,0,ROW()-1,60),ROW()-1,FALSE))</f>
        <v/>
      </c>
      <c r="BH126" t="str">
        <f ca="1">IF(AND(ISNUMBER($BH$436),$B$294=1),$BH$436,HLOOKUP(INDIRECT(ADDRESS(2,COLUMN())),OFFSET($BN$2,0,0,ROW()-1,60),ROW()-1,FALSE))</f>
        <v/>
      </c>
      <c r="BI126" t="str">
        <f ca="1">IF(AND(ISNUMBER($BI$436),$B$294=1),$BI$436,HLOOKUP(INDIRECT(ADDRESS(2,COLUMN())),OFFSET($BN$2,0,0,ROW()-1,60),ROW()-1,FALSE))</f>
        <v/>
      </c>
      <c r="BJ126" t="str">
        <f ca="1">IF(AND(ISNUMBER($BJ$436),$B$294=1),$BJ$436,HLOOKUP(INDIRECT(ADDRESS(2,COLUMN())),OFFSET($BN$2,0,0,ROW()-1,60),ROW()-1,FALSE))</f>
        <v/>
      </c>
      <c r="BK126" t="str">
        <f ca="1">IF(AND(ISNUMBER($BK$436),$B$294=1),$BK$436,HLOOKUP(INDIRECT(ADDRESS(2,COLUMN())),OFFSET($BN$2,0,0,ROW()-1,60),ROW()-1,FALSE))</f>
        <v/>
      </c>
      <c r="BL126" t="str">
        <f ca="1">IF(AND(ISNUMBER($BL$436),$B$294=1),$BL$436,HLOOKUP(INDIRECT(ADDRESS(2,COLUMN())),OFFSET($BN$2,0,0,ROW()-1,60),ROW()-1,FALSE))</f>
        <v/>
      </c>
      <c r="BM126" t="str">
        <f ca="1">IF(AND(ISNUMBER($BM$436),$B$294=1),$BM$436,HLOOKUP(INDIRECT(ADDRESS(2,COLUMN())),OFFSET($BN$2,0,0,ROW()-1,60),ROW()-1,FALSE))</f>
        <v/>
      </c>
      <c r="BN126" t="str">
        <f>""</f>
        <v/>
      </c>
      <c r="BO126" t="str">
        <f>""</f>
        <v/>
      </c>
      <c r="BP126" t="str">
        <f>""</f>
        <v/>
      </c>
      <c r="BQ126" t="str">
        <f>""</f>
        <v/>
      </c>
      <c r="BR126" t="str">
        <f>""</f>
        <v/>
      </c>
      <c r="BS126" t="str">
        <f>""</f>
        <v/>
      </c>
      <c r="BT126" t="str">
        <f>""</f>
        <v/>
      </c>
      <c r="BU126" t="str">
        <f>""</f>
        <v/>
      </c>
      <c r="BV126" t="str">
        <f>""</f>
        <v/>
      </c>
      <c r="BW126" t="str">
        <f>""</f>
        <v/>
      </c>
      <c r="BX126" t="str">
        <f>""</f>
        <v/>
      </c>
      <c r="BY126" t="str">
        <f>""</f>
        <v/>
      </c>
      <c r="BZ126" t="str">
        <f>""</f>
        <v/>
      </c>
      <c r="CA126" t="str">
        <f>""</f>
        <v/>
      </c>
      <c r="CB126" t="str">
        <f>""</f>
        <v/>
      </c>
      <c r="CC126" t="str">
        <f>""</f>
        <v/>
      </c>
      <c r="CD126" t="str">
        <f>""</f>
        <v/>
      </c>
      <c r="CE126" t="str">
        <f>""</f>
        <v/>
      </c>
      <c r="CF126" t="str">
        <f>""</f>
        <v/>
      </c>
      <c r="CG126" t="str">
        <f>""</f>
        <v/>
      </c>
      <c r="CH126" t="str">
        <f>""</f>
        <v/>
      </c>
      <c r="CI126" t="str">
        <f>""</f>
        <v/>
      </c>
      <c r="CJ126" t="str">
        <f>""</f>
        <v/>
      </c>
      <c r="CK126" t="str">
        <f>""</f>
        <v/>
      </c>
      <c r="CL126" t="str">
        <f>""</f>
        <v/>
      </c>
      <c r="CM126" t="str">
        <f>""</f>
        <v/>
      </c>
      <c r="CN126" t="str">
        <f>""</f>
        <v/>
      </c>
      <c r="CO126" t="str">
        <f>""</f>
        <v/>
      </c>
      <c r="CP126" t="str">
        <f>""</f>
        <v/>
      </c>
      <c r="CQ126" t="str">
        <f>""</f>
        <v/>
      </c>
      <c r="CR126" t="str">
        <f>""</f>
        <v/>
      </c>
      <c r="CS126" t="str">
        <f>""</f>
        <v/>
      </c>
      <c r="CT126" t="str">
        <f>""</f>
        <v/>
      </c>
      <c r="CU126" t="str">
        <f>""</f>
        <v/>
      </c>
      <c r="CV126" t="str">
        <f>""</f>
        <v/>
      </c>
      <c r="CW126" t="str">
        <f>""</f>
        <v/>
      </c>
      <c r="CX126" t="str">
        <f>""</f>
        <v/>
      </c>
      <c r="CY126" t="str">
        <f>""</f>
        <v/>
      </c>
      <c r="CZ126" t="str">
        <f>""</f>
        <v/>
      </c>
      <c r="DA126" t="str">
        <f>""</f>
        <v/>
      </c>
      <c r="DB126" t="str">
        <f>""</f>
        <v/>
      </c>
      <c r="DC126" t="str">
        <f>""</f>
        <v/>
      </c>
      <c r="DD126" t="str">
        <f>""</f>
        <v/>
      </c>
      <c r="DE126" t="str">
        <f>""</f>
        <v/>
      </c>
      <c r="DF126" t="str">
        <f>""</f>
        <v/>
      </c>
      <c r="DG126" t="str">
        <f>""</f>
        <v/>
      </c>
      <c r="DH126" t="str">
        <f>""</f>
        <v/>
      </c>
      <c r="DI126" t="str">
        <f>""</f>
        <v/>
      </c>
      <c r="DJ126" t="str">
        <f>""</f>
        <v/>
      </c>
      <c r="DK126" t="str">
        <f>""</f>
        <v/>
      </c>
      <c r="DL126" t="str">
        <f>""</f>
        <v/>
      </c>
      <c r="DM126" t="str">
        <f>""</f>
        <v/>
      </c>
      <c r="DN126" t="str">
        <f>""</f>
        <v/>
      </c>
      <c r="DO126" t="str">
        <f>""</f>
        <v/>
      </c>
      <c r="DP126" t="str">
        <f>""</f>
        <v/>
      </c>
      <c r="DQ126" t="str">
        <f>""</f>
        <v/>
      </c>
      <c r="DR126" t="str">
        <f>""</f>
        <v/>
      </c>
      <c r="DS126" t="str">
        <f>""</f>
        <v/>
      </c>
      <c r="DT126" t="str">
        <f>""</f>
        <v/>
      </c>
      <c r="DU126" t="str">
        <f>""</f>
        <v/>
      </c>
    </row>
    <row r="127" spans="1:125">
      <c r="A127" t="str">
        <f>"    Brandywine Realty Trust"</f>
        <v xml:space="preserve">    Brandywine Realty Trust</v>
      </c>
      <c r="B127" t="str">
        <f>"BDN US Equity"</f>
        <v>BDN US Equity</v>
      </c>
      <c r="C127" t="str">
        <f t="shared" si="33"/>
        <v>BE592</v>
      </c>
      <c r="D127" t="str">
        <f t="shared" si="34"/>
        <v>BEST_FFOPS_YOY_GTH</v>
      </c>
      <c r="E127" t="str">
        <f t="shared" si="35"/>
        <v>动态</v>
      </c>
      <c r="F127" t="str">
        <f ca="1">IF(AND(ISNUMBER($F$437),$B$294=1),$F$437,HLOOKUP(INDIRECT(ADDRESS(2,COLUMN())),OFFSET($BN$2,0,0,ROW()-1,60),ROW()-1,FALSE))</f>
        <v/>
      </c>
      <c r="G127" t="str">
        <f ca="1">IF(AND(ISNUMBER($G$437),$B$294=1),$G$437,HLOOKUP(INDIRECT(ADDRESS(2,COLUMN())),OFFSET($BN$2,0,0,ROW()-1,60),ROW()-1,FALSE))</f>
        <v/>
      </c>
      <c r="H127" t="str">
        <f ca="1">IF(AND(ISNUMBER($H$437),$B$294=1),$H$437,HLOOKUP(INDIRECT(ADDRESS(2,COLUMN())),OFFSET($BN$2,0,0,ROW()-1,60),ROW()-1,FALSE))</f>
        <v/>
      </c>
      <c r="I127" t="str">
        <f ca="1">IF(AND(ISNUMBER($I$437),$B$294=1),$I$437,HLOOKUP(INDIRECT(ADDRESS(2,COLUMN())),OFFSET($BN$2,0,0,ROW()-1,60),ROW()-1,FALSE))</f>
        <v/>
      </c>
      <c r="J127" t="str">
        <f ca="1">IF(AND(ISNUMBER($J$437),$B$294=1),$J$437,HLOOKUP(INDIRECT(ADDRESS(2,COLUMN())),OFFSET($BN$2,0,0,ROW()-1,60),ROW()-1,FALSE))</f>
        <v/>
      </c>
      <c r="K127" t="str">
        <f ca="1">IF(AND(ISNUMBER($K$437),$B$294=1),$K$437,HLOOKUP(INDIRECT(ADDRESS(2,COLUMN())),OFFSET($BN$2,0,0,ROW()-1,60),ROW()-1,FALSE))</f>
        <v/>
      </c>
      <c r="L127" t="str">
        <f ca="1">IF(AND(ISNUMBER($L$437),$B$294=1),$L$437,HLOOKUP(INDIRECT(ADDRESS(2,COLUMN())),OFFSET($BN$2,0,0,ROW()-1,60),ROW()-1,FALSE))</f>
        <v/>
      </c>
      <c r="M127" t="str">
        <f ca="1">IF(AND(ISNUMBER($M$437),$B$294=1),$M$437,HLOOKUP(INDIRECT(ADDRESS(2,COLUMN())),OFFSET($BN$2,0,0,ROW()-1,60),ROW()-1,FALSE))</f>
        <v/>
      </c>
      <c r="N127" t="str">
        <f ca="1">IF(AND(ISNUMBER($N$437),$B$294=1),$N$437,HLOOKUP(INDIRECT(ADDRESS(2,COLUMN())),OFFSET($BN$2,0,0,ROW()-1,60),ROW()-1,FALSE))</f>
        <v/>
      </c>
      <c r="O127" t="str">
        <f ca="1">IF(AND(ISNUMBER($O$437),$B$294=1),$O$437,HLOOKUP(INDIRECT(ADDRESS(2,COLUMN())),OFFSET($BN$2,0,0,ROW()-1,60),ROW()-1,FALSE))</f>
        <v/>
      </c>
      <c r="P127" t="str">
        <f ca="1">IF(AND(ISNUMBER($P$437),$B$294=1),$P$437,HLOOKUP(INDIRECT(ADDRESS(2,COLUMN())),OFFSET($BN$2,0,0,ROW()-1,60),ROW()-1,FALSE))</f>
        <v/>
      </c>
      <c r="Q127" t="str">
        <f ca="1">IF(AND(ISNUMBER($Q$437),$B$294=1),$Q$437,HLOOKUP(INDIRECT(ADDRESS(2,COLUMN())),OFFSET($BN$2,0,0,ROW()-1,60),ROW()-1,FALSE))</f>
        <v/>
      </c>
      <c r="R127" t="str">
        <f ca="1">IF(AND(ISNUMBER($R$437),$B$294=1),$R$437,HLOOKUP(INDIRECT(ADDRESS(2,COLUMN())),OFFSET($BN$2,0,0,ROW()-1,60),ROW()-1,FALSE))</f>
        <v/>
      </c>
      <c r="S127" t="str">
        <f ca="1">IF(AND(ISNUMBER($S$437),$B$294=1),$S$437,HLOOKUP(INDIRECT(ADDRESS(2,COLUMN())),OFFSET($BN$2,0,0,ROW()-1,60),ROW()-1,FALSE))</f>
        <v/>
      </c>
      <c r="T127" t="str">
        <f ca="1">IF(AND(ISNUMBER($T$437),$B$294=1),$T$437,HLOOKUP(INDIRECT(ADDRESS(2,COLUMN())),OFFSET($BN$2,0,0,ROW()-1,60),ROW()-1,FALSE))</f>
        <v/>
      </c>
      <c r="U127" t="str">
        <f ca="1">IF(AND(ISNUMBER($U$437),$B$294=1),$U$437,HLOOKUP(INDIRECT(ADDRESS(2,COLUMN())),OFFSET($BN$2,0,0,ROW()-1,60),ROW()-1,FALSE))</f>
        <v/>
      </c>
      <c r="V127" t="str">
        <f ca="1">IF(AND(ISNUMBER($V$437),$B$294=1),$V$437,HLOOKUP(INDIRECT(ADDRESS(2,COLUMN())),OFFSET($BN$2,0,0,ROW()-1,60),ROW()-1,FALSE))</f>
        <v/>
      </c>
      <c r="W127" t="str">
        <f ca="1">IF(AND(ISNUMBER($W$437),$B$294=1),$W$437,HLOOKUP(INDIRECT(ADDRESS(2,COLUMN())),OFFSET($BN$2,0,0,ROW()-1,60),ROW()-1,FALSE))</f>
        <v/>
      </c>
      <c r="X127" t="str">
        <f ca="1">IF(AND(ISNUMBER($X$437),$B$294=1),$X$437,HLOOKUP(INDIRECT(ADDRESS(2,COLUMN())),OFFSET($BN$2,0,0,ROW()-1,60),ROW()-1,FALSE))</f>
        <v/>
      </c>
      <c r="Y127" t="str">
        <f ca="1">IF(AND(ISNUMBER($Y$437),$B$294=1),$Y$437,HLOOKUP(INDIRECT(ADDRESS(2,COLUMN())),OFFSET($BN$2,0,0,ROW()-1,60),ROW()-1,FALSE))</f>
        <v/>
      </c>
      <c r="Z127" t="str">
        <f ca="1">IF(AND(ISNUMBER($Z$437),$B$294=1),$Z$437,HLOOKUP(INDIRECT(ADDRESS(2,COLUMN())),OFFSET($BN$2,0,0,ROW()-1,60),ROW()-1,FALSE))</f>
        <v/>
      </c>
      <c r="AA127" t="str">
        <f ca="1">IF(AND(ISNUMBER($AA$437),$B$294=1),$AA$437,HLOOKUP(INDIRECT(ADDRESS(2,COLUMN())),OFFSET($BN$2,0,0,ROW()-1,60),ROW()-1,FALSE))</f>
        <v/>
      </c>
      <c r="AB127" t="str">
        <f ca="1">IF(AND(ISNUMBER($AB$437),$B$294=1),$AB$437,HLOOKUP(INDIRECT(ADDRESS(2,COLUMN())),OFFSET($BN$2,0,0,ROW()-1,60),ROW()-1,FALSE))</f>
        <v/>
      </c>
      <c r="AC127" t="str">
        <f ca="1">IF(AND(ISNUMBER($AC$437),$B$294=1),$AC$437,HLOOKUP(INDIRECT(ADDRESS(2,COLUMN())),OFFSET($BN$2,0,0,ROW()-1,60),ROW()-1,FALSE))</f>
        <v/>
      </c>
      <c r="AD127" t="str">
        <f ca="1">IF(AND(ISNUMBER($AD$437),$B$294=1),$AD$437,HLOOKUP(INDIRECT(ADDRESS(2,COLUMN())),OFFSET($BN$2,0,0,ROW()-1,60),ROW()-1,FALSE))</f>
        <v/>
      </c>
      <c r="AE127" t="str">
        <f ca="1">IF(AND(ISNUMBER($AE$437),$B$294=1),$AE$437,HLOOKUP(INDIRECT(ADDRESS(2,COLUMN())),OFFSET($BN$2,0,0,ROW()-1,60),ROW()-1,FALSE))</f>
        <v/>
      </c>
      <c r="AF127" t="str">
        <f ca="1">IF(AND(ISNUMBER($AF$437),$B$294=1),$AF$437,HLOOKUP(INDIRECT(ADDRESS(2,COLUMN())),OFFSET($BN$2,0,0,ROW()-1,60),ROW()-1,FALSE))</f>
        <v/>
      </c>
      <c r="AG127" t="str">
        <f ca="1">IF(AND(ISNUMBER($AG$437),$B$294=1),$AG$437,HLOOKUP(INDIRECT(ADDRESS(2,COLUMN())),OFFSET($BN$2,0,0,ROW()-1,60),ROW()-1,FALSE))</f>
        <v/>
      </c>
      <c r="AH127" t="str">
        <f ca="1">IF(AND(ISNUMBER($AH$437),$B$294=1),$AH$437,HLOOKUP(INDIRECT(ADDRESS(2,COLUMN())),OFFSET($BN$2,0,0,ROW()-1,60),ROW()-1,FALSE))</f>
        <v/>
      </c>
      <c r="AI127" t="str">
        <f ca="1">IF(AND(ISNUMBER($AI$437),$B$294=1),$AI$437,HLOOKUP(INDIRECT(ADDRESS(2,COLUMN())),OFFSET($BN$2,0,0,ROW()-1,60),ROW()-1,FALSE))</f>
        <v/>
      </c>
      <c r="AJ127" t="str">
        <f ca="1">IF(AND(ISNUMBER($AJ$437),$B$294=1),$AJ$437,HLOOKUP(INDIRECT(ADDRESS(2,COLUMN())),OFFSET($BN$2,0,0,ROW()-1,60),ROW()-1,FALSE))</f>
        <v/>
      </c>
      <c r="AK127" t="str">
        <f ca="1">IF(AND(ISNUMBER($AK$437),$B$294=1),$AK$437,HLOOKUP(INDIRECT(ADDRESS(2,COLUMN())),OFFSET($BN$2,0,0,ROW()-1,60),ROW()-1,FALSE))</f>
        <v/>
      </c>
      <c r="AL127" t="str">
        <f ca="1">IF(AND(ISNUMBER($AL$437),$B$294=1),$AL$437,HLOOKUP(INDIRECT(ADDRESS(2,COLUMN())),OFFSET($BN$2,0,0,ROW()-1,60),ROW()-1,FALSE))</f>
        <v/>
      </c>
      <c r="AM127" t="str">
        <f ca="1">IF(AND(ISNUMBER($AM$437),$B$294=1),$AM$437,HLOOKUP(INDIRECT(ADDRESS(2,COLUMN())),OFFSET($BN$2,0,0,ROW()-1,60),ROW()-1,FALSE))</f>
        <v/>
      </c>
      <c r="AN127" t="str">
        <f ca="1">IF(AND(ISNUMBER($AN$437),$B$294=1),$AN$437,HLOOKUP(INDIRECT(ADDRESS(2,COLUMN())),OFFSET($BN$2,0,0,ROW()-1,60),ROW()-1,FALSE))</f>
        <v/>
      </c>
      <c r="AO127" t="str">
        <f ca="1">IF(AND(ISNUMBER($AO$437),$B$294=1),$AO$437,HLOOKUP(INDIRECT(ADDRESS(2,COLUMN())),OFFSET($BN$2,0,0,ROW()-1,60),ROW()-1,FALSE))</f>
        <v/>
      </c>
      <c r="AP127" t="str">
        <f ca="1">IF(AND(ISNUMBER($AP$437),$B$294=1),$AP$437,HLOOKUP(INDIRECT(ADDRESS(2,COLUMN())),OFFSET($BN$2,0,0,ROW()-1,60),ROW()-1,FALSE))</f>
        <v/>
      </c>
      <c r="AQ127" t="str">
        <f ca="1">IF(AND(ISNUMBER($AQ$437),$B$294=1),$AQ$437,HLOOKUP(INDIRECT(ADDRESS(2,COLUMN())),OFFSET($BN$2,0,0,ROW()-1,60),ROW()-1,FALSE))</f>
        <v/>
      </c>
      <c r="AR127" t="str">
        <f ca="1">IF(AND(ISNUMBER($AR$437),$B$294=1),$AR$437,HLOOKUP(INDIRECT(ADDRESS(2,COLUMN())),OFFSET($BN$2,0,0,ROW()-1,60),ROW()-1,FALSE))</f>
        <v/>
      </c>
      <c r="AS127" t="str">
        <f ca="1">IF(AND(ISNUMBER($AS$437),$B$294=1),$AS$437,HLOOKUP(INDIRECT(ADDRESS(2,COLUMN())),OFFSET($BN$2,0,0,ROW()-1,60),ROW()-1,FALSE))</f>
        <v/>
      </c>
      <c r="AT127" t="str">
        <f ca="1">IF(AND(ISNUMBER($AT$437),$B$294=1),$AT$437,HLOOKUP(INDIRECT(ADDRESS(2,COLUMN())),OFFSET($BN$2,0,0,ROW()-1,60),ROW()-1,FALSE))</f>
        <v/>
      </c>
      <c r="AU127" t="str">
        <f ca="1">IF(AND(ISNUMBER($AU$437),$B$294=1),$AU$437,HLOOKUP(INDIRECT(ADDRESS(2,COLUMN())),OFFSET($BN$2,0,0,ROW()-1,60),ROW()-1,FALSE))</f>
        <v/>
      </c>
      <c r="AV127" t="str">
        <f ca="1">IF(AND(ISNUMBER($AV$437),$B$294=1),$AV$437,HLOOKUP(INDIRECT(ADDRESS(2,COLUMN())),OFFSET($BN$2,0,0,ROW()-1,60),ROW()-1,FALSE))</f>
        <v/>
      </c>
      <c r="AW127" t="str">
        <f ca="1">IF(AND(ISNUMBER($AW$437),$B$294=1),$AW$437,HLOOKUP(INDIRECT(ADDRESS(2,COLUMN())),OFFSET($BN$2,0,0,ROW()-1,60),ROW()-1,FALSE))</f>
        <v/>
      </c>
      <c r="AX127" t="str">
        <f ca="1">IF(AND(ISNUMBER($AX$437),$B$294=1),$AX$437,HLOOKUP(INDIRECT(ADDRESS(2,COLUMN())),OFFSET($BN$2,0,0,ROW()-1,60),ROW()-1,FALSE))</f>
        <v/>
      </c>
      <c r="AY127" t="str">
        <f ca="1">IF(AND(ISNUMBER($AY$437),$B$294=1),$AY$437,HLOOKUP(INDIRECT(ADDRESS(2,COLUMN())),OFFSET($BN$2,0,0,ROW()-1,60),ROW()-1,FALSE))</f>
        <v/>
      </c>
      <c r="AZ127" t="str">
        <f ca="1">IF(AND(ISNUMBER($AZ$437),$B$294=1),$AZ$437,HLOOKUP(INDIRECT(ADDRESS(2,COLUMN())),OFFSET($BN$2,0,0,ROW()-1,60),ROW()-1,FALSE))</f>
        <v/>
      </c>
      <c r="BA127" t="str">
        <f ca="1">IF(AND(ISNUMBER($BA$437),$B$294=1),$BA$437,HLOOKUP(INDIRECT(ADDRESS(2,COLUMN())),OFFSET($BN$2,0,0,ROW()-1,60),ROW()-1,FALSE))</f>
        <v/>
      </c>
      <c r="BB127" t="str">
        <f ca="1">IF(AND(ISNUMBER($BB$437),$B$294=1),$BB$437,HLOOKUP(INDIRECT(ADDRESS(2,COLUMN())),OFFSET($BN$2,0,0,ROW()-1,60),ROW()-1,FALSE))</f>
        <v/>
      </c>
      <c r="BC127" t="str">
        <f ca="1">IF(AND(ISNUMBER($BC$437),$B$294=1),$BC$437,HLOOKUP(INDIRECT(ADDRESS(2,COLUMN())),OFFSET($BN$2,0,0,ROW()-1,60),ROW()-1,FALSE))</f>
        <v/>
      </c>
      <c r="BD127" t="str">
        <f ca="1">IF(AND(ISNUMBER($BD$437),$B$294=1),$BD$437,HLOOKUP(INDIRECT(ADDRESS(2,COLUMN())),OFFSET($BN$2,0,0,ROW()-1,60),ROW()-1,FALSE))</f>
        <v/>
      </c>
      <c r="BE127" t="str">
        <f ca="1">IF(AND(ISNUMBER($BE$437),$B$294=1),$BE$437,HLOOKUP(INDIRECT(ADDRESS(2,COLUMN())),OFFSET($BN$2,0,0,ROW()-1,60),ROW()-1,FALSE))</f>
        <v/>
      </c>
      <c r="BF127" t="str">
        <f ca="1">IF(AND(ISNUMBER($BF$437),$B$294=1),$BF$437,HLOOKUP(INDIRECT(ADDRESS(2,COLUMN())),OFFSET($BN$2,0,0,ROW()-1,60),ROW()-1,FALSE))</f>
        <v/>
      </c>
      <c r="BG127" t="str">
        <f ca="1">IF(AND(ISNUMBER($BG$437),$B$294=1),$BG$437,HLOOKUP(INDIRECT(ADDRESS(2,COLUMN())),OFFSET($BN$2,0,0,ROW()-1,60),ROW()-1,FALSE))</f>
        <v/>
      </c>
      <c r="BH127" t="str">
        <f ca="1">IF(AND(ISNUMBER($BH$437),$B$294=1),$BH$437,HLOOKUP(INDIRECT(ADDRESS(2,COLUMN())),OFFSET($BN$2,0,0,ROW()-1,60),ROW()-1,FALSE))</f>
        <v/>
      </c>
      <c r="BI127" t="str">
        <f ca="1">IF(AND(ISNUMBER($BI$437),$B$294=1),$BI$437,HLOOKUP(INDIRECT(ADDRESS(2,COLUMN())),OFFSET($BN$2,0,0,ROW()-1,60),ROW()-1,FALSE))</f>
        <v/>
      </c>
      <c r="BJ127" t="str">
        <f ca="1">IF(AND(ISNUMBER($BJ$437),$B$294=1),$BJ$437,HLOOKUP(INDIRECT(ADDRESS(2,COLUMN())),OFFSET($BN$2,0,0,ROW()-1,60),ROW()-1,FALSE))</f>
        <v/>
      </c>
      <c r="BK127" t="str">
        <f ca="1">IF(AND(ISNUMBER($BK$437),$B$294=1),$BK$437,HLOOKUP(INDIRECT(ADDRESS(2,COLUMN())),OFFSET($BN$2,0,0,ROW()-1,60),ROW()-1,FALSE))</f>
        <v/>
      </c>
      <c r="BL127" t="str">
        <f ca="1">IF(AND(ISNUMBER($BL$437),$B$294=1),$BL$437,HLOOKUP(INDIRECT(ADDRESS(2,COLUMN())),OFFSET($BN$2,0,0,ROW()-1,60),ROW()-1,FALSE))</f>
        <v/>
      </c>
      <c r="BM127" t="str">
        <f ca="1">IF(AND(ISNUMBER($BM$437),$B$294=1),$BM$437,HLOOKUP(INDIRECT(ADDRESS(2,COLUMN())),OFFSET($BN$2,0,0,ROW()-1,60),ROW()-1,FALSE))</f>
        <v/>
      </c>
      <c r="BN127" t="str">
        <f>""</f>
        <v/>
      </c>
      <c r="BO127" t="str">
        <f>""</f>
        <v/>
      </c>
      <c r="BP127" t="str">
        <f>""</f>
        <v/>
      </c>
      <c r="BQ127" t="str">
        <f>""</f>
        <v/>
      </c>
      <c r="BR127" t="str">
        <f>""</f>
        <v/>
      </c>
      <c r="BS127" t="str">
        <f>""</f>
        <v/>
      </c>
      <c r="BT127" t="str">
        <f>""</f>
        <v/>
      </c>
      <c r="BU127" t="str">
        <f>""</f>
        <v/>
      </c>
      <c r="BV127" t="str">
        <f>""</f>
        <v/>
      </c>
      <c r="BW127" t="str">
        <f>""</f>
        <v/>
      </c>
      <c r="BX127" t="str">
        <f>""</f>
        <v/>
      </c>
      <c r="BY127" t="str">
        <f>""</f>
        <v/>
      </c>
      <c r="BZ127" t="str">
        <f>""</f>
        <v/>
      </c>
      <c r="CA127" t="str">
        <f>""</f>
        <v/>
      </c>
      <c r="CB127" t="str">
        <f>""</f>
        <v/>
      </c>
      <c r="CC127" t="str">
        <f>""</f>
        <v/>
      </c>
      <c r="CD127" t="str">
        <f>""</f>
        <v/>
      </c>
      <c r="CE127" t="str">
        <f>""</f>
        <v/>
      </c>
      <c r="CF127" t="str">
        <f>""</f>
        <v/>
      </c>
      <c r="CG127" t="str">
        <f>""</f>
        <v/>
      </c>
      <c r="CH127" t="str">
        <f>""</f>
        <v/>
      </c>
      <c r="CI127" t="str">
        <f>""</f>
        <v/>
      </c>
      <c r="CJ127" t="str">
        <f>""</f>
        <v/>
      </c>
      <c r="CK127" t="str">
        <f>""</f>
        <v/>
      </c>
      <c r="CL127" t="str">
        <f>""</f>
        <v/>
      </c>
      <c r="CM127" t="str">
        <f>""</f>
        <v/>
      </c>
      <c r="CN127" t="str">
        <f>""</f>
        <v/>
      </c>
      <c r="CO127" t="str">
        <f>""</f>
        <v/>
      </c>
      <c r="CP127" t="str">
        <f>""</f>
        <v/>
      </c>
      <c r="CQ127" t="str">
        <f>""</f>
        <v/>
      </c>
      <c r="CR127" t="str">
        <f>""</f>
        <v/>
      </c>
      <c r="CS127" t="str">
        <f>""</f>
        <v/>
      </c>
      <c r="CT127" t="str">
        <f>""</f>
        <v/>
      </c>
      <c r="CU127" t="str">
        <f>""</f>
        <v/>
      </c>
      <c r="CV127" t="str">
        <f>""</f>
        <v/>
      </c>
      <c r="CW127" t="str">
        <f>""</f>
        <v/>
      </c>
      <c r="CX127" t="str">
        <f>""</f>
        <v/>
      </c>
      <c r="CY127" t="str">
        <f>""</f>
        <v/>
      </c>
      <c r="CZ127" t="str">
        <f>""</f>
        <v/>
      </c>
      <c r="DA127" t="str">
        <f>""</f>
        <v/>
      </c>
      <c r="DB127" t="str">
        <f>""</f>
        <v/>
      </c>
      <c r="DC127" t="str">
        <f>""</f>
        <v/>
      </c>
      <c r="DD127" t="str">
        <f>""</f>
        <v/>
      </c>
      <c r="DE127" t="str">
        <f>""</f>
        <v/>
      </c>
      <c r="DF127" t="str">
        <f>""</f>
        <v/>
      </c>
      <c r="DG127" t="str">
        <f>""</f>
        <v/>
      </c>
      <c r="DH127" t="str">
        <f>""</f>
        <v/>
      </c>
      <c r="DI127" t="str">
        <f>""</f>
        <v/>
      </c>
      <c r="DJ127" t="str">
        <f>""</f>
        <v/>
      </c>
      <c r="DK127" t="str">
        <f>""</f>
        <v/>
      </c>
      <c r="DL127" t="str">
        <f>""</f>
        <v/>
      </c>
      <c r="DM127" t="str">
        <f>""</f>
        <v/>
      </c>
      <c r="DN127" t="str">
        <f>""</f>
        <v/>
      </c>
      <c r="DO127" t="str">
        <f>""</f>
        <v/>
      </c>
      <c r="DP127" t="str">
        <f>""</f>
        <v/>
      </c>
      <c r="DQ127" t="str">
        <f>""</f>
        <v/>
      </c>
      <c r="DR127" t="str">
        <f>""</f>
        <v/>
      </c>
      <c r="DS127" t="str">
        <f>""</f>
        <v/>
      </c>
      <c r="DT127" t="str">
        <f>""</f>
        <v/>
      </c>
      <c r="DU127" t="str">
        <f>""</f>
        <v/>
      </c>
    </row>
    <row r="128" spans="1:125">
      <c r="A128" t="str">
        <f>"    Columbia Property Trust Inc"</f>
        <v xml:space="preserve">    Columbia Property Trust Inc</v>
      </c>
      <c r="B128" t="str">
        <f>"CXP US Equity"</f>
        <v>CXP US Equity</v>
      </c>
      <c r="C128" t="str">
        <f t="shared" si="33"/>
        <v>BE592</v>
      </c>
      <c r="D128" t="str">
        <f t="shared" si="34"/>
        <v>BEST_FFOPS_YOY_GTH</v>
      </c>
      <c r="E128" t="str">
        <f t="shared" si="35"/>
        <v>动态</v>
      </c>
      <c r="F128" t="str">
        <f ca="1">IF(AND(ISNUMBER($F$438),$B$294=1),$F$438,HLOOKUP(INDIRECT(ADDRESS(2,COLUMN())),OFFSET($BN$2,0,0,ROW()-1,60),ROW()-1,FALSE))</f>
        <v/>
      </c>
      <c r="G128" t="str">
        <f ca="1">IF(AND(ISNUMBER($G$438),$B$294=1),$G$438,HLOOKUP(INDIRECT(ADDRESS(2,COLUMN())),OFFSET($BN$2,0,0,ROW()-1,60),ROW()-1,FALSE))</f>
        <v/>
      </c>
      <c r="H128" t="str">
        <f ca="1">IF(AND(ISNUMBER($H$438),$B$294=1),$H$438,HLOOKUP(INDIRECT(ADDRESS(2,COLUMN())),OFFSET($BN$2,0,0,ROW()-1,60),ROW()-1,FALSE))</f>
        <v/>
      </c>
      <c r="I128" t="str">
        <f ca="1">IF(AND(ISNUMBER($I$438),$B$294=1),$I$438,HLOOKUP(INDIRECT(ADDRESS(2,COLUMN())),OFFSET($BN$2,0,0,ROW()-1,60),ROW()-1,FALSE))</f>
        <v/>
      </c>
      <c r="J128" t="str">
        <f ca="1">IF(AND(ISNUMBER($J$438),$B$294=1),$J$438,HLOOKUP(INDIRECT(ADDRESS(2,COLUMN())),OFFSET($BN$2,0,0,ROW()-1,60),ROW()-1,FALSE))</f>
        <v/>
      </c>
      <c r="K128" t="str">
        <f ca="1">IF(AND(ISNUMBER($K$438),$B$294=1),$K$438,HLOOKUP(INDIRECT(ADDRESS(2,COLUMN())),OFFSET($BN$2,0,0,ROW()-1,60),ROW()-1,FALSE))</f>
        <v/>
      </c>
      <c r="L128" t="str">
        <f ca="1">IF(AND(ISNUMBER($L$438),$B$294=1),$L$438,HLOOKUP(INDIRECT(ADDRESS(2,COLUMN())),OFFSET($BN$2,0,0,ROW()-1,60),ROW()-1,FALSE))</f>
        <v/>
      </c>
      <c r="M128" t="str">
        <f ca="1">IF(AND(ISNUMBER($M$438),$B$294=1),$M$438,HLOOKUP(INDIRECT(ADDRESS(2,COLUMN())),OFFSET($BN$2,0,0,ROW()-1,60),ROW()-1,FALSE))</f>
        <v/>
      </c>
      <c r="N128" t="str">
        <f ca="1">IF(AND(ISNUMBER($N$438),$B$294=1),$N$438,HLOOKUP(INDIRECT(ADDRESS(2,COLUMN())),OFFSET($BN$2,0,0,ROW()-1,60),ROW()-1,FALSE))</f>
        <v/>
      </c>
      <c r="O128" t="str">
        <f ca="1">IF(AND(ISNUMBER($O$438),$B$294=1),$O$438,HLOOKUP(INDIRECT(ADDRESS(2,COLUMN())),OFFSET($BN$2,0,0,ROW()-1,60),ROW()-1,FALSE))</f>
        <v/>
      </c>
      <c r="P128" t="str">
        <f ca="1">IF(AND(ISNUMBER($P$438),$B$294=1),$P$438,HLOOKUP(INDIRECT(ADDRESS(2,COLUMN())),OFFSET($BN$2,0,0,ROW()-1,60),ROW()-1,FALSE))</f>
        <v/>
      </c>
      <c r="Q128" t="str">
        <f ca="1">IF(AND(ISNUMBER($Q$438),$B$294=1),$Q$438,HLOOKUP(INDIRECT(ADDRESS(2,COLUMN())),OFFSET($BN$2,0,0,ROW()-1,60),ROW()-1,FALSE))</f>
        <v/>
      </c>
      <c r="R128" t="str">
        <f ca="1">IF(AND(ISNUMBER($R$438),$B$294=1),$R$438,HLOOKUP(INDIRECT(ADDRESS(2,COLUMN())),OFFSET($BN$2,0,0,ROW()-1,60),ROW()-1,FALSE))</f>
        <v/>
      </c>
      <c r="S128" t="str">
        <f ca="1">IF(AND(ISNUMBER($S$438),$B$294=1),$S$438,HLOOKUP(INDIRECT(ADDRESS(2,COLUMN())),OFFSET($BN$2,0,0,ROW()-1,60),ROW()-1,FALSE))</f>
        <v/>
      </c>
      <c r="T128" t="str">
        <f ca="1">IF(AND(ISNUMBER($T$438),$B$294=1),$T$438,HLOOKUP(INDIRECT(ADDRESS(2,COLUMN())),OFFSET($BN$2,0,0,ROW()-1,60),ROW()-1,FALSE))</f>
        <v/>
      </c>
      <c r="U128" t="str">
        <f ca="1">IF(AND(ISNUMBER($U$438),$B$294=1),$U$438,HLOOKUP(INDIRECT(ADDRESS(2,COLUMN())),OFFSET($BN$2,0,0,ROW()-1,60),ROW()-1,FALSE))</f>
        <v/>
      </c>
      <c r="V128" t="str">
        <f ca="1">IF(AND(ISNUMBER($V$438),$B$294=1),$V$438,HLOOKUP(INDIRECT(ADDRESS(2,COLUMN())),OFFSET($BN$2,0,0,ROW()-1,60),ROW()-1,FALSE))</f>
        <v/>
      </c>
      <c r="W128" t="str">
        <f ca="1">IF(AND(ISNUMBER($W$438),$B$294=1),$W$438,HLOOKUP(INDIRECT(ADDRESS(2,COLUMN())),OFFSET($BN$2,0,0,ROW()-1,60),ROW()-1,FALSE))</f>
        <v/>
      </c>
      <c r="X128" t="str">
        <f ca="1">IF(AND(ISNUMBER($X$438),$B$294=1),$X$438,HLOOKUP(INDIRECT(ADDRESS(2,COLUMN())),OFFSET($BN$2,0,0,ROW()-1,60),ROW()-1,FALSE))</f>
        <v/>
      </c>
      <c r="Y128" t="str">
        <f ca="1">IF(AND(ISNUMBER($Y$438),$B$294=1),$Y$438,HLOOKUP(INDIRECT(ADDRESS(2,COLUMN())),OFFSET($BN$2,0,0,ROW()-1,60),ROW()-1,FALSE))</f>
        <v/>
      </c>
      <c r="Z128" t="str">
        <f ca="1">IF(AND(ISNUMBER($Z$438),$B$294=1),$Z$438,HLOOKUP(INDIRECT(ADDRESS(2,COLUMN())),OFFSET($BN$2,0,0,ROW()-1,60),ROW()-1,FALSE))</f>
        <v/>
      </c>
      <c r="AA128" t="str">
        <f ca="1">IF(AND(ISNUMBER($AA$438),$B$294=1),$AA$438,HLOOKUP(INDIRECT(ADDRESS(2,COLUMN())),OFFSET($BN$2,0,0,ROW()-1,60),ROW()-1,FALSE))</f>
        <v/>
      </c>
      <c r="AB128" t="str">
        <f ca="1">IF(AND(ISNUMBER($AB$438),$B$294=1),$AB$438,HLOOKUP(INDIRECT(ADDRESS(2,COLUMN())),OFFSET($BN$2,0,0,ROW()-1,60),ROW()-1,FALSE))</f>
        <v/>
      </c>
      <c r="AC128" t="str">
        <f ca="1">IF(AND(ISNUMBER($AC$438),$B$294=1),$AC$438,HLOOKUP(INDIRECT(ADDRESS(2,COLUMN())),OFFSET($BN$2,0,0,ROW()-1,60),ROW()-1,FALSE))</f>
        <v/>
      </c>
      <c r="AD128" t="str">
        <f ca="1">IF(AND(ISNUMBER($AD$438),$B$294=1),$AD$438,HLOOKUP(INDIRECT(ADDRESS(2,COLUMN())),OFFSET($BN$2,0,0,ROW()-1,60),ROW()-1,FALSE))</f>
        <v/>
      </c>
      <c r="AE128" t="str">
        <f ca="1">IF(AND(ISNUMBER($AE$438),$B$294=1),$AE$438,HLOOKUP(INDIRECT(ADDRESS(2,COLUMN())),OFFSET($BN$2,0,0,ROW()-1,60),ROW()-1,FALSE))</f>
        <v/>
      </c>
      <c r="AF128" t="str">
        <f ca="1">IF(AND(ISNUMBER($AF$438),$B$294=1),$AF$438,HLOOKUP(INDIRECT(ADDRESS(2,COLUMN())),OFFSET($BN$2,0,0,ROW()-1,60),ROW()-1,FALSE))</f>
        <v/>
      </c>
      <c r="AG128" t="str">
        <f ca="1">IF(AND(ISNUMBER($AG$438),$B$294=1),$AG$438,HLOOKUP(INDIRECT(ADDRESS(2,COLUMN())),OFFSET($BN$2,0,0,ROW()-1,60),ROW()-1,FALSE))</f>
        <v/>
      </c>
      <c r="AH128" t="str">
        <f ca="1">IF(AND(ISNUMBER($AH$438),$B$294=1),$AH$438,HLOOKUP(INDIRECT(ADDRESS(2,COLUMN())),OFFSET($BN$2,0,0,ROW()-1,60),ROW()-1,FALSE))</f>
        <v/>
      </c>
      <c r="AI128" t="str">
        <f ca="1">IF(AND(ISNUMBER($AI$438),$B$294=1),$AI$438,HLOOKUP(INDIRECT(ADDRESS(2,COLUMN())),OFFSET($BN$2,0,0,ROW()-1,60),ROW()-1,FALSE))</f>
        <v/>
      </c>
      <c r="AJ128" t="str">
        <f ca="1">IF(AND(ISNUMBER($AJ$438),$B$294=1),$AJ$438,HLOOKUP(INDIRECT(ADDRESS(2,COLUMN())),OFFSET($BN$2,0,0,ROW()-1,60),ROW()-1,FALSE))</f>
        <v/>
      </c>
      <c r="AK128" t="str">
        <f ca="1">IF(AND(ISNUMBER($AK$438),$B$294=1),$AK$438,HLOOKUP(INDIRECT(ADDRESS(2,COLUMN())),OFFSET($BN$2,0,0,ROW()-1,60),ROW()-1,FALSE))</f>
        <v/>
      </c>
      <c r="AL128" t="str">
        <f ca="1">IF(AND(ISNUMBER($AL$438),$B$294=1),$AL$438,HLOOKUP(INDIRECT(ADDRESS(2,COLUMN())),OFFSET($BN$2,0,0,ROW()-1,60),ROW()-1,FALSE))</f>
        <v/>
      </c>
      <c r="AM128" t="str">
        <f ca="1">IF(AND(ISNUMBER($AM$438),$B$294=1),$AM$438,HLOOKUP(INDIRECT(ADDRESS(2,COLUMN())),OFFSET($BN$2,0,0,ROW()-1,60),ROW()-1,FALSE))</f>
        <v/>
      </c>
      <c r="AN128" t="str">
        <f ca="1">IF(AND(ISNUMBER($AN$438),$B$294=1),$AN$438,HLOOKUP(INDIRECT(ADDRESS(2,COLUMN())),OFFSET($BN$2,0,0,ROW()-1,60),ROW()-1,FALSE))</f>
        <v/>
      </c>
      <c r="AO128" t="str">
        <f ca="1">IF(AND(ISNUMBER($AO$438),$B$294=1),$AO$438,HLOOKUP(INDIRECT(ADDRESS(2,COLUMN())),OFFSET($BN$2,0,0,ROW()-1,60),ROW()-1,FALSE))</f>
        <v/>
      </c>
      <c r="AP128" t="str">
        <f ca="1">IF(AND(ISNUMBER($AP$438),$B$294=1),$AP$438,HLOOKUP(INDIRECT(ADDRESS(2,COLUMN())),OFFSET($BN$2,0,0,ROW()-1,60),ROW()-1,FALSE))</f>
        <v/>
      </c>
      <c r="AQ128" t="str">
        <f ca="1">IF(AND(ISNUMBER($AQ$438),$B$294=1),$AQ$438,HLOOKUP(INDIRECT(ADDRESS(2,COLUMN())),OFFSET($BN$2,0,0,ROW()-1,60),ROW()-1,FALSE))</f>
        <v/>
      </c>
      <c r="AR128" t="str">
        <f ca="1">IF(AND(ISNUMBER($AR$438),$B$294=1),$AR$438,HLOOKUP(INDIRECT(ADDRESS(2,COLUMN())),OFFSET($BN$2,0,0,ROW()-1,60),ROW()-1,FALSE))</f>
        <v/>
      </c>
      <c r="AS128" t="str">
        <f ca="1">IF(AND(ISNUMBER($AS$438),$B$294=1),$AS$438,HLOOKUP(INDIRECT(ADDRESS(2,COLUMN())),OFFSET($BN$2,0,0,ROW()-1,60),ROW()-1,FALSE))</f>
        <v/>
      </c>
      <c r="AT128" t="str">
        <f ca="1">IF(AND(ISNUMBER($AT$438),$B$294=1),$AT$438,HLOOKUP(INDIRECT(ADDRESS(2,COLUMN())),OFFSET($BN$2,0,0,ROW()-1,60),ROW()-1,FALSE))</f>
        <v/>
      </c>
      <c r="AU128" t="str">
        <f ca="1">IF(AND(ISNUMBER($AU$438),$B$294=1),$AU$438,HLOOKUP(INDIRECT(ADDRESS(2,COLUMN())),OFFSET($BN$2,0,0,ROW()-1,60),ROW()-1,FALSE))</f>
        <v/>
      </c>
      <c r="AV128" t="str">
        <f ca="1">IF(AND(ISNUMBER($AV$438),$B$294=1),$AV$438,HLOOKUP(INDIRECT(ADDRESS(2,COLUMN())),OFFSET($BN$2,0,0,ROW()-1,60),ROW()-1,FALSE))</f>
        <v/>
      </c>
      <c r="AW128" t="str">
        <f ca="1">IF(AND(ISNUMBER($AW$438),$B$294=1),$AW$438,HLOOKUP(INDIRECT(ADDRESS(2,COLUMN())),OFFSET($BN$2,0,0,ROW()-1,60),ROW()-1,FALSE))</f>
        <v/>
      </c>
      <c r="AX128" t="str">
        <f ca="1">IF(AND(ISNUMBER($AX$438),$B$294=1),$AX$438,HLOOKUP(INDIRECT(ADDRESS(2,COLUMN())),OFFSET($BN$2,0,0,ROW()-1,60),ROW()-1,FALSE))</f>
        <v/>
      </c>
      <c r="AY128" t="str">
        <f ca="1">IF(AND(ISNUMBER($AY$438),$B$294=1),$AY$438,HLOOKUP(INDIRECT(ADDRESS(2,COLUMN())),OFFSET($BN$2,0,0,ROW()-1,60),ROW()-1,FALSE))</f>
        <v/>
      </c>
      <c r="AZ128" t="str">
        <f ca="1">IF(AND(ISNUMBER($AZ$438),$B$294=1),$AZ$438,HLOOKUP(INDIRECT(ADDRESS(2,COLUMN())),OFFSET($BN$2,0,0,ROW()-1,60),ROW()-1,FALSE))</f>
        <v/>
      </c>
      <c r="BA128" t="str">
        <f ca="1">IF(AND(ISNUMBER($BA$438),$B$294=1),$BA$438,HLOOKUP(INDIRECT(ADDRESS(2,COLUMN())),OFFSET($BN$2,0,0,ROW()-1,60),ROW()-1,FALSE))</f>
        <v/>
      </c>
      <c r="BB128" t="str">
        <f ca="1">IF(AND(ISNUMBER($BB$438),$B$294=1),$BB$438,HLOOKUP(INDIRECT(ADDRESS(2,COLUMN())),OFFSET($BN$2,0,0,ROW()-1,60),ROW()-1,FALSE))</f>
        <v/>
      </c>
      <c r="BC128" t="str">
        <f ca="1">IF(AND(ISNUMBER($BC$438),$B$294=1),$BC$438,HLOOKUP(INDIRECT(ADDRESS(2,COLUMN())),OFFSET($BN$2,0,0,ROW()-1,60),ROW()-1,FALSE))</f>
        <v/>
      </c>
      <c r="BD128" t="str">
        <f ca="1">IF(AND(ISNUMBER($BD$438),$B$294=1),$BD$438,HLOOKUP(INDIRECT(ADDRESS(2,COLUMN())),OFFSET($BN$2,0,0,ROW()-1,60),ROW()-1,FALSE))</f>
        <v/>
      </c>
      <c r="BE128" t="str">
        <f ca="1">IF(AND(ISNUMBER($BE$438),$B$294=1),$BE$438,HLOOKUP(INDIRECT(ADDRESS(2,COLUMN())),OFFSET($BN$2,0,0,ROW()-1,60),ROW()-1,FALSE))</f>
        <v/>
      </c>
      <c r="BF128" t="str">
        <f ca="1">IF(AND(ISNUMBER($BF$438),$B$294=1),$BF$438,HLOOKUP(INDIRECT(ADDRESS(2,COLUMN())),OFFSET($BN$2,0,0,ROW()-1,60),ROW()-1,FALSE))</f>
        <v/>
      </c>
      <c r="BG128" t="str">
        <f ca="1">IF(AND(ISNUMBER($BG$438),$B$294=1),$BG$438,HLOOKUP(INDIRECT(ADDRESS(2,COLUMN())),OFFSET($BN$2,0,0,ROW()-1,60),ROW()-1,FALSE))</f>
        <v/>
      </c>
      <c r="BH128" t="str">
        <f ca="1">IF(AND(ISNUMBER($BH$438),$B$294=1),$BH$438,HLOOKUP(INDIRECT(ADDRESS(2,COLUMN())),OFFSET($BN$2,0,0,ROW()-1,60),ROW()-1,FALSE))</f>
        <v/>
      </c>
      <c r="BI128" t="str">
        <f ca="1">IF(AND(ISNUMBER($BI$438),$B$294=1),$BI$438,HLOOKUP(INDIRECT(ADDRESS(2,COLUMN())),OFFSET($BN$2,0,0,ROW()-1,60),ROW()-1,FALSE))</f>
        <v/>
      </c>
      <c r="BJ128" t="str">
        <f ca="1">IF(AND(ISNUMBER($BJ$438),$B$294=1),$BJ$438,HLOOKUP(INDIRECT(ADDRESS(2,COLUMN())),OFFSET($BN$2,0,0,ROW()-1,60),ROW()-1,FALSE))</f>
        <v/>
      </c>
      <c r="BK128" t="str">
        <f ca="1">IF(AND(ISNUMBER($BK$438),$B$294=1),$BK$438,HLOOKUP(INDIRECT(ADDRESS(2,COLUMN())),OFFSET($BN$2,0,0,ROW()-1,60),ROW()-1,FALSE))</f>
        <v/>
      </c>
      <c r="BL128" t="str">
        <f ca="1">IF(AND(ISNUMBER($BL$438),$B$294=1),$BL$438,HLOOKUP(INDIRECT(ADDRESS(2,COLUMN())),OFFSET($BN$2,0,0,ROW()-1,60),ROW()-1,FALSE))</f>
        <v/>
      </c>
      <c r="BM128" t="str">
        <f ca="1">IF(AND(ISNUMBER($BM$438),$B$294=1),$BM$438,HLOOKUP(INDIRECT(ADDRESS(2,COLUMN())),OFFSET($BN$2,0,0,ROW()-1,60),ROW()-1,FALSE))</f>
        <v/>
      </c>
      <c r="BN128" t="str">
        <f>""</f>
        <v/>
      </c>
      <c r="BO128" t="str">
        <f>""</f>
        <v/>
      </c>
      <c r="BP128" t="str">
        <f>""</f>
        <v/>
      </c>
      <c r="BQ128" t="str">
        <f>""</f>
        <v/>
      </c>
      <c r="BR128" t="str">
        <f>""</f>
        <v/>
      </c>
      <c r="BS128" t="str">
        <f>""</f>
        <v/>
      </c>
      <c r="BT128" t="str">
        <f>""</f>
        <v/>
      </c>
      <c r="BU128" t="str">
        <f>""</f>
        <v/>
      </c>
      <c r="BV128" t="str">
        <f>""</f>
        <v/>
      </c>
      <c r="BW128" t="str">
        <f>""</f>
        <v/>
      </c>
      <c r="BX128" t="str">
        <f>""</f>
        <v/>
      </c>
      <c r="BY128" t="str">
        <f>""</f>
        <v/>
      </c>
      <c r="BZ128" t="str">
        <f>""</f>
        <v/>
      </c>
      <c r="CA128" t="str">
        <f>""</f>
        <v/>
      </c>
      <c r="CB128" t="str">
        <f>""</f>
        <v/>
      </c>
      <c r="CC128" t="str">
        <f>""</f>
        <v/>
      </c>
      <c r="CD128" t="str">
        <f>""</f>
        <v/>
      </c>
      <c r="CE128" t="str">
        <f>""</f>
        <v/>
      </c>
      <c r="CF128" t="str">
        <f>""</f>
        <v/>
      </c>
      <c r="CG128" t="str">
        <f>""</f>
        <v/>
      </c>
      <c r="CH128" t="str">
        <f>""</f>
        <v/>
      </c>
      <c r="CI128" t="str">
        <f>""</f>
        <v/>
      </c>
      <c r="CJ128" t="str">
        <f>""</f>
        <v/>
      </c>
      <c r="CK128" t="str">
        <f>""</f>
        <v/>
      </c>
      <c r="CL128" t="str">
        <f>""</f>
        <v/>
      </c>
      <c r="CM128" t="str">
        <f>""</f>
        <v/>
      </c>
      <c r="CN128" t="str">
        <f>""</f>
        <v/>
      </c>
      <c r="CO128" t="str">
        <f>""</f>
        <v/>
      </c>
      <c r="CP128" t="str">
        <f>""</f>
        <v/>
      </c>
      <c r="CQ128" t="str">
        <f>""</f>
        <v/>
      </c>
      <c r="CR128" t="str">
        <f>""</f>
        <v/>
      </c>
      <c r="CS128" t="str">
        <f>""</f>
        <v/>
      </c>
      <c r="CT128" t="str">
        <f>""</f>
        <v/>
      </c>
      <c r="CU128" t="str">
        <f>""</f>
        <v/>
      </c>
      <c r="CV128" t="str">
        <f>""</f>
        <v/>
      </c>
      <c r="CW128" t="str">
        <f>""</f>
        <v/>
      </c>
      <c r="CX128" t="str">
        <f>""</f>
        <v/>
      </c>
      <c r="CY128" t="str">
        <f>""</f>
        <v/>
      </c>
      <c r="CZ128" t="str">
        <f>""</f>
        <v/>
      </c>
      <c r="DA128" t="str">
        <f>""</f>
        <v/>
      </c>
      <c r="DB128" t="str">
        <f>""</f>
        <v/>
      </c>
      <c r="DC128" t="str">
        <f>""</f>
        <v/>
      </c>
      <c r="DD128" t="str">
        <f>""</f>
        <v/>
      </c>
      <c r="DE128" t="str">
        <f>""</f>
        <v/>
      </c>
      <c r="DF128" t="str">
        <f>""</f>
        <v/>
      </c>
      <c r="DG128" t="str">
        <f>""</f>
        <v/>
      </c>
      <c r="DH128" t="str">
        <f>""</f>
        <v/>
      </c>
      <c r="DI128" t="str">
        <f>""</f>
        <v/>
      </c>
      <c r="DJ128" t="str">
        <f>""</f>
        <v/>
      </c>
      <c r="DK128" t="str">
        <f>""</f>
        <v/>
      </c>
      <c r="DL128" t="str">
        <f>""</f>
        <v/>
      </c>
      <c r="DM128" t="str">
        <f>""</f>
        <v/>
      </c>
      <c r="DN128" t="str">
        <f>""</f>
        <v/>
      </c>
      <c r="DO128" t="str">
        <f>""</f>
        <v/>
      </c>
      <c r="DP128" t="str">
        <f>""</f>
        <v/>
      </c>
      <c r="DQ128" t="str">
        <f>""</f>
        <v/>
      </c>
      <c r="DR128" t="str">
        <f>""</f>
        <v/>
      </c>
      <c r="DS128" t="str">
        <f>""</f>
        <v/>
      </c>
      <c r="DT128" t="str">
        <f>""</f>
        <v/>
      </c>
      <c r="DU128" t="str">
        <f>""</f>
        <v/>
      </c>
    </row>
    <row r="129" spans="1:125">
      <c r="A129" t="str">
        <f>"    Corporate Office Properties Tr"</f>
        <v xml:space="preserve">    Corporate Office Properties Tr</v>
      </c>
      <c r="B129" t="str">
        <f>"OFC US Equity"</f>
        <v>OFC US Equity</v>
      </c>
      <c r="C129" t="str">
        <f t="shared" si="33"/>
        <v>BE592</v>
      </c>
      <c r="D129" t="str">
        <f t="shared" si="34"/>
        <v>BEST_FFOPS_YOY_GTH</v>
      </c>
      <c r="E129" t="str">
        <f t="shared" si="35"/>
        <v>动态</v>
      </c>
      <c r="F129" t="str">
        <f ca="1">IF(AND(ISNUMBER($F$439),$B$294=1),$F$439,HLOOKUP(INDIRECT(ADDRESS(2,COLUMN())),OFFSET($BN$2,0,0,ROW()-1,60),ROW()-1,FALSE))</f>
        <v/>
      </c>
      <c r="G129" t="str">
        <f ca="1">IF(AND(ISNUMBER($G$439),$B$294=1),$G$439,HLOOKUP(INDIRECT(ADDRESS(2,COLUMN())),OFFSET($BN$2,0,0,ROW()-1,60),ROW()-1,FALSE))</f>
        <v/>
      </c>
      <c r="H129" t="str">
        <f ca="1">IF(AND(ISNUMBER($H$439),$B$294=1),$H$439,HLOOKUP(INDIRECT(ADDRESS(2,COLUMN())),OFFSET($BN$2,0,0,ROW()-1,60),ROW()-1,FALSE))</f>
        <v/>
      </c>
      <c r="I129" t="str">
        <f ca="1">IF(AND(ISNUMBER($I$439),$B$294=1),$I$439,HLOOKUP(INDIRECT(ADDRESS(2,COLUMN())),OFFSET($BN$2,0,0,ROW()-1,60),ROW()-1,FALSE))</f>
        <v/>
      </c>
      <c r="J129" t="str">
        <f ca="1">IF(AND(ISNUMBER($J$439),$B$294=1),$J$439,HLOOKUP(INDIRECT(ADDRESS(2,COLUMN())),OFFSET($BN$2,0,0,ROW()-1,60),ROW()-1,FALSE))</f>
        <v/>
      </c>
      <c r="K129" t="str">
        <f ca="1">IF(AND(ISNUMBER($K$439),$B$294=1),$K$439,HLOOKUP(INDIRECT(ADDRESS(2,COLUMN())),OFFSET($BN$2,0,0,ROW()-1,60),ROW()-1,FALSE))</f>
        <v/>
      </c>
      <c r="L129" t="str">
        <f ca="1">IF(AND(ISNUMBER($L$439),$B$294=1),$L$439,HLOOKUP(INDIRECT(ADDRESS(2,COLUMN())),OFFSET($BN$2,0,0,ROW()-1,60),ROW()-1,FALSE))</f>
        <v/>
      </c>
      <c r="M129" t="str">
        <f ca="1">IF(AND(ISNUMBER($M$439),$B$294=1),$M$439,HLOOKUP(INDIRECT(ADDRESS(2,COLUMN())),OFFSET($BN$2,0,0,ROW()-1,60),ROW()-1,FALSE))</f>
        <v/>
      </c>
      <c r="N129" t="str">
        <f ca="1">IF(AND(ISNUMBER($N$439),$B$294=1),$N$439,HLOOKUP(INDIRECT(ADDRESS(2,COLUMN())),OFFSET($BN$2,0,0,ROW()-1,60),ROW()-1,FALSE))</f>
        <v/>
      </c>
      <c r="O129" t="str">
        <f ca="1">IF(AND(ISNUMBER($O$439),$B$294=1),$O$439,HLOOKUP(INDIRECT(ADDRESS(2,COLUMN())),OFFSET($BN$2,0,0,ROW()-1,60),ROW()-1,FALSE))</f>
        <v/>
      </c>
      <c r="P129" t="str">
        <f ca="1">IF(AND(ISNUMBER($P$439),$B$294=1),$P$439,HLOOKUP(INDIRECT(ADDRESS(2,COLUMN())),OFFSET($BN$2,0,0,ROW()-1,60),ROW()-1,FALSE))</f>
        <v/>
      </c>
      <c r="Q129" t="str">
        <f ca="1">IF(AND(ISNUMBER($Q$439),$B$294=1),$Q$439,HLOOKUP(INDIRECT(ADDRESS(2,COLUMN())),OFFSET($BN$2,0,0,ROW()-1,60),ROW()-1,FALSE))</f>
        <v/>
      </c>
      <c r="R129" t="str">
        <f ca="1">IF(AND(ISNUMBER($R$439),$B$294=1),$R$439,HLOOKUP(INDIRECT(ADDRESS(2,COLUMN())),OFFSET($BN$2,0,0,ROW()-1,60),ROW()-1,FALSE))</f>
        <v/>
      </c>
      <c r="S129" t="str">
        <f ca="1">IF(AND(ISNUMBER($S$439),$B$294=1),$S$439,HLOOKUP(INDIRECT(ADDRESS(2,COLUMN())),OFFSET($BN$2,0,0,ROW()-1,60),ROW()-1,FALSE))</f>
        <v/>
      </c>
      <c r="T129" t="str">
        <f ca="1">IF(AND(ISNUMBER($T$439),$B$294=1),$T$439,HLOOKUP(INDIRECT(ADDRESS(2,COLUMN())),OFFSET($BN$2,0,0,ROW()-1,60),ROW()-1,FALSE))</f>
        <v/>
      </c>
      <c r="U129" t="str">
        <f ca="1">IF(AND(ISNUMBER($U$439),$B$294=1),$U$439,HLOOKUP(INDIRECT(ADDRESS(2,COLUMN())),OFFSET($BN$2,0,0,ROW()-1,60),ROW()-1,FALSE))</f>
        <v/>
      </c>
      <c r="V129" t="str">
        <f ca="1">IF(AND(ISNUMBER($V$439),$B$294=1),$V$439,HLOOKUP(INDIRECT(ADDRESS(2,COLUMN())),OFFSET($BN$2,0,0,ROW()-1,60),ROW()-1,FALSE))</f>
        <v/>
      </c>
      <c r="W129" t="str">
        <f ca="1">IF(AND(ISNUMBER($W$439),$B$294=1),$W$439,HLOOKUP(INDIRECT(ADDRESS(2,COLUMN())),OFFSET($BN$2,0,0,ROW()-1,60),ROW()-1,FALSE))</f>
        <v/>
      </c>
      <c r="X129" t="str">
        <f ca="1">IF(AND(ISNUMBER($X$439),$B$294=1),$X$439,HLOOKUP(INDIRECT(ADDRESS(2,COLUMN())),OFFSET($BN$2,0,0,ROW()-1,60),ROW()-1,FALSE))</f>
        <v/>
      </c>
      <c r="Y129" t="str">
        <f ca="1">IF(AND(ISNUMBER($Y$439),$B$294=1),$Y$439,HLOOKUP(INDIRECT(ADDRESS(2,COLUMN())),OFFSET($BN$2,0,0,ROW()-1,60),ROW()-1,FALSE))</f>
        <v/>
      </c>
      <c r="Z129" t="str">
        <f ca="1">IF(AND(ISNUMBER($Z$439),$B$294=1),$Z$439,HLOOKUP(INDIRECT(ADDRESS(2,COLUMN())),OFFSET($BN$2,0,0,ROW()-1,60),ROW()-1,FALSE))</f>
        <v/>
      </c>
      <c r="AA129" t="str">
        <f ca="1">IF(AND(ISNUMBER($AA$439),$B$294=1),$AA$439,HLOOKUP(INDIRECT(ADDRESS(2,COLUMN())),OFFSET($BN$2,0,0,ROW()-1,60),ROW()-1,FALSE))</f>
        <v/>
      </c>
      <c r="AB129" t="str">
        <f ca="1">IF(AND(ISNUMBER($AB$439),$B$294=1),$AB$439,HLOOKUP(INDIRECT(ADDRESS(2,COLUMN())),OFFSET($BN$2,0,0,ROW()-1,60),ROW()-1,FALSE))</f>
        <v/>
      </c>
      <c r="AC129" t="str">
        <f ca="1">IF(AND(ISNUMBER($AC$439),$B$294=1),$AC$439,HLOOKUP(INDIRECT(ADDRESS(2,COLUMN())),OFFSET($BN$2,0,0,ROW()-1,60),ROW()-1,FALSE))</f>
        <v/>
      </c>
      <c r="AD129" t="str">
        <f ca="1">IF(AND(ISNUMBER($AD$439),$B$294=1),$AD$439,HLOOKUP(INDIRECT(ADDRESS(2,COLUMN())),OFFSET($BN$2,0,0,ROW()-1,60),ROW()-1,FALSE))</f>
        <v/>
      </c>
      <c r="AE129" t="str">
        <f ca="1">IF(AND(ISNUMBER($AE$439),$B$294=1),$AE$439,HLOOKUP(INDIRECT(ADDRESS(2,COLUMN())),OFFSET($BN$2,0,0,ROW()-1,60),ROW()-1,FALSE))</f>
        <v/>
      </c>
      <c r="AF129" t="str">
        <f ca="1">IF(AND(ISNUMBER($AF$439),$B$294=1),$AF$439,HLOOKUP(INDIRECT(ADDRESS(2,COLUMN())),OFFSET($BN$2,0,0,ROW()-1,60),ROW()-1,FALSE))</f>
        <v/>
      </c>
      <c r="AG129" t="str">
        <f ca="1">IF(AND(ISNUMBER($AG$439),$B$294=1),$AG$439,HLOOKUP(INDIRECT(ADDRESS(2,COLUMN())),OFFSET($BN$2,0,0,ROW()-1,60),ROW()-1,FALSE))</f>
        <v/>
      </c>
      <c r="AH129" t="str">
        <f ca="1">IF(AND(ISNUMBER($AH$439),$B$294=1),$AH$439,HLOOKUP(INDIRECT(ADDRESS(2,COLUMN())),OFFSET($BN$2,0,0,ROW()-1,60),ROW()-1,FALSE))</f>
        <v/>
      </c>
      <c r="AI129" t="str">
        <f ca="1">IF(AND(ISNUMBER($AI$439),$B$294=1),$AI$439,HLOOKUP(INDIRECT(ADDRESS(2,COLUMN())),OFFSET($BN$2,0,0,ROW()-1,60),ROW()-1,FALSE))</f>
        <v/>
      </c>
      <c r="AJ129" t="str">
        <f ca="1">IF(AND(ISNUMBER($AJ$439),$B$294=1),$AJ$439,HLOOKUP(INDIRECT(ADDRESS(2,COLUMN())),OFFSET($BN$2,0,0,ROW()-1,60),ROW()-1,FALSE))</f>
        <v/>
      </c>
      <c r="AK129" t="str">
        <f ca="1">IF(AND(ISNUMBER($AK$439),$B$294=1),$AK$439,HLOOKUP(INDIRECT(ADDRESS(2,COLUMN())),OFFSET($BN$2,0,0,ROW()-1,60),ROW()-1,FALSE))</f>
        <v/>
      </c>
      <c r="AL129" t="str">
        <f ca="1">IF(AND(ISNUMBER($AL$439),$B$294=1),$AL$439,HLOOKUP(INDIRECT(ADDRESS(2,COLUMN())),OFFSET($BN$2,0,0,ROW()-1,60),ROW()-1,FALSE))</f>
        <v/>
      </c>
      <c r="AM129" t="str">
        <f ca="1">IF(AND(ISNUMBER($AM$439),$B$294=1),$AM$439,HLOOKUP(INDIRECT(ADDRESS(2,COLUMN())),OFFSET($BN$2,0,0,ROW()-1,60),ROW()-1,FALSE))</f>
        <v/>
      </c>
      <c r="AN129" t="str">
        <f ca="1">IF(AND(ISNUMBER($AN$439),$B$294=1),$AN$439,HLOOKUP(INDIRECT(ADDRESS(2,COLUMN())),OFFSET($BN$2,0,0,ROW()-1,60),ROW()-1,FALSE))</f>
        <v/>
      </c>
      <c r="AO129" t="str">
        <f ca="1">IF(AND(ISNUMBER($AO$439),$B$294=1),$AO$439,HLOOKUP(INDIRECT(ADDRESS(2,COLUMN())),OFFSET($BN$2,0,0,ROW()-1,60),ROW()-1,FALSE))</f>
        <v/>
      </c>
      <c r="AP129" t="str">
        <f ca="1">IF(AND(ISNUMBER($AP$439),$B$294=1),$AP$439,HLOOKUP(INDIRECT(ADDRESS(2,COLUMN())),OFFSET($BN$2,0,0,ROW()-1,60),ROW()-1,FALSE))</f>
        <v/>
      </c>
      <c r="AQ129" t="str">
        <f ca="1">IF(AND(ISNUMBER($AQ$439),$B$294=1),$AQ$439,HLOOKUP(INDIRECT(ADDRESS(2,COLUMN())),OFFSET($BN$2,0,0,ROW()-1,60),ROW()-1,FALSE))</f>
        <v/>
      </c>
      <c r="AR129" t="str">
        <f ca="1">IF(AND(ISNUMBER($AR$439),$B$294=1),$AR$439,HLOOKUP(INDIRECT(ADDRESS(2,COLUMN())),OFFSET($BN$2,0,0,ROW()-1,60),ROW()-1,FALSE))</f>
        <v/>
      </c>
      <c r="AS129" t="str">
        <f ca="1">IF(AND(ISNUMBER($AS$439),$B$294=1),$AS$439,HLOOKUP(INDIRECT(ADDRESS(2,COLUMN())),OFFSET($BN$2,0,0,ROW()-1,60),ROW()-1,FALSE))</f>
        <v/>
      </c>
      <c r="AT129" t="str">
        <f ca="1">IF(AND(ISNUMBER($AT$439),$B$294=1),$AT$439,HLOOKUP(INDIRECT(ADDRESS(2,COLUMN())),OFFSET($BN$2,0,0,ROW()-1,60),ROW()-1,FALSE))</f>
        <v/>
      </c>
      <c r="AU129" t="str">
        <f ca="1">IF(AND(ISNUMBER($AU$439),$B$294=1),$AU$439,HLOOKUP(INDIRECT(ADDRESS(2,COLUMN())),OFFSET($BN$2,0,0,ROW()-1,60),ROW()-1,FALSE))</f>
        <v/>
      </c>
      <c r="AV129" t="str">
        <f ca="1">IF(AND(ISNUMBER($AV$439),$B$294=1),$AV$439,HLOOKUP(INDIRECT(ADDRESS(2,COLUMN())),OFFSET($BN$2,0,0,ROW()-1,60),ROW()-1,FALSE))</f>
        <v/>
      </c>
      <c r="AW129" t="str">
        <f ca="1">IF(AND(ISNUMBER($AW$439),$B$294=1),$AW$439,HLOOKUP(INDIRECT(ADDRESS(2,COLUMN())),OFFSET($BN$2,0,0,ROW()-1,60),ROW()-1,FALSE))</f>
        <v/>
      </c>
      <c r="AX129" t="str">
        <f ca="1">IF(AND(ISNUMBER($AX$439),$B$294=1),$AX$439,HLOOKUP(INDIRECT(ADDRESS(2,COLUMN())),OFFSET($BN$2,0,0,ROW()-1,60),ROW()-1,FALSE))</f>
        <v/>
      </c>
      <c r="AY129" t="str">
        <f ca="1">IF(AND(ISNUMBER($AY$439),$B$294=1),$AY$439,HLOOKUP(INDIRECT(ADDRESS(2,COLUMN())),OFFSET($BN$2,0,0,ROW()-1,60),ROW()-1,FALSE))</f>
        <v/>
      </c>
      <c r="AZ129" t="str">
        <f ca="1">IF(AND(ISNUMBER($AZ$439),$B$294=1),$AZ$439,HLOOKUP(INDIRECT(ADDRESS(2,COLUMN())),OFFSET($BN$2,0,0,ROW()-1,60),ROW()-1,FALSE))</f>
        <v/>
      </c>
      <c r="BA129" t="str">
        <f ca="1">IF(AND(ISNUMBER($BA$439),$B$294=1),$BA$439,HLOOKUP(INDIRECT(ADDRESS(2,COLUMN())),OFFSET($BN$2,0,0,ROW()-1,60),ROW()-1,FALSE))</f>
        <v/>
      </c>
      <c r="BB129" t="str">
        <f ca="1">IF(AND(ISNUMBER($BB$439),$B$294=1),$BB$439,HLOOKUP(INDIRECT(ADDRESS(2,COLUMN())),OFFSET($BN$2,0,0,ROW()-1,60),ROW()-1,FALSE))</f>
        <v/>
      </c>
      <c r="BC129" t="str">
        <f ca="1">IF(AND(ISNUMBER($BC$439),$B$294=1),$BC$439,HLOOKUP(INDIRECT(ADDRESS(2,COLUMN())),OFFSET($BN$2,0,0,ROW()-1,60),ROW()-1,FALSE))</f>
        <v/>
      </c>
      <c r="BD129" t="str">
        <f ca="1">IF(AND(ISNUMBER($BD$439),$B$294=1),$BD$439,HLOOKUP(INDIRECT(ADDRESS(2,COLUMN())),OFFSET($BN$2,0,0,ROW()-1,60),ROW()-1,FALSE))</f>
        <v/>
      </c>
      <c r="BE129" t="str">
        <f ca="1">IF(AND(ISNUMBER($BE$439),$B$294=1),$BE$439,HLOOKUP(INDIRECT(ADDRESS(2,COLUMN())),OFFSET($BN$2,0,0,ROW()-1,60),ROW()-1,FALSE))</f>
        <v/>
      </c>
      <c r="BF129" t="str">
        <f ca="1">IF(AND(ISNUMBER($BF$439),$B$294=1),$BF$439,HLOOKUP(INDIRECT(ADDRESS(2,COLUMN())),OFFSET($BN$2,0,0,ROW()-1,60),ROW()-1,FALSE))</f>
        <v/>
      </c>
      <c r="BG129" t="str">
        <f ca="1">IF(AND(ISNUMBER($BG$439),$B$294=1),$BG$439,HLOOKUP(INDIRECT(ADDRESS(2,COLUMN())),OFFSET($BN$2,0,0,ROW()-1,60),ROW()-1,FALSE))</f>
        <v/>
      </c>
      <c r="BH129" t="str">
        <f ca="1">IF(AND(ISNUMBER($BH$439),$B$294=1),$BH$439,HLOOKUP(INDIRECT(ADDRESS(2,COLUMN())),OFFSET($BN$2,0,0,ROW()-1,60),ROW()-1,FALSE))</f>
        <v/>
      </c>
      <c r="BI129" t="str">
        <f ca="1">IF(AND(ISNUMBER($BI$439),$B$294=1),$BI$439,HLOOKUP(INDIRECT(ADDRESS(2,COLUMN())),OFFSET($BN$2,0,0,ROW()-1,60),ROW()-1,FALSE))</f>
        <v/>
      </c>
      <c r="BJ129" t="str">
        <f ca="1">IF(AND(ISNUMBER($BJ$439),$B$294=1),$BJ$439,HLOOKUP(INDIRECT(ADDRESS(2,COLUMN())),OFFSET($BN$2,0,0,ROW()-1,60),ROW()-1,FALSE))</f>
        <v/>
      </c>
      <c r="BK129" t="str">
        <f ca="1">IF(AND(ISNUMBER($BK$439),$B$294=1),$BK$439,HLOOKUP(INDIRECT(ADDRESS(2,COLUMN())),OFFSET($BN$2,0,0,ROW()-1,60),ROW()-1,FALSE))</f>
        <v/>
      </c>
      <c r="BL129" t="str">
        <f ca="1">IF(AND(ISNUMBER($BL$439),$B$294=1),$BL$439,HLOOKUP(INDIRECT(ADDRESS(2,COLUMN())),OFFSET($BN$2,0,0,ROW()-1,60),ROW()-1,FALSE))</f>
        <v/>
      </c>
      <c r="BM129" t="str">
        <f ca="1">IF(AND(ISNUMBER($BM$439),$B$294=1),$BM$439,HLOOKUP(INDIRECT(ADDRESS(2,COLUMN())),OFFSET($BN$2,0,0,ROW()-1,60),ROW()-1,FALSE))</f>
        <v/>
      </c>
      <c r="BN129" t="str">
        <f>""</f>
        <v/>
      </c>
      <c r="BO129" t="str">
        <f>""</f>
        <v/>
      </c>
      <c r="BP129" t="str">
        <f>""</f>
        <v/>
      </c>
      <c r="BQ129" t="str">
        <f>""</f>
        <v/>
      </c>
      <c r="BR129" t="str">
        <f>""</f>
        <v/>
      </c>
      <c r="BS129" t="str">
        <f>""</f>
        <v/>
      </c>
      <c r="BT129" t="str">
        <f>""</f>
        <v/>
      </c>
      <c r="BU129" t="str">
        <f>""</f>
        <v/>
      </c>
      <c r="BV129" t="str">
        <f>""</f>
        <v/>
      </c>
      <c r="BW129" t="str">
        <f>""</f>
        <v/>
      </c>
      <c r="BX129" t="str">
        <f>""</f>
        <v/>
      </c>
      <c r="BY129" t="str">
        <f>""</f>
        <v/>
      </c>
      <c r="BZ129" t="str">
        <f>""</f>
        <v/>
      </c>
      <c r="CA129" t="str">
        <f>""</f>
        <v/>
      </c>
      <c r="CB129" t="str">
        <f>""</f>
        <v/>
      </c>
      <c r="CC129" t="str">
        <f>""</f>
        <v/>
      </c>
      <c r="CD129" t="str">
        <f>""</f>
        <v/>
      </c>
      <c r="CE129" t="str">
        <f>""</f>
        <v/>
      </c>
      <c r="CF129" t="str">
        <f>""</f>
        <v/>
      </c>
      <c r="CG129" t="str">
        <f>""</f>
        <v/>
      </c>
      <c r="CH129" t="str">
        <f>""</f>
        <v/>
      </c>
      <c r="CI129" t="str">
        <f>""</f>
        <v/>
      </c>
      <c r="CJ129" t="str">
        <f>""</f>
        <v/>
      </c>
      <c r="CK129" t="str">
        <f>""</f>
        <v/>
      </c>
      <c r="CL129" t="str">
        <f>""</f>
        <v/>
      </c>
      <c r="CM129" t="str">
        <f>""</f>
        <v/>
      </c>
      <c r="CN129" t="str">
        <f>""</f>
        <v/>
      </c>
      <c r="CO129" t="str">
        <f>""</f>
        <v/>
      </c>
      <c r="CP129" t="str">
        <f>""</f>
        <v/>
      </c>
      <c r="CQ129" t="str">
        <f>""</f>
        <v/>
      </c>
      <c r="CR129" t="str">
        <f>""</f>
        <v/>
      </c>
      <c r="CS129" t="str">
        <f>""</f>
        <v/>
      </c>
      <c r="CT129" t="str">
        <f>""</f>
        <v/>
      </c>
      <c r="CU129" t="str">
        <f>""</f>
        <v/>
      </c>
      <c r="CV129" t="str">
        <f>""</f>
        <v/>
      </c>
      <c r="CW129" t="str">
        <f>""</f>
        <v/>
      </c>
      <c r="CX129" t="str">
        <f>""</f>
        <v/>
      </c>
      <c r="CY129" t="str">
        <f>""</f>
        <v/>
      </c>
      <c r="CZ129" t="str">
        <f>""</f>
        <v/>
      </c>
      <c r="DA129" t="str">
        <f>""</f>
        <v/>
      </c>
      <c r="DB129" t="str">
        <f>""</f>
        <v/>
      </c>
      <c r="DC129" t="str">
        <f>""</f>
        <v/>
      </c>
      <c r="DD129" t="str">
        <f>""</f>
        <v/>
      </c>
      <c r="DE129" t="str">
        <f>""</f>
        <v/>
      </c>
      <c r="DF129" t="str">
        <f>""</f>
        <v/>
      </c>
      <c r="DG129" t="str">
        <f>""</f>
        <v/>
      </c>
      <c r="DH129" t="str">
        <f>""</f>
        <v/>
      </c>
      <c r="DI129" t="str">
        <f>""</f>
        <v/>
      </c>
      <c r="DJ129" t="str">
        <f>""</f>
        <v/>
      </c>
      <c r="DK129" t="str">
        <f>""</f>
        <v/>
      </c>
      <c r="DL129" t="str">
        <f>""</f>
        <v/>
      </c>
      <c r="DM129" t="str">
        <f>""</f>
        <v/>
      </c>
      <c r="DN129" t="str">
        <f>""</f>
        <v/>
      </c>
      <c r="DO129" t="str">
        <f>""</f>
        <v/>
      </c>
      <c r="DP129" t="str">
        <f>""</f>
        <v/>
      </c>
      <c r="DQ129" t="str">
        <f>""</f>
        <v/>
      </c>
      <c r="DR129" t="str">
        <f>""</f>
        <v/>
      </c>
      <c r="DS129" t="str">
        <f>""</f>
        <v/>
      </c>
      <c r="DT129" t="str">
        <f>""</f>
        <v/>
      </c>
      <c r="DU129" t="str">
        <f>""</f>
        <v/>
      </c>
    </row>
    <row r="130" spans="1:125">
      <c r="A130" t="str">
        <f>"    Highwoods Properties Inc"</f>
        <v xml:space="preserve">    Highwoods Properties Inc</v>
      </c>
      <c r="B130" t="str">
        <f>"HIW US Equity"</f>
        <v>HIW US Equity</v>
      </c>
      <c r="C130" t="str">
        <f t="shared" si="33"/>
        <v>BE592</v>
      </c>
      <c r="D130" t="str">
        <f t="shared" si="34"/>
        <v>BEST_FFOPS_YOY_GTH</v>
      </c>
      <c r="E130" t="str">
        <f t="shared" si="35"/>
        <v>动态</v>
      </c>
      <c r="F130" t="str">
        <f ca="1">IF(AND(ISNUMBER($F$440),$B$294=1),$F$440,HLOOKUP(INDIRECT(ADDRESS(2,COLUMN())),OFFSET($BN$2,0,0,ROW()-1,60),ROW()-1,FALSE))</f>
        <v/>
      </c>
      <c r="G130" t="str">
        <f ca="1">IF(AND(ISNUMBER($G$440),$B$294=1),$G$440,HLOOKUP(INDIRECT(ADDRESS(2,COLUMN())),OFFSET($BN$2,0,0,ROW()-1,60),ROW()-1,FALSE))</f>
        <v/>
      </c>
      <c r="H130" t="str">
        <f ca="1">IF(AND(ISNUMBER($H$440),$B$294=1),$H$440,HLOOKUP(INDIRECT(ADDRESS(2,COLUMN())),OFFSET($BN$2,0,0,ROW()-1,60),ROW()-1,FALSE))</f>
        <v/>
      </c>
      <c r="I130" t="str">
        <f ca="1">IF(AND(ISNUMBER($I$440),$B$294=1),$I$440,HLOOKUP(INDIRECT(ADDRESS(2,COLUMN())),OFFSET($BN$2,0,0,ROW()-1,60),ROW()-1,FALSE))</f>
        <v/>
      </c>
      <c r="J130" t="str">
        <f ca="1">IF(AND(ISNUMBER($J$440),$B$294=1),$J$440,HLOOKUP(INDIRECT(ADDRESS(2,COLUMN())),OFFSET($BN$2,0,0,ROW()-1,60),ROW()-1,FALSE))</f>
        <v/>
      </c>
      <c r="K130" t="str">
        <f ca="1">IF(AND(ISNUMBER($K$440),$B$294=1),$K$440,HLOOKUP(INDIRECT(ADDRESS(2,COLUMN())),OFFSET($BN$2,0,0,ROW()-1,60),ROW()-1,FALSE))</f>
        <v/>
      </c>
      <c r="L130" t="str">
        <f ca="1">IF(AND(ISNUMBER($L$440),$B$294=1),$L$440,HLOOKUP(INDIRECT(ADDRESS(2,COLUMN())),OFFSET($BN$2,0,0,ROW()-1,60),ROW()-1,FALSE))</f>
        <v/>
      </c>
      <c r="M130" t="str">
        <f ca="1">IF(AND(ISNUMBER($M$440),$B$294=1),$M$440,HLOOKUP(INDIRECT(ADDRESS(2,COLUMN())),OFFSET($BN$2,0,0,ROW()-1,60),ROW()-1,FALSE))</f>
        <v/>
      </c>
      <c r="N130" t="str">
        <f ca="1">IF(AND(ISNUMBER($N$440),$B$294=1),$N$440,HLOOKUP(INDIRECT(ADDRESS(2,COLUMN())),OFFSET($BN$2,0,0,ROW()-1,60),ROW()-1,FALSE))</f>
        <v/>
      </c>
      <c r="O130" t="str">
        <f ca="1">IF(AND(ISNUMBER($O$440),$B$294=1),$O$440,HLOOKUP(INDIRECT(ADDRESS(2,COLUMN())),OFFSET($BN$2,0,0,ROW()-1,60),ROW()-1,FALSE))</f>
        <v/>
      </c>
      <c r="P130" t="str">
        <f ca="1">IF(AND(ISNUMBER($P$440),$B$294=1),$P$440,HLOOKUP(INDIRECT(ADDRESS(2,COLUMN())),OFFSET($BN$2,0,0,ROW()-1,60),ROW()-1,FALSE))</f>
        <v/>
      </c>
      <c r="Q130" t="str">
        <f ca="1">IF(AND(ISNUMBER($Q$440),$B$294=1),$Q$440,HLOOKUP(INDIRECT(ADDRESS(2,COLUMN())),OFFSET($BN$2,0,0,ROW()-1,60),ROW()-1,FALSE))</f>
        <v/>
      </c>
      <c r="R130" t="str">
        <f ca="1">IF(AND(ISNUMBER($R$440),$B$294=1),$R$440,HLOOKUP(INDIRECT(ADDRESS(2,COLUMN())),OFFSET($BN$2,0,0,ROW()-1,60),ROW()-1,FALSE))</f>
        <v/>
      </c>
      <c r="S130" t="str">
        <f ca="1">IF(AND(ISNUMBER($S$440),$B$294=1),$S$440,HLOOKUP(INDIRECT(ADDRESS(2,COLUMN())),OFFSET($BN$2,0,0,ROW()-1,60),ROW()-1,FALSE))</f>
        <v/>
      </c>
      <c r="T130" t="str">
        <f ca="1">IF(AND(ISNUMBER($T$440),$B$294=1),$T$440,HLOOKUP(INDIRECT(ADDRESS(2,COLUMN())),OFFSET($BN$2,0,0,ROW()-1,60),ROW()-1,FALSE))</f>
        <v/>
      </c>
      <c r="U130" t="str">
        <f ca="1">IF(AND(ISNUMBER($U$440),$B$294=1),$U$440,HLOOKUP(INDIRECT(ADDRESS(2,COLUMN())),OFFSET($BN$2,0,0,ROW()-1,60),ROW()-1,FALSE))</f>
        <v/>
      </c>
      <c r="V130" t="str">
        <f ca="1">IF(AND(ISNUMBER($V$440),$B$294=1),$V$440,HLOOKUP(INDIRECT(ADDRESS(2,COLUMN())),OFFSET($BN$2,0,0,ROW()-1,60),ROW()-1,FALSE))</f>
        <v/>
      </c>
      <c r="W130" t="str">
        <f ca="1">IF(AND(ISNUMBER($W$440),$B$294=1),$W$440,HLOOKUP(INDIRECT(ADDRESS(2,COLUMN())),OFFSET($BN$2,0,0,ROW()-1,60),ROW()-1,FALSE))</f>
        <v/>
      </c>
      <c r="X130" t="str">
        <f ca="1">IF(AND(ISNUMBER($X$440),$B$294=1),$X$440,HLOOKUP(INDIRECT(ADDRESS(2,COLUMN())),OFFSET($BN$2,0,0,ROW()-1,60),ROW()-1,FALSE))</f>
        <v/>
      </c>
      <c r="Y130" t="str">
        <f ca="1">IF(AND(ISNUMBER($Y$440),$B$294=1),$Y$440,HLOOKUP(INDIRECT(ADDRESS(2,COLUMN())),OFFSET($BN$2,0,0,ROW()-1,60),ROW()-1,FALSE))</f>
        <v/>
      </c>
      <c r="Z130" t="str">
        <f ca="1">IF(AND(ISNUMBER($Z$440),$B$294=1),$Z$440,HLOOKUP(INDIRECT(ADDRESS(2,COLUMN())),OFFSET($BN$2,0,0,ROW()-1,60),ROW()-1,FALSE))</f>
        <v/>
      </c>
      <c r="AA130" t="str">
        <f ca="1">IF(AND(ISNUMBER($AA$440),$B$294=1),$AA$440,HLOOKUP(INDIRECT(ADDRESS(2,COLUMN())),OFFSET($BN$2,0,0,ROW()-1,60),ROW()-1,FALSE))</f>
        <v/>
      </c>
      <c r="AB130" t="str">
        <f ca="1">IF(AND(ISNUMBER($AB$440),$B$294=1),$AB$440,HLOOKUP(INDIRECT(ADDRESS(2,COLUMN())),OFFSET($BN$2,0,0,ROW()-1,60),ROW()-1,FALSE))</f>
        <v/>
      </c>
      <c r="AC130" t="str">
        <f ca="1">IF(AND(ISNUMBER($AC$440),$B$294=1),$AC$440,HLOOKUP(INDIRECT(ADDRESS(2,COLUMN())),OFFSET($BN$2,0,0,ROW()-1,60),ROW()-1,FALSE))</f>
        <v/>
      </c>
      <c r="AD130" t="str">
        <f ca="1">IF(AND(ISNUMBER($AD$440),$B$294=1),$AD$440,HLOOKUP(INDIRECT(ADDRESS(2,COLUMN())),OFFSET($BN$2,0,0,ROW()-1,60),ROW()-1,FALSE))</f>
        <v/>
      </c>
      <c r="AE130" t="str">
        <f ca="1">IF(AND(ISNUMBER($AE$440),$B$294=1),$AE$440,HLOOKUP(INDIRECT(ADDRESS(2,COLUMN())),OFFSET($BN$2,0,0,ROW()-1,60),ROW()-1,FALSE))</f>
        <v/>
      </c>
      <c r="AF130" t="str">
        <f ca="1">IF(AND(ISNUMBER($AF$440),$B$294=1),$AF$440,HLOOKUP(INDIRECT(ADDRESS(2,COLUMN())),OFFSET($BN$2,0,0,ROW()-1,60),ROW()-1,FALSE))</f>
        <v/>
      </c>
      <c r="AG130" t="str">
        <f ca="1">IF(AND(ISNUMBER($AG$440),$B$294=1),$AG$440,HLOOKUP(INDIRECT(ADDRESS(2,COLUMN())),OFFSET($BN$2,0,0,ROW()-1,60),ROW()-1,FALSE))</f>
        <v/>
      </c>
      <c r="AH130" t="str">
        <f ca="1">IF(AND(ISNUMBER($AH$440),$B$294=1),$AH$440,HLOOKUP(INDIRECT(ADDRESS(2,COLUMN())),OFFSET($BN$2,0,0,ROW()-1,60),ROW()-1,FALSE))</f>
        <v/>
      </c>
      <c r="AI130" t="str">
        <f ca="1">IF(AND(ISNUMBER($AI$440),$B$294=1),$AI$440,HLOOKUP(INDIRECT(ADDRESS(2,COLUMN())),OFFSET($BN$2,0,0,ROW()-1,60),ROW()-1,FALSE))</f>
        <v/>
      </c>
      <c r="AJ130" t="str">
        <f ca="1">IF(AND(ISNUMBER($AJ$440),$B$294=1),$AJ$440,HLOOKUP(INDIRECT(ADDRESS(2,COLUMN())),OFFSET($BN$2,0,0,ROW()-1,60),ROW()-1,FALSE))</f>
        <v/>
      </c>
      <c r="AK130" t="str">
        <f ca="1">IF(AND(ISNUMBER($AK$440),$B$294=1),$AK$440,HLOOKUP(INDIRECT(ADDRESS(2,COLUMN())),OFFSET($BN$2,0,0,ROW()-1,60),ROW()-1,FALSE))</f>
        <v/>
      </c>
      <c r="AL130" t="str">
        <f ca="1">IF(AND(ISNUMBER($AL$440),$B$294=1),$AL$440,HLOOKUP(INDIRECT(ADDRESS(2,COLUMN())),OFFSET($BN$2,0,0,ROW()-1,60),ROW()-1,FALSE))</f>
        <v/>
      </c>
      <c r="AM130" t="str">
        <f ca="1">IF(AND(ISNUMBER($AM$440),$B$294=1),$AM$440,HLOOKUP(INDIRECT(ADDRESS(2,COLUMN())),OFFSET($BN$2,0,0,ROW()-1,60),ROW()-1,FALSE))</f>
        <v/>
      </c>
      <c r="AN130" t="str">
        <f ca="1">IF(AND(ISNUMBER($AN$440),$B$294=1),$AN$440,HLOOKUP(INDIRECT(ADDRESS(2,COLUMN())),OFFSET($BN$2,0,0,ROW()-1,60),ROW()-1,FALSE))</f>
        <v/>
      </c>
      <c r="AO130" t="str">
        <f ca="1">IF(AND(ISNUMBER($AO$440),$B$294=1),$AO$440,HLOOKUP(INDIRECT(ADDRESS(2,COLUMN())),OFFSET($BN$2,0,0,ROW()-1,60),ROW()-1,FALSE))</f>
        <v/>
      </c>
      <c r="AP130" t="str">
        <f ca="1">IF(AND(ISNUMBER($AP$440),$B$294=1),$AP$440,HLOOKUP(INDIRECT(ADDRESS(2,COLUMN())),OFFSET($BN$2,0,0,ROW()-1,60),ROW()-1,FALSE))</f>
        <v/>
      </c>
      <c r="AQ130" t="str">
        <f ca="1">IF(AND(ISNUMBER($AQ$440),$B$294=1),$AQ$440,HLOOKUP(INDIRECT(ADDRESS(2,COLUMN())),OFFSET($BN$2,0,0,ROW()-1,60),ROW()-1,FALSE))</f>
        <v/>
      </c>
      <c r="AR130" t="str">
        <f ca="1">IF(AND(ISNUMBER($AR$440),$B$294=1),$AR$440,HLOOKUP(INDIRECT(ADDRESS(2,COLUMN())),OFFSET($BN$2,0,0,ROW()-1,60),ROW()-1,FALSE))</f>
        <v/>
      </c>
      <c r="AS130" t="str">
        <f ca="1">IF(AND(ISNUMBER($AS$440),$B$294=1),$AS$440,HLOOKUP(INDIRECT(ADDRESS(2,COLUMN())),OFFSET($BN$2,0,0,ROW()-1,60),ROW()-1,FALSE))</f>
        <v/>
      </c>
      <c r="AT130" t="str">
        <f ca="1">IF(AND(ISNUMBER($AT$440),$B$294=1),$AT$440,HLOOKUP(INDIRECT(ADDRESS(2,COLUMN())),OFFSET($BN$2,0,0,ROW()-1,60),ROW()-1,FALSE))</f>
        <v/>
      </c>
      <c r="AU130" t="str">
        <f ca="1">IF(AND(ISNUMBER($AU$440),$B$294=1),$AU$440,HLOOKUP(INDIRECT(ADDRESS(2,COLUMN())),OFFSET($BN$2,0,0,ROW()-1,60),ROW()-1,FALSE))</f>
        <v/>
      </c>
      <c r="AV130" t="str">
        <f ca="1">IF(AND(ISNUMBER($AV$440),$B$294=1),$AV$440,HLOOKUP(INDIRECT(ADDRESS(2,COLUMN())),OFFSET($BN$2,0,0,ROW()-1,60),ROW()-1,FALSE))</f>
        <v/>
      </c>
      <c r="AW130" t="str">
        <f ca="1">IF(AND(ISNUMBER($AW$440),$B$294=1),$AW$440,HLOOKUP(INDIRECT(ADDRESS(2,COLUMN())),OFFSET($BN$2,0,0,ROW()-1,60),ROW()-1,FALSE))</f>
        <v/>
      </c>
      <c r="AX130" t="str">
        <f ca="1">IF(AND(ISNUMBER($AX$440),$B$294=1),$AX$440,HLOOKUP(INDIRECT(ADDRESS(2,COLUMN())),OFFSET($BN$2,0,0,ROW()-1,60),ROW()-1,FALSE))</f>
        <v/>
      </c>
      <c r="AY130" t="str">
        <f ca="1">IF(AND(ISNUMBER($AY$440),$B$294=1),$AY$440,HLOOKUP(INDIRECT(ADDRESS(2,COLUMN())),OFFSET($BN$2,0,0,ROW()-1,60),ROW()-1,FALSE))</f>
        <v/>
      </c>
      <c r="AZ130" t="str">
        <f ca="1">IF(AND(ISNUMBER($AZ$440),$B$294=1),$AZ$440,HLOOKUP(INDIRECT(ADDRESS(2,COLUMN())),OFFSET($BN$2,0,0,ROW()-1,60),ROW()-1,FALSE))</f>
        <v/>
      </c>
      <c r="BA130" t="str">
        <f ca="1">IF(AND(ISNUMBER($BA$440),$B$294=1),$BA$440,HLOOKUP(INDIRECT(ADDRESS(2,COLUMN())),OFFSET($BN$2,0,0,ROW()-1,60),ROW()-1,FALSE))</f>
        <v/>
      </c>
      <c r="BB130" t="str">
        <f ca="1">IF(AND(ISNUMBER($BB$440),$B$294=1),$BB$440,HLOOKUP(INDIRECT(ADDRESS(2,COLUMN())),OFFSET($BN$2,0,0,ROW()-1,60),ROW()-1,FALSE))</f>
        <v/>
      </c>
      <c r="BC130" t="str">
        <f ca="1">IF(AND(ISNUMBER($BC$440),$B$294=1),$BC$440,HLOOKUP(INDIRECT(ADDRESS(2,COLUMN())),OFFSET($BN$2,0,0,ROW()-1,60),ROW()-1,FALSE))</f>
        <v/>
      </c>
      <c r="BD130" t="str">
        <f ca="1">IF(AND(ISNUMBER($BD$440),$B$294=1),$BD$440,HLOOKUP(INDIRECT(ADDRESS(2,COLUMN())),OFFSET($BN$2,0,0,ROW()-1,60),ROW()-1,FALSE))</f>
        <v/>
      </c>
      <c r="BE130" t="str">
        <f ca="1">IF(AND(ISNUMBER($BE$440),$B$294=1),$BE$440,HLOOKUP(INDIRECT(ADDRESS(2,COLUMN())),OFFSET($BN$2,0,0,ROW()-1,60),ROW()-1,FALSE))</f>
        <v/>
      </c>
      <c r="BF130" t="str">
        <f ca="1">IF(AND(ISNUMBER($BF$440),$B$294=1),$BF$440,HLOOKUP(INDIRECT(ADDRESS(2,COLUMN())),OFFSET($BN$2,0,0,ROW()-1,60),ROW()-1,FALSE))</f>
        <v/>
      </c>
      <c r="BG130" t="str">
        <f ca="1">IF(AND(ISNUMBER($BG$440),$B$294=1),$BG$440,HLOOKUP(INDIRECT(ADDRESS(2,COLUMN())),OFFSET($BN$2,0,0,ROW()-1,60),ROW()-1,FALSE))</f>
        <v/>
      </c>
      <c r="BH130" t="str">
        <f ca="1">IF(AND(ISNUMBER($BH$440),$B$294=1),$BH$440,HLOOKUP(INDIRECT(ADDRESS(2,COLUMN())),OFFSET($BN$2,0,0,ROW()-1,60),ROW()-1,FALSE))</f>
        <v/>
      </c>
      <c r="BI130" t="str">
        <f ca="1">IF(AND(ISNUMBER($BI$440),$B$294=1),$BI$440,HLOOKUP(INDIRECT(ADDRESS(2,COLUMN())),OFFSET($BN$2,0,0,ROW()-1,60),ROW()-1,FALSE))</f>
        <v/>
      </c>
      <c r="BJ130" t="str">
        <f ca="1">IF(AND(ISNUMBER($BJ$440),$B$294=1),$BJ$440,HLOOKUP(INDIRECT(ADDRESS(2,COLUMN())),OFFSET($BN$2,0,0,ROW()-1,60),ROW()-1,FALSE))</f>
        <v/>
      </c>
      <c r="BK130" t="str">
        <f ca="1">IF(AND(ISNUMBER($BK$440),$B$294=1),$BK$440,HLOOKUP(INDIRECT(ADDRESS(2,COLUMN())),OFFSET($BN$2,0,0,ROW()-1,60),ROW()-1,FALSE))</f>
        <v/>
      </c>
      <c r="BL130" t="str">
        <f ca="1">IF(AND(ISNUMBER($BL$440),$B$294=1),$BL$440,HLOOKUP(INDIRECT(ADDRESS(2,COLUMN())),OFFSET($BN$2,0,0,ROW()-1,60),ROW()-1,FALSE))</f>
        <v/>
      </c>
      <c r="BM130" t="str">
        <f ca="1">IF(AND(ISNUMBER($BM$440),$B$294=1),$BM$440,HLOOKUP(INDIRECT(ADDRESS(2,COLUMN())),OFFSET($BN$2,0,0,ROW()-1,60),ROW()-1,FALSE))</f>
        <v/>
      </c>
      <c r="BN130" t="str">
        <f>""</f>
        <v/>
      </c>
      <c r="BO130" t="str">
        <f>""</f>
        <v/>
      </c>
      <c r="BP130" t="str">
        <f>""</f>
        <v/>
      </c>
      <c r="BQ130" t="str">
        <f>""</f>
        <v/>
      </c>
      <c r="BR130" t="str">
        <f>""</f>
        <v/>
      </c>
      <c r="BS130" t="str">
        <f>""</f>
        <v/>
      </c>
      <c r="BT130" t="str">
        <f>""</f>
        <v/>
      </c>
      <c r="BU130" t="str">
        <f>""</f>
        <v/>
      </c>
      <c r="BV130" t="str">
        <f>""</f>
        <v/>
      </c>
      <c r="BW130" t="str">
        <f>""</f>
        <v/>
      </c>
      <c r="BX130" t="str">
        <f>""</f>
        <v/>
      </c>
      <c r="BY130" t="str">
        <f>""</f>
        <v/>
      </c>
      <c r="BZ130" t="str">
        <f>""</f>
        <v/>
      </c>
      <c r="CA130" t="str">
        <f>""</f>
        <v/>
      </c>
      <c r="CB130" t="str">
        <f>""</f>
        <v/>
      </c>
      <c r="CC130" t="str">
        <f>""</f>
        <v/>
      </c>
      <c r="CD130" t="str">
        <f>""</f>
        <v/>
      </c>
      <c r="CE130" t="str">
        <f>""</f>
        <v/>
      </c>
      <c r="CF130" t="str">
        <f>""</f>
        <v/>
      </c>
      <c r="CG130" t="str">
        <f>""</f>
        <v/>
      </c>
      <c r="CH130" t="str">
        <f>""</f>
        <v/>
      </c>
      <c r="CI130" t="str">
        <f>""</f>
        <v/>
      </c>
      <c r="CJ130" t="str">
        <f>""</f>
        <v/>
      </c>
      <c r="CK130" t="str">
        <f>""</f>
        <v/>
      </c>
      <c r="CL130" t="str">
        <f>""</f>
        <v/>
      </c>
      <c r="CM130" t="str">
        <f>""</f>
        <v/>
      </c>
      <c r="CN130" t="str">
        <f>""</f>
        <v/>
      </c>
      <c r="CO130" t="str">
        <f>""</f>
        <v/>
      </c>
      <c r="CP130" t="str">
        <f>""</f>
        <v/>
      </c>
      <c r="CQ130" t="str">
        <f>""</f>
        <v/>
      </c>
      <c r="CR130" t="str">
        <f>""</f>
        <v/>
      </c>
      <c r="CS130" t="str">
        <f>""</f>
        <v/>
      </c>
      <c r="CT130" t="str">
        <f>""</f>
        <v/>
      </c>
      <c r="CU130" t="str">
        <f>""</f>
        <v/>
      </c>
      <c r="CV130" t="str">
        <f>""</f>
        <v/>
      </c>
      <c r="CW130" t="str">
        <f>""</f>
        <v/>
      </c>
      <c r="CX130" t="str">
        <f>""</f>
        <v/>
      </c>
      <c r="CY130" t="str">
        <f>""</f>
        <v/>
      </c>
      <c r="CZ130" t="str">
        <f>""</f>
        <v/>
      </c>
      <c r="DA130" t="str">
        <f>""</f>
        <v/>
      </c>
      <c r="DB130" t="str">
        <f>""</f>
        <v/>
      </c>
      <c r="DC130" t="str">
        <f>""</f>
        <v/>
      </c>
      <c r="DD130" t="str">
        <f>""</f>
        <v/>
      </c>
      <c r="DE130" t="str">
        <f>""</f>
        <v/>
      </c>
      <c r="DF130" t="str">
        <f>""</f>
        <v/>
      </c>
      <c r="DG130" t="str">
        <f>""</f>
        <v/>
      </c>
      <c r="DH130" t="str">
        <f>""</f>
        <v/>
      </c>
      <c r="DI130" t="str">
        <f>""</f>
        <v/>
      </c>
      <c r="DJ130" t="str">
        <f>""</f>
        <v/>
      </c>
      <c r="DK130" t="str">
        <f>""</f>
        <v/>
      </c>
      <c r="DL130" t="str">
        <f>""</f>
        <v/>
      </c>
      <c r="DM130" t="str">
        <f>""</f>
        <v/>
      </c>
      <c r="DN130" t="str">
        <f>""</f>
        <v/>
      </c>
      <c r="DO130" t="str">
        <f>""</f>
        <v/>
      </c>
      <c r="DP130" t="str">
        <f>""</f>
        <v/>
      </c>
      <c r="DQ130" t="str">
        <f>""</f>
        <v/>
      </c>
      <c r="DR130" t="str">
        <f>""</f>
        <v/>
      </c>
      <c r="DS130" t="str">
        <f>""</f>
        <v/>
      </c>
      <c r="DT130" t="str">
        <f>""</f>
        <v/>
      </c>
      <c r="DU130" t="str">
        <f>""</f>
        <v/>
      </c>
    </row>
    <row r="131" spans="1:125">
      <c r="A131" t="str">
        <f>"    Kilroy Realty Corp"</f>
        <v xml:space="preserve">    Kilroy Realty Corp</v>
      </c>
      <c r="B131" t="str">
        <f>"KRC US Equity"</f>
        <v>KRC US Equity</v>
      </c>
      <c r="C131" t="str">
        <f t="shared" si="33"/>
        <v>BE592</v>
      </c>
      <c r="D131" t="str">
        <f t="shared" si="34"/>
        <v>BEST_FFOPS_YOY_GTH</v>
      </c>
      <c r="E131" t="str">
        <f t="shared" si="35"/>
        <v>动态</v>
      </c>
      <c r="F131" t="str">
        <f ca="1">IF(AND(ISNUMBER($F$441),$B$294=1),$F$441,HLOOKUP(INDIRECT(ADDRESS(2,COLUMN())),OFFSET($BN$2,0,0,ROW()-1,60),ROW()-1,FALSE))</f>
        <v/>
      </c>
      <c r="G131" t="str">
        <f ca="1">IF(AND(ISNUMBER($G$441),$B$294=1),$G$441,HLOOKUP(INDIRECT(ADDRESS(2,COLUMN())),OFFSET($BN$2,0,0,ROW()-1,60),ROW()-1,FALSE))</f>
        <v/>
      </c>
      <c r="H131" t="str">
        <f ca="1">IF(AND(ISNUMBER($H$441),$B$294=1),$H$441,HLOOKUP(INDIRECT(ADDRESS(2,COLUMN())),OFFSET($BN$2,0,0,ROW()-1,60),ROW()-1,FALSE))</f>
        <v/>
      </c>
      <c r="I131" t="str">
        <f ca="1">IF(AND(ISNUMBER($I$441),$B$294=1),$I$441,HLOOKUP(INDIRECT(ADDRESS(2,COLUMN())),OFFSET($BN$2,0,0,ROW()-1,60),ROW()-1,FALSE))</f>
        <v/>
      </c>
      <c r="J131" t="str">
        <f ca="1">IF(AND(ISNUMBER($J$441),$B$294=1),$J$441,HLOOKUP(INDIRECT(ADDRESS(2,COLUMN())),OFFSET($BN$2,0,0,ROW()-1,60),ROW()-1,FALSE))</f>
        <v/>
      </c>
      <c r="K131" t="str">
        <f ca="1">IF(AND(ISNUMBER($K$441),$B$294=1),$K$441,HLOOKUP(INDIRECT(ADDRESS(2,COLUMN())),OFFSET($BN$2,0,0,ROW()-1,60),ROW()-1,FALSE))</f>
        <v/>
      </c>
      <c r="L131" t="str">
        <f ca="1">IF(AND(ISNUMBER($L$441),$B$294=1),$L$441,HLOOKUP(INDIRECT(ADDRESS(2,COLUMN())),OFFSET($BN$2,0,0,ROW()-1,60),ROW()-1,FALSE))</f>
        <v/>
      </c>
      <c r="M131" t="str">
        <f ca="1">IF(AND(ISNUMBER($M$441),$B$294=1),$M$441,HLOOKUP(INDIRECT(ADDRESS(2,COLUMN())),OFFSET($BN$2,0,0,ROW()-1,60),ROW()-1,FALSE))</f>
        <v/>
      </c>
      <c r="N131" t="str">
        <f ca="1">IF(AND(ISNUMBER($N$441),$B$294=1),$N$441,HLOOKUP(INDIRECT(ADDRESS(2,COLUMN())),OFFSET($BN$2,0,0,ROW()-1,60),ROW()-1,FALSE))</f>
        <v/>
      </c>
      <c r="O131" t="str">
        <f ca="1">IF(AND(ISNUMBER($O$441),$B$294=1),$O$441,HLOOKUP(INDIRECT(ADDRESS(2,COLUMN())),OFFSET($BN$2,0,0,ROW()-1,60),ROW()-1,FALSE))</f>
        <v/>
      </c>
      <c r="P131" t="str">
        <f ca="1">IF(AND(ISNUMBER($P$441),$B$294=1),$P$441,HLOOKUP(INDIRECT(ADDRESS(2,COLUMN())),OFFSET($BN$2,0,0,ROW()-1,60),ROW()-1,FALSE))</f>
        <v/>
      </c>
      <c r="Q131" t="str">
        <f ca="1">IF(AND(ISNUMBER($Q$441),$B$294=1),$Q$441,HLOOKUP(INDIRECT(ADDRESS(2,COLUMN())),OFFSET($BN$2,0,0,ROW()-1,60),ROW()-1,FALSE))</f>
        <v/>
      </c>
      <c r="R131" t="str">
        <f ca="1">IF(AND(ISNUMBER($R$441),$B$294=1),$R$441,HLOOKUP(INDIRECT(ADDRESS(2,COLUMN())),OFFSET($BN$2,0,0,ROW()-1,60),ROW()-1,FALSE))</f>
        <v/>
      </c>
      <c r="S131" t="str">
        <f ca="1">IF(AND(ISNUMBER($S$441),$B$294=1),$S$441,HLOOKUP(INDIRECT(ADDRESS(2,COLUMN())),OFFSET($BN$2,0,0,ROW()-1,60),ROW()-1,FALSE))</f>
        <v/>
      </c>
      <c r="T131" t="str">
        <f ca="1">IF(AND(ISNUMBER($T$441),$B$294=1),$T$441,HLOOKUP(INDIRECT(ADDRESS(2,COLUMN())),OFFSET($BN$2,0,0,ROW()-1,60),ROW()-1,FALSE))</f>
        <v/>
      </c>
      <c r="U131" t="str">
        <f ca="1">IF(AND(ISNUMBER($U$441),$B$294=1),$U$441,HLOOKUP(INDIRECT(ADDRESS(2,COLUMN())),OFFSET($BN$2,0,0,ROW()-1,60),ROW()-1,FALSE))</f>
        <v/>
      </c>
      <c r="V131" t="str">
        <f ca="1">IF(AND(ISNUMBER($V$441),$B$294=1),$V$441,HLOOKUP(INDIRECT(ADDRESS(2,COLUMN())),OFFSET($BN$2,0,0,ROW()-1,60),ROW()-1,FALSE))</f>
        <v/>
      </c>
      <c r="W131" t="str">
        <f ca="1">IF(AND(ISNUMBER($W$441),$B$294=1),$W$441,HLOOKUP(INDIRECT(ADDRESS(2,COLUMN())),OFFSET($BN$2,0,0,ROW()-1,60),ROW()-1,FALSE))</f>
        <v/>
      </c>
      <c r="X131" t="str">
        <f ca="1">IF(AND(ISNUMBER($X$441),$B$294=1),$X$441,HLOOKUP(INDIRECT(ADDRESS(2,COLUMN())),OFFSET($BN$2,0,0,ROW()-1,60),ROW()-1,FALSE))</f>
        <v/>
      </c>
      <c r="Y131" t="str">
        <f ca="1">IF(AND(ISNUMBER($Y$441),$B$294=1),$Y$441,HLOOKUP(INDIRECT(ADDRESS(2,COLUMN())),OFFSET($BN$2,0,0,ROW()-1,60),ROW()-1,FALSE))</f>
        <v/>
      </c>
      <c r="Z131" t="str">
        <f ca="1">IF(AND(ISNUMBER($Z$441),$B$294=1),$Z$441,HLOOKUP(INDIRECT(ADDRESS(2,COLUMN())),OFFSET($BN$2,0,0,ROW()-1,60),ROW()-1,FALSE))</f>
        <v/>
      </c>
      <c r="AA131" t="str">
        <f ca="1">IF(AND(ISNUMBER($AA$441),$B$294=1),$AA$441,HLOOKUP(INDIRECT(ADDRESS(2,COLUMN())),OFFSET($BN$2,0,0,ROW()-1,60),ROW()-1,FALSE))</f>
        <v/>
      </c>
      <c r="AB131" t="str">
        <f ca="1">IF(AND(ISNUMBER($AB$441),$B$294=1),$AB$441,HLOOKUP(INDIRECT(ADDRESS(2,COLUMN())),OFFSET($BN$2,0,0,ROW()-1,60),ROW()-1,FALSE))</f>
        <v/>
      </c>
      <c r="AC131" t="str">
        <f ca="1">IF(AND(ISNUMBER($AC$441),$B$294=1),$AC$441,HLOOKUP(INDIRECT(ADDRESS(2,COLUMN())),OFFSET($BN$2,0,0,ROW()-1,60),ROW()-1,FALSE))</f>
        <v/>
      </c>
      <c r="AD131" t="str">
        <f ca="1">IF(AND(ISNUMBER($AD$441),$B$294=1),$AD$441,HLOOKUP(INDIRECT(ADDRESS(2,COLUMN())),OFFSET($BN$2,0,0,ROW()-1,60),ROW()-1,FALSE))</f>
        <v/>
      </c>
      <c r="AE131" t="str">
        <f ca="1">IF(AND(ISNUMBER($AE$441),$B$294=1),$AE$441,HLOOKUP(INDIRECT(ADDRESS(2,COLUMN())),OFFSET($BN$2,0,0,ROW()-1,60),ROW()-1,FALSE))</f>
        <v/>
      </c>
      <c r="AF131" t="str">
        <f ca="1">IF(AND(ISNUMBER($AF$441),$B$294=1),$AF$441,HLOOKUP(INDIRECT(ADDRESS(2,COLUMN())),OFFSET($BN$2,0,0,ROW()-1,60),ROW()-1,FALSE))</f>
        <v/>
      </c>
      <c r="AG131" t="str">
        <f ca="1">IF(AND(ISNUMBER($AG$441),$B$294=1),$AG$441,HLOOKUP(INDIRECT(ADDRESS(2,COLUMN())),OFFSET($BN$2,0,0,ROW()-1,60),ROW()-1,FALSE))</f>
        <v/>
      </c>
      <c r="AH131" t="str">
        <f ca="1">IF(AND(ISNUMBER($AH$441),$B$294=1),$AH$441,HLOOKUP(INDIRECT(ADDRESS(2,COLUMN())),OFFSET($BN$2,0,0,ROW()-1,60),ROW()-1,FALSE))</f>
        <v/>
      </c>
      <c r="AI131" t="str">
        <f ca="1">IF(AND(ISNUMBER($AI$441),$B$294=1),$AI$441,HLOOKUP(INDIRECT(ADDRESS(2,COLUMN())),OFFSET($BN$2,0,0,ROW()-1,60),ROW()-1,FALSE))</f>
        <v/>
      </c>
      <c r="AJ131" t="str">
        <f ca="1">IF(AND(ISNUMBER($AJ$441),$B$294=1),$AJ$441,HLOOKUP(INDIRECT(ADDRESS(2,COLUMN())),OFFSET($BN$2,0,0,ROW()-1,60),ROW()-1,FALSE))</f>
        <v/>
      </c>
      <c r="AK131" t="str">
        <f ca="1">IF(AND(ISNUMBER($AK$441),$B$294=1),$AK$441,HLOOKUP(INDIRECT(ADDRESS(2,COLUMN())),OFFSET($BN$2,0,0,ROW()-1,60),ROW()-1,FALSE))</f>
        <v/>
      </c>
      <c r="AL131" t="str">
        <f ca="1">IF(AND(ISNUMBER($AL$441),$B$294=1),$AL$441,HLOOKUP(INDIRECT(ADDRESS(2,COLUMN())),OFFSET($BN$2,0,0,ROW()-1,60),ROW()-1,FALSE))</f>
        <v/>
      </c>
      <c r="AM131" t="str">
        <f ca="1">IF(AND(ISNUMBER($AM$441),$B$294=1),$AM$441,HLOOKUP(INDIRECT(ADDRESS(2,COLUMN())),OFFSET($BN$2,0,0,ROW()-1,60),ROW()-1,FALSE))</f>
        <v/>
      </c>
      <c r="AN131" t="str">
        <f ca="1">IF(AND(ISNUMBER($AN$441),$B$294=1),$AN$441,HLOOKUP(INDIRECT(ADDRESS(2,COLUMN())),OFFSET($BN$2,0,0,ROW()-1,60),ROW()-1,FALSE))</f>
        <v/>
      </c>
      <c r="AO131" t="str">
        <f ca="1">IF(AND(ISNUMBER($AO$441),$B$294=1),$AO$441,HLOOKUP(INDIRECT(ADDRESS(2,COLUMN())),OFFSET($BN$2,0,0,ROW()-1,60),ROW()-1,FALSE))</f>
        <v/>
      </c>
      <c r="AP131" t="str">
        <f ca="1">IF(AND(ISNUMBER($AP$441),$B$294=1),$AP$441,HLOOKUP(INDIRECT(ADDRESS(2,COLUMN())),OFFSET($BN$2,0,0,ROW()-1,60),ROW()-1,FALSE))</f>
        <v/>
      </c>
      <c r="AQ131" t="str">
        <f ca="1">IF(AND(ISNUMBER($AQ$441),$B$294=1),$AQ$441,HLOOKUP(INDIRECT(ADDRESS(2,COLUMN())),OFFSET($BN$2,0,0,ROW()-1,60),ROW()-1,FALSE))</f>
        <v/>
      </c>
      <c r="AR131" t="str">
        <f ca="1">IF(AND(ISNUMBER($AR$441),$B$294=1),$AR$441,HLOOKUP(INDIRECT(ADDRESS(2,COLUMN())),OFFSET($BN$2,0,0,ROW()-1,60),ROW()-1,FALSE))</f>
        <v/>
      </c>
      <c r="AS131" t="str">
        <f ca="1">IF(AND(ISNUMBER($AS$441),$B$294=1),$AS$441,HLOOKUP(INDIRECT(ADDRESS(2,COLUMN())),OFFSET($BN$2,0,0,ROW()-1,60),ROW()-1,FALSE))</f>
        <v/>
      </c>
      <c r="AT131" t="str">
        <f ca="1">IF(AND(ISNUMBER($AT$441),$B$294=1),$AT$441,HLOOKUP(INDIRECT(ADDRESS(2,COLUMN())),OFFSET($BN$2,0,0,ROW()-1,60),ROW()-1,FALSE))</f>
        <v/>
      </c>
      <c r="AU131" t="str">
        <f ca="1">IF(AND(ISNUMBER($AU$441),$B$294=1),$AU$441,HLOOKUP(INDIRECT(ADDRESS(2,COLUMN())),OFFSET($BN$2,0,0,ROW()-1,60),ROW()-1,FALSE))</f>
        <v/>
      </c>
      <c r="AV131" t="str">
        <f ca="1">IF(AND(ISNUMBER($AV$441),$B$294=1),$AV$441,HLOOKUP(INDIRECT(ADDRESS(2,COLUMN())),OFFSET($BN$2,0,0,ROW()-1,60),ROW()-1,FALSE))</f>
        <v/>
      </c>
      <c r="AW131" t="str">
        <f ca="1">IF(AND(ISNUMBER($AW$441),$B$294=1),$AW$441,HLOOKUP(INDIRECT(ADDRESS(2,COLUMN())),OFFSET($BN$2,0,0,ROW()-1,60),ROW()-1,FALSE))</f>
        <v/>
      </c>
      <c r="AX131" t="str">
        <f ca="1">IF(AND(ISNUMBER($AX$441),$B$294=1),$AX$441,HLOOKUP(INDIRECT(ADDRESS(2,COLUMN())),OFFSET($BN$2,0,0,ROW()-1,60),ROW()-1,FALSE))</f>
        <v/>
      </c>
      <c r="AY131" t="str">
        <f ca="1">IF(AND(ISNUMBER($AY$441),$B$294=1),$AY$441,HLOOKUP(INDIRECT(ADDRESS(2,COLUMN())),OFFSET($BN$2,0,0,ROW()-1,60),ROW()-1,FALSE))</f>
        <v/>
      </c>
      <c r="AZ131" t="str">
        <f ca="1">IF(AND(ISNUMBER($AZ$441),$B$294=1),$AZ$441,HLOOKUP(INDIRECT(ADDRESS(2,COLUMN())),OFFSET($BN$2,0,0,ROW()-1,60),ROW()-1,FALSE))</f>
        <v/>
      </c>
      <c r="BA131" t="str">
        <f ca="1">IF(AND(ISNUMBER($BA$441),$B$294=1),$BA$441,HLOOKUP(INDIRECT(ADDRESS(2,COLUMN())),OFFSET($BN$2,0,0,ROW()-1,60),ROW()-1,FALSE))</f>
        <v/>
      </c>
      <c r="BB131" t="str">
        <f ca="1">IF(AND(ISNUMBER($BB$441),$B$294=1),$BB$441,HLOOKUP(INDIRECT(ADDRESS(2,COLUMN())),OFFSET($BN$2,0,0,ROW()-1,60),ROW()-1,FALSE))</f>
        <v/>
      </c>
      <c r="BC131" t="str">
        <f ca="1">IF(AND(ISNUMBER($BC$441),$B$294=1),$BC$441,HLOOKUP(INDIRECT(ADDRESS(2,COLUMN())),OFFSET($BN$2,0,0,ROW()-1,60),ROW()-1,FALSE))</f>
        <v/>
      </c>
      <c r="BD131" t="str">
        <f ca="1">IF(AND(ISNUMBER($BD$441),$B$294=1),$BD$441,HLOOKUP(INDIRECT(ADDRESS(2,COLUMN())),OFFSET($BN$2,0,0,ROW()-1,60),ROW()-1,FALSE))</f>
        <v/>
      </c>
      <c r="BE131" t="str">
        <f ca="1">IF(AND(ISNUMBER($BE$441),$B$294=1),$BE$441,HLOOKUP(INDIRECT(ADDRESS(2,COLUMN())),OFFSET($BN$2,0,0,ROW()-1,60),ROW()-1,FALSE))</f>
        <v/>
      </c>
      <c r="BF131" t="str">
        <f ca="1">IF(AND(ISNUMBER($BF$441),$B$294=1),$BF$441,HLOOKUP(INDIRECT(ADDRESS(2,COLUMN())),OFFSET($BN$2,0,0,ROW()-1,60),ROW()-1,FALSE))</f>
        <v/>
      </c>
      <c r="BG131" t="str">
        <f ca="1">IF(AND(ISNUMBER($BG$441),$B$294=1),$BG$441,HLOOKUP(INDIRECT(ADDRESS(2,COLUMN())),OFFSET($BN$2,0,0,ROW()-1,60),ROW()-1,FALSE))</f>
        <v/>
      </c>
      <c r="BH131" t="str">
        <f ca="1">IF(AND(ISNUMBER($BH$441),$B$294=1),$BH$441,HLOOKUP(INDIRECT(ADDRESS(2,COLUMN())),OFFSET($BN$2,0,0,ROW()-1,60),ROW()-1,FALSE))</f>
        <v/>
      </c>
      <c r="BI131" t="str">
        <f ca="1">IF(AND(ISNUMBER($BI$441),$B$294=1),$BI$441,HLOOKUP(INDIRECT(ADDRESS(2,COLUMN())),OFFSET($BN$2,0,0,ROW()-1,60),ROW()-1,FALSE))</f>
        <v/>
      </c>
      <c r="BJ131" t="str">
        <f ca="1">IF(AND(ISNUMBER($BJ$441),$B$294=1),$BJ$441,HLOOKUP(INDIRECT(ADDRESS(2,COLUMN())),OFFSET($BN$2,0,0,ROW()-1,60),ROW()-1,FALSE))</f>
        <v/>
      </c>
      <c r="BK131" t="str">
        <f ca="1">IF(AND(ISNUMBER($BK$441),$B$294=1),$BK$441,HLOOKUP(INDIRECT(ADDRESS(2,COLUMN())),OFFSET($BN$2,0,0,ROW()-1,60),ROW()-1,FALSE))</f>
        <v/>
      </c>
      <c r="BL131" t="str">
        <f ca="1">IF(AND(ISNUMBER($BL$441),$B$294=1),$BL$441,HLOOKUP(INDIRECT(ADDRESS(2,COLUMN())),OFFSET($BN$2,0,0,ROW()-1,60),ROW()-1,FALSE))</f>
        <v/>
      </c>
      <c r="BM131" t="str">
        <f ca="1">IF(AND(ISNUMBER($BM$441),$B$294=1),$BM$441,HLOOKUP(INDIRECT(ADDRESS(2,COLUMN())),OFFSET($BN$2,0,0,ROW()-1,60),ROW()-1,FALSE))</f>
        <v/>
      </c>
      <c r="BN131" t="str">
        <f>""</f>
        <v/>
      </c>
      <c r="BO131" t="str">
        <f>""</f>
        <v/>
      </c>
      <c r="BP131" t="str">
        <f>""</f>
        <v/>
      </c>
      <c r="BQ131" t="str">
        <f>""</f>
        <v/>
      </c>
      <c r="BR131" t="str">
        <f>""</f>
        <v/>
      </c>
      <c r="BS131" t="str">
        <f>""</f>
        <v/>
      </c>
      <c r="BT131" t="str">
        <f>""</f>
        <v/>
      </c>
      <c r="BU131" t="str">
        <f>""</f>
        <v/>
      </c>
      <c r="BV131" t="str">
        <f>""</f>
        <v/>
      </c>
      <c r="BW131" t="str">
        <f>""</f>
        <v/>
      </c>
      <c r="BX131" t="str">
        <f>""</f>
        <v/>
      </c>
      <c r="BY131" t="str">
        <f>""</f>
        <v/>
      </c>
      <c r="BZ131" t="str">
        <f>""</f>
        <v/>
      </c>
      <c r="CA131" t="str">
        <f>""</f>
        <v/>
      </c>
      <c r="CB131" t="str">
        <f>""</f>
        <v/>
      </c>
      <c r="CC131" t="str">
        <f>""</f>
        <v/>
      </c>
      <c r="CD131" t="str">
        <f>""</f>
        <v/>
      </c>
      <c r="CE131" t="str">
        <f>""</f>
        <v/>
      </c>
      <c r="CF131" t="str">
        <f>""</f>
        <v/>
      </c>
      <c r="CG131" t="str">
        <f>""</f>
        <v/>
      </c>
      <c r="CH131" t="str">
        <f>""</f>
        <v/>
      </c>
      <c r="CI131" t="str">
        <f>""</f>
        <v/>
      </c>
      <c r="CJ131" t="str">
        <f>""</f>
        <v/>
      </c>
      <c r="CK131" t="str">
        <f>""</f>
        <v/>
      </c>
      <c r="CL131" t="str">
        <f>""</f>
        <v/>
      </c>
      <c r="CM131" t="str">
        <f>""</f>
        <v/>
      </c>
      <c r="CN131" t="str">
        <f>""</f>
        <v/>
      </c>
      <c r="CO131" t="str">
        <f>""</f>
        <v/>
      </c>
      <c r="CP131" t="str">
        <f>""</f>
        <v/>
      </c>
      <c r="CQ131" t="str">
        <f>""</f>
        <v/>
      </c>
      <c r="CR131" t="str">
        <f>""</f>
        <v/>
      </c>
      <c r="CS131" t="str">
        <f>""</f>
        <v/>
      </c>
      <c r="CT131" t="str">
        <f>""</f>
        <v/>
      </c>
      <c r="CU131" t="str">
        <f>""</f>
        <v/>
      </c>
      <c r="CV131" t="str">
        <f>""</f>
        <v/>
      </c>
      <c r="CW131" t="str">
        <f>""</f>
        <v/>
      </c>
      <c r="CX131" t="str">
        <f>""</f>
        <v/>
      </c>
      <c r="CY131" t="str">
        <f>""</f>
        <v/>
      </c>
      <c r="CZ131" t="str">
        <f>""</f>
        <v/>
      </c>
      <c r="DA131" t="str">
        <f>""</f>
        <v/>
      </c>
      <c r="DB131" t="str">
        <f>""</f>
        <v/>
      </c>
      <c r="DC131" t="str">
        <f>""</f>
        <v/>
      </c>
      <c r="DD131" t="str">
        <f>""</f>
        <v/>
      </c>
      <c r="DE131" t="str">
        <f>""</f>
        <v/>
      </c>
      <c r="DF131" t="str">
        <f>""</f>
        <v/>
      </c>
      <c r="DG131" t="str">
        <f>""</f>
        <v/>
      </c>
      <c r="DH131" t="str">
        <f>""</f>
        <v/>
      </c>
      <c r="DI131" t="str">
        <f>""</f>
        <v/>
      </c>
      <c r="DJ131" t="str">
        <f>""</f>
        <v/>
      </c>
      <c r="DK131" t="str">
        <f>""</f>
        <v/>
      </c>
      <c r="DL131" t="str">
        <f>""</f>
        <v/>
      </c>
      <c r="DM131" t="str">
        <f>""</f>
        <v/>
      </c>
      <c r="DN131" t="str">
        <f>""</f>
        <v/>
      </c>
      <c r="DO131" t="str">
        <f>""</f>
        <v/>
      </c>
      <c r="DP131" t="str">
        <f>""</f>
        <v/>
      </c>
      <c r="DQ131" t="str">
        <f>""</f>
        <v/>
      </c>
      <c r="DR131" t="str">
        <f>""</f>
        <v/>
      </c>
      <c r="DS131" t="str">
        <f>""</f>
        <v/>
      </c>
      <c r="DT131" t="str">
        <f>""</f>
        <v/>
      </c>
      <c r="DU131" t="str">
        <f>""</f>
        <v/>
      </c>
    </row>
    <row r="132" spans="1:125">
      <c r="A132" t="str">
        <f>"    Mack-Cali Realty Corp"</f>
        <v xml:space="preserve">    Mack-Cali Realty Corp</v>
      </c>
      <c r="B132" t="str">
        <f>"CLI US Equity"</f>
        <v>CLI US Equity</v>
      </c>
      <c r="C132" t="str">
        <f t="shared" si="33"/>
        <v>BE592</v>
      </c>
      <c r="D132" t="str">
        <f t="shared" si="34"/>
        <v>BEST_FFOPS_YOY_GTH</v>
      </c>
      <c r="E132" t="str">
        <f t="shared" si="35"/>
        <v>动态</v>
      </c>
      <c r="F132" t="str">
        <f ca="1">IF(AND(ISNUMBER($F$442),$B$294=1),$F$442,HLOOKUP(INDIRECT(ADDRESS(2,COLUMN())),OFFSET($BN$2,0,0,ROW()-1,60),ROW()-1,FALSE))</f>
        <v/>
      </c>
      <c r="G132" t="str">
        <f ca="1">IF(AND(ISNUMBER($G$442),$B$294=1),$G$442,HLOOKUP(INDIRECT(ADDRESS(2,COLUMN())),OFFSET($BN$2,0,0,ROW()-1,60),ROW()-1,FALSE))</f>
        <v/>
      </c>
      <c r="H132" t="str">
        <f ca="1">IF(AND(ISNUMBER($H$442),$B$294=1),$H$442,HLOOKUP(INDIRECT(ADDRESS(2,COLUMN())),OFFSET($BN$2,0,0,ROW()-1,60),ROW()-1,FALSE))</f>
        <v/>
      </c>
      <c r="I132" t="str">
        <f ca="1">IF(AND(ISNUMBER($I$442),$B$294=1),$I$442,HLOOKUP(INDIRECT(ADDRESS(2,COLUMN())),OFFSET($BN$2,0,0,ROW()-1,60),ROW()-1,FALSE))</f>
        <v/>
      </c>
      <c r="J132" t="str">
        <f ca="1">IF(AND(ISNUMBER($J$442),$B$294=1),$J$442,HLOOKUP(INDIRECT(ADDRESS(2,COLUMN())),OFFSET($BN$2,0,0,ROW()-1,60),ROW()-1,FALSE))</f>
        <v/>
      </c>
      <c r="K132" t="str">
        <f ca="1">IF(AND(ISNUMBER($K$442),$B$294=1),$K$442,HLOOKUP(INDIRECT(ADDRESS(2,COLUMN())),OFFSET($BN$2,0,0,ROW()-1,60),ROW()-1,FALSE))</f>
        <v/>
      </c>
      <c r="L132" t="str">
        <f ca="1">IF(AND(ISNUMBER($L$442),$B$294=1),$L$442,HLOOKUP(INDIRECT(ADDRESS(2,COLUMN())),OFFSET($BN$2,0,0,ROW()-1,60),ROW()-1,FALSE))</f>
        <v/>
      </c>
      <c r="M132" t="str">
        <f ca="1">IF(AND(ISNUMBER($M$442),$B$294=1),$M$442,HLOOKUP(INDIRECT(ADDRESS(2,COLUMN())),OFFSET($BN$2,0,0,ROW()-1,60),ROW()-1,FALSE))</f>
        <v/>
      </c>
      <c r="N132" t="str">
        <f ca="1">IF(AND(ISNUMBER($N$442),$B$294=1),$N$442,HLOOKUP(INDIRECT(ADDRESS(2,COLUMN())),OFFSET($BN$2,0,0,ROW()-1,60),ROW()-1,FALSE))</f>
        <v/>
      </c>
      <c r="O132" t="str">
        <f ca="1">IF(AND(ISNUMBER($O$442),$B$294=1),$O$442,HLOOKUP(INDIRECT(ADDRESS(2,COLUMN())),OFFSET($BN$2,0,0,ROW()-1,60),ROW()-1,FALSE))</f>
        <v/>
      </c>
      <c r="P132" t="str">
        <f ca="1">IF(AND(ISNUMBER($P$442),$B$294=1),$P$442,HLOOKUP(INDIRECT(ADDRESS(2,COLUMN())),OFFSET($BN$2,0,0,ROW()-1,60),ROW()-1,FALSE))</f>
        <v/>
      </c>
      <c r="Q132" t="str">
        <f ca="1">IF(AND(ISNUMBER($Q$442),$B$294=1),$Q$442,HLOOKUP(INDIRECT(ADDRESS(2,COLUMN())),OFFSET($BN$2,0,0,ROW()-1,60),ROW()-1,FALSE))</f>
        <v/>
      </c>
      <c r="R132" t="str">
        <f ca="1">IF(AND(ISNUMBER($R$442),$B$294=1),$R$442,HLOOKUP(INDIRECT(ADDRESS(2,COLUMN())),OFFSET($BN$2,0,0,ROW()-1,60),ROW()-1,FALSE))</f>
        <v/>
      </c>
      <c r="S132" t="str">
        <f ca="1">IF(AND(ISNUMBER($S$442),$B$294=1),$S$442,HLOOKUP(INDIRECT(ADDRESS(2,COLUMN())),OFFSET($BN$2,0,0,ROW()-1,60),ROW()-1,FALSE))</f>
        <v/>
      </c>
      <c r="T132" t="str">
        <f ca="1">IF(AND(ISNUMBER($T$442),$B$294=1),$T$442,HLOOKUP(INDIRECT(ADDRESS(2,COLUMN())),OFFSET($BN$2,0,0,ROW()-1,60),ROW()-1,FALSE))</f>
        <v/>
      </c>
      <c r="U132" t="str">
        <f ca="1">IF(AND(ISNUMBER($U$442),$B$294=1),$U$442,HLOOKUP(INDIRECT(ADDRESS(2,COLUMN())),OFFSET($BN$2,0,0,ROW()-1,60),ROW()-1,FALSE))</f>
        <v/>
      </c>
      <c r="V132" t="str">
        <f ca="1">IF(AND(ISNUMBER($V$442),$B$294=1),$V$442,HLOOKUP(INDIRECT(ADDRESS(2,COLUMN())),OFFSET($BN$2,0,0,ROW()-1,60),ROW()-1,FALSE))</f>
        <v/>
      </c>
      <c r="W132" t="str">
        <f ca="1">IF(AND(ISNUMBER($W$442),$B$294=1),$W$442,HLOOKUP(INDIRECT(ADDRESS(2,COLUMN())),OFFSET($BN$2,0,0,ROW()-1,60),ROW()-1,FALSE))</f>
        <v/>
      </c>
      <c r="X132" t="str">
        <f ca="1">IF(AND(ISNUMBER($X$442),$B$294=1),$X$442,HLOOKUP(INDIRECT(ADDRESS(2,COLUMN())),OFFSET($BN$2,0,0,ROW()-1,60),ROW()-1,FALSE))</f>
        <v/>
      </c>
      <c r="Y132" t="str">
        <f ca="1">IF(AND(ISNUMBER($Y$442),$B$294=1),$Y$442,HLOOKUP(INDIRECT(ADDRESS(2,COLUMN())),OFFSET($BN$2,0,0,ROW()-1,60),ROW()-1,FALSE))</f>
        <v/>
      </c>
      <c r="Z132" t="str">
        <f ca="1">IF(AND(ISNUMBER($Z$442),$B$294=1),$Z$442,HLOOKUP(INDIRECT(ADDRESS(2,COLUMN())),OFFSET($BN$2,0,0,ROW()-1,60),ROW()-1,FALSE))</f>
        <v/>
      </c>
      <c r="AA132" t="str">
        <f ca="1">IF(AND(ISNUMBER($AA$442),$B$294=1),$AA$442,HLOOKUP(INDIRECT(ADDRESS(2,COLUMN())),OFFSET($BN$2,0,0,ROW()-1,60),ROW()-1,FALSE))</f>
        <v/>
      </c>
      <c r="AB132" t="str">
        <f ca="1">IF(AND(ISNUMBER($AB$442),$B$294=1),$AB$442,HLOOKUP(INDIRECT(ADDRESS(2,COLUMN())),OFFSET($BN$2,0,0,ROW()-1,60),ROW()-1,FALSE))</f>
        <v/>
      </c>
      <c r="AC132" t="str">
        <f ca="1">IF(AND(ISNUMBER($AC$442),$B$294=1),$AC$442,HLOOKUP(INDIRECT(ADDRESS(2,COLUMN())),OFFSET($BN$2,0,0,ROW()-1,60),ROW()-1,FALSE))</f>
        <v/>
      </c>
      <c r="AD132" t="str">
        <f ca="1">IF(AND(ISNUMBER($AD$442),$B$294=1),$AD$442,HLOOKUP(INDIRECT(ADDRESS(2,COLUMN())),OFFSET($BN$2,0,0,ROW()-1,60),ROW()-1,FALSE))</f>
        <v/>
      </c>
      <c r="AE132" t="str">
        <f ca="1">IF(AND(ISNUMBER($AE$442),$B$294=1),$AE$442,HLOOKUP(INDIRECT(ADDRESS(2,COLUMN())),OFFSET($BN$2,0,0,ROW()-1,60),ROW()-1,FALSE))</f>
        <v/>
      </c>
      <c r="AF132" t="str">
        <f ca="1">IF(AND(ISNUMBER($AF$442),$B$294=1),$AF$442,HLOOKUP(INDIRECT(ADDRESS(2,COLUMN())),OFFSET($BN$2,0,0,ROW()-1,60),ROW()-1,FALSE))</f>
        <v/>
      </c>
      <c r="AG132" t="str">
        <f ca="1">IF(AND(ISNUMBER($AG$442),$B$294=1),$AG$442,HLOOKUP(INDIRECT(ADDRESS(2,COLUMN())),OFFSET($BN$2,0,0,ROW()-1,60),ROW()-1,FALSE))</f>
        <v/>
      </c>
      <c r="AH132" t="str">
        <f ca="1">IF(AND(ISNUMBER($AH$442),$B$294=1),$AH$442,HLOOKUP(INDIRECT(ADDRESS(2,COLUMN())),OFFSET($BN$2,0,0,ROW()-1,60),ROW()-1,FALSE))</f>
        <v/>
      </c>
      <c r="AI132" t="str">
        <f ca="1">IF(AND(ISNUMBER($AI$442),$B$294=1),$AI$442,HLOOKUP(INDIRECT(ADDRESS(2,COLUMN())),OFFSET($BN$2,0,0,ROW()-1,60),ROW()-1,FALSE))</f>
        <v/>
      </c>
      <c r="AJ132" t="str">
        <f ca="1">IF(AND(ISNUMBER($AJ$442),$B$294=1),$AJ$442,HLOOKUP(INDIRECT(ADDRESS(2,COLUMN())),OFFSET($BN$2,0,0,ROW()-1,60),ROW()-1,FALSE))</f>
        <v/>
      </c>
      <c r="AK132" t="str">
        <f ca="1">IF(AND(ISNUMBER($AK$442),$B$294=1),$AK$442,HLOOKUP(INDIRECT(ADDRESS(2,COLUMN())),OFFSET($BN$2,0,0,ROW()-1,60),ROW()-1,FALSE))</f>
        <v/>
      </c>
      <c r="AL132" t="str">
        <f ca="1">IF(AND(ISNUMBER($AL$442),$B$294=1),$AL$442,HLOOKUP(INDIRECT(ADDRESS(2,COLUMN())),OFFSET($BN$2,0,0,ROW()-1,60),ROW()-1,FALSE))</f>
        <v/>
      </c>
      <c r="AM132" t="str">
        <f ca="1">IF(AND(ISNUMBER($AM$442),$B$294=1),$AM$442,HLOOKUP(INDIRECT(ADDRESS(2,COLUMN())),OFFSET($BN$2,0,0,ROW()-1,60),ROW()-1,FALSE))</f>
        <v/>
      </c>
      <c r="AN132" t="str">
        <f ca="1">IF(AND(ISNUMBER($AN$442),$B$294=1),$AN$442,HLOOKUP(INDIRECT(ADDRESS(2,COLUMN())),OFFSET($BN$2,0,0,ROW()-1,60),ROW()-1,FALSE))</f>
        <v/>
      </c>
      <c r="AO132" t="str">
        <f ca="1">IF(AND(ISNUMBER($AO$442),$B$294=1),$AO$442,HLOOKUP(INDIRECT(ADDRESS(2,COLUMN())),OFFSET($BN$2,0,0,ROW()-1,60),ROW()-1,FALSE))</f>
        <v/>
      </c>
      <c r="AP132" t="str">
        <f ca="1">IF(AND(ISNUMBER($AP$442),$B$294=1),$AP$442,HLOOKUP(INDIRECT(ADDRESS(2,COLUMN())),OFFSET($BN$2,0,0,ROW()-1,60),ROW()-1,FALSE))</f>
        <v/>
      </c>
      <c r="AQ132" t="str">
        <f ca="1">IF(AND(ISNUMBER($AQ$442),$B$294=1),$AQ$442,HLOOKUP(INDIRECT(ADDRESS(2,COLUMN())),OFFSET($BN$2,0,0,ROW()-1,60),ROW()-1,FALSE))</f>
        <v/>
      </c>
      <c r="AR132" t="str">
        <f ca="1">IF(AND(ISNUMBER($AR$442),$B$294=1),$AR$442,HLOOKUP(INDIRECT(ADDRESS(2,COLUMN())),OFFSET($BN$2,0,0,ROW()-1,60),ROW()-1,FALSE))</f>
        <v/>
      </c>
      <c r="AS132" t="str">
        <f ca="1">IF(AND(ISNUMBER($AS$442),$B$294=1),$AS$442,HLOOKUP(INDIRECT(ADDRESS(2,COLUMN())),OFFSET($BN$2,0,0,ROW()-1,60),ROW()-1,FALSE))</f>
        <v/>
      </c>
      <c r="AT132" t="str">
        <f ca="1">IF(AND(ISNUMBER($AT$442),$B$294=1),$AT$442,HLOOKUP(INDIRECT(ADDRESS(2,COLUMN())),OFFSET($BN$2,0,0,ROW()-1,60),ROW()-1,FALSE))</f>
        <v/>
      </c>
      <c r="AU132" t="str">
        <f ca="1">IF(AND(ISNUMBER($AU$442),$B$294=1),$AU$442,HLOOKUP(INDIRECT(ADDRESS(2,COLUMN())),OFFSET($BN$2,0,0,ROW()-1,60),ROW()-1,FALSE))</f>
        <v/>
      </c>
      <c r="AV132" t="str">
        <f ca="1">IF(AND(ISNUMBER($AV$442),$B$294=1),$AV$442,HLOOKUP(INDIRECT(ADDRESS(2,COLUMN())),OFFSET($BN$2,0,0,ROW()-1,60),ROW()-1,FALSE))</f>
        <v/>
      </c>
      <c r="AW132" t="str">
        <f ca="1">IF(AND(ISNUMBER($AW$442),$B$294=1),$AW$442,HLOOKUP(INDIRECT(ADDRESS(2,COLUMN())),OFFSET($BN$2,0,0,ROW()-1,60),ROW()-1,FALSE))</f>
        <v/>
      </c>
      <c r="AX132" t="str">
        <f ca="1">IF(AND(ISNUMBER($AX$442),$B$294=1),$AX$442,HLOOKUP(INDIRECT(ADDRESS(2,COLUMN())),OFFSET($BN$2,0,0,ROW()-1,60),ROW()-1,FALSE))</f>
        <v/>
      </c>
      <c r="AY132" t="str">
        <f ca="1">IF(AND(ISNUMBER($AY$442),$B$294=1),$AY$442,HLOOKUP(INDIRECT(ADDRESS(2,COLUMN())),OFFSET($BN$2,0,0,ROW()-1,60),ROW()-1,FALSE))</f>
        <v/>
      </c>
      <c r="AZ132" t="str">
        <f ca="1">IF(AND(ISNUMBER($AZ$442),$B$294=1),$AZ$442,HLOOKUP(INDIRECT(ADDRESS(2,COLUMN())),OFFSET($BN$2,0,0,ROW()-1,60),ROW()-1,FALSE))</f>
        <v/>
      </c>
      <c r="BA132" t="str">
        <f ca="1">IF(AND(ISNUMBER($BA$442),$B$294=1),$BA$442,HLOOKUP(INDIRECT(ADDRESS(2,COLUMN())),OFFSET($BN$2,0,0,ROW()-1,60),ROW()-1,FALSE))</f>
        <v/>
      </c>
      <c r="BB132" t="str">
        <f ca="1">IF(AND(ISNUMBER($BB$442),$B$294=1),$BB$442,HLOOKUP(INDIRECT(ADDRESS(2,COLUMN())),OFFSET($BN$2,0,0,ROW()-1,60),ROW()-1,FALSE))</f>
        <v/>
      </c>
      <c r="BC132" t="str">
        <f ca="1">IF(AND(ISNUMBER($BC$442),$B$294=1),$BC$442,HLOOKUP(INDIRECT(ADDRESS(2,COLUMN())),OFFSET($BN$2,0,0,ROW()-1,60),ROW()-1,FALSE))</f>
        <v/>
      </c>
      <c r="BD132" t="str">
        <f ca="1">IF(AND(ISNUMBER($BD$442),$B$294=1),$BD$442,HLOOKUP(INDIRECT(ADDRESS(2,COLUMN())),OFFSET($BN$2,0,0,ROW()-1,60),ROW()-1,FALSE))</f>
        <v/>
      </c>
      <c r="BE132" t="str">
        <f ca="1">IF(AND(ISNUMBER($BE$442),$B$294=1),$BE$442,HLOOKUP(INDIRECT(ADDRESS(2,COLUMN())),OFFSET($BN$2,0,0,ROW()-1,60),ROW()-1,FALSE))</f>
        <v/>
      </c>
      <c r="BF132" t="str">
        <f ca="1">IF(AND(ISNUMBER($BF$442),$B$294=1),$BF$442,HLOOKUP(INDIRECT(ADDRESS(2,COLUMN())),OFFSET($BN$2,0,0,ROW()-1,60),ROW()-1,FALSE))</f>
        <v/>
      </c>
      <c r="BG132" t="str">
        <f ca="1">IF(AND(ISNUMBER($BG$442),$B$294=1),$BG$442,HLOOKUP(INDIRECT(ADDRESS(2,COLUMN())),OFFSET($BN$2,0,0,ROW()-1,60),ROW()-1,FALSE))</f>
        <v/>
      </c>
      <c r="BH132" t="str">
        <f ca="1">IF(AND(ISNUMBER($BH$442),$B$294=1),$BH$442,HLOOKUP(INDIRECT(ADDRESS(2,COLUMN())),OFFSET($BN$2,0,0,ROW()-1,60),ROW()-1,FALSE))</f>
        <v/>
      </c>
      <c r="BI132" t="str">
        <f ca="1">IF(AND(ISNUMBER($BI$442),$B$294=1),$BI$442,HLOOKUP(INDIRECT(ADDRESS(2,COLUMN())),OFFSET($BN$2,0,0,ROW()-1,60),ROW()-1,FALSE))</f>
        <v/>
      </c>
      <c r="BJ132" t="str">
        <f ca="1">IF(AND(ISNUMBER($BJ$442),$B$294=1),$BJ$442,HLOOKUP(INDIRECT(ADDRESS(2,COLUMN())),OFFSET($BN$2,0,0,ROW()-1,60),ROW()-1,FALSE))</f>
        <v/>
      </c>
      <c r="BK132" t="str">
        <f ca="1">IF(AND(ISNUMBER($BK$442),$B$294=1),$BK$442,HLOOKUP(INDIRECT(ADDRESS(2,COLUMN())),OFFSET($BN$2,0,0,ROW()-1,60),ROW()-1,FALSE))</f>
        <v/>
      </c>
      <c r="BL132" t="str">
        <f ca="1">IF(AND(ISNUMBER($BL$442),$B$294=1),$BL$442,HLOOKUP(INDIRECT(ADDRESS(2,COLUMN())),OFFSET($BN$2,0,0,ROW()-1,60),ROW()-1,FALSE))</f>
        <v/>
      </c>
      <c r="BM132" t="str">
        <f ca="1">IF(AND(ISNUMBER($BM$442),$B$294=1),$BM$442,HLOOKUP(INDIRECT(ADDRESS(2,COLUMN())),OFFSET($BN$2,0,0,ROW()-1,60),ROW()-1,FALSE))</f>
        <v/>
      </c>
      <c r="BN132" t="str">
        <f>""</f>
        <v/>
      </c>
      <c r="BO132" t="str">
        <f>""</f>
        <v/>
      </c>
      <c r="BP132" t="str">
        <f>""</f>
        <v/>
      </c>
      <c r="BQ132" t="str">
        <f>""</f>
        <v/>
      </c>
      <c r="BR132" t="str">
        <f>""</f>
        <v/>
      </c>
      <c r="BS132" t="str">
        <f>""</f>
        <v/>
      </c>
      <c r="BT132" t="str">
        <f>""</f>
        <v/>
      </c>
      <c r="BU132" t="str">
        <f>""</f>
        <v/>
      </c>
      <c r="BV132" t="str">
        <f>""</f>
        <v/>
      </c>
      <c r="BW132" t="str">
        <f>""</f>
        <v/>
      </c>
      <c r="BX132" t="str">
        <f>""</f>
        <v/>
      </c>
      <c r="BY132" t="str">
        <f>""</f>
        <v/>
      </c>
      <c r="BZ132" t="str">
        <f>""</f>
        <v/>
      </c>
      <c r="CA132" t="str">
        <f>""</f>
        <v/>
      </c>
      <c r="CB132" t="str">
        <f>""</f>
        <v/>
      </c>
      <c r="CC132" t="str">
        <f>""</f>
        <v/>
      </c>
      <c r="CD132" t="str">
        <f>""</f>
        <v/>
      </c>
      <c r="CE132" t="str">
        <f>""</f>
        <v/>
      </c>
      <c r="CF132" t="str">
        <f>""</f>
        <v/>
      </c>
      <c r="CG132" t="str">
        <f>""</f>
        <v/>
      </c>
      <c r="CH132" t="str">
        <f>""</f>
        <v/>
      </c>
      <c r="CI132" t="str">
        <f>""</f>
        <v/>
      </c>
      <c r="CJ132" t="str">
        <f>""</f>
        <v/>
      </c>
      <c r="CK132" t="str">
        <f>""</f>
        <v/>
      </c>
      <c r="CL132" t="str">
        <f>""</f>
        <v/>
      </c>
      <c r="CM132" t="str">
        <f>""</f>
        <v/>
      </c>
      <c r="CN132" t="str">
        <f>""</f>
        <v/>
      </c>
      <c r="CO132" t="str">
        <f>""</f>
        <v/>
      </c>
      <c r="CP132" t="str">
        <f>""</f>
        <v/>
      </c>
      <c r="CQ132" t="str">
        <f>""</f>
        <v/>
      </c>
      <c r="CR132" t="str">
        <f>""</f>
        <v/>
      </c>
      <c r="CS132" t="str">
        <f>""</f>
        <v/>
      </c>
      <c r="CT132" t="str">
        <f>""</f>
        <v/>
      </c>
      <c r="CU132" t="str">
        <f>""</f>
        <v/>
      </c>
      <c r="CV132" t="str">
        <f>""</f>
        <v/>
      </c>
      <c r="CW132" t="str">
        <f>""</f>
        <v/>
      </c>
      <c r="CX132" t="str">
        <f>""</f>
        <v/>
      </c>
      <c r="CY132" t="str">
        <f>""</f>
        <v/>
      </c>
      <c r="CZ132" t="str">
        <f>""</f>
        <v/>
      </c>
      <c r="DA132" t="str">
        <f>""</f>
        <v/>
      </c>
      <c r="DB132" t="str">
        <f>""</f>
        <v/>
      </c>
      <c r="DC132" t="str">
        <f>""</f>
        <v/>
      </c>
      <c r="DD132" t="str">
        <f>""</f>
        <v/>
      </c>
      <c r="DE132" t="str">
        <f>""</f>
        <v/>
      </c>
      <c r="DF132" t="str">
        <f>""</f>
        <v/>
      </c>
      <c r="DG132" t="str">
        <f>""</f>
        <v/>
      </c>
      <c r="DH132" t="str">
        <f>""</f>
        <v/>
      </c>
      <c r="DI132" t="str">
        <f>""</f>
        <v/>
      </c>
      <c r="DJ132" t="str">
        <f>""</f>
        <v/>
      </c>
      <c r="DK132" t="str">
        <f>""</f>
        <v/>
      </c>
      <c r="DL132" t="str">
        <f>""</f>
        <v/>
      </c>
      <c r="DM132" t="str">
        <f>""</f>
        <v/>
      </c>
      <c r="DN132" t="str">
        <f>""</f>
        <v/>
      </c>
      <c r="DO132" t="str">
        <f>""</f>
        <v/>
      </c>
      <c r="DP132" t="str">
        <f>""</f>
        <v/>
      </c>
      <c r="DQ132" t="str">
        <f>""</f>
        <v/>
      </c>
      <c r="DR132" t="str">
        <f>""</f>
        <v/>
      </c>
      <c r="DS132" t="str">
        <f>""</f>
        <v/>
      </c>
      <c r="DT132" t="str">
        <f>""</f>
        <v/>
      </c>
      <c r="DU132" t="str">
        <f>""</f>
        <v/>
      </c>
    </row>
    <row r="133" spans="1:125">
      <c r="A133" t="str">
        <f>"    Piedmont Office Realty Trust I"</f>
        <v xml:space="preserve">    Piedmont Office Realty Trust I</v>
      </c>
      <c r="B133" t="str">
        <f>"PDM US Equity"</f>
        <v>PDM US Equity</v>
      </c>
      <c r="C133" t="str">
        <f t="shared" si="33"/>
        <v>BE592</v>
      </c>
      <c r="D133" t="str">
        <f t="shared" si="34"/>
        <v>BEST_FFOPS_YOY_GTH</v>
      </c>
      <c r="E133" t="str">
        <f t="shared" si="35"/>
        <v>动态</v>
      </c>
      <c r="F133" t="str">
        <f ca="1">IF(AND(ISNUMBER($F$443),$B$294=1),$F$443,HLOOKUP(INDIRECT(ADDRESS(2,COLUMN())),OFFSET($BN$2,0,0,ROW()-1,60),ROW()-1,FALSE))</f>
        <v/>
      </c>
      <c r="G133" t="str">
        <f ca="1">IF(AND(ISNUMBER($G$443),$B$294=1),$G$443,HLOOKUP(INDIRECT(ADDRESS(2,COLUMN())),OFFSET($BN$2,0,0,ROW()-1,60),ROW()-1,FALSE))</f>
        <v/>
      </c>
      <c r="H133" t="str">
        <f ca="1">IF(AND(ISNUMBER($H$443),$B$294=1),$H$443,HLOOKUP(INDIRECT(ADDRESS(2,COLUMN())),OFFSET($BN$2,0,0,ROW()-1,60),ROW()-1,FALSE))</f>
        <v/>
      </c>
      <c r="I133" t="str">
        <f ca="1">IF(AND(ISNUMBER($I$443),$B$294=1),$I$443,HLOOKUP(INDIRECT(ADDRESS(2,COLUMN())),OFFSET($BN$2,0,0,ROW()-1,60),ROW()-1,FALSE))</f>
        <v/>
      </c>
      <c r="J133" t="str">
        <f ca="1">IF(AND(ISNUMBER($J$443),$B$294=1),$J$443,HLOOKUP(INDIRECT(ADDRESS(2,COLUMN())),OFFSET($BN$2,0,0,ROW()-1,60),ROW()-1,FALSE))</f>
        <v/>
      </c>
      <c r="K133" t="str">
        <f ca="1">IF(AND(ISNUMBER($K$443),$B$294=1),$K$443,HLOOKUP(INDIRECT(ADDRESS(2,COLUMN())),OFFSET($BN$2,0,0,ROW()-1,60),ROW()-1,FALSE))</f>
        <v/>
      </c>
      <c r="L133" t="str">
        <f ca="1">IF(AND(ISNUMBER($L$443),$B$294=1),$L$443,HLOOKUP(INDIRECT(ADDRESS(2,COLUMN())),OFFSET($BN$2,0,0,ROW()-1,60),ROW()-1,FALSE))</f>
        <v/>
      </c>
      <c r="M133" t="str">
        <f ca="1">IF(AND(ISNUMBER($M$443),$B$294=1),$M$443,HLOOKUP(INDIRECT(ADDRESS(2,COLUMN())),OFFSET($BN$2,0,0,ROW()-1,60),ROW()-1,FALSE))</f>
        <v/>
      </c>
      <c r="N133" t="str">
        <f ca="1">IF(AND(ISNUMBER($N$443),$B$294=1),$N$443,HLOOKUP(INDIRECT(ADDRESS(2,COLUMN())),OFFSET($BN$2,0,0,ROW()-1,60),ROW()-1,FALSE))</f>
        <v/>
      </c>
      <c r="O133" t="str">
        <f ca="1">IF(AND(ISNUMBER($O$443),$B$294=1),$O$443,HLOOKUP(INDIRECT(ADDRESS(2,COLUMN())),OFFSET($BN$2,0,0,ROW()-1,60),ROW()-1,FALSE))</f>
        <v/>
      </c>
      <c r="P133" t="str">
        <f ca="1">IF(AND(ISNUMBER($P$443),$B$294=1),$P$443,HLOOKUP(INDIRECT(ADDRESS(2,COLUMN())),OFFSET($BN$2,0,0,ROW()-1,60),ROW()-1,FALSE))</f>
        <v/>
      </c>
      <c r="Q133" t="str">
        <f ca="1">IF(AND(ISNUMBER($Q$443),$B$294=1),$Q$443,HLOOKUP(INDIRECT(ADDRESS(2,COLUMN())),OFFSET($BN$2,0,0,ROW()-1,60),ROW()-1,FALSE))</f>
        <v/>
      </c>
      <c r="R133" t="str">
        <f ca="1">IF(AND(ISNUMBER($R$443),$B$294=1),$R$443,HLOOKUP(INDIRECT(ADDRESS(2,COLUMN())),OFFSET($BN$2,0,0,ROW()-1,60),ROW()-1,FALSE))</f>
        <v/>
      </c>
      <c r="S133" t="str">
        <f ca="1">IF(AND(ISNUMBER($S$443),$B$294=1),$S$443,HLOOKUP(INDIRECT(ADDRESS(2,COLUMN())),OFFSET($BN$2,0,0,ROW()-1,60),ROW()-1,FALSE))</f>
        <v/>
      </c>
      <c r="T133" t="str">
        <f ca="1">IF(AND(ISNUMBER($T$443),$B$294=1),$T$443,HLOOKUP(INDIRECT(ADDRESS(2,COLUMN())),OFFSET($BN$2,0,0,ROW()-1,60),ROW()-1,FALSE))</f>
        <v/>
      </c>
      <c r="U133" t="str">
        <f ca="1">IF(AND(ISNUMBER($U$443),$B$294=1),$U$443,HLOOKUP(INDIRECT(ADDRESS(2,COLUMN())),OFFSET($BN$2,0,0,ROW()-1,60),ROW()-1,FALSE))</f>
        <v/>
      </c>
      <c r="V133" t="str">
        <f ca="1">IF(AND(ISNUMBER($V$443),$B$294=1),$V$443,HLOOKUP(INDIRECT(ADDRESS(2,COLUMN())),OFFSET($BN$2,0,0,ROW()-1,60),ROW()-1,FALSE))</f>
        <v/>
      </c>
      <c r="W133" t="str">
        <f ca="1">IF(AND(ISNUMBER($W$443),$B$294=1),$W$443,HLOOKUP(INDIRECT(ADDRESS(2,COLUMN())),OFFSET($BN$2,0,0,ROW()-1,60),ROW()-1,FALSE))</f>
        <v/>
      </c>
      <c r="X133" t="str">
        <f ca="1">IF(AND(ISNUMBER($X$443),$B$294=1),$X$443,HLOOKUP(INDIRECT(ADDRESS(2,COLUMN())),OFFSET($BN$2,0,0,ROW()-1,60),ROW()-1,FALSE))</f>
        <v/>
      </c>
      <c r="Y133" t="str">
        <f ca="1">IF(AND(ISNUMBER($Y$443),$B$294=1),$Y$443,HLOOKUP(INDIRECT(ADDRESS(2,COLUMN())),OFFSET($BN$2,0,0,ROW()-1,60),ROW()-1,FALSE))</f>
        <v/>
      </c>
      <c r="Z133" t="str">
        <f ca="1">IF(AND(ISNUMBER($Z$443),$B$294=1),$Z$443,HLOOKUP(INDIRECT(ADDRESS(2,COLUMN())),OFFSET($BN$2,0,0,ROW()-1,60),ROW()-1,FALSE))</f>
        <v/>
      </c>
      <c r="AA133" t="str">
        <f ca="1">IF(AND(ISNUMBER($AA$443),$B$294=1),$AA$443,HLOOKUP(INDIRECT(ADDRESS(2,COLUMN())),OFFSET($BN$2,0,0,ROW()-1,60),ROW()-1,FALSE))</f>
        <v/>
      </c>
      <c r="AB133" t="str">
        <f ca="1">IF(AND(ISNUMBER($AB$443),$B$294=1),$AB$443,HLOOKUP(INDIRECT(ADDRESS(2,COLUMN())),OFFSET($BN$2,0,0,ROW()-1,60),ROW()-1,FALSE))</f>
        <v/>
      </c>
      <c r="AC133" t="str">
        <f ca="1">IF(AND(ISNUMBER($AC$443),$B$294=1),$AC$443,HLOOKUP(INDIRECT(ADDRESS(2,COLUMN())),OFFSET($BN$2,0,0,ROW()-1,60),ROW()-1,FALSE))</f>
        <v/>
      </c>
      <c r="AD133" t="str">
        <f ca="1">IF(AND(ISNUMBER($AD$443),$B$294=1),$AD$443,HLOOKUP(INDIRECT(ADDRESS(2,COLUMN())),OFFSET($BN$2,0,0,ROW()-1,60),ROW()-1,FALSE))</f>
        <v/>
      </c>
      <c r="AE133" t="str">
        <f ca="1">IF(AND(ISNUMBER($AE$443),$B$294=1),$AE$443,HLOOKUP(INDIRECT(ADDRESS(2,COLUMN())),OFFSET($BN$2,0,0,ROW()-1,60),ROW()-1,FALSE))</f>
        <v/>
      </c>
      <c r="AF133" t="str">
        <f ca="1">IF(AND(ISNUMBER($AF$443),$B$294=1),$AF$443,HLOOKUP(INDIRECT(ADDRESS(2,COLUMN())),OFFSET($BN$2,0,0,ROW()-1,60),ROW()-1,FALSE))</f>
        <v/>
      </c>
      <c r="AG133" t="str">
        <f ca="1">IF(AND(ISNUMBER($AG$443),$B$294=1),$AG$443,HLOOKUP(INDIRECT(ADDRESS(2,COLUMN())),OFFSET($BN$2,0,0,ROW()-1,60),ROW()-1,FALSE))</f>
        <v/>
      </c>
      <c r="AH133" t="str">
        <f ca="1">IF(AND(ISNUMBER($AH$443),$B$294=1),$AH$443,HLOOKUP(INDIRECT(ADDRESS(2,COLUMN())),OFFSET($BN$2,0,0,ROW()-1,60),ROW()-1,FALSE))</f>
        <v/>
      </c>
      <c r="AI133" t="str">
        <f ca="1">IF(AND(ISNUMBER($AI$443),$B$294=1),$AI$443,HLOOKUP(INDIRECT(ADDRESS(2,COLUMN())),OFFSET($BN$2,0,0,ROW()-1,60),ROW()-1,FALSE))</f>
        <v/>
      </c>
      <c r="AJ133" t="str">
        <f ca="1">IF(AND(ISNUMBER($AJ$443),$B$294=1),$AJ$443,HLOOKUP(INDIRECT(ADDRESS(2,COLUMN())),OFFSET($BN$2,0,0,ROW()-1,60),ROW()-1,FALSE))</f>
        <v/>
      </c>
      <c r="AK133" t="str">
        <f ca="1">IF(AND(ISNUMBER($AK$443),$B$294=1),$AK$443,HLOOKUP(INDIRECT(ADDRESS(2,COLUMN())),OFFSET($BN$2,0,0,ROW()-1,60),ROW()-1,FALSE))</f>
        <v/>
      </c>
      <c r="AL133" t="str">
        <f ca="1">IF(AND(ISNUMBER($AL$443),$B$294=1),$AL$443,HLOOKUP(INDIRECT(ADDRESS(2,COLUMN())),OFFSET($BN$2,0,0,ROW()-1,60),ROW()-1,FALSE))</f>
        <v/>
      </c>
      <c r="AM133" t="str">
        <f ca="1">IF(AND(ISNUMBER($AM$443),$B$294=1),$AM$443,HLOOKUP(INDIRECT(ADDRESS(2,COLUMN())),OFFSET($BN$2,0,0,ROW()-1,60),ROW()-1,FALSE))</f>
        <v/>
      </c>
      <c r="AN133" t="str">
        <f ca="1">IF(AND(ISNUMBER($AN$443),$B$294=1),$AN$443,HLOOKUP(INDIRECT(ADDRESS(2,COLUMN())),OFFSET($BN$2,0,0,ROW()-1,60),ROW()-1,FALSE))</f>
        <v/>
      </c>
      <c r="AO133" t="str">
        <f ca="1">IF(AND(ISNUMBER($AO$443),$B$294=1),$AO$443,HLOOKUP(INDIRECT(ADDRESS(2,COLUMN())),OFFSET($BN$2,0,0,ROW()-1,60),ROW()-1,FALSE))</f>
        <v/>
      </c>
      <c r="AP133" t="str">
        <f ca="1">IF(AND(ISNUMBER($AP$443),$B$294=1),$AP$443,HLOOKUP(INDIRECT(ADDRESS(2,COLUMN())),OFFSET($BN$2,0,0,ROW()-1,60),ROW()-1,FALSE))</f>
        <v/>
      </c>
      <c r="AQ133" t="str">
        <f ca="1">IF(AND(ISNUMBER($AQ$443),$B$294=1),$AQ$443,HLOOKUP(INDIRECT(ADDRESS(2,COLUMN())),OFFSET($BN$2,0,0,ROW()-1,60),ROW()-1,FALSE))</f>
        <v/>
      </c>
      <c r="AR133" t="str">
        <f ca="1">IF(AND(ISNUMBER($AR$443),$B$294=1),$AR$443,HLOOKUP(INDIRECT(ADDRESS(2,COLUMN())),OFFSET($BN$2,0,0,ROW()-1,60),ROW()-1,FALSE))</f>
        <v/>
      </c>
      <c r="AS133" t="str">
        <f ca="1">IF(AND(ISNUMBER($AS$443),$B$294=1),$AS$443,HLOOKUP(INDIRECT(ADDRESS(2,COLUMN())),OFFSET($BN$2,0,0,ROW()-1,60),ROW()-1,FALSE))</f>
        <v/>
      </c>
      <c r="AT133" t="str">
        <f ca="1">IF(AND(ISNUMBER($AT$443),$B$294=1),$AT$443,HLOOKUP(INDIRECT(ADDRESS(2,COLUMN())),OFFSET($BN$2,0,0,ROW()-1,60),ROW()-1,FALSE))</f>
        <v/>
      </c>
      <c r="AU133" t="str">
        <f ca="1">IF(AND(ISNUMBER($AU$443),$B$294=1),$AU$443,HLOOKUP(INDIRECT(ADDRESS(2,COLUMN())),OFFSET($BN$2,0,0,ROW()-1,60),ROW()-1,FALSE))</f>
        <v/>
      </c>
      <c r="AV133" t="str">
        <f ca="1">IF(AND(ISNUMBER($AV$443),$B$294=1),$AV$443,HLOOKUP(INDIRECT(ADDRESS(2,COLUMN())),OFFSET($BN$2,0,0,ROW()-1,60),ROW()-1,FALSE))</f>
        <v/>
      </c>
      <c r="AW133" t="str">
        <f ca="1">IF(AND(ISNUMBER($AW$443),$B$294=1),$AW$443,HLOOKUP(INDIRECT(ADDRESS(2,COLUMN())),OFFSET($BN$2,0,0,ROW()-1,60),ROW()-1,FALSE))</f>
        <v/>
      </c>
      <c r="AX133" t="str">
        <f ca="1">IF(AND(ISNUMBER($AX$443),$B$294=1),$AX$443,HLOOKUP(INDIRECT(ADDRESS(2,COLUMN())),OFFSET($BN$2,0,0,ROW()-1,60),ROW()-1,FALSE))</f>
        <v/>
      </c>
      <c r="AY133" t="str">
        <f ca="1">IF(AND(ISNUMBER($AY$443),$B$294=1),$AY$443,HLOOKUP(INDIRECT(ADDRESS(2,COLUMN())),OFFSET($BN$2,0,0,ROW()-1,60),ROW()-1,FALSE))</f>
        <v/>
      </c>
      <c r="AZ133" t="str">
        <f ca="1">IF(AND(ISNUMBER($AZ$443),$B$294=1),$AZ$443,HLOOKUP(INDIRECT(ADDRESS(2,COLUMN())),OFFSET($BN$2,0,0,ROW()-1,60),ROW()-1,FALSE))</f>
        <v/>
      </c>
      <c r="BA133" t="str">
        <f ca="1">IF(AND(ISNUMBER($BA$443),$B$294=1),$BA$443,HLOOKUP(INDIRECT(ADDRESS(2,COLUMN())),OFFSET($BN$2,0,0,ROW()-1,60),ROW()-1,FALSE))</f>
        <v/>
      </c>
      <c r="BB133" t="str">
        <f ca="1">IF(AND(ISNUMBER($BB$443),$B$294=1),$BB$443,HLOOKUP(INDIRECT(ADDRESS(2,COLUMN())),OFFSET($BN$2,0,0,ROW()-1,60),ROW()-1,FALSE))</f>
        <v/>
      </c>
      <c r="BC133" t="str">
        <f ca="1">IF(AND(ISNUMBER($BC$443),$B$294=1),$BC$443,HLOOKUP(INDIRECT(ADDRESS(2,COLUMN())),OFFSET($BN$2,0,0,ROW()-1,60),ROW()-1,FALSE))</f>
        <v/>
      </c>
      <c r="BD133" t="str">
        <f ca="1">IF(AND(ISNUMBER($BD$443),$B$294=1),$BD$443,HLOOKUP(INDIRECT(ADDRESS(2,COLUMN())),OFFSET($BN$2,0,0,ROW()-1,60),ROW()-1,FALSE))</f>
        <v/>
      </c>
      <c r="BE133" t="str">
        <f ca="1">IF(AND(ISNUMBER($BE$443),$B$294=1),$BE$443,HLOOKUP(INDIRECT(ADDRESS(2,COLUMN())),OFFSET($BN$2,0,0,ROW()-1,60),ROW()-1,FALSE))</f>
        <v/>
      </c>
      <c r="BF133" t="str">
        <f ca="1">IF(AND(ISNUMBER($BF$443),$B$294=1),$BF$443,HLOOKUP(INDIRECT(ADDRESS(2,COLUMN())),OFFSET($BN$2,0,0,ROW()-1,60),ROW()-1,FALSE))</f>
        <v/>
      </c>
      <c r="BG133" t="str">
        <f ca="1">IF(AND(ISNUMBER($BG$443),$B$294=1),$BG$443,HLOOKUP(INDIRECT(ADDRESS(2,COLUMN())),OFFSET($BN$2,0,0,ROW()-1,60),ROW()-1,FALSE))</f>
        <v/>
      </c>
      <c r="BH133" t="str">
        <f ca="1">IF(AND(ISNUMBER($BH$443),$B$294=1),$BH$443,HLOOKUP(INDIRECT(ADDRESS(2,COLUMN())),OFFSET($BN$2,0,0,ROW()-1,60),ROW()-1,FALSE))</f>
        <v/>
      </c>
      <c r="BI133" t="str">
        <f ca="1">IF(AND(ISNUMBER($BI$443),$B$294=1),$BI$443,HLOOKUP(INDIRECT(ADDRESS(2,COLUMN())),OFFSET($BN$2,0,0,ROW()-1,60),ROW()-1,FALSE))</f>
        <v/>
      </c>
      <c r="BJ133" t="str">
        <f ca="1">IF(AND(ISNUMBER($BJ$443),$B$294=1),$BJ$443,HLOOKUP(INDIRECT(ADDRESS(2,COLUMN())),OFFSET($BN$2,0,0,ROW()-1,60),ROW()-1,FALSE))</f>
        <v/>
      </c>
      <c r="BK133" t="str">
        <f ca="1">IF(AND(ISNUMBER($BK$443),$B$294=1),$BK$443,HLOOKUP(INDIRECT(ADDRESS(2,COLUMN())),OFFSET($BN$2,0,0,ROW()-1,60),ROW()-1,FALSE))</f>
        <v/>
      </c>
      <c r="BL133" t="str">
        <f ca="1">IF(AND(ISNUMBER($BL$443),$B$294=1),$BL$443,HLOOKUP(INDIRECT(ADDRESS(2,COLUMN())),OFFSET($BN$2,0,0,ROW()-1,60),ROW()-1,FALSE))</f>
        <v/>
      </c>
      <c r="BM133" t="str">
        <f ca="1">IF(AND(ISNUMBER($BM$443),$B$294=1),$BM$443,HLOOKUP(INDIRECT(ADDRESS(2,COLUMN())),OFFSET($BN$2,0,0,ROW()-1,60),ROW()-1,FALSE))</f>
        <v/>
      </c>
      <c r="BN133" t="str">
        <f>""</f>
        <v/>
      </c>
      <c r="BO133" t="str">
        <f>""</f>
        <v/>
      </c>
      <c r="BP133" t="str">
        <f>""</f>
        <v/>
      </c>
      <c r="BQ133" t="str">
        <f>""</f>
        <v/>
      </c>
      <c r="BR133" t="str">
        <f>""</f>
        <v/>
      </c>
      <c r="BS133" t="str">
        <f>""</f>
        <v/>
      </c>
      <c r="BT133" t="str">
        <f>""</f>
        <v/>
      </c>
      <c r="BU133" t="str">
        <f>""</f>
        <v/>
      </c>
      <c r="BV133" t="str">
        <f>""</f>
        <v/>
      </c>
      <c r="BW133" t="str">
        <f>""</f>
        <v/>
      </c>
      <c r="BX133" t="str">
        <f>""</f>
        <v/>
      </c>
      <c r="BY133" t="str">
        <f>""</f>
        <v/>
      </c>
      <c r="BZ133" t="str">
        <f>""</f>
        <v/>
      </c>
      <c r="CA133" t="str">
        <f>""</f>
        <v/>
      </c>
      <c r="CB133" t="str">
        <f>""</f>
        <v/>
      </c>
      <c r="CC133" t="str">
        <f>""</f>
        <v/>
      </c>
      <c r="CD133" t="str">
        <f>""</f>
        <v/>
      </c>
      <c r="CE133" t="str">
        <f>""</f>
        <v/>
      </c>
      <c r="CF133" t="str">
        <f>""</f>
        <v/>
      </c>
      <c r="CG133" t="str">
        <f>""</f>
        <v/>
      </c>
      <c r="CH133" t="str">
        <f>""</f>
        <v/>
      </c>
      <c r="CI133" t="str">
        <f>""</f>
        <v/>
      </c>
      <c r="CJ133" t="str">
        <f>""</f>
        <v/>
      </c>
      <c r="CK133" t="str">
        <f>""</f>
        <v/>
      </c>
      <c r="CL133" t="str">
        <f>""</f>
        <v/>
      </c>
      <c r="CM133" t="str">
        <f>""</f>
        <v/>
      </c>
      <c r="CN133" t="str">
        <f>""</f>
        <v/>
      </c>
      <c r="CO133" t="str">
        <f>""</f>
        <v/>
      </c>
      <c r="CP133" t="str">
        <f>""</f>
        <v/>
      </c>
      <c r="CQ133" t="str">
        <f>""</f>
        <v/>
      </c>
      <c r="CR133" t="str">
        <f>""</f>
        <v/>
      </c>
      <c r="CS133" t="str">
        <f>""</f>
        <v/>
      </c>
      <c r="CT133" t="str">
        <f>""</f>
        <v/>
      </c>
      <c r="CU133" t="str">
        <f>""</f>
        <v/>
      </c>
      <c r="CV133" t="str">
        <f>""</f>
        <v/>
      </c>
      <c r="CW133" t="str">
        <f>""</f>
        <v/>
      </c>
      <c r="CX133" t="str">
        <f>""</f>
        <v/>
      </c>
      <c r="CY133" t="str">
        <f>""</f>
        <v/>
      </c>
      <c r="CZ133" t="str">
        <f>""</f>
        <v/>
      </c>
      <c r="DA133" t="str">
        <f>""</f>
        <v/>
      </c>
      <c r="DB133" t="str">
        <f>""</f>
        <v/>
      </c>
      <c r="DC133" t="str">
        <f>""</f>
        <v/>
      </c>
      <c r="DD133" t="str">
        <f>""</f>
        <v/>
      </c>
      <c r="DE133" t="str">
        <f>""</f>
        <v/>
      </c>
      <c r="DF133" t="str">
        <f>""</f>
        <v/>
      </c>
      <c r="DG133" t="str">
        <f>""</f>
        <v/>
      </c>
      <c r="DH133" t="str">
        <f>""</f>
        <v/>
      </c>
      <c r="DI133" t="str">
        <f>""</f>
        <v/>
      </c>
      <c r="DJ133" t="str">
        <f>""</f>
        <v/>
      </c>
      <c r="DK133" t="str">
        <f>""</f>
        <v/>
      </c>
      <c r="DL133" t="str">
        <f>""</f>
        <v/>
      </c>
      <c r="DM133" t="str">
        <f>""</f>
        <v/>
      </c>
      <c r="DN133" t="str">
        <f>""</f>
        <v/>
      </c>
      <c r="DO133" t="str">
        <f>""</f>
        <v/>
      </c>
      <c r="DP133" t="str">
        <f>""</f>
        <v/>
      </c>
      <c r="DQ133" t="str">
        <f>""</f>
        <v/>
      </c>
      <c r="DR133" t="str">
        <f>""</f>
        <v/>
      </c>
      <c r="DS133" t="str">
        <f>""</f>
        <v/>
      </c>
      <c r="DT133" t="str">
        <f>""</f>
        <v/>
      </c>
      <c r="DU133" t="str">
        <f>""</f>
        <v/>
      </c>
    </row>
    <row r="134" spans="1:125">
      <c r="A134" t="str">
        <f>"    SL Green Realty Corp"</f>
        <v xml:space="preserve">    SL Green Realty Corp</v>
      </c>
      <c r="B134" t="str">
        <f>"SLG US Equity"</f>
        <v>SLG US Equity</v>
      </c>
      <c r="C134" t="str">
        <f t="shared" si="33"/>
        <v>BE592</v>
      </c>
      <c r="D134" t="str">
        <f t="shared" si="34"/>
        <v>BEST_FFOPS_YOY_GTH</v>
      </c>
      <c r="E134" t="str">
        <f t="shared" si="35"/>
        <v>动态</v>
      </c>
      <c r="F134" t="str">
        <f ca="1">IF(AND(ISNUMBER($F$444),$B$294=1),$F$444,HLOOKUP(INDIRECT(ADDRESS(2,COLUMN())),OFFSET($BN$2,0,0,ROW()-1,60),ROW()-1,FALSE))</f>
        <v/>
      </c>
      <c r="G134" t="str">
        <f ca="1">IF(AND(ISNUMBER($G$444),$B$294=1),$G$444,HLOOKUP(INDIRECT(ADDRESS(2,COLUMN())),OFFSET($BN$2,0,0,ROW()-1,60),ROW()-1,FALSE))</f>
        <v/>
      </c>
      <c r="H134" t="str">
        <f ca="1">IF(AND(ISNUMBER($H$444),$B$294=1),$H$444,HLOOKUP(INDIRECT(ADDRESS(2,COLUMN())),OFFSET($BN$2,0,0,ROW()-1,60),ROW()-1,FALSE))</f>
        <v/>
      </c>
      <c r="I134" t="str">
        <f ca="1">IF(AND(ISNUMBER($I$444),$B$294=1),$I$444,HLOOKUP(INDIRECT(ADDRESS(2,COLUMN())),OFFSET($BN$2,0,0,ROW()-1,60),ROW()-1,FALSE))</f>
        <v/>
      </c>
      <c r="J134" t="str">
        <f ca="1">IF(AND(ISNUMBER($J$444),$B$294=1),$J$444,HLOOKUP(INDIRECT(ADDRESS(2,COLUMN())),OFFSET($BN$2,0,0,ROW()-1,60),ROW()-1,FALSE))</f>
        <v/>
      </c>
      <c r="K134" t="str">
        <f ca="1">IF(AND(ISNUMBER($K$444),$B$294=1),$K$444,HLOOKUP(INDIRECT(ADDRESS(2,COLUMN())),OFFSET($BN$2,0,0,ROW()-1,60),ROW()-1,FALSE))</f>
        <v/>
      </c>
      <c r="L134" t="str">
        <f ca="1">IF(AND(ISNUMBER($L$444),$B$294=1),$L$444,HLOOKUP(INDIRECT(ADDRESS(2,COLUMN())),OFFSET($BN$2,0,0,ROW()-1,60),ROW()-1,FALSE))</f>
        <v/>
      </c>
      <c r="M134" t="str">
        <f ca="1">IF(AND(ISNUMBER($M$444),$B$294=1),$M$444,HLOOKUP(INDIRECT(ADDRESS(2,COLUMN())),OFFSET($BN$2,0,0,ROW()-1,60),ROW()-1,FALSE))</f>
        <v/>
      </c>
      <c r="N134" t="str">
        <f ca="1">IF(AND(ISNUMBER($N$444),$B$294=1),$N$444,HLOOKUP(INDIRECT(ADDRESS(2,COLUMN())),OFFSET($BN$2,0,0,ROW()-1,60),ROW()-1,FALSE))</f>
        <v/>
      </c>
      <c r="O134" t="str">
        <f ca="1">IF(AND(ISNUMBER($O$444),$B$294=1),$O$444,HLOOKUP(INDIRECT(ADDRESS(2,COLUMN())),OFFSET($BN$2,0,0,ROW()-1,60),ROW()-1,FALSE))</f>
        <v/>
      </c>
      <c r="P134" t="str">
        <f ca="1">IF(AND(ISNUMBER($P$444),$B$294=1),$P$444,HLOOKUP(INDIRECT(ADDRESS(2,COLUMN())),OFFSET($BN$2,0,0,ROW()-1,60),ROW()-1,FALSE))</f>
        <v/>
      </c>
      <c r="Q134" t="str">
        <f ca="1">IF(AND(ISNUMBER($Q$444),$B$294=1),$Q$444,HLOOKUP(INDIRECT(ADDRESS(2,COLUMN())),OFFSET($BN$2,0,0,ROW()-1,60),ROW()-1,FALSE))</f>
        <v/>
      </c>
      <c r="R134" t="str">
        <f ca="1">IF(AND(ISNUMBER($R$444),$B$294=1),$R$444,HLOOKUP(INDIRECT(ADDRESS(2,COLUMN())),OFFSET($BN$2,0,0,ROW()-1,60),ROW()-1,FALSE))</f>
        <v/>
      </c>
      <c r="S134" t="str">
        <f ca="1">IF(AND(ISNUMBER($S$444),$B$294=1),$S$444,HLOOKUP(INDIRECT(ADDRESS(2,COLUMN())),OFFSET($BN$2,0,0,ROW()-1,60),ROW()-1,FALSE))</f>
        <v/>
      </c>
      <c r="T134" t="str">
        <f ca="1">IF(AND(ISNUMBER($T$444),$B$294=1),$T$444,HLOOKUP(INDIRECT(ADDRESS(2,COLUMN())),OFFSET($BN$2,0,0,ROW()-1,60),ROW()-1,FALSE))</f>
        <v/>
      </c>
      <c r="U134" t="str">
        <f ca="1">IF(AND(ISNUMBER($U$444),$B$294=1),$U$444,HLOOKUP(INDIRECT(ADDRESS(2,COLUMN())),OFFSET($BN$2,0,0,ROW()-1,60),ROW()-1,FALSE))</f>
        <v/>
      </c>
      <c r="V134" t="str">
        <f ca="1">IF(AND(ISNUMBER($V$444),$B$294=1),$V$444,HLOOKUP(INDIRECT(ADDRESS(2,COLUMN())),OFFSET($BN$2,0,0,ROW()-1,60),ROW()-1,FALSE))</f>
        <v/>
      </c>
      <c r="W134" t="str">
        <f ca="1">IF(AND(ISNUMBER($W$444),$B$294=1),$W$444,HLOOKUP(INDIRECT(ADDRESS(2,COLUMN())),OFFSET($BN$2,0,0,ROW()-1,60),ROW()-1,FALSE))</f>
        <v/>
      </c>
      <c r="X134" t="str">
        <f ca="1">IF(AND(ISNUMBER($X$444),$B$294=1),$X$444,HLOOKUP(INDIRECT(ADDRESS(2,COLUMN())),OFFSET($BN$2,0,0,ROW()-1,60),ROW()-1,FALSE))</f>
        <v/>
      </c>
      <c r="Y134" t="str">
        <f ca="1">IF(AND(ISNUMBER($Y$444),$B$294=1),$Y$444,HLOOKUP(INDIRECT(ADDRESS(2,COLUMN())),OFFSET($BN$2,0,0,ROW()-1,60),ROW()-1,FALSE))</f>
        <v/>
      </c>
      <c r="Z134" t="str">
        <f ca="1">IF(AND(ISNUMBER($Z$444),$B$294=1),$Z$444,HLOOKUP(INDIRECT(ADDRESS(2,COLUMN())),OFFSET($BN$2,0,0,ROW()-1,60),ROW()-1,FALSE))</f>
        <v/>
      </c>
      <c r="AA134" t="str">
        <f ca="1">IF(AND(ISNUMBER($AA$444),$B$294=1),$AA$444,HLOOKUP(INDIRECT(ADDRESS(2,COLUMN())),OFFSET($BN$2,0,0,ROW()-1,60),ROW()-1,FALSE))</f>
        <v/>
      </c>
      <c r="AB134" t="str">
        <f ca="1">IF(AND(ISNUMBER($AB$444),$B$294=1),$AB$444,HLOOKUP(INDIRECT(ADDRESS(2,COLUMN())),OFFSET($BN$2,0,0,ROW()-1,60),ROW()-1,FALSE))</f>
        <v/>
      </c>
      <c r="AC134" t="str">
        <f ca="1">IF(AND(ISNUMBER($AC$444),$B$294=1),$AC$444,HLOOKUP(INDIRECT(ADDRESS(2,COLUMN())),OFFSET($BN$2,0,0,ROW()-1,60),ROW()-1,FALSE))</f>
        <v/>
      </c>
      <c r="AD134" t="str">
        <f ca="1">IF(AND(ISNUMBER($AD$444),$B$294=1),$AD$444,HLOOKUP(INDIRECT(ADDRESS(2,COLUMN())),OFFSET($BN$2,0,0,ROW()-1,60),ROW()-1,FALSE))</f>
        <v/>
      </c>
      <c r="AE134" t="str">
        <f ca="1">IF(AND(ISNUMBER($AE$444),$B$294=1),$AE$444,HLOOKUP(INDIRECT(ADDRESS(2,COLUMN())),OFFSET($BN$2,0,0,ROW()-1,60),ROW()-1,FALSE))</f>
        <v/>
      </c>
      <c r="AF134" t="str">
        <f ca="1">IF(AND(ISNUMBER($AF$444),$B$294=1),$AF$444,HLOOKUP(INDIRECT(ADDRESS(2,COLUMN())),OFFSET($BN$2,0,0,ROW()-1,60),ROW()-1,FALSE))</f>
        <v/>
      </c>
      <c r="AG134" t="str">
        <f ca="1">IF(AND(ISNUMBER($AG$444),$B$294=1),$AG$444,HLOOKUP(INDIRECT(ADDRESS(2,COLUMN())),OFFSET($BN$2,0,0,ROW()-1,60),ROW()-1,FALSE))</f>
        <v/>
      </c>
      <c r="AH134" t="str">
        <f ca="1">IF(AND(ISNUMBER($AH$444),$B$294=1),$AH$444,HLOOKUP(INDIRECT(ADDRESS(2,COLUMN())),OFFSET($BN$2,0,0,ROW()-1,60),ROW()-1,FALSE))</f>
        <v/>
      </c>
      <c r="AI134" t="str">
        <f ca="1">IF(AND(ISNUMBER($AI$444),$B$294=1),$AI$444,HLOOKUP(INDIRECT(ADDRESS(2,COLUMN())),OFFSET($BN$2,0,0,ROW()-1,60),ROW()-1,FALSE))</f>
        <v/>
      </c>
      <c r="AJ134" t="str">
        <f ca="1">IF(AND(ISNUMBER($AJ$444),$B$294=1),$AJ$444,HLOOKUP(INDIRECT(ADDRESS(2,COLUMN())),OFFSET($BN$2,0,0,ROW()-1,60),ROW()-1,FALSE))</f>
        <v/>
      </c>
      <c r="AK134" t="str">
        <f ca="1">IF(AND(ISNUMBER($AK$444),$B$294=1),$AK$444,HLOOKUP(INDIRECT(ADDRESS(2,COLUMN())),OFFSET($BN$2,0,0,ROW()-1,60),ROW()-1,FALSE))</f>
        <v/>
      </c>
      <c r="AL134" t="str">
        <f ca="1">IF(AND(ISNUMBER($AL$444),$B$294=1),$AL$444,HLOOKUP(INDIRECT(ADDRESS(2,COLUMN())),OFFSET($BN$2,0,0,ROW()-1,60),ROW()-1,FALSE))</f>
        <v/>
      </c>
      <c r="AM134" t="str">
        <f ca="1">IF(AND(ISNUMBER($AM$444),$B$294=1),$AM$444,HLOOKUP(INDIRECT(ADDRESS(2,COLUMN())),OFFSET($BN$2,0,0,ROW()-1,60),ROW()-1,FALSE))</f>
        <v/>
      </c>
      <c r="AN134" t="str">
        <f ca="1">IF(AND(ISNUMBER($AN$444),$B$294=1),$AN$444,HLOOKUP(INDIRECT(ADDRESS(2,COLUMN())),OFFSET($BN$2,0,0,ROW()-1,60),ROW()-1,FALSE))</f>
        <v/>
      </c>
      <c r="AO134" t="str">
        <f ca="1">IF(AND(ISNUMBER($AO$444),$B$294=1),$AO$444,HLOOKUP(INDIRECT(ADDRESS(2,COLUMN())),OFFSET($BN$2,0,0,ROW()-1,60),ROW()-1,FALSE))</f>
        <v/>
      </c>
      <c r="AP134" t="str">
        <f ca="1">IF(AND(ISNUMBER($AP$444),$B$294=1),$AP$444,HLOOKUP(INDIRECT(ADDRESS(2,COLUMN())),OFFSET($BN$2,0,0,ROW()-1,60),ROW()-1,FALSE))</f>
        <v/>
      </c>
      <c r="AQ134" t="str">
        <f ca="1">IF(AND(ISNUMBER($AQ$444),$B$294=1),$AQ$444,HLOOKUP(INDIRECT(ADDRESS(2,COLUMN())),OFFSET($BN$2,0,0,ROW()-1,60),ROW()-1,FALSE))</f>
        <v/>
      </c>
      <c r="AR134" t="str">
        <f ca="1">IF(AND(ISNUMBER($AR$444),$B$294=1),$AR$444,HLOOKUP(INDIRECT(ADDRESS(2,COLUMN())),OFFSET($BN$2,0,0,ROW()-1,60),ROW()-1,FALSE))</f>
        <v/>
      </c>
      <c r="AS134" t="str">
        <f ca="1">IF(AND(ISNUMBER($AS$444),$B$294=1),$AS$444,HLOOKUP(INDIRECT(ADDRESS(2,COLUMN())),OFFSET($BN$2,0,0,ROW()-1,60),ROW()-1,FALSE))</f>
        <v/>
      </c>
      <c r="AT134" t="str">
        <f ca="1">IF(AND(ISNUMBER($AT$444),$B$294=1),$AT$444,HLOOKUP(INDIRECT(ADDRESS(2,COLUMN())),OFFSET($BN$2,0,0,ROW()-1,60),ROW()-1,FALSE))</f>
        <v/>
      </c>
      <c r="AU134" t="str">
        <f ca="1">IF(AND(ISNUMBER($AU$444),$B$294=1),$AU$444,HLOOKUP(INDIRECT(ADDRESS(2,COLUMN())),OFFSET($BN$2,0,0,ROW()-1,60),ROW()-1,FALSE))</f>
        <v/>
      </c>
      <c r="AV134" t="str">
        <f ca="1">IF(AND(ISNUMBER($AV$444),$B$294=1),$AV$444,HLOOKUP(INDIRECT(ADDRESS(2,COLUMN())),OFFSET($BN$2,0,0,ROW()-1,60),ROW()-1,FALSE))</f>
        <v/>
      </c>
      <c r="AW134" t="str">
        <f ca="1">IF(AND(ISNUMBER($AW$444),$B$294=1),$AW$444,HLOOKUP(INDIRECT(ADDRESS(2,COLUMN())),OFFSET($BN$2,0,0,ROW()-1,60),ROW()-1,FALSE))</f>
        <v/>
      </c>
      <c r="AX134" t="str">
        <f ca="1">IF(AND(ISNUMBER($AX$444),$B$294=1),$AX$444,HLOOKUP(INDIRECT(ADDRESS(2,COLUMN())),OFFSET($BN$2,0,0,ROW()-1,60),ROW()-1,FALSE))</f>
        <v/>
      </c>
      <c r="AY134" t="str">
        <f ca="1">IF(AND(ISNUMBER($AY$444),$B$294=1),$AY$444,HLOOKUP(INDIRECT(ADDRESS(2,COLUMN())),OFFSET($BN$2,0,0,ROW()-1,60),ROW()-1,FALSE))</f>
        <v/>
      </c>
      <c r="AZ134" t="str">
        <f ca="1">IF(AND(ISNUMBER($AZ$444),$B$294=1),$AZ$444,HLOOKUP(INDIRECT(ADDRESS(2,COLUMN())),OFFSET($BN$2,0,0,ROW()-1,60),ROW()-1,FALSE))</f>
        <v/>
      </c>
      <c r="BA134" t="str">
        <f ca="1">IF(AND(ISNUMBER($BA$444),$B$294=1),$BA$444,HLOOKUP(INDIRECT(ADDRESS(2,COLUMN())),OFFSET($BN$2,0,0,ROW()-1,60),ROW()-1,FALSE))</f>
        <v/>
      </c>
      <c r="BB134" t="str">
        <f ca="1">IF(AND(ISNUMBER($BB$444),$B$294=1),$BB$444,HLOOKUP(INDIRECT(ADDRESS(2,COLUMN())),OFFSET($BN$2,0,0,ROW()-1,60),ROW()-1,FALSE))</f>
        <v/>
      </c>
      <c r="BC134" t="str">
        <f ca="1">IF(AND(ISNUMBER($BC$444),$B$294=1),$BC$444,HLOOKUP(INDIRECT(ADDRESS(2,COLUMN())),OFFSET($BN$2,0,0,ROW()-1,60),ROW()-1,FALSE))</f>
        <v/>
      </c>
      <c r="BD134" t="str">
        <f ca="1">IF(AND(ISNUMBER($BD$444),$B$294=1),$BD$444,HLOOKUP(INDIRECT(ADDRESS(2,COLUMN())),OFFSET($BN$2,0,0,ROW()-1,60),ROW()-1,FALSE))</f>
        <v/>
      </c>
      <c r="BE134" t="str">
        <f ca="1">IF(AND(ISNUMBER($BE$444),$B$294=1),$BE$444,HLOOKUP(INDIRECT(ADDRESS(2,COLUMN())),OFFSET($BN$2,0,0,ROW()-1,60),ROW()-1,FALSE))</f>
        <v/>
      </c>
      <c r="BF134" t="str">
        <f ca="1">IF(AND(ISNUMBER($BF$444),$B$294=1),$BF$444,HLOOKUP(INDIRECT(ADDRESS(2,COLUMN())),OFFSET($BN$2,0,0,ROW()-1,60),ROW()-1,FALSE))</f>
        <v/>
      </c>
      <c r="BG134" t="str">
        <f ca="1">IF(AND(ISNUMBER($BG$444),$B$294=1),$BG$444,HLOOKUP(INDIRECT(ADDRESS(2,COLUMN())),OFFSET($BN$2,0,0,ROW()-1,60),ROW()-1,FALSE))</f>
        <v/>
      </c>
      <c r="BH134" t="str">
        <f ca="1">IF(AND(ISNUMBER($BH$444),$B$294=1),$BH$444,HLOOKUP(INDIRECT(ADDRESS(2,COLUMN())),OFFSET($BN$2,0,0,ROW()-1,60),ROW()-1,FALSE))</f>
        <v/>
      </c>
      <c r="BI134" t="str">
        <f ca="1">IF(AND(ISNUMBER($BI$444),$B$294=1),$BI$444,HLOOKUP(INDIRECT(ADDRESS(2,COLUMN())),OFFSET($BN$2,0,0,ROW()-1,60),ROW()-1,FALSE))</f>
        <v/>
      </c>
      <c r="BJ134" t="str">
        <f ca="1">IF(AND(ISNUMBER($BJ$444),$B$294=1),$BJ$444,HLOOKUP(INDIRECT(ADDRESS(2,COLUMN())),OFFSET($BN$2,0,0,ROW()-1,60),ROW()-1,FALSE))</f>
        <v/>
      </c>
      <c r="BK134" t="str">
        <f ca="1">IF(AND(ISNUMBER($BK$444),$B$294=1),$BK$444,HLOOKUP(INDIRECT(ADDRESS(2,COLUMN())),OFFSET($BN$2,0,0,ROW()-1,60),ROW()-1,FALSE))</f>
        <v/>
      </c>
      <c r="BL134" t="str">
        <f ca="1">IF(AND(ISNUMBER($BL$444),$B$294=1),$BL$444,HLOOKUP(INDIRECT(ADDRESS(2,COLUMN())),OFFSET($BN$2,0,0,ROW()-1,60),ROW()-1,FALSE))</f>
        <v/>
      </c>
      <c r="BM134" t="str">
        <f ca="1">IF(AND(ISNUMBER($BM$444),$B$294=1),$BM$444,HLOOKUP(INDIRECT(ADDRESS(2,COLUMN())),OFFSET($BN$2,0,0,ROW()-1,60),ROW()-1,FALSE))</f>
        <v/>
      </c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  <c r="BT134" t="str">
        <f>""</f>
        <v/>
      </c>
      <c r="BU134" t="str">
        <f>""</f>
        <v/>
      </c>
      <c r="BV134" t="str">
        <f>""</f>
        <v/>
      </c>
      <c r="BW134" t="str">
        <f>""</f>
        <v/>
      </c>
      <c r="BX134" t="str">
        <f>""</f>
        <v/>
      </c>
      <c r="BY134" t="str">
        <f>""</f>
        <v/>
      </c>
      <c r="BZ134" t="str">
        <f>""</f>
        <v/>
      </c>
      <c r="CA134" t="str">
        <f>""</f>
        <v/>
      </c>
      <c r="CB134" t="str">
        <f>""</f>
        <v/>
      </c>
      <c r="CC134" t="str">
        <f>""</f>
        <v/>
      </c>
      <c r="CD134" t="str">
        <f>""</f>
        <v/>
      </c>
      <c r="CE134" t="str">
        <f>""</f>
        <v/>
      </c>
      <c r="CF134" t="str">
        <f>""</f>
        <v/>
      </c>
      <c r="CG134" t="str">
        <f>""</f>
        <v/>
      </c>
      <c r="CH134" t="str">
        <f>""</f>
        <v/>
      </c>
      <c r="CI134" t="str">
        <f>""</f>
        <v/>
      </c>
      <c r="CJ134" t="str">
        <f>""</f>
        <v/>
      </c>
      <c r="CK134" t="str">
        <f>""</f>
        <v/>
      </c>
      <c r="CL134" t="str">
        <f>""</f>
        <v/>
      </c>
      <c r="CM134" t="str">
        <f>""</f>
        <v/>
      </c>
      <c r="CN134" t="str">
        <f>""</f>
        <v/>
      </c>
      <c r="CO134" t="str">
        <f>""</f>
        <v/>
      </c>
      <c r="CP134" t="str">
        <f>""</f>
        <v/>
      </c>
      <c r="CQ134" t="str">
        <f>""</f>
        <v/>
      </c>
      <c r="CR134" t="str">
        <f>""</f>
        <v/>
      </c>
      <c r="CS134" t="str">
        <f>""</f>
        <v/>
      </c>
      <c r="CT134" t="str">
        <f>""</f>
        <v/>
      </c>
      <c r="CU134" t="str">
        <f>""</f>
        <v/>
      </c>
      <c r="CV134" t="str">
        <f>""</f>
        <v/>
      </c>
      <c r="CW134" t="str">
        <f>""</f>
        <v/>
      </c>
      <c r="CX134" t="str">
        <f>""</f>
        <v/>
      </c>
      <c r="CY134" t="str">
        <f>""</f>
        <v/>
      </c>
      <c r="CZ134" t="str">
        <f>""</f>
        <v/>
      </c>
      <c r="DA134" t="str">
        <f>""</f>
        <v/>
      </c>
      <c r="DB134" t="str">
        <f>""</f>
        <v/>
      </c>
      <c r="DC134" t="str">
        <f>""</f>
        <v/>
      </c>
      <c r="DD134" t="str">
        <f>""</f>
        <v/>
      </c>
      <c r="DE134" t="str">
        <f>""</f>
        <v/>
      </c>
      <c r="DF134" t="str">
        <f>""</f>
        <v/>
      </c>
      <c r="DG134" t="str">
        <f>""</f>
        <v/>
      </c>
      <c r="DH134" t="str">
        <f>""</f>
        <v/>
      </c>
      <c r="DI134" t="str">
        <f>""</f>
        <v/>
      </c>
      <c r="DJ134" t="str">
        <f>""</f>
        <v/>
      </c>
      <c r="DK134" t="str">
        <f>""</f>
        <v/>
      </c>
      <c r="DL134" t="str">
        <f>""</f>
        <v/>
      </c>
      <c r="DM134" t="str">
        <f>""</f>
        <v/>
      </c>
      <c r="DN134" t="str">
        <f>""</f>
        <v/>
      </c>
      <c r="DO134" t="str">
        <f>""</f>
        <v/>
      </c>
      <c r="DP134" t="str">
        <f>""</f>
        <v/>
      </c>
      <c r="DQ134" t="str">
        <f>""</f>
        <v/>
      </c>
      <c r="DR134" t="str">
        <f>""</f>
        <v/>
      </c>
      <c r="DS134" t="str">
        <f>""</f>
        <v/>
      </c>
      <c r="DT134" t="str">
        <f>""</f>
        <v/>
      </c>
      <c r="DU134" t="str">
        <f>""</f>
        <v/>
      </c>
    </row>
    <row r="135" spans="1:125">
      <c r="A135" t="str">
        <f>"    Vornado Realty Trust"</f>
        <v xml:space="preserve">    Vornado Realty Trust</v>
      </c>
      <c r="B135" t="str">
        <f>"VNO US Equity"</f>
        <v>VNO US Equity</v>
      </c>
      <c r="C135" t="str">
        <f t="shared" si="33"/>
        <v>BE592</v>
      </c>
      <c r="D135" t="str">
        <f t="shared" si="34"/>
        <v>BEST_FFOPS_YOY_GTH</v>
      </c>
      <c r="E135" t="str">
        <f t="shared" si="35"/>
        <v>动态</v>
      </c>
      <c r="F135" t="str">
        <f ca="1">IF(AND(ISNUMBER($F$445),$B$294=1),$F$445,HLOOKUP(INDIRECT(ADDRESS(2,COLUMN())),OFFSET($BN$2,0,0,ROW()-1,60),ROW()-1,FALSE))</f>
        <v/>
      </c>
      <c r="G135" t="str">
        <f ca="1">IF(AND(ISNUMBER($G$445),$B$294=1),$G$445,HLOOKUP(INDIRECT(ADDRESS(2,COLUMN())),OFFSET($BN$2,0,0,ROW()-1,60),ROW()-1,FALSE))</f>
        <v/>
      </c>
      <c r="H135" t="str">
        <f ca="1">IF(AND(ISNUMBER($H$445),$B$294=1),$H$445,HLOOKUP(INDIRECT(ADDRESS(2,COLUMN())),OFFSET($BN$2,0,0,ROW()-1,60),ROW()-1,FALSE))</f>
        <v/>
      </c>
      <c r="I135" t="str">
        <f ca="1">IF(AND(ISNUMBER($I$445),$B$294=1),$I$445,HLOOKUP(INDIRECT(ADDRESS(2,COLUMN())),OFFSET($BN$2,0,0,ROW()-1,60),ROW()-1,FALSE))</f>
        <v/>
      </c>
      <c r="J135" t="str">
        <f ca="1">IF(AND(ISNUMBER($J$445),$B$294=1),$J$445,HLOOKUP(INDIRECT(ADDRESS(2,COLUMN())),OFFSET($BN$2,0,0,ROW()-1,60),ROW()-1,FALSE))</f>
        <v/>
      </c>
      <c r="K135" t="str">
        <f ca="1">IF(AND(ISNUMBER($K$445),$B$294=1),$K$445,HLOOKUP(INDIRECT(ADDRESS(2,COLUMN())),OFFSET($BN$2,0,0,ROW()-1,60),ROW()-1,FALSE))</f>
        <v/>
      </c>
      <c r="L135" t="str">
        <f ca="1">IF(AND(ISNUMBER($L$445),$B$294=1),$L$445,HLOOKUP(INDIRECT(ADDRESS(2,COLUMN())),OFFSET($BN$2,0,0,ROW()-1,60),ROW()-1,FALSE))</f>
        <v/>
      </c>
      <c r="M135" t="str">
        <f ca="1">IF(AND(ISNUMBER($M$445),$B$294=1),$M$445,HLOOKUP(INDIRECT(ADDRESS(2,COLUMN())),OFFSET($BN$2,0,0,ROW()-1,60),ROW()-1,FALSE))</f>
        <v/>
      </c>
      <c r="N135" t="str">
        <f ca="1">IF(AND(ISNUMBER($N$445),$B$294=1),$N$445,HLOOKUP(INDIRECT(ADDRESS(2,COLUMN())),OFFSET($BN$2,0,0,ROW()-1,60),ROW()-1,FALSE))</f>
        <v/>
      </c>
      <c r="O135" t="str">
        <f ca="1">IF(AND(ISNUMBER($O$445),$B$294=1),$O$445,HLOOKUP(INDIRECT(ADDRESS(2,COLUMN())),OFFSET($BN$2,0,0,ROW()-1,60),ROW()-1,FALSE))</f>
        <v/>
      </c>
      <c r="P135" t="str">
        <f ca="1">IF(AND(ISNUMBER($P$445),$B$294=1),$P$445,HLOOKUP(INDIRECT(ADDRESS(2,COLUMN())),OFFSET($BN$2,0,0,ROW()-1,60),ROW()-1,FALSE))</f>
        <v/>
      </c>
      <c r="Q135" t="str">
        <f ca="1">IF(AND(ISNUMBER($Q$445),$B$294=1),$Q$445,HLOOKUP(INDIRECT(ADDRESS(2,COLUMN())),OFFSET($BN$2,0,0,ROW()-1,60),ROW()-1,FALSE))</f>
        <v/>
      </c>
      <c r="R135" t="str">
        <f ca="1">IF(AND(ISNUMBER($R$445),$B$294=1),$R$445,HLOOKUP(INDIRECT(ADDRESS(2,COLUMN())),OFFSET($BN$2,0,0,ROW()-1,60),ROW()-1,FALSE))</f>
        <v/>
      </c>
      <c r="S135" t="str">
        <f ca="1">IF(AND(ISNUMBER($S$445),$B$294=1),$S$445,HLOOKUP(INDIRECT(ADDRESS(2,COLUMN())),OFFSET($BN$2,0,0,ROW()-1,60),ROW()-1,FALSE))</f>
        <v/>
      </c>
      <c r="T135" t="str">
        <f ca="1">IF(AND(ISNUMBER($T$445),$B$294=1),$T$445,HLOOKUP(INDIRECT(ADDRESS(2,COLUMN())),OFFSET($BN$2,0,0,ROW()-1,60),ROW()-1,FALSE))</f>
        <v/>
      </c>
      <c r="U135" t="str">
        <f ca="1">IF(AND(ISNUMBER($U$445),$B$294=1),$U$445,HLOOKUP(INDIRECT(ADDRESS(2,COLUMN())),OFFSET($BN$2,0,0,ROW()-1,60),ROW()-1,FALSE))</f>
        <v/>
      </c>
      <c r="V135" t="str">
        <f ca="1">IF(AND(ISNUMBER($V$445),$B$294=1),$V$445,HLOOKUP(INDIRECT(ADDRESS(2,COLUMN())),OFFSET($BN$2,0,0,ROW()-1,60),ROW()-1,FALSE))</f>
        <v/>
      </c>
      <c r="W135" t="str">
        <f ca="1">IF(AND(ISNUMBER($W$445),$B$294=1),$W$445,HLOOKUP(INDIRECT(ADDRESS(2,COLUMN())),OFFSET($BN$2,0,0,ROW()-1,60),ROW()-1,FALSE))</f>
        <v/>
      </c>
      <c r="X135" t="str">
        <f ca="1">IF(AND(ISNUMBER($X$445),$B$294=1),$X$445,HLOOKUP(INDIRECT(ADDRESS(2,COLUMN())),OFFSET($BN$2,0,0,ROW()-1,60),ROW()-1,FALSE))</f>
        <v/>
      </c>
      <c r="Y135" t="str">
        <f ca="1">IF(AND(ISNUMBER($Y$445),$B$294=1),$Y$445,HLOOKUP(INDIRECT(ADDRESS(2,COLUMN())),OFFSET($BN$2,0,0,ROW()-1,60),ROW()-1,FALSE))</f>
        <v/>
      </c>
      <c r="Z135" t="str">
        <f ca="1">IF(AND(ISNUMBER($Z$445),$B$294=1),$Z$445,HLOOKUP(INDIRECT(ADDRESS(2,COLUMN())),OFFSET($BN$2,0,0,ROW()-1,60),ROW()-1,FALSE))</f>
        <v/>
      </c>
      <c r="AA135" t="str">
        <f ca="1">IF(AND(ISNUMBER($AA$445),$B$294=1),$AA$445,HLOOKUP(INDIRECT(ADDRESS(2,COLUMN())),OFFSET($BN$2,0,0,ROW()-1,60),ROW()-1,FALSE))</f>
        <v/>
      </c>
      <c r="AB135" t="str">
        <f ca="1">IF(AND(ISNUMBER($AB$445),$B$294=1),$AB$445,HLOOKUP(INDIRECT(ADDRESS(2,COLUMN())),OFFSET($BN$2,0,0,ROW()-1,60),ROW()-1,FALSE))</f>
        <v/>
      </c>
      <c r="AC135" t="str">
        <f ca="1">IF(AND(ISNUMBER($AC$445),$B$294=1),$AC$445,HLOOKUP(INDIRECT(ADDRESS(2,COLUMN())),OFFSET($BN$2,0,0,ROW()-1,60),ROW()-1,FALSE))</f>
        <v/>
      </c>
      <c r="AD135" t="str">
        <f ca="1">IF(AND(ISNUMBER($AD$445),$B$294=1),$AD$445,HLOOKUP(INDIRECT(ADDRESS(2,COLUMN())),OFFSET($BN$2,0,0,ROW()-1,60),ROW()-1,FALSE))</f>
        <v/>
      </c>
      <c r="AE135" t="str">
        <f ca="1">IF(AND(ISNUMBER($AE$445),$B$294=1),$AE$445,HLOOKUP(INDIRECT(ADDRESS(2,COLUMN())),OFFSET($BN$2,0,0,ROW()-1,60),ROW()-1,FALSE))</f>
        <v/>
      </c>
      <c r="AF135" t="str">
        <f ca="1">IF(AND(ISNUMBER($AF$445),$B$294=1),$AF$445,HLOOKUP(INDIRECT(ADDRESS(2,COLUMN())),OFFSET($BN$2,0,0,ROW()-1,60),ROW()-1,FALSE))</f>
        <v/>
      </c>
      <c r="AG135" t="str">
        <f ca="1">IF(AND(ISNUMBER($AG$445),$B$294=1),$AG$445,HLOOKUP(INDIRECT(ADDRESS(2,COLUMN())),OFFSET($BN$2,0,0,ROW()-1,60),ROW()-1,FALSE))</f>
        <v/>
      </c>
      <c r="AH135" t="str">
        <f ca="1">IF(AND(ISNUMBER($AH$445),$B$294=1),$AH$445,HLOOKUP(INDIRECT(ADDRESS(2,COLUMN())),OFFSET($BN$2,0,0,ROW()-1,60),ROW()-1,FALSE))</f>
        <v/>
      </c>
      <c r="AI135" t="str">
        <f ca="1">IF(AND(ISNUMBER($AI$445),$B$294=1),$AI$445,HLOOKUP(INDIRECT(ADDRESS(2,COLUMN())),OFFSET($BN$2,0,0,ROW()-1,60),ROW()-1,FALSE))</f>
        <v/>
      </c>
      <c r="AJ135" t="str">
        <f ca="1">IF(AND(ISNUMBER($AJ$445),$B$294=1),$AJ$445,HLOOKUP(INDIRECT(ADDRESS(2,COLUMN())),OFFSET($BN$2,0,0,ROW()-1,60),ROW()-1,FALSE))</f>
        <v/>
      </c>
      <c r="AK135" t="str">
        <f ca="1">IF(AND(ISNUMBER($AK$445),$B$294=1),$AK$445,HLOOKUP(INDIRECT(ADDRESS(2,COLUMN())),OFFSET($BN$2,0,0,ROW()-1,60),ROW()-1,FALSE))</f>
        <v/>
      </c>
      <c r="AL135" t="str">
        <f ca="1">IF(AND(ISNUMBER($AL$445),$B$294=1),$AL$445,HLOOKUP(INDIRECT(ADDRESS(2,COLUMN())),OFFSET($BN$2,0,0,ROW()-1,60),ROW()-1,FALSE))</f>
        <v/>
      </c>
      <c r="AM135" t="str">
        <f ca="1">IF(AND(ISNUMBER($AM$445),$B$294=1),$AM$445,HLOOKUP(INDIRECT(ADDRESS(2,COLUMN())),OFFSET($BN$2,0,0,ROW()-1,60),ROW()-1,FALSE))</f>
        <v/>
      </c>
      <c r="AN135" t="str">
        <f ca="1">IF(AND(ISNUMBER($AN$445),$B$294=1),$AN$445,HLOOKUP(INDIRECT(ADDRESS(2,COLUMN())),OFFSET($BN$2,0,0,ROW()-1,60),ROW()-1,FALSE))</f>
        <v/>
      </c>
      <c r="AO135" t="str">
        <f ca="1">IF(AND(ISNUMBER($AO$445),$B$294=1),$AO$445,HLOOKUP(INDIRECT(ADDRESS(2,COLUMN())),OFFSET($BN$2,0,0,ROW()-1,60),ROW()-1,FALSE))</f>
        <v/>
      </c>
      <c r="AP135" t="str">
        <f ca="1">IF(AND(ISNUMBER($AP$445),$B$294=1),$AP$445,HLOOKUP(INDIRECT(ADDRESS(2,COLUMN())),OFFSET($BN$2,0,0,ROW()-1,60),ROW()-1,FALSE))</f>
        <v/>
      </c>
      <c r="AQ135" t="str">
        <f ca="1">IF(AND(ISNUMBER($AQ$445),$B$294=1),$AQ$445,HLOOKUP(INDIRECT(ADDRESS(2,COLUMN())),OFFSET($BN$2,0,0,ROW()-1,60),ROW()-1,FALSE))</f>
        <v/>
      </c>
      <c r="AR135" t="str">
        <f ca="1">IF(AND(ISNUMBER($AR$445),$B$294=1),$AR$445,HLOOKUP(INDIRECT(ADDRESS(2,COLUMN())),OFFSET($BN$2,0,0,ROW()-1,60),ROW()-1,FALSE))</f>
        <v/>
      </c>
      <c r="AS135" t="str">
        <f ca="1">IF(AND(ISNUMBER($AS$445),$B$294=1),$AS$445,HLOOKUP(INDIRECT(ADDRESS(2,COLUMN())),OFFSET($BN$2,0,0,ROW()-1,60),ROW()-1,FALSE))</f>
        <v/>
      </c>
      <c r="AT135" t="str">
        <f ca="1">IF(AND(ISNUMBER($AT$445),$B$294=1),$AT$445,HLOOKUP(INDIRECT(ADDRESS(2,COLUMN())),OFFSET($BN$2,0,0,ROW()-1,60),ROW()-1,FALSE))</f>
        <v/>
      </c>
      <c r="AU135" t="str">
        <f ca="1">IF(AND(ISNUMBER($AU$445),$B$294=1),$AU$445,HLOOKUP(INDIRECT(ADDRESS(2,COLUMN())),OFFSET($BN$2,0,0,ROW()-1,60),ROW()-1,FALSE))</f>
        <v/>
      </c>
      <c r="AV135" t="str">
        <f ca="1">IF(AND(ISNUMBER($AV$445),$B$294=1),$AV$445,HLOOKUP(INDIRECT(ADDRESS(2,COLUMN())),OFFSET($BN$2,0,0,ROW()-1,60),ROW()-1,FALSE))</f>
        <v/>
      </c>
      <c r="AW135" t="str">
        <f ca="1">IF(AND(ISNUMBER($AW$445),$B$294=1),$AW$445,HLOOKUP(INDIRECT(ADDRESS(2,COLUMN())),OFFSET($BN$2,0,0,ROW()-1,60),ROW()-1,FALSE))</f>
        <v/>
      </c>
      <c r="AX135" t="str">
        <f ca="1">IF(AND(ISNUMBER($AX$445),$B$294=1),$AX$445,HLOOKUP(INDIRECT(ADDRESS(2,COLUMN())),OFFSET($BN$2,0,0,ROW()-1,60),ROW()-1,FALSE))</f>
        <v/>
      </c>
      <c r="AY135" t="str">
        <f ca="1">IF(AND(ISNUMBER($AY$445),$B$294=1),$AY$445,HLOOKUP(INDIRECT(ADDRESS(2,COLUMN())),OFFSET($BN$2,0,0,ROW()-1,60),ROW()-1,FALSE))</f>
        <v/>
      </c>
      <c r="AZ135" t="str">
        <f ca="1">IF(AND(ISNUMBER($AZ$445),$B$294=1),$AZ$445,HLOOKUP(INDIRECT(ADDRESS(2,COLUMN())),OFFSET($BN$2,0,0,ROW()-1,60),ROW()-1,FALSE))</f>
        <v/>
      </c>
      <c r="BA135" t="str">
        <f ca="1">IF(AND(ISNUMBER($BA$445),$B$294=1),$BA$445,HLOOKUP(INDIRECT(ADDRESS(2,COLUMN())),OFFSET($BN$2,0,0,ROW()-1,60),ROW()-1,FALSE))</f>
        <v/>
      </c>
      <c r="BB135" t="str">
        <f ca="1">IF(AND(ISNUMBER($BB$445),$B$294=1),$BB$445,HLOOKUP(INDIRECT(ADDRESS(2,COLUMN())),OFFSET($BN$2,0,0,ROW()-1,60),ROW()-1,FALSE))</f>
        <v/>
      </c>
      <c r="BC135" t="str">
        <f ca="1">IF(AND(ISNUMBER($BC$445),$B$294=1),$BC$445,HLOOKUP(INDIRECT(ADDRESS(2,COLUMN())),OFFSET($BN$2,0,0,ROW()-1,60),ROW()-1,FALSE))</f>
        <v/>
      </c>
      <c r="BD135" t="str">
        <f ca="1">IF(AND(ISNUMBER($BD$445),$B$294=1),$BD$445,HLOOKUP(INDIRECT(ADDRESS(2,COLUMN())),OFFSET($BN$2,0,0,ROW()-1,60),ROW()-1,FALSE))</f>
        <v/>
      </c>
      <c r="BE135" t="str">
        <f ca="1">IF(AND(ISNUMBER($BE$445),$B$294=1),$BE$445,HLOOKUP(INDIRECT(ADDRESS(2,COLUMN())),OFFSET($BN$2,0,0,ROW()-1,60),ROW()-1,FALSE))</f>
        <v/>
      </c>
      <c r="BF135" t="str">
        <f ca="1">IF(AND(ISNUMBER($BF$445),$B$294=1),$BF$445,HLOOKUP(INDIRECT(ADDRESS(2,COLUMN())),OFFSET($BN$2,0,0,ROW()-1,60),ROW()-1,FALSE))</f>
        <v/>
      </c>
      <c r="BG135" t="str">
        <f ca="1">IF(AND(ISNUMBER($BG$445),$B$294=1),$BG$445,HLOOKUP(INDIRECT(ADDRESS(2,COLUMN())),OFFSET($BN$2,0,0,ROW()-1,60),ROW()-1,FALSE))</f>
        <v/>
      </c>
      <c r="BH135" t="str">
        <f ca="1">IF(AND(ISNUMBER($BH$445),$B$294=1),$BH$445,HLOOKUP(INDIRECT(ADDRESS(2,COLUMN())),OFFSET($BN$2,0,0,ROW()-1,60),ROW()-1,FALSE))</f>
        <v/>
      </c>
      <c r="BI135" t="str">
        <f ca="1">IF(AND(ISNUMBER($BI$445),$B$294=1),$BI$445,HLOOKUP(INDIRECT(ADDRESS(2,COLUMN())),OFFSET($BN$2,0,0,ROW()-1,60),ROW()-1,FALSE))</f>
        <v/>
      </c>
      <c r="BJ135" t="str">
        <f ca="1">IF(AND(ISNUMBER($BJ$445),$B$294=1),$BJ$445,HLOOKUP(INDIRECT(ADDRESS(2,COLUMN())),OFFSET($BN$2,0,0,ROW()-1,60),ROW()-1,FALSE))</f>
        <v/>
      </c>
      <c r="BK135" t="str">
        <f ca="1">IF(AND(ISNUMBER($BK$445),$B$294=1),$BK$445,HLOOKUP(INDIRECT(ADDRESS(2,COLUMN())),OFFSET($BN$2,0,0,ROW()-1,60),ROW()-1,FALSE))</f>
        <v/>
      </c>
      <c r="BL135" t="str">
        <f ca="1">IF(AND(ISNUMBER($BL$445),$B$294=1),$BL$445,HLOOKUP(INDIRECT(ADDRESS(2,COLUMN())),OFFSET($BN$2,0,0,ROW()-1,60),ROW()-1,FALSE))</f>
        <v/>
      </c>
      <c r="BM135" t="str">
        <f ca="1">IF(AND(ISNUMBER($BM$445),$B$294=1),$BM$445,HLOOKUP(INDIRECT(ADDRESS(2,COLUMN())),OFFSET($BN$2,0,0,ROW()-1,60),ROW()-1,FALSE))</f>
        <v/>
      </c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 t="str">
        <f>""</f>
        <v/>
      </c>
      <c r="BS135" t="str">
        <f>""</f>
        <v/>
      </c>
      <c r="BT135" t="str">
        <f>""</f>
        <v/>
      </c>
      <c r="BU135" t="str">
        <f>""</f>
        <v/>
      </c>
      <c r="BV135" t="str">
        <f>""</f>
        <v/>
      </c>
      <c r="BW135" t="str">
        <f>""</f>
        <v/>
      </c>
      <c r="BX135" t="str">
        <f>""</f>
        <v/>
      </c>
      <c r="BY135" t="str">
        <f>""</f>
        <v/>
      </c>
      <c r="BZ135" t="str">
        <f>""</f>
        <v/>
      </c>
      <c r="CA135" t="str">
        <f>""</f>
        <v/>
      </c>
      <c r="CB135" t="str">
        <f>""</f>
        <v/>
      </c>
      <c r="CC135" t="str">
        <f>""</f>
        <v/>
      </c>
      <c r="CD135" t="str">
        <f>""</f>
        <v/>
      </c>
      <c r="CE135" t="str">
        <f>""</f>
        <v/>
      </c>
      <c r="CF135" t="str">
        <f>""</f>
        <v/>
      </c>
      <c r="CG135" t="str">
        <f>""</f>
        <v/>
      </c>
      <c r="CH135" t="str">
        <f>""</f>
        <v/>
      </c>
      <c r="CI135" t="str">
        <f>""</f>
        <v/>
      </c>
      <c r="CJ135" t="str">
        <f>""</f>
        <v/>
      </c>
      <c r="CK135" t="str">
        <f>""</f>
        <v/>
      </c>
      <c r="CL135" t="str">
        <f>""</f>
        <v/>
      </c>
      <c r="CM135" t="str">
        <f>""</f>
        <v/>
      </c>
      <c r="CN135" t="str">
        <f>""</f>
        <v/>
      </c>
      <c r="CO135" t="str">
        <f>""</f>
        <v/>
      </c>
      <c r="CP135" t="str">
        <f>""</f>
        <v/>
      </c>
      <c r="CQ135" t="str">
        <f>""</f>
        <v/>
      </c>
      <c r="CR135" t="str">
        <f>""</f>
        <v/>
      </c>
      <c r="CS135" t="str">
        <f>""</f>
        <v/>
      </c>
      <c r="CT135" t="str">
        <f>""</f>
        <v/>
      </c>
      <c r="CU135" t="str">
        <f>""</f>
        <v/>
      </c>
      <c r="CV135" t="str">
        <f>""</f>
        <v/>
      </c>
      <c r="CW135" t="str">
        <f>""</f>
        <v/>
      </c>
      <c r="CX135" t="str">
        <f>""</f>
        <v/>
      </c>
      <c r="CY135" t="str">
        <f>""</f>
        <v/>
      </c>
      <c r="CZ135" t="str">
        <f>""</f>
        <v/>
      </c>
      <c r="DA135" t="str">
        <f>""</f>
        <v/>
      </c>
      <c r="DB135" t="str">
        <f>""</f>
        <v/>
      </c>
      <c r="DC135" t="str">
        <f>""</f>
        <v/>
      </c>
      <c r="DD135" t="str">
        <f>""</f>
        <v/>
      </c>
      <c r="DE135" t="str">
        <f>""</f>
        <v/>
      </c>
      <c r="DF135" t="str">
        <f>""</f>
        <v/>
      </c>
      <c r="DG135" t="str">
        <f>""</f>
        <v/>
      </c>
      <c r="DH135" t="str">
        <f>""</f>
        <v/>
      </c>
      <c r="DI135" t="str">
        <f>""</f>
        <v/>
      </c>
      <c r="DJ135" t="str">
        <f>""</f>
        <v/>
      </c>
      <c r="DK135" t="str">
        <f>""</f>
        <v/>
      </c>
      <c r="DL135" t="str">
        <f>""</f>
        <v/>
      </c>
      <c r="DM135" t="str">
        <f>""</f>
        <v/>
      </c>
      <c r="DN135" t="str">
        <f>""</f>
        <v/>
      </c>
      <c r="DO135" t="str">
        <f>""</f>
        <v/>
      </c>
      <c r="DP135" t="str">
        <f>""</f>
        <v/>
      </c>
      <c r="DQ135" t="str">
        <f>""</f>
        <v/>
      </c>
      <c r="DR135" t="str">
        <f>""</f>
        <v/>
      </c>
      <c r="DS135" t="str">
        <f>""</f>
        <v/>
      </c>
      <c r="DT135" t="str">
        <f>""</f>
        <v/>
      </c>
      <c r="DU135" t="str">
        <f>""</f>
        <v/>
      </c>
    </row>
    <row r="136" spans="1:125">
      <c r="A136" t="str">
        <f>"EBITDA利润率(%)"</f>
        <v>EBITDA利润率(%)</v>
      </c>
      <c r="B136" t="str">
        <f>""</f>
        <v/>
      </c>
      <c r="E136" t="str">
        <f>"Median"</f>
        <v>Median</v>
      </c>
      <c r="F136" t="str">
        <f ca="1">IF(ISERROR(IF(MEDIAN($F$137:$F$146) = 0, "", MEDIAN($F$137:$F$146))), "", (IF(MEDIAN($F$137:$F$146) = 0, "", MEDIAN($F$137:$F$146))))</f>
        <v/>
      </c>
      <c r="G136">
        <f ca="1">IF(ISERROR(IF(MEDIAN($G$137:$G$146) = 0, "", MEDIAN($G$137:$G$146))), "", (IF(MEDIAN($G$137:$G$146) = 0, "", MEDIAN($G$137:$G$146))))</f>
        <v>53.130762884999996</v>
      </c>
      <c r="H136">
        <f ca="1">IF(ISERROR(IF(MEDIAN($H$137:$H$146) = 0, "", MEDIAN($H$137:$H$146))), "", (IF(MEDIAN($H$137:$H$146) = 0, "", MEDIAN($H$137:$H$146))))</f>
        <v>55.734508934999994</v>
      </c>
      <c r="I136">
        <f ca="1">IF(ISERROR(IF(MEDIAN($I$137:$I$146) = 0, "", MEDIAN($I$137:$I$146))), "", (IF(MEDIAN($I$137:$I$146) = 0, "", MEDIAN($I$137:$I$146))))</f>
        <v>57.313583594999997</v>
      </c>
      <c r="J136">
        <f ca="1">IF(ISERROR(IF(MEDIAN($J$137:$J$146) = 0, "", MEDIAN($J$137:$J$146))), "", (IF(MEDIAN($J$137:$J$146) = 0, "", MEDIAN($J$137:$J$146))))</f>
        <v>56.559718965000002</v>
      </c>
      <c r="K136">
        <f ca="1">IF(ISERROR(IF(MEDIAN($K$137:$K$146) = 0, "", MEDIAN($K$137:$K$146))), "", (IF(MEDIAN($K$137:$K$146) = 0, "", MEDIAN($K$137:$K$146))))</f>
        <v>54.656316920000002</v>
      </c>
      <c r="L136">
        <f ca="1">IF(ISERROR(IF(MEDIAN($L$137:$L$146) = 0, "", MEDIAN($L$137:$L$146))), "", (IF(MEDIAN($L$137:$L$146) = 0, "", MEDIAN($L$137:$L$146))))</f>
        <v>54.298022055000004</v>
      </c>
      <c r="M136">
        <f ca="1">IF(ISERROR(IF(MEDIAN($M$137:$M$146) = 0, "", MEDIAN($M$137:$M$146))), "", (IF(MEDIAN($M$137:$M$146) = 0, "", MEDIAN($M$137:$M$146))))</f>
        <v>54.509196759999995</v>
      </c>
      <c r="N136">
        <f ca="1">IF(ISERROR(IF(MEDIAN($N$137:$N$146) = 0, "", MEDIAN($N$137:$N$146))), "", (IF(MEDIAN($N$137:$N$146) = 0, "", MEDIAN($N$137:$N$146))))</f>
        <v>54.640362945</v>
      </c>
      <c r="O136">
        <f ca="1">IF(ISERROR(IF(MEDIAN($O$137:$O$146) = 0, "", MEDIAN($O$137:$O$146))), "", (IF(MEDIAN($O$137:$O$146) = 0, "", MEDIAN($O$137:$O$146))))</f>
        <v>55.697838105000002</v>
      </c>
      <c r="P136">
        <f ca="1">IF(ISERROR(IF(MEDIAN($P$137:$P$146) = 0, "", MEDIAN($P$137:$P$146))), "", (IF(MEDIAN($P$137:$P$146) = 0, "", MEDIAN($P$137:$P$146))))</f>
        <v>54.478441720000006</v>
      </c>
      <c r="Q136">
        <f ca="1">IF(ISERROR(IF(MEDIAN($Q$137:$Q$146) = 0, "", MEDIAN($Q$137:$Q$146))), "", (IF(MEDIAN($Q$137:$Q$146) = 0, "", MEDIAN($Q$137:$Q$146))))</f>
        <v>56.589680295000001</v>
      </c>
      <c r="R136">
        <f ca="1">IF(ISERROR(IF(MEDIAN($R$137:$R$146) = 0, "", MEDIAN($R$137:$R$146))), "", (IF(MEDIAN($R$137:$R$146) = 0, "", MEDIAN($R$137:$R$146))))</f>
        <v>53.577363769999998</v>
      </c>
      <c r="S136">
        <f ca="1">IF(ISERROR(IF(MEDIAN($S$137:$S$146) = 0, "", MEDIAN($S$137:$S$146))), "", (IF(MEDIAN($S$137:$S$146) = 0, "", MEDIAN($S$137:$S$146))))</f>
        <v>53.451199325000005</v>
      </c>
      <c r="T136">
        <f ca="1">IF(ISERROR(IF(MEDIAN($T$137:$T$146) = 0, "", MEDIAN($T$137:$T$146))), "", (IF(MEDIAN($T$137:$T$146) = 0, "", MEDIAN($T$137:$T$146))))</f>
        <v>54.722519669999997</v>
      </c>
      <c r="U136">
        <f ca="1">IF(ISERROR(IF(MEDIAN($U$137:$U$146) = 0, "", MEDIAN($U$137:$U$146))), "", (IF(MEDIAN($U$137:$U$146) = 0, "", MEDIAN($U$137:$U$146))))</f>
        <v>55.928355010000004</v>
      </c>
      <c r="V136">
        <f ca="1">IF(ISERROR(IF(MEDIAN($V$137:$V$146) = 0, "", MEDIAN($V$137:$V$146))), "", (IF(MEDIAN($V$137:$V$146) = 0, "", MEDIAN($V$137:$V$146))))</f>
        <v>53.496790645000004</v>
      </c>
      <c r="W136">
        <f ca="1">IF(ISERROR(IF(MEDIAN($W$137:$W$146) = 0, "", MEDIAN($W$137:$W$146))), "", (IF(MEDIAN($W$137:$W$146) = 0, "", MEDIAN($W$137:$W$146))))</f>
        <v>56.148373665000001</v>
      </c>
      <c r="X136">
        <f ca="1">IF(ISERROR(IF(MEDIAN($X$137:$X$146) = 0, "", MEDIAN($X$137:$X$146))), "", (IF(MEDIAN($X$137:$X$146) = 0, "", MEDIAN($X$137:$X$146))))</f>
        <v>56.196440890000005</v>
      </c>
      <c r="Y136">
        <f ca="1">IF(ISERROR(IF(MEDIAN($Y$137:$Y$146) = 0, "", MEDIAN($Y$137:$Y$146))), "", (IF(MEDIAN($Y$137:$Y$146) = 0, "", MEDIAN($Y$137:$Y$146))))</f>
        <v>57.506423374999997</v>
      </c>
      <c r="Z136">
        <f ca="1">IF(ISERROR(IF(MEDIAN($Z$137:$Z$146) = 0, "", MEDIAN($Z$137:$Z$146))), "", (IF(MEDIAN($Z$137:$Z$146) = 0, "", MEDIAN($Z$137:$Z$146))))</f>
        <v>55.357361824999998</v>
      </c>
      <c r="AA136">
        <f ca="1">IF(ISERROR(IF(MEDIAN($AA$137:$AA$146) = 0, "", MEDIAN($AA$137:$AA$146))), "", (IF(MEDIAN($AA$137:$AA$146) = 0, "", MEDIAN($AA$137:$AA$146))))</f>
        <v>53.914915110000003</v>
      </c>
      <c r="AB136">
        <f ca="1">IF(ISERROR(IF(MEDIAN($AB$137:$AB$146) = 0, "", MEDIAN($AB$137:$AB$146))), "", (IF(MEDIAN($AB$137:$AB$146) = 0, "", MEDIAN($AB$137:$AB$146))))</f>
        <v>56.033210609999998</v>
      </c>
      <c r="AC136">
        <f ca="1">IF(ISERROR(IF(MEDIAN($AC$137:$AC$146) = 0, "", MEDIAN($AC$137:$AC$146))), "", (IF(MEDIAN($AC$137:$AC$146) = 0, "", MEDIAN($AC$137:$AC$146))))</f>
        <v>57.543451285000003</v>
      </c>
      <c r="AD136">
        <f ca="1">IF(ISERROR(IF(MEDIAN($AD$137:$AD$146) = 0, "", MEDIAN($AD$137:$AD$146))), "", (IF(MEDIAN($AD$137:$AD$146) = 0, "", MEDIAN($AD$137:$AD$146))))</f>
        <v>57.076162030000006</v>
      </c>
      <c r="AE136">
        <f ca="1">IF(ISERROR(IF(MEDIAN($AE$137:$AE$146) = 0, "", MEDIAN($AE$137:$AE$146))), "", (IF(MEDIAN($AE$137:$AE$146) = 0, "", MEDIAN($AE$137:$AE$146))))</f>
        <v>54.908809849999997</v>
      </c>
      <c r="AF136">
        <f ca="1">IF(ISERROR(IF(MEDIAN($AF$137:$AF$146) = 0, "", MEDIAN($AF$137:$AF$146))), "", (IF(MEDIAN($AF$137:$AF$146) = 0, "", MEDIAN($AF$137:$AF$146))))</f>
        <v>57.544156229999999</v>
      </c>
      <c r="AG136">
        <f ca="1">IF(ISERROR(IF(MEDIAN($AG$137:$AG$146) = 0, "", MEDIAN($AG$137:$AG$146))), "", (IF(MEDIAN($AG$137:$AG$146) = 0, "", MEDIAN($AG$137:$AG$146))))</f>
        <v>57.509843274999994</v>
      </c>
      <c r="AH136">
        <f ca="1">IF(ISERROR(IF(MEDIAN($AH$137:$AH$146) = 0, "", MEDIAN($AH$137:$AH$146))), "", (IF(MEDIAN($AH$137:$AH$146) = 0, "", MEDIAN($AH$137:$AH$146))))</f>
        <v>55.754442999999995</v>
      </c>
      <c r="AI136">
        <f ca="1">IF(ISERROR(IF(MEDIAN($AI$137:$AI$146) = 0, "", MEDIAN($AI$137:$AI$146))), "", (IF(MEDIAN($AI$137:$AI$146) = 0, "", MEDIAN($AI$137:$AI$146))))</f>
        <v>53.174859139999995</v>
      </c>
      <c r="AJ136">
        <f ca="1">IF(ISERROR(IF(MEDIAN($AJ$137:$AJ$146) = 0, "", MEDIAN($AJ$137:$AJ$146))), "", (IF(MEDIAN($AJ$137:$AJ$146) = 0, "", MEDIAN($AJ$137:$AJ$146))))</f>
        <v>55.098086795</v>
      </c>
      <c r="AK136">
        <f ca="1">IF(ISERROR(IF(MEDIAN($AK$137:$AK$146) = 0, "", MEDIAN($AK$137:$AK$146))), "", (IF(MEDIAN($AK$137:$AK$146) = 0, "", MEDIAN($AK$137:$AK$146))))</f>
        <v>54.251825425</v>
      </c>
      <c r="AL136">
        <f ca="1">IF(ISERROR(IF(MEDIAN($AL$137:$AL$146) = 0, "", MEDIAN($AL$137:$AL$146))), "", (IF(MEDIAN($AL$137:$AL$146) = 0, "", MEDIAN($AL$137:$AL$146))))</f>
        <v>54.143209925000001</v>
      </c>
      <c r="AM136">
        <f ca="1">IF(ISERROR(IF(MEDIAN($AM$137:$AM$146) = 0, "", MEDIAN($AM$137:$AM$146))), "", (IF(MEDIAN($AM$137:$AM$146) = 0, "", MEDIAN($AM$137:$AM$146))))</f>
        <v>51.185354605000001</v>
      </c>
      <c r="AN136">
        <f ca="1">IF(ISERROR(IF(MEDIAN($AN$137:$AN$146) = 0, "", MEDIAN($AN$137:$AN$146))), "", (IF(MEDIAN($AN$137:$AN$146) = 0, "", MEDIAN($AN$137:$AN$146))))</f>
        <v>53.290338835</v>
      </c>
      <c r="AO136">
        <f ca="1">IF(ISERROR(IF(MEDIAN($AO$137:$AO$146) = 0, "", MEDIAN($AO$137:$AO$146))), "", (IF(MEDIAN($AO$137:$AO$146) = 0, "", MEDIAN($AO$137:$AO$146))))</f>
        <v>55.701537115000001</v>
      </c>
      <c r="AP136">
        <f ca="1">IF(ISERROR(IF(MEDIAN($AP$137:$AP$146) = 0, "", MEDIAN($AP$137:$AP$146))), "", (IF(MEDIAN($AP$137:$AP$146) = 0, "", MEDIAN($AP$137:$AP$146))))</f>
        <v>52.625377270000001</v>
      </c>
      <c r="AQ136">
        <f ca="1">IF(ISERROR(IF(MEDIAN($AQ$137:$AQ$146) = 0, "", MEDIAN($AQ$137:$AQ$146))), "", (IF(MEDIAN($AQ$137:$AQ$146) = 0, "", MEDIAN($AQ$137:$AQ$146))))</f>
        <v>50.704952720000001</v>
      </c>
      <c r="AR136">
        <f ca="1">IF(ISERROR(IF(MEDIAN($AR$137:$AR$146) = 0, "", MEDIAN($AR$137:$AR$146))), "", (IF(MEDIAN($AR$137:$AR$146) = 0, "", MEDIAN($AR$137:$AR$146))))</f>
        <v>54.571214789999999</v>
      </c>
      <c r="AS136">
        <f ca="1">IF(ISERROR(IF(MEDIAN($AS$137:$AS$146) = 0, "", MEDIAN($AS$137:$AS$146))), "", (IF(MEDIAN($AS$137:$AS$146) = 0, "", MEDIAN($AS$137:$AS$146))))</f>
        <v>57.265002199999998</v>
      </c>
      <c r="AT136">
        <f ca="1">IF(ISERROR(IF(MEDIAN($AT$137:$AT$146) = 0, "", MEDIAN($AT$137:$AT$146))), "", (IF(MEDIAN($AT$137:$AT$146) = 0, "", MEDIAN($AT$137:$AT$146))))</f>
        <v>54.44246571</v>
      </c>
      <c r="AU136">
        <f ca="1">IF(ISERROR(IF(MEDIAN($AU$137:$AU$146) = 0, "", MEDIAN($AU$137:$AU$146))), "", (IF(MEDIAN($AU$137:$AU$146) = 0, "", MEDIAN($AU$137:$AU$146))))</f>
        <v>54.932789479999997</v>
      </c>
      <c r="AV136">
        <f ca="1">IF(ISERROR(IF(MEDIAN($AV$137:$AV$146) = 0, "", MEDIAN($AV$137:$AV$146))), "", (IF(MEDIAN($AV$137:$AV$146) = 0, "", MEDIAN($AV$137:$AV$146))))</f>
        <v>55.250046480000002</v>
      </c>
      <c r="AW136">
        <f ca="1">IF(ISERROR(IF(MEDIAN($AW$137:$AW$146) = 0, "", MEDIAN($AW$137:$AW$146))), "", (IF(MEDIAN($AW$137:$AW$146) = 0, "", MEDIAN($AW$137:$AW$146))))</f>
        <v>55.886819439999996</v>
      </c>
      <c r="AX136">
        <f ca="1">IF(ISERROR(IF(MEDIAN($AX$137:$AX$146) = 0, "", MEDIAN($AX$137:$AX$146))), "", (IF(MEDIAN($AX$137:$AX$146) = 0, "", MEDIAN($AX$137:$AX$146))))</f>
        <v>55.617692529999999</v>
      </c>
      <c r="AY136">
        <f ca="1">IF(ISERROR(IF(MEDIAN($AY$137:$AY$146) = 0, "", MEDIAN($AY$137:$AY$146))), "", (IF(MEDIAN($AY$137:$AY$146) = 0, "", MEDIAN($AY$137:$AY$146))))</f>
        <v>52.979594650000003</v>
      </c>
      <c r="AZ136">
        <f ca="1">IF(ISERROR(IF(MEDIAN($AZ$137:$AZ$146) = 0, "", MEDIAN($AZ$137:$AZ$146))), "", (IF(MEDIAN($AZ$137:$AZ$146) = 0, "", MEDIAN($AZ$137:$AZ$146))))</f>
        <v>57.22919795</v>
      </c>
      <c r="BA136">
        <f ca="1">IF(ISERROR(IF(MEDIAN($BA$137:$BA$146) = 0, "", MEDIAN($BA$137:$BA$146))), "", (IF(MEDIAN($BA$137:$BA$146) = 0, "", MEDIAN($BA$137:$BA$146))))</f>
        <v>56.758513039999997</v>
      </c>
      <c r="BB136">
        <f ca="1">IF(ISERROR(IF(MEDIAN($BB$137:$BB$146) = 0, "", MEDIAN($BB$137:$BB$146))), "", (IF(MEDIAN($BB$137:$BB$146) = 0, "", MEDIAN($BB$137:$BB$146))))</f>
        <v>59.314989969999999</v>
      </c>
      <c r="BC136">
        <f ca="1">IF(ISERROR(IF(MEDIAN($BC$137:$BC$146) = 0, "", MEDIAN($BC$137:$BC$146))), "", (IF(MEDIAN($BC$137:$BC$146) = 0, "", MEDIAN($BC$137:$BC$146))))</f>
        <v>48.603215470000002</v>
      </c>
      <c r="BD136">
        <f ca="1">IF(ISERROR(IF(MEDIAN($BD$137:$BD$146) = 0, "", MEDIAN($BD$137:$BD$146))), "", (IF(MEDIAN($BD$137:$BD$146) = 0, "", MEDIAN($BD$137:$BD$146))))</f>
        <v>56.042630410000001</v>
      </c>
      <c r="BE136">
        <f ca="1">IF(ISERROR(IF(MEDIAN($BE$137:$BE$146) = 0, "", MEDIAN($BE$137:$BE$146))), "", (IF(MEDIAN($BE$137:$BE$146) = 0, "", MEDIAN($BE$137:$BE$146))))</f>
        <v>54.950862129999997</v>
      </c>
      <c r="BF136">
        <f ca="1">IF(ISERROR(IF(MEDIAN($BF$137:$BF$146) = 0, "", MEDIAN($BF$137:$BF$146))), "", (IF(MEDIAN($BF$137:$BF$146) = 0, "", MEDIAN($BF$137:$BF$146))))</f>
        <v>53.811281389999998</v>
      </c>
      <c r="BG136">
        <f ca="1">IF(ISERROR(IF(MEDIAN($BG$137:$BG$146) = 0, "", MEDIAN($BG$137:$BG$146))), "", (IF(MEDIAN($BG$137:$BG$146) = 0, "", MEDIAN($BG$137:$BG$146))))</f>
        <v>58.864588179999998</v>
      </c>
      <c r="BH136">
        <f ca="1">IF(ISERROR(IF(MEDIAN($BH$137:$BH$146) = 0, "", MEDIAN($BH$137:$BH$146))), "", (IF(MEDIAN($BH$137:$BH$146) = 0, "", MEDIAN($BH$137:$BH$146))))</f>
        <v>57.6813632</v>
      </c>
      <c r="BI136">
        <f ca="1">IF(ISERROR(IF(MEDIAN($BI$137:$BI$146) = 0, "", MEDIAN($BI$137:$BI$146))), "", (IF(MEDIAN($BI$137:$BI$146) = 0, "", MEDIAN($BI$137:$BI$146))))</f>
        <v>62.27482466</v>
      </c>
      <c r="BJ136">
        <f ca="1">IF(ISERROR(IF(MEDIAN($BJ$137:$BJ$146) = 0, "", MEDIAN($BJ$137:$BJ$146))), "", (IF(MEDIAN($BJ$137:$BJ$146) = 0, "", MEDIAN($BJ$137:$BJ$146))))</f>
        <v>56.640095729999999</v>
      </c>
      <c r="BK136">
        <f ca="1">IF(ISERROR(IF(MEDIAN($BK$137:$BK$146) = 0, "", MEDIAN($BK$137:$BK$146))), "", (IF(MEDIAN($BK$137:$BK$146) = 0, "", MEDIAN($BK$137:$BK$146))))</f>
        <v>62.418052029999998</v>
      </c>
      <c r="BL136">
        <f ca="1">IF(ISERROR(IF(MEDIAN($BL$137:$BL$146) = 0, "", MEDIAN($BL$137:$BL$146))), "", (IF(MEDIAN($BL$137:$BL$146) = 0, "", MEDIAN($BL$137:$BL$146))))</f>
        <v>60.512361370000001</v>
      </c>
      <c r="BM136">
        <f ca="1">IF(ISERROR(IF(MEDIAN($BM$137:$BM$146) = 0, "", MEDIAN($BM$137:$BM$146))), "", (IF(MEDIAN($BM$137:$BM$146) = 0, "", MEDIAN($BM$137:$BM$146))))</f>
        <v>60.813258179999998</v>
      </c>
      <c r="BN136" t="str">
        <f>""</f>
        <v/>
      </c>
      <c r="BO136">
        <f>53.13076288</f>
        <v>53.130762879999999</v>
      </c>
      <c r="BP136">
        <f>55.73450894</f>
        <v>55.734508939999998</v>
      </c>
      <c r="BQ136">
        <f>57.3135836</f>
        <v>57.313583600000001</v>
      </c>
      <c r="BR136">
        <f>56.55971897</f>
        <v>56.559718969999999</v>
      </c>
      <c r="BS136">
        <f>54.65631692</f>
        <v>54.656316920000002</v>
      </c>
      <c r="BT136">
        <f>54.29802205</f>
        <v>54.29802205</v>
      </c>
      <c r="BU136">
        <f>54.50919676</f>
        <v>54.509196760000002</v>
      </c>
      <c r="BV136">
        <f>54.64036295</f>
        <v>54.640362949999997</v>
      </c>
      <c r="BW136">
        <f>55.6978381</f>
        <v>55.697838099999998</v>
      </c>
      <c r="BX136">
        <f>54.47844172</f>
        <v>54.478441719999999</v>
      </c>
      <c r="BY136">
        <f>56.5896803</f>
        <v>56.589680299999998</v>
      </c>
      <c r="BZ136">
        <f>53.57736377</f>
        <v>53.577363769999998</v>
      </c>
      <c r="CA136">
        <f>53.45119932</f>
        <v>53.451199320000001</v>
      </c>
      <c r="CB136">
        <f>54.72251967</f>
        <v>54.722519669999997</v>
      </c>
      <c r="CC136">
        <f>55.92835501</f>
        <v>55.928355009999997</v>
      </c>
      <c r="CD136">
        <f>53.49679065</f>
        <v>53.496790650000001</v>
      </c>
      <c r="CE136">
        <f>56.14837367</f>
        <v>56.148373669999998</v>
      </c>
      <c r="CF136">
        <f>56.19644089</f>
        <v>56.196440889999998</v>
      </c>
      <c r="CG136">
        <f>57.50642337</f>
        <v>57.50642337</v>
      </c>
      <c r="CH136">
        <f>55.35736182</f>
        <v>55.357361820000001</v>
      </c>
      <c r="CI136">
        <f>53.91491511</f>
        <v>53.914915110000003</v>
      </c>
      <c r="CJ136">
        <f>56.03321061</f>
        <v>56.033210609999998</v>
      </c>
      <c r="CK136">
        <f>57.54345128</f>
        <v>57.543451279999999</v>
      </c>
      <c r="CL136">
        <f>57.07616203</f>
        <v>57.076162029999999</v>
      </c>
      <c r="CM136">
        <f>54.90880985</f>
        <v>54.908809849999997</v>
      </c>
      <c r="CN136">
        <f>57.54415623</f>
        <v>57.544156229999999</v>
      </c>
      <c r="CO136">
        <f>57.50984328</f>
        <v>57.509843279999998</v>
      </c>
      <c r="CP136">
        <f>55.754443</f>
        <v>55.754443000000002</v>
      </c>
      <c r="CQ136">
        <f>53.17485914</f>
        <v>53.174859140000002</v>
      </c>
      <c r="CR136">
        <f>55.09808679</f>
        <v>55.098086790000004</v>
      </c>
      <c r="CS136">
        <f>54.25182543</f>
        <v>54.251825429999997</v>
      </c>
      <c r="CT136">
        <f>54.14320992</f>
        <v>54.143209919999997</v>
      </c>
      <c r="CU136">
        <f>51.18535461</f>
        <v>51.185354609999997</v>
      </c>
      <c r="CV136">
        <f>53.29033884</f>
        <v>53.290338839999997</v>
      </c>
      <c r="CW136">
        <f>55.70153711</f>
        <v>55.701537109999997</v>
      </c>
      <c r="CX136">
        <f>52.62537727</f>
        <v>52.625377270000001</v>
      </c>
      <c r="CY136">
        <f>50.70495272</f>
        <v>50.704952720000001</v>
      </c>
      <c r="CZ136">
        <f>54.57121479</f>
        <v>54.571214789999999</v>
      </c>
      <c r="DA136">
        <f>57.2650022</f>
        <v>57.265002199999998</v>
      </c>
      <c r="DB136">
        <f>54.44246571</f>
        <v>54.44246571</v>
      </c>
      <c r="DC136">
        <f>54.93278948</f>
        <v>54.932789479999997</v>
      </c>
      <c r="DD136">
        <f>55.25004648</f>
        <v>55.250046480000002</v>
      </c>
      <c r="DE136">
        <f>55.88681944</f>
        <v>55.886819439999996</v>
      </c>
      <c r="DF136">
        <f>55.61769253</f>
        <v>55.617692529999999</v>
      </c>
      <c r="DG136">
        <f>52.97959465</f>
        <v>52.979594650000003</v>
      </c>
      <c r="DH136">
        <f>57.22919795</f>
        <v>57.22919795</v>
      </c>
      <c r="DI136">
        <f>56.75851304</f>
        <v>56.758513039999997</v>
      </c>
      <c r="DJ136">
        <f>59.31498997</f>
        <v>59.314989969999999</v>
      </c>
      <c r="DK136">
        <f>48.60321547</f>
        <v>48.603215470000002</v>
      </c>
      <c r="DL136">
        <f>56.04263041</f>
        <v>56.042630410000001</v>
      </c>
      <c r="DM136">
        <f>54.95086213</f>
        <v>54.950862129999997</v>
      </c>
      <c r="DN136">
        <f>53.81128139</f>
        <v>53.811281389999998</v>
      </c>
      <c r="DO136">
        <f>58.86458818</f>
        <v>58.864588179999998</v>
      </c>
      <c r="DP136">
        <f>57.6813632</f>
        <v>57.6813632</v>
      </c>
      <c r="DQ136">
        <f>62.27482466</f>
        <v>62.27482466</v>
      </c>
      <c r="DR136">
        <f>56.64009573</f>
        <v>56.640095729999999</v>
      </c>
      <c r="DS136">
        <f>62.41805203</f>
        <v>62.418052029999998</v>
      </c>
      <c r="DT136">
        <f>60.51236137</f>
        <v>60.512361370000001</v>
      </c>
      <c r="DU136">
        <f>60.81325818</f>
        <v>60.813258179999998</v>
      </c>
    </row>
    <row r="137" spans="1:125">
      <c r="A137" t="str">
        <f>"    Boston Properties Inc"</f>
        <v xml:space="preserve">    Boston Properties Inc</v>
      </c>
      <c r="B137" t="str">
        <f>"BXP US Equity"</f>
        <v>BXP US Equity</v>
      </c>
      <c r="C137" t="str">
        <f t="shared" ref="C137:C146" si="36">"RX225"</f>
        <v>RX225</v>
      </c>
      <c r="D137" t="str">
        <f t="shared" ref="D137:D146" si="37">"EBITDA_TO_REVENUE"</f>
        <v>EBITDA_TO_REVENUE</v>
      </c>
      <c r="E137" t="str">
        <f t="shared" ref="E137:E146" si="38">"动态"</f>
        <v>动态</v>
      </c>
      <c r="F137" t="str">
        <f ca="1">IF(AND(ISNUMBER($F$446),$B$294=1),$F$446,HLOOKUP(INDIRECT(ADDRESS(2,COLUMN())),OFFSET($BN$2,0,0,ROW()-1,60),ROW()-1,FALSE))</f>
        <v/>
      </c>
      <c r="G137">
        <f ca="1">IF(AND(ISNUMBER($G$446),$B$294=1),$G$446,HLOOKUP(INDIRECT(ADDRESS(2,COLUMN())),OFFSET($BN$2,0,0,ROW()-1,60),ROW()-1,FALSE))</f>
        <v>58.563494599999999</v>
      </c>
      <c r="H137">
        <f ca="1">IF(AND(ISNUMBER($H$446),$B$294=1),$H$446,HLOOKUP(INDIRECT(ADDRESS(2,COLUMN())),OFFSET($BN$2,0,0,ROW()-1,60),ROW()-1,FALSE))</f>
        <v>58.672032739999999</v>
      </c>
      <c r="I137">
        <f ca="1">IF(AND(ISNUMBER($I$446),$B$294=1),$I$446,HLOOKUP(INDIRECT(ADDRESS(2,COLUMN())),OFFSET($BN$2,0,0,ROW()-1,60),ROW()-1,FALSE))</f>
        <v>59.461841630000002</v>
      </c>
      <c r="J137">
        <f ca="1">IF(AND(ISNUMBER($J$446),$B$294=1),$J$446,HLOOKUP(INDIRECT(ADDRESS(2,COLUMN())),OFFSET($BN$2,0,0,ROW()-1,60),ROW()-1,FALSE))</f>
        <v>57.800350510000001</v>
      </c>
      <c r="K137">
        <f ca="1">IF(AND(ISNUMBER($K$446),$B$294=1),$K$446,HLOOKUP(INDIRECT(ADDRESS(2,COLUMN())),OFFSET($BN$2,0,0,ROW()-1,60),ROW()-1,FALSE))</f>
        <v>59.091502230000003</v>
      </c>
      <c r="L137">
        <f ca="1">IF(AND(ISNUMBER($L$446),$B$294=1),$L$446,HLOOKUP(INDIRECT(ADDRESS(2,COLUMN())),OFFSET($BN$2,0,0,ROW()-1,60),ROW()-1,FALSE))</f>
        <v>57.795396240000002</v>
      </c>
      <c r="M137">
        <f ca="1">IF(AND(ISNUMBER($M$446),$B$294=1),$M$446,HLOOKUP(INDIRECT(ADDRESS(2,COLUMN())),OFFSET($BN$2,0,0,ROW()-1,60),ROW()-1,FALSE))</f>
        <v>59.54636867</v>
      </c>
      <c r="N137">
        <f ca="1">IF(AND(ISNUMBER($N$446),$B$294=1),$N$446,HLOOKUP(INDIRECT(ADDRESS(2,COLUMN())),OFFSET($BN$2,0,0,ROW()-1,60),ROW()-1,FALSE))</f>
        <v>61.533067559999999</v>
      </c>
      <c r="O137">
        <f ca="1">IF(AND(ISNUMBER($O$446),$B$294=1),$O$446,HLOOKUP(INDIRECT(ADDRESS(2,COLUMN())),OFFSET($BN$2,0,0,ROW()-1,60),ROW()-1,FALSE))</f>
        <v>60.063437139999998</v>
      </c>
      <c r="P137">
        <f ca="1">IF(AND(ISNUMBER($P$446),$B$294=1),$P$446,HLOOKUP(INDIRECT(ADDRESS(2,COLUMN())),OFFSET($BN$2,0,0,ROW()-1,60),ROW()-1,FALSE))</f>
        <v>60.45001937</v>
      </c>
      <c r="Q137">
        <f ca="1">IF(AND(ISNUMBER($Q$446),$B$294=1),$Q$446,HLOOKUP(INDIRECT(ADDRESS(2,COLUMN())),OFFSET($BN$2,0,0,ROW()-1,60),ROW()-1,FALSE))</f>
        <v>60.297207630000003</v>
      </c>
      <c r="R137">
        <f ca="1">IF(AND(ISNUMBER($R$446),$B$294=1),$R$446,HLOOKUP(INDIRECT(ADDRESS(2,COLUMN())),OFFSET($BN$2,0,0,ROW()-1,60),ROW()-1,FALSE))</f>
        <v>58.277443259999998</v>
      </c>
      <c r="S137">
        <f ca="1">IF(AND(ISNUMBER($S$446),$B$294=1),$S$446,HLOOKUP(INDIRECT(ADDRESS(2,COLUMN())),OFFSET($BN$2,0,0,ROW()-1,60),ROW()-1,FALSE))</f>
        <v>60.497761959999998</v>
      </c>
      <c r="T137">
        <f ca="1">IF(AND(ISNUMBER($T$446),$B$294=1),$T$446,HLOOKUP(INDIRECT(ADDRESS(2,COLUMN())),OFFSET($BN$2,0,0,ROW()-1,60),ROW()-1,FALSE))</f>
        <v>60.123819699999999</v>
      </c>
      <c r="U137">
        <f ca="1">IF(AND(ISNUMBER($U$446),$B$294=1),$U$446,HLOOKUP(INDIRECT(ADDRESS(2,COLUMN())),OFFSET($BN$2,0,0,ROW()-1,60),ROW()-1,FALSE))</f>
        <v>60.343272399999996</v>
      </c>
      <c r="V137">
        <f ca="1">IF(AND(ISNUMBER($V$446),$B$294=1),$V$446,HLOOKUP(INDIRECT(ADDRESS(2,COLUMN())),OFFSET($BN$2,0,0,ROW()-1,60),ROW()-1,FALSE))</f>
        <v>57.62492735</v>
      </c>
      <c r="W137">
        <f ca="1">IF(AND(ISNUMBER($W$446),$B$294=1),$W$446,HLOOKUP(INDIRECT(ADDRESS(2,COLUMN())),OFFSET($BN$2,0,0,ROW()-1,60),ROW()-1,FALSE))</f>
        <v>60.812497069999999</v>
      </c>
      <c r="X137">
        <f ca="1">IF(AND(ISNUMBER($X$446),$B$294=1),$X$446,HLOOKUP(INDIRECT(ADDRESS(2,COLUMN())),OFFSET($BN$2,0,0,ROW()-1,60),ROW()-1,FALSE))</f>
        <v>59.660076189999998</v>
      </c>
      <c r="Y137">
        <f ca="1">IF(AND(ISNUMBER($Y$446),$B$294=1),$Y$446,HLOOKUP(INDIRECT(ADDRESS(2,COLUMN())),OFFSET($BN$2,0,0,ROW()-1,60),ROW()-1,FALSE))</f>
        <v>59.403411149999997</v>
      </c>
      <c r="Z137">
        <f ca="1">IF(AND(ISNUMBER($Z$446),$B$294=1),$Z$446,HLOOKUP(INDIRECT(ADDRESS(2,COLUMN())),OFFSET($BN$2,0,0,ROW()-1,60),ROW()-1,FALSE))</f>
        <v>52.094970330000002</v>
      </c>
      <c r="AA137">
        <f ca="1">IF(AND(ISNUMBER($AA$446),$B$294=1),$AA$446,HLOOKUP(INDIRECT(ADDRESS(2,COLUMN())),OFFSET($BN$2,0,0,ROW()-1,60),ROW()-1,FALSE))</f>
        <v>60.329842040000003</v>
      </c>
      <c r="AB137">
        <f ca="1">IF(AND(ISNUMBER($AB$446),$B$294=1),$AB$446,HLOOKUP(INDIRECT(ADDRESS(2,COLUMN())),OFFSET($BN$2,0,0,ROW()-1,60),ROW()-1,FALSE))</f>
        <v>58.336547529999997</v>
      </c>
      <c r="AC137">
        <f ca="1">IF(AND(ISNUMBER($AC$446),$B$294=1),$AC$446,HLOOKUP(INDIRECT(ADDRESS(2,COLUMN())),OFFSET($BN$2,0,0,ROW()-1,60),ROW()-1,FALSE))</f>
        <v>60.548341039999997</v>
      </c>
      <c r="AD137">
        <f ca="1">IF(AND(ISNUMBER($AD$446),$B$294=1),$AD$446,HLOOKUP(INDIRECT(ADDRESS(2,COLUMN())),OFFSET($BN$2,0,0,ROW()-1,60),ROW()-1,FALSE))</f>
        <v>57.118773570000002</v>
      </c>
      <c r="AE137">
        <f ca="1">IF(AND(ISNUMBER($AE$446),$B$294=1),$AE$446,HLOOKUP(INDIRECT(ADDRESS(2,COLUMN())),OFFSET($BN$2,0,0,ROW()-1,60),ROW()-1,FALSE))</f>
        <v>60.089273030000001</v>
      </c>
      <c r="AF137">
        <f ca="1">IF(AND(ISNUMBER($AF$446),$B$294=1),$AF$446,HLOOKUP(INDIRECT(ADDRESS(2,COLUMN())),OFFSET($BN$2,0,0,ROW()-1,60),ROW()-1,FALSE))</f>
        <v>60.779003029999998</v>
      </c>
      <c r="AG137">
        <f ca="1">IF(AND(ISNUMBER($AG$446),$B$294=1),$AG$446,HLOOKUP(INDIRECT(ADDRESS(2,COLUMN())),OFFSET($BN$2,0,0,ROW()-1,60),ROW()-1,FALSE))</f>
        <v>61.007635980000003</v>
      </c>
      <c r="AH137">
        <f ca="1">IF(AND(ISNUMBER($AH$446),$B$294=1),$AH$446,HLOOKUP(INDIRECT(ADDRESS(2,COLUMN())),OFFSET($BN$2,0,0,ROW()-1,60),ROW()-1,FALSE))</f>
        <v>59.279170880000002</v>
      </c>
      <c r="AI137">
        <f ca="1">IF(AND(ISNUMBER($AI$446),$B$294=1),$AI$446,HLOOKUP(INDIRECT(ADDRESS(2,COLUMN())),OFFSET($BN$2,0,0,ROW()-1,60),ROW()-1,FALSE))</f>
        <v>61.570721710000001</v>
      </c>
      <c r="AJ137">
        <f ca="1">IF(AND(ISNUMBER($AJ$446),$B$294=1),$AJ$446,HLOOKUP(INDIRECT(ADDRESS(2,COLUMN())),OFFSET($BN$2,0,0,ROW()-1,60),ROW()-1,FALSE))</f>
        <v>60.095494420000001</v>
      </c>
      <c r="AK137">
        <f ca="1">IF(AND(ISNUMBER($AK$446),$B$294=1),$AK$446,HLOOKUP(INDIRECT(ADDRESS(2,COLUMN())),OFFSET($BN$2,0,0,ROW()-1,60),ROW()-1,FALSE))</f>
        <v>62.669960719999999</v>
      </c>
      <c r="AL137">
        <f ca="1">IF(AND(ISNUMBER($AL$446),$B$294=1),$AL$446,HLOOKUP(INDIRECT(ADDRESS(2,COLUMN())),OFFSET($BN$2,0,0,ROW()-1,60),ROW()-1,FALSE))</f>
        <v>58.453570890000002</v>
      </c>
      <c r="AM137">
        <f ca="1">IF(AND(ISNUMBER($AM$446),$B$294=1),$AM$446,HLOOKUP(INDIRECT(ADDRESS(2,COLUMN())),OFFSET($BN$2,0,0,ROW()-1,60),ROW()-1,FALSE))</f>
        <v>59.744820910000001</v>
      </c>
      <c r="AN137">
        <f ca="1">IF(AND(ISNUMBER($AN$446),$B$294=1),$AN$446,HLOOKUP(INDIRECT(ADDRESS(2,COLUMN())),OFFSET($BN$2,0,0,ROW()-1,60),ROW()-1,FALSE))</f>
        <v>59.070826369999999</v>
      </c>
      <c r="AO137">
        <f ca="1">IF(AND(ISNUMBER($AO$446),$B$294=1),$AO$446,HLOOKUP(INDIRECT(ADDRESS(2,COLUMN())),OFFSET($BN$2,0,0,ROW()-1,60),ROW()-1,FALSE))</f>
        <v>61.842152560000002</v>
      </c>
      <c r="AP137">
        <f ca="1">IF(AND(ISNUMBER($AP$446),$B$294=1),$AP$446,HLOOKUP(INDIRECT(ADDRESS(2,COLUMN())),OFFSET($BN$2,0,0,ROW()-1,60),ROW()-1,FALSE))</f>
        <v>53.77518912</v>
      </c>
      <c r="AQ137">
        <f ca="1">IF(AND(ISNUMBER($AQ$446),$B$294=1),$AQ$446,HLOOKUP(INDIRECT(ADDRESS(2,COLUMN())),OFFSET($BN$2,0,0,ROW()-1,60),ROW()-1,FALSE))</f>
        <v>61.855751990000002</v>
      </c>
      <c r="AR137">
        <f ca="1">IF(AND(ISNUMBER($AR$446),$B$294=1),$AR$446,HLOOKUP(INDIRECT(ADDRESS(2,COLUMN())),OFFSET($BN$2,0,0,ROW()-1,60),ROW()-1,FALSE))</f>
        <v>57.31951909</v>
      </c>
      <c r="AS137">
        <f ca="1">IF(AND(ISNUMBER($AS$446),$B$294=1),$AS$446,HLOOKUP(INDIRECT(ADDRESS(2,COLUMN())),OFFSET($BN$2,0,0,ROW()-1,60),ROW()-1,FALSE))</f>
        <v>61.207822499999999</v>
      </c>
      <c r="AT137">
        <f ca="1">IF(AND(ISNUMBER($AT$446),$B$294=1),$AT$446,HLOOKUP(INDIRECT(ADDRESS(2,COLUMN())),OFFSET($BN$2,0,0,ROW()-1,60),ROW()-1,FALSE))</f>
        <v>61.44166362</v>
      </c>
      <c r="AU137">
        <f ca="1">IF(AND(ISNUMBER($AU$446),$B$294=1),$AU$446,HLOOKUP(INDIRECT(ADDRESS(2,COLUMN())),OFFSET($BN$2,0,0,ROW()-1,60),ROW()-1,FALSE))</f>
        <v>62.739567739999998</v>
      </c>
      <c r="AV137">
        <f ca="1">IF(AND(ISNUMBER($AV$446),$B$294=1),$AV$446,HLOOKUP(INDIRECT(ADDRESS(2,COLUMN())),OFFSET($BN$2,0,0,ROW()-1,60),ROW()-1,FALSE))</f>
        <v>62.214854690000003</v>
      </c>
      <c r="AW137">
        <f ca="1">IF(AND(ISNUMBER($AW$446),$B$294=1),$AW$446,HLOOKUP(INDIRECT(ADDRESS(2,COLUMN())),OFFSET($BN$2,0,0,ROW()-1,60),ROW()-1,FALSE))</f>
        <v>63.728832679999996</v>
      </c>
      <c r="AX137">
        <f ca="1">IF(AND(ISNUMBER($AX$446),$B$294=1),$AX$446,HLOOKUP(INDIRECT(ADDRESS(2,COLUMN())),OFFSET($BN$2,0,0,ROW()-1,60),ROW()-1,FALSE))</f>
        <v>62.745250249999998</v>
      </c>
      <c r="AY137">
        <f ca="1">IF(AND(ISNUMBER($AY$446),$B$294=1),$AY$446,HLOOKUP(INDIRECT(ADDRESS(2,COLUMN())),OFFSET($BN$2,0,0,ROW()-1,60),ROW()-1,FALSE))</f>
        <v>64.42471553</v>
      </c>
      <c r="AZ137">
        <f ca="1">IF(AND(ISNUMBER($AZ$446),$B$294=1),$AZ$446,HLOOKUP(INDIRECT(ADDRESS(2,COLUMN())),OFFSET($BN$2,0,0,ROW()-1,60),ROW()-1,FALSE))</f>
        <v>64.043093540000001</v>
      </c>
      <c r="BA137">
        <f ca="1">IF(AND(ISNUMBER($BA$446),$B$294=1),$BA$446,HLOOKUP(INDIRECT(ADDRESS(2,COLUMN())),OFFSET($BN$2,0,0,ROW()-1,60),ROW()-1,FALSE))</f>
        <v>63.620285490000001</v>
      </c>
      <c r="BB137">
        <f ca="1">IF(AND(ISNUMBER($BB$446),$B$294=1),$BB$446,HLOOKUP(INDIRECT(ADDRESS(2,COLUMN())),OFFSET($BN$2,0,0,ROW()-1,60),ROW()-1,FALSE))</f>
        <v>62.332038560000001</v>
      </c>
      <c r="BC137">
        <f ca="1">IF(AND(ISNUMBER($BC$446),$B$294=1),$BC$446,HLOOKUP(INDIRECT(ADDRESS(2,COLUMN())),OFFSET($BN$2,0,0,ROW()-1,60),ROW()-1,FALSE))</f>
        <v>61.378854760000003</v>
      </c>
      <c r="BD137">
        <f ca="1">IF(AND(ISNUMBER($BD$446),$B$294=1),$BD$446,HLOOKUP(INDIRECT(ADDRESS(2,COLUMN())),OFFSET($BN$2,0,0,ROW()-1,60),ROW()-1,FALSE))</f>
        <v>62.001035940000001</v>
      </c>
      <c r="BE137">
        <f ca="1">IF(AND(ISNUMBER($BE$446),$B$294=1),$BE$446,HLOOKUP(INDIRECT(ADDRESS(2,COLUMN())),OFFSET($BN$2,0,0,ROW()-1,60),ROW()-1,FALSE))</f>
        <v>62.839901099999999</v>
      </c>
      <c r="BF137">
        <f ca="1">IF(AND(ISNUMBER($BF$446),$B$294=1),$BF$446,HLOOKUP(INDIRECT(ADDRESS(2,COLUMN())),OFFSET($BN$2,0,0,ROW()-1,60),ROW()-1,FALSE))</f>
        <v>62.249451690000001</v>
      </c>
      <c r="BG137">
        <f ca="1">IF(AND(ISNUMBER($BG$446),$B$294=1),$BG$446,HLOOKUP(INDIRECT(ADDRESS(2,COLUMN())),OFFSET($BN$2,0,0,ROW()-1,60),ROW()-1,FALSE))</f>
        <v>61.938516509999999</v>
      </c>
      <c r="BH137">
        <f ca="1">IF(AND(ISNUMBER($BH$446),$B$294=1),$BH$446,HLOOKUP(INDIRECT(ADDRESS(2,COLUMN())),OFFSET($BN$2,0,0,ROW()-1,60),ROW()-1,FALSE))</f>
        <v>62.581131990000003</v>
      </c>
      <c r="BI137">
        <f ca="1">IF(AND(ISNUMBER($BI$446),$B$294=1),$BI$446,HLOOKUP(INDIRECT(ADDRESS(2,COLUMN())),OFFSET($BN$2,0,0,ROW()-1,60),ROW()-1,FALSE))</f>
        <v>63.023820090000001</v>
      </c>
      <c r="BJ137">
        <f ca="1">IF(AND(ISNUMBER($BJ$446),$B$294=1),$BJ$446,HLOOKUP(INDIRECT(ADDRESS(2,COLUMN())),OFFSET($BN$2,0,0,ROW()-1,60),ROW()-1,FALSE))</f>
        <v>62.537838299999997</v>
      </c>
      <c r="BK137">
        <f ca="1">IF(AND(ISNUMBER($BK$446),$B$294=1),$BK$446,HLOOKUP(INDIRECT(ADDRESS(2,COLUMN())),OFFSET($BN$2,0,0,ROW()-1,60),ROW()-1,FALSE))</f>
        <v>62.418052029999998</v>
      </c>
      <c r="BL137">
        <f ca="1">IF(AND(ISNUMBER($BL$446),$B$294=1),$BL$446,HLOOKUP(INDIRECT(ADDRESS(2,COLUMN())),OFFSET($BN$2,0,0,ROW()-1,60),ROW()-1,FALSE))</f>
        <v>60.512361370000001</v>
      </c>
      <c r="BM137">
        <f ca="1">IF(AND(ISNUMBER($BM$446),$B$294=1),$BM$446,HLOOKUP(INDIRECT(ADDRESS(2,COLUMN())),OFFSET($BN$2,0,0,ROW()-1,60),ROW()-1,FALSE))</f>
        <v>39.798501999999999</v>
      </c>
      <c r="BN137" t="str">
        <f>""</f>
        <v/>
      </c>
      <c r="BO137">
        <f>58.5634946</f>
        <v>58.563494599999999</v>
      </c>
      <c r="BP137">
        <f>58.67203274</f>
        <v>58.672032739999999</v>
      </c>
      <c r="BQ137">
        <f>59.46184163</f>
        <v>59.461841630000002</v>
      </c>
      <c r="BR137">
        <f>57.80035051</f>
        <v>57.800350510000001</v>
      </c>
      <c r="BS137">
        <f>59.09150223</f>
        <v>59.091502230000003</v>
      </c>
      <c r="BT137">
        <f>57.79539624</f>
        <v>57.795396240000002</v>
      </c>
      <c r="BU137">
        <f>59.54636867</f>
        <v>59.54636867</v>
      </c>
      <c r="BV137">
        <f>61.53306756</f>
        <v>61.533067559999999</v>
      </c>
      <c r="BW137">
        <f>60.06343714</f>
        <v>60.063437139999998</v>
      </c>
      <c r="BX137">
        <f>60.45001937</f>
        <v>60.45001937</v>
      </c>
      <c r="BY137">
        <f>60.29720763</f>
        <v>60.297207630000003</v>
      </c>
      <c r="BZ137">
        <f>58.27744326</f>
        <v>58.277443259999998</v>
      </c>
      <c r="CA137">
        <f>60.49776196</f>
        <v>60.497761959999998</v>
      </c>
      <c r="CB137">
        <f>60.1238197</f>
        <v>60.123819699999999</v>
      </c>
      <c r="CC137">
        <f>60.3432724</f>
        <v>60.343272399999996</v>
      </c>
      <c r="CD137">
        <f>57.62492735</f>
        <v>57.62492735</v>
      </c>
      <c r="CE137">
        <f>60.81249707</f>
        <v>60.812497069999999</v>
      </c>
      <c r="CF137">
        <f>59.66007619</f>
        <v>59.660076189999998</v>
      </c>
      <c r="CG137">
        <f>59.40341115</f>
        <v>59.403411149999997</v>
      </c>
      <c r="CH137">
        <f>52.09497033</f>
        <v>52.094970330000002</v>
      </c>
      <c r="CI137">
        <f>60.32984204</f>
        <v>60.329842040000003</v>
      </c>
      <c r="CJ137">
        <f>58.33654753</f>
        <v>58.336547529999997</v>
      </c>
      <c r="CK137">
        <f>60.54834104</f>
        <v>60.548341039999997</v>
      </c>
      <c r="CL137">
        <f>57.11877357</f>
        <v>57.118773570000002</v>
      </c>
      <c r="CM137">
        <f>60.08927303</f>
        <v>60.089273030000001</v>
      </c>
      <c r="CN137">
        <f>60.77900303</f>
        <v>60.779003029999998</v>
      </c>
      <c r="CO137">
        <f>61.00763598</f>
        <v>61.007635980000003</v>
      </c>
      <c r="CP137">
        <f>59.27917088</f>
        <v>59.279170880000002</v>
      </c>
      <c r="CQ137">
        <f>61.57072171</f>
        <v>61.570721710000001</v>
      </c>
      <c r="CR137">
        <f>60.09549442</f>
        <v>60.095494420000001</v>
      </c>
      <c r="CS137">
        <f>62.66996072</f>
        <v>62.669960719999999</v>
      </c>
      <c r="CT137">
        <f>58.45357089</f>
        <v>58.453570890000002</v>
      </c>
      <c r="CU137">
        <f>59.74482091</f>
        <v>59.744820910000001</v>
      </c>
      <c r="CV137">
        <f>59.07082637</f>
        <v>59.070826369999999</v>
      </c>
      <c r="CW137">
        <f>61.84215256</f>
        <v>61.842152560000002</v>
      </c>
      <c r="CX137">
        <f>53.77518912</f>
        <v>53.77518912</v>
      </c>
      <c r="CY137">
        <f>61.85575199</f>
        <v>61.855751990000002</v>
      </c>
      <c r="CZ137">
        <f>57.31951909</f>
        <v>57.31951909</v>
      </c>
      <c r="DA137">
        <f>61.2078225</f>
        <v>61.207822499999999</v>
      </c>
      <c r="DB137">
        <f>61.44166362</f>
        <v>61.44166362</v>
      </c>
      <c r="DC137">
        <f>62.73956774</f>
        <v>62.739567739999998</v>
      </c>
      <c r="DD137">
        <f>62.21485469</f>
        <v>62.214854690000003</v>
      </c>
      <c r="DE137">
        <f>63.72883268</f>
        <v>63.728832679999996</v>
      </c>
      <c r="DF137">
        <f>62.74525025</f>
        <v>62.745250249999998</v>
      </c>
      <c r="DG137">
        <f>64.42471553</f>
        <v>64.42471553</v>
      </c>
      <c r="DH137">
        <f>64.04309354</f>
        <v>64.043093540000001</v>
      </c>
      <c r="DI137">
        <f>63.62028549</f>
        <v>63.620285490000001</v>
      </c>
      <c r="DJ137">
        <f>62.33203856</f>
        <v>62.332038560000001</v>
      </c>
      <c r="DK137">
        <f>61.37885476</f>
        <v>61.378854760000003</v>
      </c>
      <c r="DL137">
        <f>62.00103594</f>
        <v>62.001035940000001</v>
      </c>
      <c r="DM137">
        <f>62.8399011</f>
        <v>62.839901099999999</v>
      </c>
      <c r="DN137">
        <f>62.24945169</f>
        <v>62.249451690000001</v>
      </c>
      <c r="DO137">
        <f>61.93851651</f>
        <v>61.938516509999999</v>
      </c>
      <c r="DP137">
        <f>62.58113199</f>
        <v>62.581131990000003</v>
      </c>
      <c r="DQ137">
        <f>63.02382009</f>
        <v>63.023820090000001</v>
      </c>
      <c r="DR137">
        <f>62.5378383</f>
        <v>62.537838299999997</v>
      </c>
      <c r="DS137">
        <f>62.41805203</f>
        <v>62.418052029999998</v>
      </c>
      <c r="DT137">
        <f>60.51236137</f>
        <v>60.512361370000001</v>
      </c>
      <c r="DU137">
        <f>39.798502</f>
        <v>39.798501999999999</v>
      </c>
    </row>
    <row r="138" spans="1:125">
      <c r="A138" t="str">
        <f>"    Brandywine Realty Trust"</f>
        <v xml:space="preserve">    Brandywine Realty Trust</v>
      </c>
      <c r="B138" t="str">
        <f>"BDN US Equity"</f>
        <v>BDN US Equity</v>
      </c>
      <c r="C138" t="str">
        <f t="shared" si="36"/>
        <v>RX225</v>
      </c>
      <c r="D138" t="str">
        <f t="shared" si="37"/>
        <v>EBITDA_TO_REVENUE</v>
      </c>
      <c r="E138" t="str">
        <f t="shared" si="38"/>
        <v>动态</v>
      </c>
      <c r="F138" t="str">
        <f ca="1">IF(AND(ISNUMBER($F$447),$B$294=1),$F$447,HLOOKUP(INDIRECT(ADDRESS(2,COLUMN())),OFFSET($BN$2,0,0,ROW()-1,60),ROW()-1,FALSE))</f>
        <v/>
      </c>
      <c r="G138">
        <f ca="1">IF(AND(ISNUMBER($G$447),$B$294=1),$G$447,HLOOKUP(INDIRECT(ADDRESS(2,COLUMN())),OFFSET($BN$2,0,0,ROW()-1,60),ROW()-1,FALSE))</f>
        <v>54.155417569999997</v>
      </c>
      <c r="H138">
        <f ca="1">IF(AND(ISNUMBER($H$447),$B$294=1),$H$447,HLOOKUP(INDIRECT(ADDRESS(2,COLUMN())),OFFSET($BN$2,0,0,ROW()-1,60),ROW()-1,FALSE))</f>
        <v>55.600367489999996</v>
      </c>
      <c r="I138">
        <f ca="1">IF(AND(ISNUMBER($I$447),$B$294=1),$I$447,HLOOKUP(INDIRECT(ADDRESS(2,COLUMN())),OFFSET($BN$2,0,0,ROW()-1,60),ROW()-1,FALSE))</f>
        <v>54.852063129999998</v>
      </c>
      <c r="J138">
        <f ca="1">IF(AND(ISNUMBER($J$447),$B$294=1),$J$447,HLOOKUP(INDIRECT(ADDRESS(2,COLUMN())),OFFSET($BN$2,0,0,ROW()-1,60),ROW()-1,FALSE))</f>
        <v>50.67674916</v>
      </c>
      <c r="K138">
        <f ca="1">IF(AND(ISNUMBER($K$447),$B$294=1),$K$447,HLOOKUP(INDIRECT(ADDRESS(2,COLUMN())),OFFSET($BN$2,0,0,ROW()-1,60),ROW()-1,FALSE))</f>
        <v>33.447148069999997</v>
      </c>
      <c r="L138">
        <f ca="1">IF(AND(ISNUMBER($L$447),$B$294=1),$L$447,HLOOKUP(INDIRECT(ADDRESS(2,COLUMN())),OFFSET($BN$2,0,0,ROW()-1,60),ROW()-1,FALSE))</f>
        <v>55.01950746</v>
      </c>
      <c r="M138">
        <f ca="1">IF(AND(ISNUMBER($M$447),$B$294=1),$M$447,HLOOKUP(INDIRECT(ADDRESS(2,COLUMN())),OFFSET($BN$2,0,0,ROW()-1,60),ROW()-1,FALSE))</f>
        <v>50.205612469999998</v>
      </c>
      <c r="N138">
        <f ca="1">IF(AND(ISNUMBER($N$447),$B$294=1),$N$447,HLOOKUP(INDIRECT(ADDRESS(2,COLUMN())),OFFSET($BN$2,0,0,ROW()-1,60),ROW()-1,FALSE))</f>
        <v>46.142181069999999</v>
      </c>
      <c r="O138">
        <f ca="1">IF(AND(ISNUMBER($O$447),$B$294=1),$O$447,HLOOKUP(INDIRECT(ADDRESS(2,COLUMN())),OFFSET($BN$2,0,0,ROW()-1,60),ROW()-1,FALSE))</f>
        <v>1.8319133460000001</v>
      </c>
      <c r="P138">
        <f ca="1">IF(AND(ISNUMBER($P$447),$B$294=1),$P$447,HLOOKUP(INDIRECT(ADDRESS(2,COLUMN())),OFFSET($BN$2,0,0,ROW()-1,60),ROW()-1,FALSE))</f>
        <v>54.861224890000003</v>
      </c>
      <c r="Q138">
        <f ca="1">IF(AND(ISNUMBER($Q$447),$B$294=1),$Q$447,HLOOKUP(INDIRECT(ADDRESS(2,COLUMN())),OFFSET($BN$2,0,0,ROW()-1,60),ROW()-1,FALSE))</f>
        <v>55.726820830000001</v>
      </c>
      <c r="R138">
        <f ca="1">IF(AND(ISNUMBER($R$447),$B$294=1),$R$447,HLOOKUP(INDIRECT(ADDRESS(2,COLUMN())),OFFSET($BN$2,0,0,ROW()-1,60),ROW()-1,FALSE))</f>
        <v>51.896865820000002</v>
      </c>
      <c r="S138">
        <f ca="1">IF(AND(ISNUMBER($S$447),$B$294=1),$S$447,HLOOKUP(INDIRECT(ADDRESS(2,COLUMN())),OFFSET($BN$2,0,0,ROW()-1,60),ROW()-1,FALSE))</f>
        <v>52.277247819999999</v>
      </c>
      <c r="T138">
        <f ca="1">IF(AND(ISNUMBER($T$447),$B$294=1),$T$447,HLOOKUP(INDIRECT(ADDRESS(2,COLUMN())),OFFSET($BN$2,0,0,ROW()-1,60),ROW()-1,FALSE))</f>
        <v>55.895276959999997</v>
      </c>
      <c r="U138">
        <f ca="1">IF(AND(ISNUMBER($U$447),$B$294=1),$U$447,HLOOKUP(INDIRECT(ADDRESS(2,COLUMN())),OFFSET($BN$2,0,0,ROW()-1,60),ROW()-1,FALSE))</f>
        <v>56.509634550000001</v>
      </c>
      <c r="V138">
        <f ca="1">IF(AND(ISNUMBER($V$447),$B$294=1),$V$447,HLOOKUP(INDIRECT(ADDRESS(2,COLUMN())),OFFSET($BN$2,0,0,ROW()-1,60),ROW()-1,FALSE))</f>
        <v>52.593449649999997</v>
      </c>
      <c r="W138">
        <f ca="1">IF(AND(ISNUMBER($W$447),$B$294=1),$W$447,HLOOKUP(INDIRECT(ADDRESS(2,COLUMN())),OFFSET($BN$2,0,0,ROW()-1,60),ROW()-1,FALSE))</f>
        <v>49.319188220000001</v>
      </c>
      <c r="X138">
        <f ca="1">IF(AND(ISNUMBER($X$447),$B$294=1),$X$447,HLOOKUP(INDIRECT(ADDRESS(2,COLUMN())),OFFSET($BN$2,0,0,ROW()-1,60),ROW()-1,FALSE))</f>
        <v>55.110425939999999</v>
      </c>
      <c r="Y138">
        <f ca="1">IF(AND(ISNUMBER($Y$447),$B$294=1),$Y$447,HLOOKUP(INDIRECT(ADDRESS(2,COLUMN())),OFFSET($BN$2,0,0,ROW()-1,60),ROW()-1,FALSE))</f>
        <v>55.078069450000001</v>
      </c>
      <c r="Z138">
        <f ca="1">IF(AND(ISNUMBER($Z$447),$B$294=1),$Z$447,HLOOKUP(INDIRECT(ADDRESS(2,COLUMN())),OFFSET($BN$2,0,0,ROW()-1,60),ROW()-1,FALSE))</f>
        <v>55.169325139999998</v>
      </c>
      <c r="AA138">
        <f ca="1">IF(AND(ISNUMBER($AA$447),$B$294=1),$AA$447,HLOOKUP(INDIRECT(ADDRESS(2,COLUMN())),OFFSET($BN$2,0,0,ROW()-1,60),ROW()-1,FALSE))</f>
        <v>-53.603137940000003</v>
      </c>
      <c r="AB138">
        <f ca="1">IF(AND(ISNUMBER($AB$447),$B$294=1),$AB$447,HLOOKUP(INDIRECT(ADDRESS(2,COLUMN())),OFFSET($BN$2,0,0,ROW()-1,60),ROW()-1,FALSE))</f>
        <v>55.835563479999998</v>
      </c>
      <c r="AC138">
        <f ca="1">IF(AND(ISNUMBER($AC$447),$B$294=1),$AC$447,HLOOKUP(INDIRECT(ADDRESS(2,COLUMN())),OFFSET($BN$2,0,0,ROW()-1,60),ROW()-1,FALSE))</f>
        <v>57.495656400000001</v>
      </c>
      <c r="AD138">
        <f ca="1">IF(AND(ISNUMBER($AD$447),$B$294=1),$AD$447,HLOOKUP(INDIRECT(ADDRESS(2,COLUMN())),OFFSET($BN$2,0,0,ROW()-1,60),ROW()-1,FALSE))</f>
        <v>57.628642999999997</v>
      </c>
      <c r="AE138">
        <f ca="1">IF(AND(ISNUMBER($AE$447),$B$294=1),$AE$447,HLOOKUP(INDIRECT(ADDRESS(2,COLUMN())),OFFSET($BN$2,0,0,ROW()-1,60),ROW()-1,FALSE))</f>
        <v>55.143265059999997</v>
      </c>
      <c r="AF138">
        <f ca="1">IF(AND(ISNUMBER($AF$447),$B$294=1),$AF$447,HLOOKUP(INDIRECT(ADDRESS(2,COLUMN())),OFFSET($BN$2,0,0,ROW()-1,60),ROW()-1,FALSE))</f>
        <v>56.508920310000001</v>
      </c>
      <c r="AG138">
        <f ca="1">IF(AND(ISNUMBER($AG$447),$B$294=1),$AG$447,HLOOKUP(INDIRECT(ADDRESS(2,COLUMN())),OFFSET($BN$2,0,0,ROW()-1,60),ROW()-1,FALSE))</f>
        <v>57.377790859999998</v>
      </c>
      <c r="AH138">
        <f ca="1">IF(AND(ISNUMBER($AH$447),$B$294=1),$AH$447,HLOOKUP(INDIRECT(ADDRESS(2,COLUMN())),OFFSET($BN$2,0,0,ROW()-1,60),ROW()-1,FALSE))</f>
        <v>53.896796909999999</v>
      </c>
      <c r="AI138">
        <f ca="1">IF(AND(ISNUMBER($AI$447),$B$294=1),$AI$447,HLOOKUP(INDIRECT(ADDRESS(2,COLUMN())),OFFSET($BN$2,0,0,ROW()-1,60),ROW()-1,FALSE))</f>
        <v>54.519317649999998</v>
      </c>
      <c r="AJ138">
        <f ca="1">IF(AND(ISNUMBER($AJ$447),$B$294=1),$AJ$447,HLOOKUP(INDIRECT(ADDRESS(2,COLUMN())),OFFSET($BN$2,0,0,ROW()-1,60),ROW()-1,FALSE))</f>
        <v>55.313374609999997</v>
      </c>
      <c r="AK138">
        <f ca="1">IF(AND(ISNUMBER($AK$447),$B$294=1),$AK$447,HLOOKUP(INDIRECT(ADDRESS(2,COLUMN())),OFFSET($BN$2,0,0,ROW()-1,60),ROW()-1,FALSE))</f>
        <v>54.41375086</v>
      </c>
      <c r="AL138">
        <f ca="1">IF(AND(ISNUMBER($AL$447),$B$294=1),$AL$447,HLOOKUP(INDIRECT(ADDRESS(2,COLUMN())),OFFSET($BN$2,0,0,ROW()-1,60),ROW()-1,FALSE))</f>
        <v>53.431989479999999</v>
      </c>
      <c r="AM138">
        <f ca="1">IF(AND(ISNUMBER($AM$447),$B$294=1),$AM$447,HLOOKUP(INDIRECT(ADDRESS(2,COLUMN())),OFFSET($BN$2,0,0,ROW()-1,60),ROW()-1,FALSE))</f>
        <v>46.336822720000001</v>
      </c>
      <c r="AN138">
        <f ca="1">IF(AND(ISNUMBER($AN$447),$B$294=1),$AN$447,HLOOKUP(INDIRECT(ADDRESS(2,COLUMN())),OFFSET($BN$2,0,0,ROW()-1,60),ROW()-1,FALSE))</f>
        <v>52.288020609999997</v>
      </c>
      <c r="AO138">
        <f ca="1">IF(AND(ISNUMBER($AO$447),$B$294=1),$AO$447,HLOOKUP(INDIRECT(ADDRESS(2,COLUMN())),OFFSET($BN$2,0,0,ROW()-1,60),ROW()-1,FALSE))</f>
        <v>55.773751709999999</v>
      </c>
      <c r="AP138">
        <f ca="1">IF(AND(ISNUMBER($AP$447),$B$294=1),$AP$447,HLOOKUP(INDIRECT(ADDRESS(2,COLUMN())),OFFSET($BN$2,0,0,ROW()-1,60),ROW()-1,FALSE))</f>
        <v>52.190743609999998</v>
      </c>
      <c r="AQ138">
        <f ca="1">IF(AND(ISNUMBER($AQ$447),$B$294=1),$AQ$447,HLOOKUP(INDIRECT(ADDRESS(2,COLUMN())),OFFSET($BN$2,0,0,ROW()-1,60),ROW()-1,FALSE))</f>
        <v>43.529609010000001</v>
      </c>
      <c r="AR138">
        <f ca="1">IF(AND(ISNUMBER($AR$447),$B$294=1),$AR$447,HLOOKUP(INDIRECT(ADDRESS(2,COLUMN())),OFFSET($BN$2,0,0,ROW()-1,60),ROW()-1,FALSE))</f>
        <v>54.571214789999999</v>
      </c>
      <c r="AS138">
        <f ca="1">IF(AND(ISNUMBER($AS$447),$B$294=1),$AS$447,HLOOKUP(INDIRECT(ADDRESS(2,COLUMN())),OFFSET($BN$2,0,0,ROW()-1,60),ROW()-1,FALSE))</f>
        <v>57.57332555</v>
      </c>
      <c r="AT138">
        <f ca="1">IF(AND(ISNUMBER($AT$447),$B$294=1),$AT$447,HLOOKUP(INDIRECT(ADDRESS(2,COLUMN())),OFFSET($BN$2,0,0,ROW()-1,60),ROW()-1,FALSE))</f>
        <v>57.059719919999999</v>
      </c>
      <c r="AU138">
        <f ca="1">IF(AND(ISNUMBER($AU$447),$B$294=1),$AU$447,HLOOKUP(INDIRECT(ADDRESS(2,COLUMN())),OFFSET($BN$2,0,0,ROW()-1,60),ROW()-1,FALSE))</f>
        <v>55.828697929999997</v>
      </c>
      <c r="AV138">
        <f ca="1">IF(AND(ISNUMBER($AV$447),$B$294=1),$AV$447,HLOOKUP(INDIRECT(ADDRESS(2,COLUMN())),OFFSET($BN$2,0,0,ROW()-1,60),ROW()-1,FALSE))</f>
        <v>56.648890520000002</v>
      </c>
      <c r="AW138">
        <f ca="1">IF(AND(ISNUMBER($AW$447),$B$294=1),$AW$447,HLOOKUP(INDIRECT(ADDRESS(2,COLUMN())),OFFSET($BN$2,0,0,ROW()-1,60),ROW()-1,FALSE))</f>
        <v>55.406648269999998</v>
      </c>
      <c r="AX138">
        <f ca="1">IF(AND(ISNUMBER($AX$447),$B$294=1),$AX$447,HLOOKUP(INDIRECT(ADDRESS(2,COLUMN())),OFFSET($BN$2,0,0,ROW()-1,60),ROW()-1,FALSE))</f>
        <v>55.617692529999999</v>
      </c>
      <c r="AY138">
        <f ca="1">IF(AND(ISNUMBER($AY$447),$B$294=1),$AY$447,HLOOKUP(INDIRECT(ADDRESS(2,COLUMN())),OFFSET($BN$2,0,0,ROW()-1,60),ROW()-1,FALSE))</f>
        <v>55.35529185</v>
      </c>
      <c r="AZ138">
        <f ca="1">IF(AND(ISNUMBER($AZ$447),$B$294=1),$AZ$447,HLOOKUP(INDIRECT(ADDRESS(2,COLUMN())),OFFSET($BN$2,0,0,ROW()-1,60),ROW()-1,FALSE))</f>
        <v>60.314938669999997</v>
      </c>
      <c r="BA138">
        <f ca="1">IF(AND(ISNUMBER($BA$447),$B$294=1),$BA$447,HLOOKUP(INDIRECT(ADDRESS(2,COLUMN())),OFFSET($BN$2,0,0,ROW()-1,60),ROW()-1,FALSE))</f>
        <v>61.527953879999998</v>
      </c>
      <c r="BB138">
        <f ca="1">IF(AND(ISNUMBER($BB$447),$B$294=1),$BB$447,HLOOKUP(INDIRECT(ADDRESS(2,COLUMN())),OFFSET($BN$2,0,0,ROW()-1,60),ROW()-1,FALSE))</f>
        <v>59.788630529999999</v>
      </c>
      <c r="BC138">
        <f ca="1">IF(AND(ISNUMBER($BC$447),$B$294=1),$BC$447,HLOOKUP(INDIRECT(ADDRESS(2,COLUMN())),OFFSET($BN$2,0,0,ROW()-1,60),ROW()-1,FALSE))</f>
        <v>27.260905180000002</v>
      </c>
      <c r="BD138">
        <f ca="1">IF(AND(ISNUMBER($BD$447),$B$294=1),$BD$447,HLOOKUP(INDIRECT(ADDRESS(2,COLUMN())),OFFSET($BN$2,0,0,ROW()-1,60),ROW()-1,FALSE))</f>
        <v>56.042630410000001</v>
      </c>
      <c r="BE138">
        <f ca="1">IF(AND(ISNUMBER($BE$447),$B$294=1),$BE$447,HLOOKUP(INDIRECT(ADDRESS(2,COLUMN())),OFFSET($BN$2,0,0,ROW()-1,60),ROW()-1,FALSE))</f>
        <v>54.950862129999997</v>
      </c>
      <c r="BF138">
        <f ca="1">IF(AND(ISNUMBER($BF$447),$B$294=1),$BF$447,HLOOKUP(INDIRECT(ADDRESS(2,COLUMN())),OFFSET($BN$2,0,0,ROW()-1,60),ROW()-1,FALSE))</f>
        <v>53.811281389999998</v>
      </c>
      <c r="BG138">
        <f ca="1">IF(AND(ISNUMBER($BG$447),$B$294=1),$BG$447,HLOOKUP(INDIRECT(ADDRESS(2,COLUMN())),OFFSET($BN$2,0,0,ROW()-1,60),ROW()-1,FALSE))</f>
        <v>59.106700779999997</v>
      </c>
      <c r="BH138">
        <f ca="1">IF(AND(ISNUMBER($BH$447),$B$294=1),$BH$447,HLOOKUP(INDIRECT(ADDRESS(2,COLUMN())),OFFSET($BN$2,0,0,ROW()-1,60),ROW()-1,FALSE))</f>
        <v>19.52603891</v>
      </c>
      <c r="BI138">
        <f ca="1">IF(AND(ISNUMBER($BI$447),$B$294=1),$BI$447,HLOOKUP(INDIRECT(ADDRESS(2,COLUMN())),OFFSET($BN$2,0,0,ROW()-1,60),ROW()-1,FALSE))</f>
        <v>58.88867175</v>
      </c>
      <c r="BJ138">
        <f ca="1">IF(AND(ISNUMBER($BJ$447),$B$294=1),$BJ$447,HLOOKUP(INDIRECT(ADDRESS(2,COLUMN())),OFFSET($BN$2,0,0,ROW()-1,60),ROW()-1,FALSE))</f>
        <v>53.034118599999999</v>
      </c>
      <c r="BK138" t="str">
        <f ca="1">IF(AND(ISNUMBER($BK$447),$B$294=1),$BK$447,HLOOKUP(INDIRECT(ADDRESS(2,COLUMN())),OFFSET($BN$2,0,0,ROW()-1,60),ROW()-1,FALSE))</f>
        <v/>
      </c>
      <c r="BL138">
        <f ca="1">IF(AND(ISNUMBER($BL$447),$B$294=1),$BL$447,HLOOKUP(INDIRECT(ADDRESS(2,COLUMN())),OFFSET($BN$2,0,0,ROW()-1,60),ROW()-1,FALSE))</f>
        <v>58.806799740000002</v>
      </c>
      <c r="BM138">
        <f ca="1">IF(AND(ISNUMBER($BM$447),$B$294=1),$BM$447,HLOOKUP(INDIRECT(ADDRESS(2,COLUMN())),OFFSET($BN$2,0,0,ROW()-1,60),ROW()-1,FALSE))</f>
        <v>58.17979158</v>
      </c>
      <c r="BN138" t="str">
        <f>""</f>
        <v/>
      </c>
      <c r="BO138">
        <f>54.15541757</f>
        <v>54.155417569999997</v>
      </c>
      <c r="BP138">
        <f>55.60036749</f>
        <v>55.600367489999996</v>
      </c>
      <c r="BQ138">
        <f>54.85206313</f>
        <v>54.852063129999998</v>
      </c>
      <c r="BR138">
        <f>50.67674916</f>
        <v>50.67674916</v>
      </c>
      <c r="BS138">
        <f>33.44714807</f>
        <v>33.447148069999997</v>
      </c>
      <c r="BT138">
        <f>55.01950746</f>
        <v>55.01950746</v>
      </c>
      <c r="BU138">
        <f>50.20561247</f>
        <v>50.205612469999998</v>
      </c>
      <c r="BV138">
        <f>46.14218107</f>
        <v>46.142181069999999</v>
      </c>
      <c r="BW138">
        <f>1.831913346</f>
        <v>1.8319133460000001</v>
      </c>
      <c r="BX138">
        <f>54.86122489</f>
        <v>54.861224890000003</v>
      </c>
      <c r="BY138">
        <f>55.72682083</f>
        <v>55.726820830000001</v>
      </c>
      <c r="BZ138">
        <f>51.89686582</f>
        <v>51.896865820000002</v>
      </c>
      <c r="CA138">
        <f>52.27724782</f>
        <v>52.277247819999999</v>
      </c>
      <c r="CB138">
        <f>55.89527696</f>
        <v>55.895276959999997</v>
      </c>
      <c r="CC138">
        <f>56.50963455</f>
        <v>56.509634550000001</v>
      </c>
      <c r="CD138">
        <f>52.59344965</f>
        <v>52.593449649999997</v>
      </c>
      <c r="CE138">
        <f>49.31918822</f>
        <v>49.319188220000001</v>
      </c>
      <c r="CF138">
        <f>55.11042594</f>
        <v>55.110425939999999</v>
      </c>
      <c r="CG138">
        <f>55.07806945</f>
        <v>55.078069450000001</v>
      </c>
      <c r="CH138">
        <f>55.16932514</f>
        <v>55.169325139999998</v>
      </c>
      <c r="CI138">
        <f>-53.60313794</f>
        <v>-53.603137940000003</v>
      </c>
      <c r="CJ138">
        <f>55.83556348</f>
        <v>55.835563479999998</v>
      </c>
      <c r="CK138">
        <f>57.4956564</f>
        <v>57.495656400000001</v>
      </c>
      <c r="CL138">
        <f>57.628643</f>
        <v>57.628642999999997</v>
      </c>
      <c r="CM138">
        <f>55.14326506</f>
        <v>55.143265059999997</v>
      </c>
      <c r="CN138">
        <f>56.50892031</f>
        <v>56.508920310000001</v>
      </c>
      <c r="CO138">
        <f>57.37779086</f>
        <v>57.377790859999998</v>
      </c>
      <c r="CP138">
        <f>53.89679691</f>
        <v>53.896796909999999</v>
      </c>
      <c r="CQ138">
        <f>54.51931765</f>
        <v>54.519317649999998</v>
      </c>
      <c r="CR138">
        <f>55.31337461</f>
        <v>55.313374609999997</v>
      </c>
      <c r="CS138">
        <f>54.41375086</f>
        <v>54.41375086</v>
      </c>
      <c r="CT138">
        <f>53.43198948</f>
        <v>53.431989479999999</v>
      </c>
      <c r="CU138">
        <f>46.33682272</f>
        <v>46.336822720000001</v>
      </c>
      <c r="CV138">
        <f>52.28802061</f>
        <v>52.288020609999997</v>
      </c>
      <c r="CW138">
        <f>55.77375171</f>
        <v>55.773751709999999</v>
      </c>
      <c r="CX138">
        <f>52.19074361</f>
        <v>52.190743609999998</v>
      </c>
      <c r="CY138">
        <f>43.52960901</f>
        <v>43.529609010000001</v>
      </c>
      <c r="CZ138">
        <f>54.57121479</f>
        <v>54.571214789999999</v>
      </c>
      <c r="DA138">
        <f>57.57332555</f>
        <v>57.57332555</v>
      </c>
      <c r="DB138">
        <f>57.05971992</f>
        <v>57.059719919999999</v>
      </c>
      <c r="DC138">
        <f>55.82869793</f>
        <v>55.828697929999997</v>
      </c>
      <c r="DD138">
        <f>56.64889052</f>
        <v>56.648890520000002</v>
      </c>
      <c r="DE138">
        <f>55.40664827</f>
        <v>55.406648269999998</v>
      </c>
      <c r="DF138">
        <f>55.61769253</f>
        <v>55.617692529999999</v>
      </c>
      <c r="DG138">
        <f>55.35529185</f>
        <v>55.35529185</v>
      </c>
      <c r="DH138">
        <f>60.31493867</f>
        <v>60.314938669999997</v>
      </c>
      <c r="DI138">
        <f>61.52795388</f>
        <v>61.527953879999998</v>
      </c>
      <c r="DJ138">
        <f>59.78863053</f>
        <v>59.788630529999999</v>
      </c>
      <c r="DK138">
        <f>27.26090518</f>
        <v>27.260905180000002</v>
      </c>
      <c r="DL138">
        <f>56.04263041</f>
        <v>56.042630410000001</v>
      </c>
      <c r="DM138">
        <f>54.95086213</f>
        <v>54.950862129999997</v>
      </c>
      <c r="DN138">
        <f>53.81128139</f>
        <v>53.811281389999998</v>
      </c>
      <c r="DO138">
        <f>59.10670078</f>
        <v>59.106700779999997</v>
      </c>
      <c r="DP138">
        <f>19.52603891</f>
        <v>19.52603891</v>
      </c>
      <c r="DQ138">
        <f>58.88867175</f>
        <v>58.88867175</v>
      </c>
      <c r="DR138">
        <f>53.0341186</f>
        <v>53.034118599999999</v>
      </c>
      <c r="DS138" t="str">
        <f>""</f>
        <v/>
      </c>
      <c r="DT138">
        <f>58.80679974</f>
        <v>58.806799740000002</v>
      </c>
      <c r="DU138">
        <f>58.17979158</f>
        <v>58.17979158</v>
      </c>
    </row>
    <row r="139" spans="1:125">
      <c r="A139" t="str">
        <f>"    Columbia Property Trust Inc"</f>
        <v xml:space="preserve">    Columbia Property Trust Inc</v>
      </c>
      <c r="B139" t="str">
        <f>"CXP US Equity"</f>
        <v>CXP US Equity</v>
      </c>
      <c r="C139" t="str">
        <f t="shared" si="36"/>
        <v>RX225</v>
      </c>
      <c r="D139" t="str">
        <f t="shared" si="37"/>
        <v>EBITDA_TO_REVENUE</v>
      </c>
      <c r="E139" t="str">
        <f t="shared" si="38"/>
        <v>动态</v>
      </c>
      <c r="F139" t="str">
        <f ca="1">IF(AND(ISNUMBER($F$448),$B$294=1),$F$448,HLOOKUP(INDIRECT(ADDRESS(2,COLUMN())),OFFSET($BN$2,0,0,ROW()-1,60),ROW()-1,FALSE))</f>
        <v/>
      </c>
      <c r="G139">
        <f ca="1">IF(AND(ISNUMBER($G$448),$B$294=1),$G$448,HLOOKUP(INDIRECT(ADDRESS(2,COLUMN())),OFFSET($BN$2,0,0,ROW()-1,60),ROW()-1,FALSE))</f>
        <v>52.106108200000001</v>
      </c>
      <c r="H139">
        <f ca="1">IF(AND(ISNUMBER($H$448),$B$294=1),$H$448,HLOOKUP(INDIRECT(ADDRESS(2,COLUMN())),OFFSET($BN$2,0,0,ROW()-1,60),ROW()-1,FALSE))</f>
        <v>56.850336300000002</v>
      </c>
      <c r="I139">
        <f ca="1">IF(AND(ISNUMBER($I$448),$B$294=1),$I$448,HLOOKUP(INDIRECT(ADDRESS(2,COLUMN())),OFFSET($BN$2,0,0,ROW()-1,60),ROW()-1,FALSE))</f>
        <v>57.823583630000002</v>
      </c>
      <c r="J139">
        <f ca="1">IF(AND(ISNUMBER($J$448),$B$294=1),$J$448,HLOOKUP(INDIRECT(ADDRESS(2,COLUMN())),OFFSET($BN$2,0,0,ROW()-1,60),ROW()-1,FALSE))</f>
        <v>56.417060229999997</v>
      </c>
      <c r="K139">
        <f ca="1">IF(AND(ISNUMBER($K$448),$B$294=1),$K$448,HLOOKUP(INDIRECT(ADDRESS(2,COLUMN())),OFFSET($BN$2,0,0,ROW()-1,60),ROW()-1,FALSE))</f>
        <v>54.817146960000002</v>
      </c>
      <c r="L139">
        <f ca="1">IF(AND(ISNUMBER($L$448),$B$294=1),$L$448,HLOOKUP(INDIRECT(ADDRESS(2,COLUMN())),OFFSET($BN$2,0,0,ROW()-1,60),ROW()-1,FALSE))</f>
        <v>53.576536650000001</v>
      </c>
      <c r="M139">
        <f ca="1">IF(AND(ISNUMBER($M$448),$B$294=1),$M$448,HLOOKUP(INDIRECT(ADDRESS(2,COLUMN())),OFFSET($BN$2,0,0,ROW()-1,60),ROW()-1,FALSE))</f>
        <v>56.999921829999998</v>
      </c>
      <c r="N139">
        <f ca="1">IF(AND(ISNUMBER($N$448),$B$294=1),$N$448,HLOOKUP(INDIRECT(ADDRESS(2,COLUMN())),OFFSET($BN$2,0,0,ROW()-1,60),ROW()-1,FALSE))</f>
        <v>54.329707139999996</v>
      </c>
      <c r="O139">
        <f ca="1">IF(AND(ISNUMBER($O$448),$B$294=1),$O$448,HLOOKUP(INDIRECT(ADDRESS(2,COLUMN())),OFFSET($BN$2,0,0,ROW()-1,60),ROW()-1,FALSE))</f>
        <v>56.112120230000002</v>
      </c>
      <c r="P139">
        <f ca="1">IF(AND(ISNUMBER($P$448),$B$294=1),$P$448,HLOOKUP(INDIRECT(ADDRESS(2,COLUMN())),OFFSET($BN$2,0,0,ROW()-1,60),ROW()-1,FALSE))</f>
        <v>54.095658550000003</v>
      </c>
      <c r="Q139">
        <f ca="1">IF(AND(ISNUMBER($Q$448),$B$294=1),$Q$448,HLOOKUP(INDIRECT(ADDRESS(2,COLUMN())),OFFSET($BN$2,0,0,ROW()-1,60),ROW()-1,FALSE))</f>
        <v>57.452539760000001</v>
      </c>
      <c r="R139">
        <f ca="1">IF(AND(ISNUMBER($R$448),$B$294=1),$R$448,HLOOKUP(INDIRECT(ADDRESS(2,COLUMN())),OFFSET($BN$2,0,0,ROW()-1,60),ROW()-1,FALSE))</f>
        <v>54.235036569999998</v>
      </c>
      <c r="S139">
        <f ca="1">IF(AND(ISNUMBER($S$448),$B$294=1),$S$448,HLOOKUP(INDIRECT(ADDRESS(2,COLUMN())),OFFSET($BN$2,0,0,ROW()-1,60),ROW()-1,FALSE))</f>
        <v>48.456389469999998</v>
      </c>
      <c r="T139">
        <f ca="1">IF(AND(ISNUMBER($T$448),$B$294=1),$T$448,HLOOKUP(INDIRECT(ADDRESS(2,COLUMN())),OFFSET($BN$2,0,0,ROW()-1,60),ROW()-1,FALSE))</f>
        <v>53.549762379999997</v>
      </c>
      <c r="U139">
        <f ca="1">IF(AND(ISNUMBER($U$448),$B$294=1),$U$448,HLOOKUP(INDIRECT(ADDRESS(2,COLUMN())),OFFSET($BN$2,0,0,ROW()-1,60),ROW()-1,FALSE))</f>
        <v>55.34707547</v>
      </c>
      <c r="V139">
        <f ca="1">IF(AND(ISNUMBER($V$448),$B$294=1),$V$448,HLOOKUP(INDIRECT(ADDRESS(2,COLUMN())),OFFSET($BN$2,0,0,ROW()-1,60),ROW()-1,FALSE))</f>
        <v>50.31122259</v>
      </c>
      <c r="W139">
        <f ca="1">IF(AND(ISNUMBER($W$448),$B$294=1),$W$448,HLOOKUP(INDIRECT(ADDRESS(2,COLUMN())),OFFSET($BN$2,0,0,ROW()-1,60),ROW()-1,FALSE))</f>
        <v>58.54543546</v>
      </c>
      <c r="X139">
        <f ca="1">IF(AND(ISNUMBER($X$448),$B$294=1),$X$448,HLOOKUP(INDIRECT(ADDRESS(2,COLUMN())),OFFSET($BN$2,0,0,ROW()-1,60),ROW()-1,FALSE))</f>
        <v>64.012618680000003</v>
      </c>
      <c r="Y139">
        <f ca="1">IF(AND(ISNUMBER($Y$448),$B$294=1),$Y$448,HLOOKUP(INDIRECT(ADDRESS(2,COLUMN())),OFFSET($BN$2,0,0,ROW()-1,60),ROW()-1,FALSE))</f>
        <v>65.174340580000006</v>
      </c>
      <c r="Z139">
        <f ca="1">IF(AND(ISNUMBER($Z$448),$B$294=1),$Z$448,HLOOKUP(INDIRECT(ADDRESS(2,COLUMN())),OFFSET($BN$2,0,0,ROW()-1,60),ROW()-1,FALSE))</f>
        <v>38.951177090000002</v>
      </c>
      <c r="AA139">
        <f ca="1">IF(AND(ISNUMBER($AA$448),$B$294=1),$AA$448,HLOOKUP(INDIRECT(ADDRESS(2,COLUMN())),OFFSET($BN$2,0,0,ROW()-1,60),ROW()-1,FALSE))</f>
        <v>58.095025620000001</v>
      </c>
      <c r="AB139">
        <f ca="1">IF(AND(ISNUMBER($AB$448),$B$294=1),$AB$448,HLOOKUP(INDIRECT(ADDRESS(2,COLUMN())),OFFSET($BN$2,0,0,ROW()-1,60),ROW()-1,FALSE))</f>
        <v>57.436354590000001</v>
      </c>
      <c r="AC139">
        <f ca="1">IF(AND(ISNUMBER($AC$448),$B$294=1),$AC$448,HLOOKUP(INDIRECT(ADDRESS(2,COLUMN())),OFFSET($BN$2,0,0,ROW()-1,60),ROW()-1,FALSE))</f>
        <v>58.205588380000002</v>
      </c>
      <c r="AD139">
        <f ca="1">IF(AND(ISNUMBER($AD$448),$B$294=1),$AD$448,HLOOKUP(INDIRECT(ADDRESS(2,COLUMN())),OFFSET($BN$2,0,0,ROW()-1,60),ROW()-1,FALSE))</f>
        <v>60.087024200000002</v>
      </c>
      <c r="AE139">
        <f ca="1">IF(AND(ISNUMBER($AE$448),$B$294=1),$AE$448,HLOOKUP(INDIRECT(ADDRESS(2,COLUMN())),OFFSET($BN$2,0,0,ROW()-1,60),ROW()-1,FALSE))</f>
        <v>49.018726710000003</v>
      </c>
      <c r="AF139">
        <f ca="1">IF(AND(ISNUMBER($AF$448),$B$294=1),$AF$448,HLOOKUP(INDIRECT(ADDRESS(2,COLUMN())),OFFSET($BN$2,0,0,ROW()-1,60),ROW()-1,FALSE))</f>
        <v>58.579392149999997</v>
      </c>
      <c r="AG139">
        <f ca="1">IF(AND(ISNUMBER($AG$448),$B$294=1),$AG$448,HLOOKUP(INDIRECT(ADDRESS(2,COLUMN())),OFFSET($BN$2,0,0,ROW()-1,60),ROW()-1,FALSE))</f>
        <v>57.641895689999998</v>
      </c>
      <c r="AH139">
        <f ca="1">IF(AND(ISNUMBER($AH$448),$B$294=1),$AH$448,HLOOKUP(INDIRECT(ADDRESS(2,COLUMN())),OFFSET($BN$2,0,0,ROW()-1,60),ROW()-1,FALSE))</f>
        <v>51.853652779999997</v>
      </c>
      <c r="AI139">
        <f ca="1">IF(AND(ISNUMBER($AI$448),$B$294=1),$AI$448,HLOOKUP(INDIRECT(ADDRESS(2,COLUMN())),OFFSET($BN$2,0,0,ROW()-1,60),ROW()-1,FALSE))</f>
        <v>62.289536519999999</v>
      </c>
      <c r="AJ139">
        <f ca="1">IF(AND(ISNUMBER($AJ$448),$B$294=1),$AJ$448,HLOOKUP(INDIRECT(ADDRESS(2,COLUMN())),OFFSET($BN$2,0,0,ROW()-1,60),ROW()-1,FALSE))</f>
        <v>56.922810900000002</v>
      </c>
      <c r="AK139">
        <f ca="1">IF(AND(ISNUMBER($AK$448),$B$294=1),$AK$448,HLOOKUP(INDIRECT(ADDRESS(2,COLUMN())),OFFSET($BN$2,0,0,ROW()-1,60),ROW()-1,FALSE))</f>
        <v>54.089899989999999</v>
      </c>
      <c r="AL139">
        <f ca="1">IF(AND(ISNUMBER($AL$448),$B$294=1),$AL$448,HLOOKUP(INDIRECT(ADDRESS(2,COLUMN())),OFFSET($BN$2,0,0,ROW()-1,60),ROW()-1,FALSE))</f>
        <v>54.34080281</v>
      </c>
      <c r="AM139">
        <f ca="1">IF(AND(ISNUMBER($AM$448),$B$294=1),$AM$448,HLOOKUP(INDIRECT(ADDRESS(2,COLUMN())),OFFSET($BN$2,0,0,ROW()-1,60),ROW()-1,FALSE))</f>
        <v>57.885840080000001</v>
      </c>
      <c r="AN139">
        <f ca="1">IF(AND(ISNUMBER($AN$448),$B$294=1),$AN$448,HLOOKUP(INDIRECT(ADDRESS(2,COLUMN())),OFFSET($BN$2,0,0,ROW()-1,60),ROW()-1,FALSE))</f>
        <v>54.361583230000001</v>
      </c>
      <c r="AO139">
        <f ca="1">IF(AND(ISNUMBER($AO$448),$B$294=1),$AO$448,HLOOKUP(INDIRECT(ADDRESS(2,COLUMN())),OFFSET($BN$2,0,0,ROW()-1,60),ROW()-1,FALSE))</f>
        <v>51.81055903</v>
      </c>
      <c r="AP139">
        <f ca="1">IF(AND(ISNUMBER($AP$448),$B$294=1),$AP$448,HLOOKUP(INDIRECT(ADDRESS(2,COLUMN())),OFFSET($BN$2,0,0,ROW()-1,60),ROW()-1,FALSE))</f>
        <v>49.151357609999998</v>
      </c>
      <c r="AQ139" t="str">
        <f ca="1">IF(AND(ISNUMBER($AQ$448),$B$294=1),$AQ$448,HLOOKUP(INDIRECT(ADDRESS(2,COLUMN())),OFFSET($BN$2,0,0,ROW()-1,60),ROW()-1,FALSE))</f>
        <v/>
      </c>
      <c r="AR139" t="str">
        <f ca="1">IF(AND(ISNUMBER($AR$448),$B$294=1),$AR$448,HLOOKUP(INDIRECT(ADDRESS(2,COLUMN())),OFFSET($BN$2,0,0,ROW()-1,60),ROW()-1,FALSE))</f>
        <v/>
      </c>
      <c r="AS139" t="str">
        <f ca="1">IF(AND(ISNUMBER($AS$448),$B$294=1),$AS$448,HLOOKUP(INDIRECT(ADDRESS(2,COLUMN())),OFFSET($BN$2,0,0,ROW()-1,60),ROW()-1,FALSE))</f>
        <v/>
      </c>
      <c r="AT139" t="str">
        <f ca="1">IF(AND(ISNUMBER($AT$448),$B$294=1),$AT$448,HLOOKUP(INDIRECT(ADDRESS(2,COLUMN())),OFFSET($BN$2,0,0,ROW()-1,60),ROW()-1,FALSE))</f>
        <v/>
      </c>
      <c r="AU139" t="str">
        <f ca="1">IF(AND(ISNUMBER($AU$448),$B$294=1),$AU$448,HLOOKUP(INDIRECT(ADDRESS(2,COLUMN())),OFFSET($BN$2,0,0,ROW()-1,60),ROW()-1,FALSE))</f>
        <v/>
      </c>
      <c r="AV139" t="str">
        <f ca="1">IF(AND(ISNUMBER($AV$448),$B$294=1),$AV$448,HLOOKUP(INDIRECT(ADDRESS(2,COLUMN())),OFFSET($BN$2,0,0,ROW()-1,60),ROW()-1,FALSE))</f>
        <v/>
      </c>
      <c r="AW139" t="str">
        <f ca="1">IF(AND(ISNUMBER($AW$448),$B$294=1),$AW$448,HLOOKUP(INDIRECT(ADDRESS(2,COLUMN())),OFFSET($BN$2,0,0,ROW()-1,60),ROW()-1,FALSE))</f>
        <v/>
      </c>
      <c r="AX139" t="str">
        <f ca="1">IF(AND(ISNUMBER($AX$448),$B$294=1),$AX$448,HLOOKUP(INDIRECT(ADDRESS(2,COLUMN())),OFFSET($BN$2,0,0,ROW()-1,60),ROW()-1,FALSE))</f>
        <v/>
      </c>
      <c r="AY139" t="str">
        <f ca="1">IF(AND(ISNUMBER($AY$448),$B$294=1),$AY$448,HLOOKUP(INDIRECT(ADDRESS(2,COLUMN())),OFFSET($BN$2,0,0,ROW()-1,60),ROW()-1,FALSE))</f>
        <v/>
      </c>
      <c r="AZ139" t="str">
        <f ca="1">IF(AND(ISNUMBER($AZ$448),$B$294=1),$AZ$448,HLOOKUP(INDIRECT(ADDRESS(2,COLUMN())),OFFSET($BN$2,0,0,ROW()-1,60),ROW()-1,FALSE))</f>
        <v/>
      </c>
      <c r="BA139" t="str">
        <f ca="1">IF(AND(ISNUMBER($BA$448),$B$294=1),$BA$448,HLOOKUP(INDIRECT(ADDRESS(2,COLUMN())),OFFSET($BN$2,0,0,ROW()-1,60),ROW()-1,FALSE))</f>
        <v/>
      </c>
      <c r="BB139" t="str">
        <f ca="1">IF(AND(ISNUMBER($BB$448),$B$294=1),$BB$448,HLOOKUP(INDIRECT(ADDRESS(2,COLUMN())),OFFSET($BN$2,0,0,ROW()-1,60),ROW()-1,FALSE))</f>
        <v/>
      </c>
      <c r="BC139" t="str">
        <f ca="1">IF(AND(ISNUMBER($BC$448),$B$294=1),$BC$448,HLOOKUP(INDIRECT(ADDRESS(2,COLUMN())),OFFSET($BN$2,0,0,ROW()-1,60),ROW()-1,FALSE))</f>
        <v/>
      </c>
      <c r="BD139" t="str">
        <f ca="1">IF(AND(ISNUMBER($BD$448),$B$294=1),$BD$448,HLOOKUP(INDIRECT(ADDRESS(2,COLUMN())),OFFSET($BN$2,0,0,ROW()-1,60),ROW()-1,FALSE))</f>
        <v/>
      </c>
      <c r="BE139" t="str">
        <f ca="1">IF(AND(ISNUMBER($BE$448),$B$294=1),$BE$448,HLOOKUP(INDIRECT(ADDRESS(2,COLUMN())),OFFSET($BN$2,0,0,ROW()-1,60),ROW()-1,FALSE))</f>
        <v/>
      </c>
      <c r="BF139" t="str">
        <f ca="1">IF(AND(ISNUMBER($BF$448),$B$294=1),$BF$448,HLOOKUP(INDIRECT(ADDRESS(2,COLUMN())),OFFSET($BN$2,0,0,ROW()-1,60),ROW()-1,FALSE))</f>
        <v/>
      </c>
      <c r="BG139" t="str">
        <f ca="1">IF(AND(ISNUMBER($BG$448),$B$294=1),$BG$448,HLOOKUP(INDIRECT(ADDRESS(2,COLUMN())),OFFSET($BN$2,0,0,ROW()-1,60),ROW()-1,FALSE))</f>
        <v/>
      </c>
      <c r="BH139" t="str">
        <f ca="1">IF(AND(ISNUMBER($BH$448),$B$294=1),$BH$448,HLOOKUP(INDIRECT(ADDRESS(2,COLUMN())),OFFSET($BN$2,0,0,ROW()-1,60),ROW()-1,FALSE))</f>
        <v/>
      </c>
      <c r="BI139" t="str">
        <f ca="1">IF(AND(ISNUMBER($BI$448),$B$294=1),$BI$448,HLOOKUP(INDIRECT(ADDRESS(2,COLUMN())),OFFSET($BN$2,0,0,ROW()-1,60),ROW()-1,FALSE))</f>
        <v/>
      </c>
      <c r="BJ139" t="str">
        <f ca="1">IF(AND(ISNUMBER($BJ$448),$B$294=1),$BJ$448,HLOOKUP(INDIRECT(ADDRESS(2,COLUMN())),OFFSET($BN$2,0,0,ROW()-1,60),ROW()-1,FALSE))</f>
        <v/>
      </c>
      <c r="BK139" t="str">
        <f ca="1">IF(AND(ISNUMBER($BK$448),$B$294=1),$BK$448,HLOOKUP(INDIRECT(ADDRESS(2,COLUMN())),OFFSET($BN$2,0,0,ROW()-1,60),ROW()-1,FALSE))</f>
        <v/>
      </c>
      <c r="BL139" t="str">
        <f ca="1">IF(AND(ISNUMBER($BL$448),$B$294=1),$BL$448,HLOOKUP(INDIRECT(ADDRESS(2,COLUMN())),OFFSET($BN$2,0,0,ROW()-1,60),ROW()-1,FALSE))</f>
        <v/>
      </c>
      <c r="BM139" t="str">
        <f ca="1">IF(AND(ISNUMBER($BM$448),$B$294=1),$BM$448,HLOOKUP(INDIRECT(ADDRESS(2,COLUMN())),OFFSET($BN$2,0,0,ROW()-1,60),ROW()-1,FALSE))</f>
        <v/>
      </c>
      <c r="BN139" t="str">
        <f>""</f>
        <v/>
      </c>
      <c r="BO139">
        <f>52.1061082</f>
        <v>52.106108200000001</v>
      </c>
      <c r="BP139">
        <f>56.8503363</f>
        <v>56.850336300000002</v>
      </c>
      <c r="BQ139">
        <f>57.82358363</f>
        <v>57.823583630000002</v>
      </c>
      <c r="BR139">
        <f>56.41706023</f>
        <v>56.417060229999997</v>
      </c>
      <c r="BS139">
        <f>54.81714696</f>
        <v>54.817146960000002</v>
      </c>
      <c r="BT139">
        <f>53.57653665</f>
        <v>53.576536650000001</v>
      </c>
      <c r="BU139">
        <f>56.99992183</f>
        <v>56.999921829999998</v>
      </c>
      <c r="BV139">
        <f>54.32970714</f>
        <v>54.329707139999996</v>
      </c>
      <c r="BW139">
        <f>56.11212023</f>
        <v>56.112120230000002</v>
      </c>
      <c r="BX139">
        <f>54.09565855</f>
        <v>54.095658550000003</v>
      </c>
      <c r="BY139">
        <f>57.45253976</f>
        <v>57.452539760000001</v>
      </c>
      <c r="BZ139">
        <f>54.23503657</f>
        <v>54.235036569999998</v>
      </c>
      <c r="CA139">
        <f>48.45638947</f>
        <v>48.456389469999998</v>
      </c>
      <c r="CB139">
        <f>53.54976238</f>
        <v>53.549762379999997</v>
      </c>
      <c r="CC139">
        <f>55.34707547</f>
        <v>55.34707547</v>
      </c>
      <c r="CD139">
        <f>50.31122259</f>
        <v>50.31122259</v>
      </c>
      <c r="CE139">
        <f>58.54543546</f>
        <v>58.54543546</v>
      </c>
      <c r="CF139">
        <f>64.01261868</f>
        <v>64.012618680000003</v>
      </c>
      <c r="CG139">
        <f>65.17434058</f>
        <v>65.174340580000006</v>
      </c>
      <c r="CH139">
        <f>38.95117709</f>
        <v>38.951177090000002</v>
      </c>
      <c r="CI139">
        <f>58.09502562</f>
        <v>58.095025620000001</v>
      </c>
      <c r="CJ139">
        <f>57.43635459</f>
        <v>57.436354590000001</v>
      </c>
      <c r="CK139">
        <f>58.20558838</f>
        <v>58.205588380000002</v>
      </c>
      <c r="CL139">
        <f>60.0870242</f>
        <v>60.087024200000002</v>
      </c>
      <c r="CM139">
        <f>49.01872671</f>
        <v>49.018726710000003</v>
      </c>
      <c r="CN139">
        <f>58.57939215</f>
        <v>58.579392149999997</v>
      </c>
      <c r="CO139">
        <f>57.64189569</f>
        <v>57.641895689999998</v>
      </c>
      <c r="CP139">
        <f>51.85365278</f>
        <v>51.853652779999997</v>
      </c>
      <c r="CQ139">
        <f>62.28953652</f>
        <v>62.289536519999999</v>
      </c>
      <c r="CR139">
        <f>56.9228109</f>
        <v>56.922810900000002</v>
      </c>
      <c r="CS139">
        <f>54.08989999</f>
        <v>54.089899989999999</v>
      </c>
      <c r="CT139">
        <f>54.34080281</f>
        <v>54.34080281</v>
      </c>
      <c r="CU139">
        <f>57.88584008</f>
        <v>57.885840080000001</v>
      </c>
      <c r="CV139">
        <f>54.36158323</f>
        <v>54.361583230000001</v>
      </c>
      <c r="CW139">
        <f>51.81055903</f>
        <v>51.81055903</v>
      </c>
      <c r="CX139">
        <f>49.15135761</f>
        <v>49.151357609999998</v>
      </c>
      <c r="CY139" t="str">
        <f>""</f>
        <v/>
      </c>
      <c r="CZ139" t="str">
        <f>""</f>
        <v/>
      </c>
      <c r="DA139" t="str">
        <f>""</f>
        <v/>
      </c>
      <c r="DB139" t="str">
        <f>""</f>
        <v/>
      </c>
      <c r="DC139" t="str">
        <f>""</f>
        <v/>
      </c>
      <c r="DD139" t="str">
        <f>""</f>
        <v/>
      </c>
      <c r="DE139" t="str">
        <f>""</f>
        <v/>
      </c>
      <c r="DF139" t="str">
        <f>""</f>
        <v/>
      </c>
      <c r="DG139" t="str">
        <f>""</f>
        <v/>
      </c>
      <c r="DH139" t="str">
        <f>""</f>
        <v/>
      </c>
      <c r="DI139" t="str">
        <f>""</f>
        <v/>
      </c>
      <c r="DJ139" t="str">
        <f>""</f>
        <v/>
      </c>
      <c r="DK139" t="str">
        <f>""</f>
        <v/>
      </c>
      <c r="DL139" t="str">
        <f>""</f>
        <v/>
      </c>
      <c r="DM139" t="str">
        <f>""</f>
        <v/>
      </c>
      <c r="DN139" t="str">
        <f>""</f>
        <v/>
      </c>
      <c r="DO139" t="str">
        <f>""</f>
        <v/>
      </c>
      <c r="DP139" t="str">
        <f>""</f>
        <v/>
      </c>
      <c r="DQ139" t="str">
        <f>""</f>
        <v/>
      </c>
      <c r="DR139" t="str">
        <f>""</f>
        <v/>
      </c>
      <c r="DS139" t="str">
        <f>""</f>
        <v/>
      </c>
      <c r="DT139" t="str">
        <f>""</f>
        <v/>
      </c>
      <c r="DU139" t="str">
        <f>""</f>
        <v/>
      </c>
    </row>
    <row r="140" spans="1:125">
      <c r="A140" t="str">
        <f>"    Corporate Office Properties Tr"</f>
        <v xml:space="preserve">    Corporate Office Properties Tr</v>
      </c>
      <c r="B140" t="str">
        <f>"OFC US Equity"</f>
        <v>OFC US Equity</v>
      </c>
      <c r="C140" t="str">
        <f t="shared" si="36"/>
        <v>RX225</v>
      </c>
      <c r="D140" t="str">
        <f t="shared" si="37"/>
        <v>EBITDA_TO_REVENUE</v>
      </c>
      <c r="E140" t="str">
        <f t="shared" si="38"/>
        <v>动态</v>
      </c>
      <c r="F140" t="str">
        <f ca="1">IF(AND(ISNUMBER($F$449),$B$294=1),$F$449,HLOOKUP(INDIRECT(ADDRESS(2,COLUMN())),OFFSET($BN$2,0,0,ROW()-1,60),ROW()-1,FALSE))</f>
        <v/>
      </c>
      <c r="G140">
        <f ca="1">IF(AND(ISNUMBER($G$449),$B$294=1),$G$449,HLOOKUP(INDIRECT(ADDRESS(2,COLUMN())),OFFSET($BN$2,0,0,ROW()-1,60),ROW()-1,FALSE))</f>
        <v>36.085606470000002</v>
      </c>
      <c r="H140">
        <f ca="1">IF(AND(ISNUMBER($H$449),$B$294=1),$H$449,HLOOKUP(INDIRECT(ADDRESS(2,COLUMN())),OFFSET($BN$2,0,0,ROW()-1,60),ROW()-1,FALSE))</f>
        <v>47.099358670000001</v>
      </c>
      <c r="I140">
        <f ca="1">IF(AND(ISNUMBER($I$449),$B$294=1),$I$449,HLOOKUP(INDIRECT(ADDRESS(2,COLUMN())),OFFSET($BN$2,0,0,ROW()-1,60),ROW()-1,FALSE))</f>
        <v>46.221811340000002</v>
      </c>
      <c r="J140">
        <f ca="1">IF(AND(ISNUMBER($J$449),$B$294=1),$J$449,HLOOKUP(INDIRECT(ADDRESS(2,COLUMN())),OFFSET($BN$2,0,0,ROW()-1,60),ROW()-1,FALSE))</f>
        <v>49.358016040000003</v>
      </c>
      <c r="K140">
        <f ca="1">IF(AND(ISNUMBER($K$449),$B$294=1),$K$449,HLOOKUP(INDIRECT(ADDRESS(2,COLUMN())),OFFSET($BN$2,0,0,ROW()-1,60),ROW()-1,FALSE))</f>
        <v>49.920769630000002</v>
      </c>
      <c r="L140">
        <f ca="1">IF(AND(ISNUMBER($L$449),$B$294=1),$L$449,HLOOKUP(INDIRECT(ADDRESS(2,COLUMN())),OFFSET($BN$2,0,0,ROW()-1,60),ROW()-1,FALSE))</f>
        <v>31.000752970000001</v>
      </c>
      <c r="M140">
        <f ca="1">IF(AND(ISNUMBER($M$449),$B$294=1),$M$449,HLOOKUP(INDIRECT(ADDRESS(2,COLUMN())),OFFSET($BN$2,0,0,ROW()-1,60),ROW()-1,FALSE))</f>
        <v>4.6262857459999998</v>
      </c>
      <c r="N140">
        <f ca="1">IF(AND(ISNUMBER($N$449),$B$294=1),$N$449,HLOOKUP(INDIRECT(ADDRESS(2,COLUMN())),OFFSET($BN$2,0,0,ROW()-1,60),ROW()-1,FALSE))</f>
        <v>45.453789489999998</v>
      </c>
      <c r="O140">
        <f ca="1">IF(AND(ISNUMBER($O$449),$B$294=1),$O$449,HLOOKUP(INDIRECT(ADDRESS(2,COLUMN())),OFFSET($BN$2,0,0,ROW()-1,60),ROW()-1,FALSE))</f>
        <v>39.69230769</v>
      </c>
      <c r="P140">
        <f ca="1">IF(AND(ISNUMBER($P$449),$B$294=1),$P$449,HLOOKUP(INDIRECT(ADDRESS(2,COLUMN())),OFFSET($BN$2,0,0,ROW()-1,60),ROW()-1,FALSE))</f>
        <v>47.090431459999998</v>
      </c>
      <c r="Q140">
        <f ca="1">IF(AND(ISNUMBER($Q$449),$B$294=1),$Q$449,HLOOKUP(INDIRECT(ADDRESS(2,COLUMN())),OFFSET($BN$2,0,0,ROW()-1,60),ROW()-1,FALSE))</f>
        <v>42.135909789999999</v>
      </c>
      <c r="R140">
        <f ca="1">IF(AND(ISNUMBER($R$449),$B$294=1),$R$449,HLOOKUP(INDIRECT(ADDRESS(2,COLUMN())),OFFSET($BN$2,0,0,ROW()-1,60),ROW()-1,FALSE))</f>
        <v>38.91476334</v>
      </c>
      <c r="S140">
        <f ca="1">IF(AND(ISNUMBER($S$449),$B$294=1),$S$449,HLOOKUP(INDIRECT(ADDRESS(2,COLUMN())),OFFSET($BN$2,0,0,ROW()-1,60),ROW()-1,FALSE))</f>
        <v>46.960965090000002</v>
      </c>
      <c r="T140">
        <f ca="1">IF(AND(ISNUMBER($T$449),$B$294=1),$T$449,HLOOKUP(INDIRECT(ADDRESS(2,COLUMN())),OFFSET($BN$2,0,0,ROW()-1,60),ROW()-1,FALSE))</f>
        <v>44.572100769999999</v>
      </c>
      <c r="U140">
        <f ca="1">IF(AND(ISNUMBER($U$449),$B$294=1),$U$449,HLOOKUP(INDIRECT(ADDRESS(2,COLUMN())),OFFSET($BN$2,0,0,ROW()-1,60),ROW()-1,FALSE))</f>
        <v>45.468459449999997</v>
      </c>
      <c r="V140">
        <f ca="1">IF(AND(ISNUMBER($V$449),$B$294=1),$V$449,HLOOKUP(INDIRECT(ADDRESS(2,COLUMN())),OFFSET($BN$2,0,0,ROW()-1,60),ROW()-1,FALSE))</f>
        <v>47.254665330000002</v>
      </c>
      <c r="W140">
        <f ca="1">IF(AND(ISNUMBER($W$449),$B$294=1),$W$449,HLOOKUP(INDIRECT(ADDRESS(2,COLUMN())),OFFSET($BN$2,0,0,ROW()-1,60),ROW()-1,FALSE))</f>
        <v>51.753854750000002</v>
      </c>
      <c r="X140">
        <f ca="1">IF(AND(ISNUMBER($X$449),$B$294=1),$X$449,HLOOKUP(INDIRECT(ADDRESS(2,COLUMN())),OFFSET($BN$2,0,0,ROW()-1,60),ROW()-1,FALSE))</f>
        <v>45.811458739999999</v>
      </c>
      <c r="Y140">
        <f ca="1">IF(AND(ISNUMBER($Y$449),$B$294=1),$Y$449,HLOOKUP(INDIRECT(ADDRESS(2,COLUMN())),OFFSET($BN$2,0,0,ROW()-1,60),ROW()-1,FALSE))</f>
        <v>51.045580729999998</v>
      </c>
      <c r="Z140">
        <f ca="1">IF(AND(ISNUMBER($Z$449),$B$294=1),$Z$449,HLOOKUP(INDIRECT(ADDRESS(2,COLUMN())),OFFSET($BN$2,0,0,ROW()-1,60),ROW()-1,FALSE))</f>
        <v>51.455803009999997</v>
      </c>
      <c r="AA140">
        <f ca="1">IF(AND(ISNUMBER($AA$449),$B$294=1),$AA$449,HLOOKUP(INDIRECT(ADDRESS(2,COLUMN())),OFFSET($BN$2,0,0,ROW()-1,60),ROW()-1,FALSE))</f>
        <v>47.0162476</v>
      </c>
      <c r="AB140">
        <f ca="1">IF(AND(ISNUMBER($AB$449),$B$294=1),$AB$449,HLOOKUP(INDIRECT(ADDRESS(2,COLUMN())),OFFSET($BN$2,0,0,ROW()-1,60),ROW()-1,FALSE))</f>
        <v>17.439144330000001</v>
      </c>
      <c r="AC140">
        <f ca="1">IF(AND(ISNUMBER($AC$449),$B$294=1),$AC$449,HLOOKUP(INDIRECT(ADDRESS(2,COLUMN())),OFFSET($BN$2,0,0,ROW()-1,60),ROW()-1,FALSE))</f>
        <v>51.532930190000002</v>
      </c>
      <c r="AD140">
        <f ca="1">IF(AND(ISNUMBER($AD$449),$B$294=1),$AD$449,HLOOKUP(INDIRECT(ADDRESS(2,COLUMN())),OFFSET($BN$2,0,0,ROW()-1,60),ROW()-1,FALSE))</f>
        <v>51.361246639999997</v>
      </c>
      <c r="AE140">
        <f ca="1">IF(AND(ISNUMBER($AE$449),$B$294=1),$AE$449,HLOOKUP(INDIRECT(ADDRESS(2,COLUMN())),OFFSET($BN$2,0,0,ROW()-1,60),ROW()-1,FALSE))</f>
        <v>19.241408409999998</v>
      </c>
      <c r="AF140">
        <f ca="1">IF(AND(ISNUMBER($AF$449),$B$294=1),$AF$449,HLOOKUP(INDIRECT(ADDRESS(2,COLUMN())),OFFSET($BN$2,0,0,ROW()-1,60),ROW()-1,FALSE))</f>
        <v>50.777778650000002</v>
      </c>
      <c r="AG140">
        <f ca="1">IF(AND(ISNUMBER($AG$449),$B$294=1),$AG$449,HLOOKUP(INDIRECT(ADDRESS(2,COLUMN())),OFFSET($BN$2,0,0,ROW()-1,60),ROW()-1,FALSE))</f>
        <v>33.844336179999999</v>
      </c>
      <c r="AH140">
        <f ca="1">IF(AND(ISNUMBER($AH$449),$B$294=1),$AH$449,HLOOKUP(INDIRECT(ADDRESS(2,COLUMN())),OFFSET($BN$2,0,0,ROW()-1,60),ROW()-1,FALSE))</f>
        <v>27.385463560000002</v>
      </c>
      <c r="AI140">
        <f ca="1">IF(AND(ISNUMBER($AI$449),$B$294=1),$AI$449,HLOOKUP(INDIRECT(ADDRESS(2,COLUMN())),OFFSET($BN$2,0,0,ROW()-1,60),ROW()-1,FALSE))</f>
        <v>47.729116820000002</v>
      </c>
      <c r="AJ140">
        <f ca="1">IF(AND(ISNUMBER($AJ$449),$B$294=1),$AJ$449,HLOOKUP(INDIRECT(ADDRESS(2,COLUMN())),OFFSET($BN$2,0,0,ROW()-1,60),ROW()-1,FALSE))</f>
        <v>49.125775969999999</v>
      </c>
      <c r="AK140">
        <f ca="1">IF(AND(ISNUMBER($AK$449),$B$294=1),$AK$449,HLOOKUP(INDIRECT(ADDRESS(2,COLUMN())),OFFSET($BN$2,0,0,ROW()-1,60),ROW()-1,FALSE))</f>
        <v>47.593264759999997</v>
      </c>
      <c r="AL140">
        <f ca="1">IF(AND(ISNUMBER($AL$449),$B$294=1),$AL$449,HLOOKUP(INDIRECT(ADDRESS(2,COLUMN())),OFFSET($BN$2,0,0,ROW()-1,60),ROW()-1,FALSE))</f>
        <v>39.882213739999997</v>
      </c>
      <c r="AM140">
        <f ca="1">IF(AND(ISNUMBER($AM$449),$B$294=1),$AM$449,HLOOKUP(INDIRECT(ADDRESS(2,COLUMN())),OFFSET($BN$2,0,0,ROW()-1,60),ROW()-1,FALSE))</f>
        <v>18.64322172</v>
      </c>
      <c r="AN140">
        <f ca="1">IF(AND(ISNUMBER($AN$449),$B$294=1),$AN$449,HLOOKUP(INDIRECT(ADDRESS(2,COLUMN())),OFFSET($BN$2,0,0,ROW()-1,60),ROW()-1,FALSE))</f>
        <v>44.446561350000003</v>
      </c>
      <c r="AO140">
        <f ca="1">IF(AND(ISNUMBER($AO$449),$B$294=1),$AO$449,HLOOKUP(INDIRECT(ADDRESS(2,COLUMN())),OFFSET($BN$2,0,0,ROW()-1,60),ROW()-1,FALSE))</f>
        <v>30.99778718</v>
      </c>
      <c r="AP140">
        <f ca="1">IF(AND(ISNUMBER($AP$449),$B$294=1),$AP$449,HLOOKUP(INDIRECT(ADDRESS(2,COLUMN())),OFFSET($BN$2,0,0,ROW()-1,60),ROW()-1,FALSE))</f>
        <v>34.958590469999997</v>
      </c>
      <c r="AQ140">
        <f ca="1">IF(AND(ISNUMBER($AQ$449),$B$294=1),$AQ$449,HLOOKUP(INDIRECT(ADDRESS(2,COLUMN())),OFFSET($BN$2,0,0,ROW()-1,60),ROW()-1,FALSE))</f>
        <v>36.508502370000002</v>
      </c>
      <c r="AR140">
        <f ca="1">IF(AND(ISNUMBER($AR$449),$B$294=1),$AR$449,HLOOKUP(INDIRECT(ADDRESS(2,COLUMN())),OFFSET($BN$2,0,0,ROW()-1,60),ROW()-1,FALSE))</f>
        <v>32.379845930000002</v>
      </c>
      <c r="AS140">
        <f ca="1">IF(AND(ISNUMBER($AS$449),$B$294=1),$AS$449,HLOOKUP(INDIRECT(ADDRESS(2,COLUMN())),OFFSET($BN$2,0,0,ROW()-1,60),ROW()-1,FALSE))</f>
        <v>48.885935029999999</v>
      </c>
      <c r="AT140">
        <f ca="1">IF(AND(ISNUMBER($AT$449),$B$294=1),$AT$449,HLOOKUP(INDIRECT(ADDRESS(2,COLUMN())),OFFSET($BN$2,0,0,ROW()-1,60),ROW()-1,FALSE))</f>
        <v>53.031147779999998</v>
      </c>
      <c r="AU140">
        <f ca="1">IF(AND(ISNUMBER($AU$449),$B$294=1),$AU$449,HLOOKUP(INDIRECT(ADDRESS(2,COLUMN())),OFFSET($BN$2,0,0,ROW()-1,60),ROW()-1,FALSE))</f>
        <v>56.476384809999999</v>
      </c>
      <c r="AV140">
        <f ca="1">IF(AND(ISNUMBER($AV$449),$B$294=1),$AV$449,HLOOKUP(INDIRECT(ADDRESS(2,COLUMN())),OFFSET($BN$2,0,0,ROW()-1,60),ROW()-1,FALSE))</f>
        <v>55.117938610000003</v>
      </c>
      <c r="AW140">
        <f ca="1">IF(AND(ISNUMBER($AW$449),$B$294=1),$AW$449,HLOOKUP(INDIRECT(ADDRESS(2,COLUMN())),OFFSET($BN$2,0,0,ROW()-1,60),ROW()-1,FALSE))</f>
        <v>55.886819439999996</v>
      </c>
      <c r="AX140">
        <f ca="1">IF(AND(ISNUMBER($AX$449),$B$294=1),$AX$449,HLOOKUP(INDIRECT(ADDRESS(2,COLUMN())),OFFSET($BN$2,0,0,ROW()-1,60),ROW()-1,FALSE))</f>
        <v>53.859273760000001</v>
      </c>
      <c r="AY140">
        <f ca="1">IF(AND(ISNUMBER($AY$449),$B$294=1),$AY$449,HLOOKUP(INDIRECT(ADDRESS(2,COLUMN())),OFFSET($BN$2,0,0,ROW()-1,60),ROW()-1,FALSE))</f>
        <v>51.74744982</v>
      </c>
      <c r="AZ140">
        <f ca="1">IF(AND(ISNUMBER($AZ$449),$B$294=1),$AZ$449,HLOOKUP(INDIRECT(ADDRESS(2,COLUMN())),OFFSET($BN$2,0,0,ROW()-1,60),ROW()-1,FALSE))</f>
        <v>53.33515165</v>
      </c>
      <c r="BA140">
        <f ca="1">IF(AND(ISNUMBER($BA$449),$B$294=1),$BA$449,HLOOKUP(INDIRECT(ADDRESS(2,COLUMN())),OFFSET($BN$2,0,0,ROW()-1,60),ROW()-1,FALSE))</f>
        <v>55.068367309999999</v>
      </c>
      <c r="BB140">
        <f ca="1">IF(AND(ISNUMBER($BB$449),$B$294=1),$BB$449,HLOOKUP(INDIRECT(ADDRESS(2,COLUMN())),OFFSET($BN$2,0,0,ROW()-1,60),ROW()-1,FALSE))</f>
        <v>53.159673099999999</v>
      </c>
      <c r="BC140">
        <f ca="1">IF(AND(ISNUMBER($BC$449),$B$294=1),$BC$449,HLOOKUP(INDIRECT(ADDRESS(2,COLUMN())),OFFSET($BN$2,0,0,ROW()-1,60),ROW()-1,FALSE))</f>
        <v>54.44594489</v>
      </c>
      <c r="BD140">
        <f ca="1">IF(AND(ISNUMBER($BD$449),$B$294=1),$BD$449,HLOOKUP(INDIRECT(ADDRESS(2,COLUMN())),OFFSET($BN$2,0,0,ROW()-1,60),ROW()-1,FALSE))</f>
        <v>44.476385579999999</v>
      </c>
      <c r="BE140">
        <f ca="1">IF(AND(ISNUMBER($BE$449),$B$294=1),$BE$449,HLOOKUP(INDIRECT(ADDRESS(2,COLUMN())),OFFSET($BN$2,0,0,ROW()-1,60),ROW()-1,FALSE))</f>
        <v>51.032577830000001</v>
      </c>
      <c r="BF140">
        <f ca="1">IF(AND(ISNUMBER($BF$449),$B$294=1),$BF$449,HLOOKUP(INDIRECT(ADDRESS(2,COLUMN())),OFFSET($BN$2,0,0,ROW()-1,60),ROW()-1,FALSE))</f>
        <v>51.152910230000003</v>
      </c>
      <c r="BG140">
        <f ca="1">IF(AND(ISNUMBER($BG$449),$B$294=1),$BG$449,HLOOKUP(INDIRECT(ADDRESS(2,COLUMN())),OFFSET($BN$2,0,0,ROW()-1,60),ROW()-1,FALSE))</f>
        <v>58.864588179999998</v>
      </c>
      <c r="BH140">
        <f ca="1">IF(AND(ISNUMBER($BH$449),$B$294=1),$BH$449,HLOOKUP(INDIRECT(ADDRESS(2,COLUMN())),OFFSET($BN$2,0,0,ROW()-1,60),ROW()-1,FALSE))</f>
        <v>57.6813632</v>
      </c>
      <c r="BI140">
        <f ca="1">IF(AND(ISNUMBER($BI$449),$B$294=1),$BI$449,HLOOKUP(INDIRECT(ADDRESS(2,COLUMN())),OFFSET($BN$2,0,0,ROW()-1,60),ROW()-1,FALSE))</f>
        <v>61.353338530000002</v>
      </c>
      <c r="BJ140">
        <f ca="1">IF(AND(ISNUMBER($BJ$449),$B$294=1),$BJ$449,HLOOKUP(INDIRECT(ADDRESS(2,COLUMN())),OFFSET($BN$2,0,0,ROW()-1,60),ROW()-1,FALSE))</f>
        <v>56.640095729999999</v>
      </c>
      <c r="BK140">
        <f ca="1">IF(AND(ISNUMBER($BK$449),$B$294=1),$BK$449,HLOOKUP(INDIRECT(ADDRESS(2,COLUMN())),OFFSET($BN$2,0,0,ROW()-1,60),ROW()-1,FALSE))</f>
        <v>64.327272519999994</v>
      </c>
      <c r="BL140">
        <f ca="1">IF(AND(ISNUMBER($BL$449),$B$294=1),$BL$449,HLOOKUP(INDIRECT(ADDRESS(2,COLUMN())),OFFSET($BN$2,0,0,ROW()-1,60),ROW()-1,FALSE))</f>
        <v>47.783175739999997</v>
      </c>
      <c r="BM140">
        <f ca="1">IF(AND(ISNUMBER($BM$449),$B$294=1),$BM$449,HLOOKUP(INDIRECT(ADDRESS(2,COLUMN())),OFFSET($BN$2,0,0,ROW()-1,60),ROW()-1,FALSE))</f>
        <v>64.847105810000002</v>
      </c>
      <c r="BN140" t="str">
        <f>""</f>
        <v/>
      </c>
      <c r="BO140">
        <f>36.08560647</f>
        <v>36.085606470000002</v>
      </c>
      <c r="BP140">
        <f>47.09935867</f>
        <v>47.099358670000001</v>
      </c>
      <c r="BQ140">
        <f>46.22181134</f>
        <v>46.221811340000002</v>
      </c>
      <c r="BR140">
        <f>49.35801604</f>
        <v>49.358016040000003</v>
      </c>
      <c r="BS140">
        <f>49.92076963</f>
        <v>49.920769630000002</v>
      </c>
      <c r="BT140">
        <f>31.00075297</f>
        <v>31.000752970000001</v>
      </c>
      <c r="BU140">
        <f>4.626285746</f>
        <v>4.6262857459999998</v>
      </c>
      <c r="BV140">
        <f>45.45378949</f>
        <v>45.453789489999998</v>
      </c>
      <c r="BW140">
        <f>39.69230769</f>
        <v>39.69230769</v>
      </c>
      <c r="BX140">
        <f>47.09043146</f>
        <v>47.090431459999998</v>
      </c>
      <c r="BY140">
        <f>42.13590979</f>
        <v>42.135909789999999</v>
      </c>
      <c r="BZ140">
        <f>38.91476334</f>
        <v>38.91476334</v>
      </c>
      <c r="CA140">
        <f>46.96096509</f>
        <v>46.960965090000002</v>
      </c>
      <c r="CB140">
        <f>44.57210077</f>
        <v>44.572100769999999</v>
      </c>
      <c r="CC140">
        <f>45.46845945</f>
        <v>45.468459449999997</v>
      </c>
      <c r="CD140">
        <f>47.25466533</f>
        <v>47.254665330000002</v>
      </c>
      <c r="CE140">
        <f>51.75385475</f>
        <v>51.753854750000002</v>
      </c>
      <c r="CF140">
        <f>45.81145874</f>
        <v>45.811458739999999</v>
      </c>
      <c r="CG140">
        <f>51.04558073</f>
        <v>51.045580729999998</v>
      </c>
      <c r="CH140">
        <f>51.45580301</f>
        <v>51.455803009999997</v>
      </c>
      <c r="CI140">
        <f>47.0162476</f>
        <v>47.0162476</v>
      </c>
      <c r="CJ140">
        <f>17.43914433</f>
        <v>17.439144330000001</v>
      </c>
      <c r="CK140">
        <f>51.53293019</f>
        <v>51.532930190000002</v>
      </c>
      <c r="CL140">
        <f>51.36124664</f>
        <v>51.361246639999997</v>
      </c>
      <c r="CM140">
        <f>19.24140841</f>
        <v>19.241408409999998</v>
      </c>
      <c r="CN140">
        <f>50.77777865</f>
        <v>50.777778650000002</v>
      </c>
      <c r="CO140">
        <f>33.84433618</f>
        <v>33.844336179999999</v>
      </c>
      <c r="CP140">
        <f>27.38546356</f>
        <v>27.385463560000002</v>
      </c>
      <c r="CQ140">
        <f>47.72911682</f>
        <v>47.729116820000002</v>
      </c>
      <c r="CR140">
        <f>49.12577597</f>
        <v>49.125775969999999</v>
      </c>
      <c r="CS140">
        <f>47.59326476</f>
        <v>47.593264759999997</v>
      </c>
      <c r="CT140">
        <f>39.88221374</f>
        <v>39.882213739999997</v>
      </c>
      <c r="CU140">
        <f>18.64322172</f>
        <v>18.64322172</v>
      </c>
      <c r="CV140">
        <f>44.44656135</f>
        <v>44.446561350000003</v>
      </c>
      <c r="CW140">
        <f>30.99778718</f>
        <v>30.99778718</v>
      </c>
      <c r="CX140">
        <f>34.95859047</f>
        <v>34.958590469999997</v>
      </c>
      <c r="CY140">
        <f>36.50850237</f>
        <v>36.508502370000002</v>
      </c>
      <c r="CZ140">
        <f>32.37984593</f>
        <v>32.379845930000002</v>
      </c>
      <c r="DA140">
        <f>48.88593503</f>
        <v>48.885935029999999</v>
      </c>
      <c r="DB140">
        <f>53.03114778</f>
        <v>53.031147779999998</v>
      </c>
      <c r="DC140">
        <f>56.47638481</f>
        <v>56.476384809999999</v>
      </c>
      <c r="DD140">
        <f>55.11793861</f>
        <v>55.117938610000003</v>
      </c>
      <c r="DE140">
        <f>55.88681944</f>
        <v>55.886819439999996</v>
      </c>
      <c r="DF140">
        <f>53.85927376</f>
        <v>53.859273760000001</v>
      </c>
      <c r="DG140">
        <f>51.74744982</f>
        <v>51.74744982</v>
      </c>
      <c r="DH140">
        <f>53.33515165</f>
        <v>53.33515165</v>
      </c>
      <c r="DI140">
        <f>55.06836731</f>
        <v>55.068367309999999</v>
      </c>
      <c r="DJ140">
        <f>53.1596731</f>
        <v>53.159673099999999</v>
      </c>
      <c r="DK140">
        <f>54.44594489</f>
        <v>54.44594489</v>
      </c>
      <c r="DL140">
        <f>44.47638558</f>
        <v>44.476385579999999</v>
      </c>
      <c r="DM140">
        <f>51.03257783</f>
        <v>51.032577830000001</v>
      </c>
      <c r="DN140">
        <f>51.15291023</f>
        <v>51.152910230000003</v>
      </c>
      <c r="DO140">
        <f>58.86458818</f>
        <v>58.864588179999998</v>
      </c>
      <c r="DP140">
        <f>57.6813632</f>
        <v>57.6813632</v>
      </c>
      <c r="DQ140">
        <f>61.35333853</f>
        <v>61.353338530000002</v>
      </c>
      <c r="DR140">
        <f>56.64009573</f>
        <v>56.640095729999999</v>
      </c>
      <c r="DS140">
        <f>64.32727252</f>
        <v>64.327272519999994</v>
      </c>
      <c r="DT140">
        <f>47.78317574</f>
        <v>47.783175739999997</v>
      </c>
      <c r="DU140">
        <f>64.84710581</f>
        <v>64.847105810000002</v>
      </c>
    </row>
    <row r="141" spans="1:125">
      <c r="A141" t="str">
        <f>"    Highwoods Properties Inc"</f>
        <v xml:space="preserve">    Highwoods Properties Inc</v>
      </c>
      <c r="B141" t="str">
        <f>"HIW US Equity"</f>
        <v>HIW US Equity</v>
      </c>
      <c r="C141" t="str">
        <f t="shared" si="36"/>
        <v>RX225</v>
      </c>
      <c r="D141" t="str">
        <f t="shared" si="37"/>
        <v>EBITDA_TO_REVENUE</v>
      </c>
      <c r="E141" t="str">
        <f t="shared" si="38"/>
        <v>动态</v>
      </c>
      <c r="F141" t="str">
        <f ca="1">IF(AND(ISNUMBER($F$450),$B$294=1),$F$450,HLOOKUP(INDIRECT(ADDRESS(2,COLUMN())),OFFSET($BN$2,0,0,ROW()-1,60),ROW()-1,FALSE))</f>
        <v/>
      </c>
      <c r="G141">
        <f ca="1">IF(AND(ISNUMBER($G$450),$B$294=1),$G$450,HLOOKUP(INDIRECT(ADDRESS(2,COLUMN())),OFFSET($BN$2,0,0,ROW()-1,60),ROW()-1,FALSE))</f>
        <v>60.613780200000001</v>
      </c>
      <c r="H141">
        <f ca="1">IF(AND(ISNUMBER($H$450),$B$294=1),$H$450,HLOOKUP(INDIRECT(ADDRESS(2,COLUMN())),OFFSET($BN$2,0,0,ROW()-1,60),ROW()-1,FALSE))</f>
        <v>60.082137799999998</v>
      </c>
      <c r="I141">
        <f ca="1">IF(AND(ISNUMBER($I$450),$B$294=1),$I$450,HLOOKUP(INDIRECT(ADDRESS(2,COLUMN())),OFFSET($BN$2,0,0,ROW()-1,60),ROW()-1,FALSE))</f>
        <v>61.697399070000003</v>
      </c>
      <c r="J141">
        <f ca="1">IF(AND(ISNUMBER($J$450),$B$294=1),$J$450,HLOOKUP(INDIRECT(ADDRESS(2,COLUMN())),OFFSET($BN$2,0,0,ROW()-1,60),ROW()-1,FALSE))</f>
        <v>59.337221380000003</v>
      </c>
      <c r="K141">
        <f ca="1">IF(AND(ISNUMBER($K$450),$B$294=1),$K$450,HLOOKUP(INDIRECT(ADDRESS(2,COLUMN())),OFFSET($BN$2,0,0,ROW()-1,60),ROW()-1,FALSE))</f>
        <v>60.514417280000004</v>
      </c>
      <c r="L141">
        <f ca="1">IF(AND(ISNUMBER($L$450),$B$294=1),$L$450,HLOOKUP(INDIRECT(ADDRESS(2,COLUMN())),OFFSET($BN$2,0,0,ROW()-1,60),ROW()-1,FALSE))</f>
        <v>58.811925250000002</v>
      </c>
      <c r="M141">
        <f ca="1">IF(AND(ISNUMBER($M$450),$B$294=1),$M$450,HLOOKUP(INDIRECT(ADDRESS(2,COLUMN())),OFFSET($BN$2,0,0,ROW()-1,60),ROW()-1,FALSE))</f>
        <v>60.540572939999997</v>
      </c>
      <c r="N141">
        <f ca="1">IF(AND(ISNUMBER($N$450),$B$294=1),$N$450,HLOOKUP(INDIRECT(ADDRESS(2,COLUMN())),OFFSET($BN$2,0,0,ROW()-1,60),ROW()-1,FALSE))</f>
        <v>58.317713929999996</v>
      </c>
      <c r="O141">
        <f ca="1">IF(AND(ISNUMBER($O$450),$B$294=1),$O$450,HLOOKUP(INDIRECT(ADDRESS(2,COLUMN())),OFFSET($BN$2,0,0,ROW()-1,60),ROW()-1,FALSE))</f>
        <v>61.421630469999997</v>
      </c>
      <c r="P141">
        <f ca="1">IF(AND(ISNUMBER($P$450),$B$294=1),$P$450,HLOOKUP(INDIRECT(ADDRESS(2,COLUMN())),OFFSET($BN$2,0,0,ROW()-1,60),ROW()-1,FALSE))</f>
        <v>57.895636879999998</v>
      </c>
      <c r="Q141">
        <f ca="1">IF(AND(ISNUMBER($Q$450),$B$294=1),$Q$450,HLOOKUP(INDIRECT(ADDRESS(2,COLUMN())),OFFSET($BN$2,0,0,ROW()-1,60),ROW()-1,FALSE))</f>
        <v>61.140545160000002</v>
      </c>
      <c r="R141">
        <f ca="1">IF(AND(ISNUMBER($R$450),$B$294=1),$R$450,HLOOKUP(INDIRECT(ADDRESS(2,COLUMN())),OFFSET($BN$2,0,0,ROW()-1,60),ROW()-1,FALSE))</f>
        <v>56.16934715</v>
      </c>
      <c r="S141">
        <f ca="1">IF(AND(ISNUMBER($S$450),$B$294=1),$S$450,HLOOKUP(INDIRECT(ADDRESS(2,COLUMN())),OFFSET($BN$2,0,0,ROW()-1,60),ROW()-1,FALSE))</f>
        <v>59.620249569999999</v>
      </c>
      <c r="T141">
        <f ca="1">IF(AND(ISNUMBER($T$450),$B$294=1),$T$450,HLOOKUP(INDIRECT(ADDRESS(2,COLUMN())),OFFSET($BN$2,0,0,ROW()-1,60),ROW()-1,FALSE))</f>
        <v>57.472695229999999</v>
      </c>
      <c r="U141">
        <f ca="1">IF(AND(ISNUMBER($U$450),$B$294=1),$U$450,HLOOKUP(INDIRECT(ADDRESS(2,COLUMN())),OFFSET($BN$2,0,0,ROW()-1,60),ROW()-1,FALSE))</f>
        <v>57.703539769999999</v>
      </c>
      <c r="V141">
        <f ca="1">IF(AND(ISNUMBER($V$450),$B$294=1),$V$450,HLOOKUP(INDIRECT(ADDRESS(2,COLUMN())),OFFSET($BN$2,0,0,ROW()-1,60),ROW()-1,FALSE))</f>
        <v>54.797814799999998</v>
      </c>
      <c r="W141">
        <f ca="1">IF(AND(ISNUMBER($W$450),$B$294=1),$W$450,HLOOKUP(INDIRECT(ADDRESS(2,COLUMN())),OFFSET($BN$2,0,0,ROW()-1,60),ROW()-1,FALSE))</f>
        <v>56.822697130000002</v>
      </c>
      <c r="X141">
        <f ca="1">IF(AND(ISNUMBER($X$450),$B$294=1),$X$450,HLOOKUP(INDIRECT(ADDRESS(2,COLUMN())),OFFSET($BN$2,0,0,ROW()-1,60),ROW()-1,FALSE))</f>
        <v>57.452684929999997</v>
      </c>
      <c r="Y141">
        <f ca="1">IF(AND(ISNUMBER($Y$450),$B$294=1),$Y$450,HLOOKUP(INDIRECT(ADDRESS(2,COLUMN())),OFFSET($BN$2,0,0,ROW()-1,60),ROW()-1,FALSE))</f>
        <v>59.384849719999998</v>
      </c>
      <c r="Z141">
        <f ca="1">IF(AND(ISNUMBER($Z$450),$B$294=1),$Z$450,HLOOKUP(INDIRECT(ADDRESS(2,COLUMN())),OFFSET($BN$2,0,0,ROW()-1,60),ROW()-1,FALSE))</f>
        <v>57.836121400000003</v>
      </c>
      <c r="AA141">
        <f ca="1">IF(AND(ISNUMBER($AA$450),$B$294=1),$AA$450,HLOOKUP(INDIRECT(ADDRESS(2,COLUMN())),OFFSET($BN$2,0,0,ROW()-1,60),ROW()-1,FALSE))</f>
        <v>57.963361730000003</v>
      </c>
      <c r="AB141">
        <f ca="1">IF(AND(ISNUMBER($AB$450),$B$294=1),$AB$450,HLOOKUP(INDIRECT(ADDRESS(2,COLUMN())),OFFSET($BN$2,0,0,ROW()-1,60),ROW()-1,FALSE))</f>
        <v>56.230857739999998</v>
      </c>
      <c r="AC141">
        <f ca="1">IF(AND(ISNUMBER($AC$450),$B$294=1),$AC$450,HLOOKUP(INDIRECT(ADDRESS(2,COLUMN())),OFFSET($BN$2,0,0,ROW()-1,60),ROW()-1,FALSE))</f>
        <v>58.038476109999998</v>
      </c>
      <c r="AD141">
        <f ca="1">IF(AND(ISNUMBER($AD$450),$B$294=1),$AD$450,HLOOKUP(INDIRECT(ADDRESS(2,COLUMN())),OFFSET($BN$2,0,0,ROW()-1,60),ROW()-1,FALSE))</f>
        <v>57.949140870000001</v>
      </c>
      <c r="AE141">
        <f ca="1">IF(AND(ISNUMBER($AE$450),$B$294=1),$AE$450,HLOOKUP(INDIRECT(ADDRESS(2,COLUMN())),OFFSET($BN$2,0,0,ROW()-1,60),ROW()-1,FALSE))</f>
        <v>58.112741739999997</v>
      </c>
      <c r="AF141">
        <f ca="1">IF(AND(ISNUMBER($AF$450),$B$294=1),$AF$450,HLOOKUP(INDIRECT(ADDRESS(2,COLUMN())),OFFSET($BN$2,0,0,ROW()-1,60),ROW()-1,FALSE))</f>
        <v>51.04847994</v>
      </c>
      <c r="AG141">
        <f ca="1">IF(AND(ISNUMBER($AG$450),$B$294=1),$AG$450,HLOOKUP(INDIRECT(ADDRESS(2,COLUMN())),OFFSET($BN$2,0,0,ROW()-1,60),ROW()-1,FALSE))</f>
        <v>58.891767190000003</v>
      </c>
      <c r="AH141">
        <f ca="1">IF(AND(ISNUMBER($AH$450),$B$294=1),$AH$450,HLOOKUP(INDIRECT(ADDRESS(2,COLUMN())),OFFSET($BN$2,0,0,ROW()-1,60),ROW()-1,FALSE))</f>
        <v>57.612089089999998</v>
      </c>
      <c r="AI141">
        <f ca="1">IF(AND(ISNUMBER($AI$450),$B$294=1),$AI$450,HLOOKUP(INDIRECT(ADDRESS(2,COLUMN())),OFFSET($BN$2,0,0,ROW()-1,60),ROW()-1,FALSE))</f>
        <v>37.643754440000002</v>
      </c>
      <c r="AJ141">
        <f ca="1">IF(AND(ISNUMBER($AJ$450),$B$294=1),$AJ$450,HLOOKUP(INDIRECT(ADDRESS(2,COLUMN())),OFFSET($BN$2,0,0,ROW()-1,60),ROW()-1,FALSE))</f>
        <v>54.882798979999997</v>
      </c>
      <c r="AK141">
        <f ca="1">IF(AND(ISNUMBER($AK$450),$B$294=1),$AK$450,HLOOKUP(INDIRECT(ADDRESS(2,COLUMN())),OFFSET($BN$2,0,0,ROW()-1,60),ROW()-1,FALSE))</f>
        <v>60.578385269999998</v>
      </c>
      <c r="AL141">
        <f ca="1">IF(AND(ISNUMBER($AL$450),$B$294=1),$AL$450,HLOOKUP(INDIRECT(ADDRESS(2,COLUMN())),OFFSET($BN$2,0,0,ROW()-1,60),ROW()-1,FALSE))</f>
        <v>56.508248299999998</v>
      </c>
      <c r="AM141">
        <f ca="1">IF(AND(ISNUMBER($AM$450),$B$294=1),$AM$450,HLOOKUP(INDIRECT(ADDRESS(2,COLUMN())),OFFSET($BN$2,0,0,ROW()-1,60),ROW()-1,FALSE))</f>
        <v>43.895341100000003</v>
      </c>
      <c r="AN141">
        <f ca="1">IF(AND(ISNUMBER($AN$450),$B$294=1),$AN$450,HLOOKUP(INDIRECT(ADDRESS(2,COLUMN())),OFFSET($BN$2,0,0,ROW()-1,60),ROW()-1,FALSE))</f>
        <v>54.292657060000003</v>
      </c>
      <c r="AO141">
        <f ca="1">IF(AND(ISNUMBER($AO$450),$B$294=1),$AO$450,HLOOKUP(INDIRECT(ADDRESS(2,COLUMN())),OFFSET($BN$2,0,0,ROW()-1,60),ROW()-1,FALSE))</f>
        <v>55.629322520000002</v>
      </c>
      <c r="AP141">
        <f ca="1">IF(AND(ISNUMBER($AP$450),$B$294=1),$AP$450,HLOOKUP(INDIRECT(ADDRESS(2,COLUMN())),OFFSET($BN$2,0,0,ROW()-1,60),ROW()-1,FALSE))</f>
        <v>57.1948419</v>
      </c>
      <c r="AQ141">
        <f ca="1">IF(AND(ISNUMBER($AQ$450),$B$294=1),$AQ$450,HLOOKUP(INDIRECT(ADDRESS(2,COLUMN())),OFFSET($BN$2,0,0,ROW()-1,60),ROW()-1,FALSE))</f>
        <v>49.958662830000002</v>
      </c>
      <c r="AR141">
        <f ca="1">IF(AND(ISNUMBER($AR$450),$B$294=1),$AR$450,HLOOKUP(INDIRECT(ADDRESS(2,COLUMN())),OFFSET($BN$2,0,0,ROW()-1,60),ROW()-1,FALSE))</f>
        <v>56.525209529999998</v>
      </c>
      <c r="AS141">
        <f ca="1">IF(AND(ISNUMBER($AS$450),$B$294=1),$AS$450,HLOOKUP(INDIRECT(ADDRESS(2,COLUMN())),OFFSET($BN$2,0,0,ROW()-1,60),ROW()-1,FALSE))</f>
        <v>50.899599389999999</v>
      </c>
      <c r="AT141">
        <f ca="1">IF(AND(ISNUMBER($AT$450),$B$294=1),$AT$450,HLOOKUP(INDIRECT(ADDRESS(2,COLUMN())),OFFSET($BN$2,0,0,ROW()-1,60),ROW()-1,FALSE))</f>
        <v>54.44246571</v>
      </c>
      <c r="AU141">
        <f ca="1">IF(AND(ISNUMBER($AU$450),$B$294=1),$AU$450,HLOOKUP(INDIRECT(ADDRESS(2,COLUMN())),OFFSET($BN$2,0,0,ROW()-1,60),ROW()-1,FALSE))</f>
        <v>53.493040450000002</v>
      </c>
      <c r="AV141">
        <f ca="1">IF(AND(ISNUMBER($AV$450),$B$294=1),$AV$450,HLOOKUP(INDIRECT(ADDRESS(2,COLUMN())),OFFSET($BN$2,0,0,ROW()-1,60),ROW()-1,FALSE))</f>
        <v>55.250046480000002</v>
      </c>
      <c r="AW141">
        <f ca="1">IF(AND(ISNUMBER($AW$450),$B$294=1),$AW$450,HLOOKUP(INDIRECT(ADDRESS(2,COLUMN())),OFFSET($BN$2,0,0,ROW()-1,60),ROW()-1,FALSE))</f>
        <v>52.15129451</v>
      </c>
      <c r="AX141">
        <f ca="1">IF(AND(ISNUMBER($AX$450),$B$294=1),$AX$450,HLOOKUP(INDIRECT(ADDRESS(2,COLUMN())),OFFSET($BN$2,0,0,ROW()-1,60),ROW()-1,FALSE))</f>
        <v>53.038412219999998</v>
      </c>
      <c r="AY141">
        <f ca="1">IF(AND(ISNUMBER($AY$450),$B$294=1),$AY$450,HLOOKUP(INDIRECT(ADDRESS(2,COLUMN())),OFFSET($BN$2,0,0,ROW()-1,60),ROW()-1,FALSE))</f>
        <v>37.426918550000003</v>
      </c>
      <c r="AZ141">
        <f ca="1">IF(AND(ISNUMBER($AZ$450),$B$294=1),$AZ$450,HLOOKUP(INDIRECT(ADDRESS(2,COLUMN())),OFFSET($BN$2,0,0,ROW()-1,60),ROW()-1,FALSE))</f>
        <v>57.22919795</v>
      </c>
      <c r="BA141">
        <f ca="1">IF(AND(ISNUMBER($BA$450),$B$294=1),$BA$450,HLOOKUP(INDIRECT(ADDRESS(2,COLUMN())),OFFSET($BN$2,0,0,ROW()-1,60),ROW()-1,FALSE))</f>
        <v>57.239164090000003</v>
      </c>
      <c r="BB141">
        <f ca="1">IF(AND(ISNUMBER($BB$450),$B$294=1),$BB$450,HLOOKUP(INDIRECT(ADDRESS(2,COLUMN())),OFFSET($BN$2,0,0,ROW()-1,60),ROW()-1,FALSE))</f>
        <v>58.412901720000001</v>
      </c>
      <c r="BC141">
        <f ca="1">IF(AND(ISNUMBER($BC$450),$B$294=1),$BC$450,HLOOKUP(INDIRECT(ADDRESS(2,COLUMN())),OFFSET($BN$2,0,0,ROW()-1,60),ROW()-1,FALSE))</f>
        <v>42.682512729999999</v>
      </c>
      <c r="BD141">
        <f ca="1">IF(AND(ISNUMBER($BD$450),$B$294=1),$BD$450,HLOOKUP(INDIRECT(ADDRESS(2,COLUMN())),OFFSET($BN$2,0,0,ROW()-1,60),ROW()-1,FALSE))</f>
        <v>59.208182440000002</v>
      </c>
      <c r="BE141">
        <f ca="1">IF(AND(ISNUMBER($BE$450),$B$294=1),$BE$450,HLOOKUP(INDIRECT(ADDRESS(2,COLUMN())),OFFSET($BN$2,0,0,ROW()-1,60),ROW()-1,FALSE))</f>
        <v>63.755845669999999</v>
      </c>
      <c r="BF141">
        <f ca="1">IF(AND(ISNUMBER($BF$450),$B$294=1),$BF$450,HLOOKUP(INDIRECT(ADDRESS(2,COLUMN())),OFFSET($BN$2,0,0,ROW()-1,60),ROW()-1,FALSE))</f>
        <v>64.326676460000002</v>
      </c>
      <c r="BG141">
        <f ca="1">IF(AND(ISNUMBER($BG$450),$B$294=1),$BG$450,HLOOKUP(INDIRECT(ADDRESS(2,COLUMN())),OFFSET($BN$2,0,0,ROW()-1,60),ROW()-1,FALSE))</f>
        <v>49.416159489999998</v>
      </c>
      <c r="BH141">
        <f ca="1">IF(AND(ISNUMBER($BH$450),$B$294=1),$BH$450,HLOOKUP(INDIRECT(ADDRESS(2,COLUMN())),OFFSET($BN$2,0,0,ROW()-1,60),ROW()-1,FALSE))</f>
        <v>58.39001391</v>
      </c>
      <c r="BI141">
        <f ca="1">IF(AND(ISNUMBER($BI$450),$B$294=1),$BI$450,HLOOKUP(INDIRECT(ADDRESS(2,COLUMN())),OFFSET($BN$2,0,0,ROW()-1,60),ROW()-1,FALSE))</f>
        <v>62.27482466</v>
      </c>
      <c r="BJ141">
        <f ca="1">IF(AND(ISNUMBER($BJ$450),$B$294=1),$BJ$450,HLOOKUP(INDIRECT(ADDRESS(2,COLUMN())),OFFSET($BN$2,0,0,ROW()-1,60),ROW()-1,FALSE))</f>
        <v>55.716505439999999</v>
      </c>
      <c r="BK141" t="str">
        <f ca="1">IF(AND(ISNUMBER($BK$450),$B$294=1),$BK$450,HLOOKUP(INDIRECT(ADDRESS(2,COLUMN())),OFFSET($BN$2,0,0,ROW()-1,60),ROW()-1,FALSE))</f>
        <v/>
      </c>
      <c r="BL141">
        <f ca="1">IF(AND(ISNUMBER($BL$450),$B$294=1),$BL$450,HLOOKUP(INDIRECT(ADDRESS(2,COLUMN())),OFFSET($BN$2,0,0,ROW()-1,60),ROW()-1,FALSE))</f>
        <v>113.5989848</v>
      </c>
      <c r="BM141">
        <f ca="1">IF(AND(ISNUMBER($BM$450),$B$294=1),$BM$450,HLOOKUP(INDIRECT(ADDRESS(2,COLUMN())),OFFSET($BN$2,0,0,ROW()-1,60),ROW()-1,FALSE))</f>
        <v>60.813258179999998</v>
      </c>
      <c r="BN141" t="str">
        <f>""</f>
        <v/>
      </c>
      <c r="BO141">
        <f>60.6137802</f>
        <v>60.613780200000001</v>
      </c>
      <c r="BP141">
        <f>60.0821378</f>
        <v>60.082137799999998</v>
      </c>
      <c r="BQ141">
        <f>61.69739907</f>
        <v>61.697399070000003</v>
      </c>
      <c r="BR141">
        <f>59.33722138</f>
        <v>59.337221380000003</v>
      </c>
      <c r="BS141">
        <f>60.51441728</f>
        <v>60.514417280000004</v>
      </c>
      <c r="BT141">
        <f>58.81192525</f>
        <v>58.811925250000002</v>
      </c>
      <c r="BU141">
        <f>60.54057294</f>
        <v>60.540572939999997</v>
      </c>
      <c r="BV141">
        <f>58.31771393</f>
        <v>58.317713929999996</v>
      </c>
      <c r="BW141">
        <f>61.42163047</f>
        <v>61.421630469999997</v>
      </c>
      <c r="BX141">
        <f>57.89563688</f>
        <v>57.895636879999998</v>
      </c>
      <c r="BY141">
        <f>61.14054516</f>
        <v>61.140545160000002</v>
      </c>
      <c r="BZ141">
        <f>56.16934715</f>
        <v>56.16934715</v>
      </c>
      <c r="CA141">
        <f>59.62024957</f>
        <v>59.620249569999999</v>
      </c>
      <c r="CB141">
        <f>57.47269523</f>
        <v>57.472695229999999</v>
      </c>
      <c r="CC141">
        <f>57.70353977</f>
        <v>57.703539769999999</v>
      </c>
      <c r="CD141">
        <f>54.7978148</f>
        <v>54.797814799999998</v>
      </c>
      <c r="CE141">
        <f>56.82269713</f>
        <v>56.822697130000002</v>
      </c>
      <c r="CF141">
        <f>57.45268493</f>
        <v>57.452684929999997</v>
      </c>
      <c r="CG141">
        <f>59.38484972</f>
        <v>59.384849719999998</v>
      </c>
      <c r="CH141">
        <f>57.8361214</f>
        <v>57.836121400000003</v>
      </c>
      <c r="CI141">
        <f>57.96336173</f>
        <v>57.963361730000003</v>
      </c>
      <c r="CJ141">
        <f>56.23085774</f>
        <v>56.230857739999998</v>
      </c>
      <c r="CK141">
        <f>58.03847611</f>
        <v>58.038476109999998</v>
      </c>
      <c r="CL141">
        <f>57.94914087</f>
        <v>57.949140870000001</v>
      </c>
      <c r="CM141">
        <f>58.11274174</f>
        <v>58.112741739999997</v>
      </c>
      <c r="CN141">
        <f>51.04847994</f>
        <v>51.04847994</v>
      </c>
      <c r="CO141">
        <f>58.89176719</f>
        <v>58.891767190000003</v>
      </c>
      <c r="CP141">
        <f>57.61208909</f>
        <v>57.612089089999998</v>
      </c>
      <c r="CQ141">
        <f>37.64375444</f>
        <v>37.643754440000002</v>
      </c>
      <c r="CR141">
        <f>54.88279898</f>
        <v>54.882798979999997</v>
      </c>
      <c r="CS141">
        <f>60.57838527</f>
        <v>60.578385269999998</v>
      </c>
      <c r="CT141">
        <f>56.5082483</f>
        <v>56.508248299999998</v>
      </c>
      <c r="CU141">
        <f>43.8953411</f>
        <v>43.895341100000003</v>
      </c>
      <c r="CV141">
        <f>54.29265706</f>
        <v>54.292657060000003</v>
      </c>
      <c r="CW141">
        <f>55.62932252</f>
        <v>55.629322520000002</v>
      </c>
      <c r="CX141">
        <f>57.1948419</f>
        <v>57.1948419</v>
      </c>
      <c r="CY141">
        <f>49.95866283</f>
        <v>49.958662830000002</v>
      </c>
      <c r="CZ141">
        <f>56.52520953</f>
        <v>56.525209529999998</v>
      </c>
      <c r="DA141">
        <f>50.89959939</f>
        <v>50.899599389999999</v>
      </c>
      <c r="DB141">
        <f>54.44246571</f>
        <v>54.44246571</v>
      </c>
      <c r="DC141">
        <f>53.49304045</f>
        <v>53.493040450000002</v>
      </c>
      <c r="DD141">
        <f>55.25004648</f>
        <v>55.250046480000002</v>
      </c>
      <c r="DE141">
        <f>52.15129451</f>
        <v>52.15129451</v>
      </c>
      <c r="DF141">
        <f>53.03841222</f>
        <v>53.038412219999998</v>
      </c>
      <c r="DG141">
        <f>37.42691855</f>
        <v>37.426918550000003</v>
      </c>
      <c r="DH141">
        <f>57.22919795</f>
        <v>57.22919795</v>
      </c>
      <c r="DI141">
        <f>57.23916409</f>
        <v>57.239164090000003</v>
      </c>
      <c r="DJ141">
        <f>58.41290172</f>
        <v>58.412901720000001</v>
      </c>
      <c r="DK141">
        <f>42.68251273</f>
        <v>42.682512729999999</v>
      </c>
      <c r="DL141">
        <f>59.20818244</f>
        <v>59.208182440000002</v>
      </c>
      <c r="DM141">
        <f>63.75584567</f>
        <v>63.755845669999999</v>
      </c>
      <c r="DN141">
        <f>64.32667646</f>
        <v>64.326676460000002</v>
      </c>
      <c r="DO141">
        <f>49.41615949</f>
        <v>49.416159489999998</v>
      </c>
      <c r="DP141">
        <f>58.39001391</f>
        <v>58.39001391</v>
      </c>
      <c r="DQ141">
        <f>62.27482466</f>
        <v>62.27482466</v>
      </c>
      <c r="DR141">
        <f>55.71650544</f>
        <v>55.716505439999999</v>
      </c>
      <c r="DS141" t="str">
        <f>""</f>
        <v/>
      </c>
      <c r="DT141">
        <f>113.5989848</f>
        <v>113.5989848</v>
      </c>
      <c r="DU141">
        <f>60.81325818</f>
        <v>60.813258179999998</v>
      </c>
    </row>
    <row r="142" spans="1:125">
      <c r="A142" t="str">
        <f>"    Kilroy Realty Corp"</f>
        <v xml:space="preserve">    Kilroy Realty Corp</v>
      </c>
      <c r="B142" t="str">
        <f>"KRC US Equity"</f>
        <v>KRC US Equity</v>
      </c>
      <c r="C142" t="str">
        <f t="shared" si="36"/>
        <v>RX225</v>
      </c>
      <c r="D142" t="str">
        <f t="shared" si="37"/>
        <v>EBITDA_TO_REVENUE</v>
      </c>
      <c r="E142" t="str">
        <f t="shared" si="38"/>
        <v>动态</v>
      </c>
      <c r="F142" t="str">
        <f ca="1">IF(AND(ISNUMBER($F$451),$B$294=1),$F$451,HLOOKUP(INDIRECT(ADDRESS(2,COLUMN())),OFFSET($BN$2,0,0,ROW()-1,60),ROW()-1,FALSE))</f>
        <v/>
      </c>
      <c r="G142">
        <f ca="1">IF(AND(ISNUMBER($G$451),$B$294=1),$G$451,HLOOKUP(INDIRECT(ADDRESS(2,COLUMN())),OFFSET($BN$2,0,0,ROW()-1,60),ROW()-1,FALSE))</f>
        <v>62.339702979999998</v>
      </c>
      <c r="H142">
        <f ca="1">IF(AND(ISNUMBER($H$451),$B$294=1),$H$451,HLOOKUP(INDIRECT(ADDRESS(2,COLUMN())),OFFSET($BN$2,0,0,ROW()-1,60),ROW()-1,FALSE))</f>
        <v>63.338548150000001</v>
      </c>
      <c r="I142">
        <f ca="1">IF(AND(ISNUMBER($I$451),$B$294=1),$I$451,HLOOKUP(INDIRECT(ADDRESS(2,COLUMN())),OFFSET($BN$2,0,0,ROW()-1,60),ROW()-1,FALSE))</f>
        <v>63.396050899999999</v>
      </c>
      <c r="J142">
        <f ca="1">IF(AND(ISNUMBER($J$451),$B$294=1),$J$451,HLOOKUP(INDIRECT(ADDRESS(2,COLUMN())),OFFSET($BN$2,0,0,ROW()-1,60),ROW()-1,FALSE))</f>
        <v>62.590626190000002</v>
      </c>
      <c r="K142">
        <f ca="1">IF(AND(ISNUMBER($K$451),$B$294=1),$K$451,HLOOKUP(INDIRECT(ADDRESS(2,COLUMN())),OFFSET($BN$2,0,0,ROW()-1,60),ROW()-1,FALSE))</f>
        <v>62.954727390000002</v>
      </c>
      <c r="L142">
        <f ca="1">IF(AND(ISNUMBER($L$451),$B$294=1),$L$451,HLOOKUP(INDIRECT(ADDRESS(2,COLUMN())),OFFSET($BN$2,0,0,ROW()-1,60),ROW()-1,FALSE))</f>
        <v>64.846033219999995</v>
      </c>
      <c r="M142">
        <f ca="1">IF(AND(ISNUMBER($M$451),$B$294=1),$M$451,HLOOKUP(INDIRECT(ADDRESS(2,COLUMN())),OFFSET($BN$2,0,0,ROW()-1,60),ROW()-1,FALSE))</f>
        <v>63.45100635</v>
      </c>
      <c r="N142">
        <f ca="1">IF(AND(ISNUMBER($N$451),$B$294=1),$N$451,HLOOKUP(INDIRECT(ADDRESS(2,COLUMN())),OFFSET($BN$2,0,0,ROW()-1,60),ROW()-1,FALSE))</f>
        <v>64.711989329999994</v>
      </c>
      <c r="O142">
        <f ca="1">IF(AND(ISNUMBER($O$451),$B$294=1),$O$451,HLOOKUP(INDIRECT(ADDRESS(2,COLUMN())),OFFSET($BN$2,0,0,ROW()-1,60),ROW()-1,FALSE))</f>
        <v>63.930589570000002</v>
      </c>
      <c r="P142">
        <f ca="1">IF(AND(ISNUMBER($P$451),$B$294=1),$P$451,HLOOKUP(INDIRECT(ADDRESS(2,COLUMN())),OFFSET($BN$2,0,0,ROW()-1,60),ROW()-1,FALSE))</f>
        <v>64.36952943</v>
      </c>
      <c r="Q142">
        <f ca="1">IF(AND(ISNUMBER($Q$451),$B$294=1),$Q$451,HLOOKUP(INDIRECT(ADDRESS(2,COLUMN())),OFFSET($BN$2,0,0,ROW()-1,60),ROW()-1,FALSE))</f>
        <v>63.899279890000003</v>
      </c>
      <c r="R142">
        <f ca="1">IF(AND(ISNUMBER($R$451),$B$294=1),$R$451,HLOOKUP(INDIRECT(ADDRESS(2,COLUMN())),OFFSET($BN$2,0,0,ROW()-1,60),ROW()-1,FALSE))</f>
        <v>64.940923589999997</v>
      </c>
      <c r="S142">
        <f ca="1">IF(AND(ISNUMBER($S$451),$B$294=1),$S$451,HLOOKUP(INDIRECT(ADDRESS(2,COLUMN())),OFFSET($BN$2,0,0,ROW()-1,60),ROW()-1,FALSE))</f>
        <v>64.192854370000006</v>
      </c>
      <c r="T142">
        <f ca="1">IF(AND(ISNUMBER($T$451),$B$294=1),$T$451,HLOOKUP(INDIRECT(ADDRESS(2,COLUMN())),OFFSET($BN$2,0,0,ROW()-1,60),ROW()-1,FALSE))</f>
        <v>62.667410709999999</v>
      </c>
      <c r="U142">
        <f ca="1">IF(AND(ISNUMBER($U$451),$B$294=1),$U$451,HLOOKUP(INDIRECT(ADDRESS(2,COLUMN())),OFFSET($BN$2,0,0,ROW()-1,60),ROW()-1,FALSE))</f>
        <v>62.38579</v>
      </c>
      <c r="V142">
        <f ca="1">IF(AND(ISNUMBER($V$451),$B$294=1),$V$451,HLOOKUP(INDIRECT(ADDRESS(2,COLUMN())),OFFSET($BN$2,0,0,ROW()-1,60),ROW()-1,FALSE))</f>
        <v>62.524442860000001</v>
      </c>
      <c r="W142">
        <f ca="1">IF(AND(ISNUMBER($W$451),$B$294=1),$W$451,HLOOKUP(INDIRECT(ADDRESS(2,COLUMN())),OFFSET($BN$2,0,0,ROW()-1,60),ROW()-1,FALSE))</f>
        <v>61.952379350000001</v>
      </c>
      <c r="X142">
        <f ca="1">IF(AND(ISNUMBER($X$451),$B$294=1),$X$451,HLOOKUP(INDIRECT(ADDRESS(2,COLUMN())),OFFSET($BN$2,0,0,ROW()-1,60),ROW()-1,FALSE))</f>
        <v>63.919150999999999</v>
      </c>
      <c r="Y142">
        <f ca="1">IF(AND(ISNUMBER($Y$451),$B$294=1),$Y$451,HLOOKUP(INDIRECT(ADDRESS(2,COLUMN())),OFFSET($BN$2,0,0,ROW()-1,60),ROW()-1,FALSE))</f>
        <v>64.768532269999994</v>
      </c>
      <c r="Z142">
        <f ca="1">IF(AND(ISNUMBER($Z$451),$B$294=1),$Z$451,HLOOKUP(INDIRECT(ADDRESS(2,COLUMN())),OFFSET($BN$2,0,0,ROW()-1,60),ROW()-1,FALSE))</f>
        <v>63.600807469999999</v>
      </c>
      <c r="AA142">
        <f ca="1">IF(AND(ISNUMBER($AA$451),$B$294=1),$AA$451,HLOOKUP(INDIRECT(ADDRESS(2,COLUMN())),OFFSET($BN$2,0,0,ROW()-1,60),ROW()-1,FALSE))</f>
        <v>96.075096079999994</v>
      </c>
      <c r="AB142">
        <f ca="1">IF(AND(ISNUMBER($AB$451),$B$294=1),$AB$451,HLOOKUP(INDIRECT(ADDRESS(2,COLUMN())),OFFSET($BN$2,0,0,ROW()-1,60),ROW()-1,FALSE))</f>
        <v>66.991968479999997</v>
      </c>
      <c r="AC142">
        <f ca="1">IF(AND(ISNUMBER($AC$451),$B$294=1),$AC$451,HLOOKUP(INDIRECT(ADDRESS(2,COLUMN())),OFFSET($BN$2,0,0,ROW()-1,60),ROW()-1,FALSE))</f>
        <v>65.770098140000002</v>
      </c>
      <c r="AD142">
        <f ca="1">IF(AND(ISNUMBER($AD$451),$B$294=1),$AD$451,HLOOKUP(INDIRECT(ADDRESS(2,COLUMN())),OFFSET($BN$2,0,0,ROW()-1,60),ROW()-1,FALSE))</f>
        <v>66.153662999999995</v>
      </c>
      <c r="AE142">
        <f ca="1">IF(AND(ISNUMBER($AE$451),$B$294=1),$AE$451,HLOOKUP(INDIRECT(ADDRESS(2,COLUMN())),OFFSET($BN$2,0,0,ROW()-1,60),ROW()-1,FALSE))</f>
        <v>67.845392989999993</v>
      </c>
      <c r="AF142">
        <f ca="1">IF(AND(ISNUMBER($AF$451),$B$294=1),$AF$451,HLOOKUP(INDIRECT(ADDRESS(2,COLUMN())),OFFSET($BN$2,0,0,ROW()-1,60),ROW()-1,FALSE))</f>
        <v>67.147767909999999</v>
      </c>
      <c r="AG142">
        <f ca="1">IF(AND(ISNUMBER($AG$451),$B$294=1),$AG$451,HLOOKUP(INDIRECT(ADDRESS(2,COLUMN())),OFFSET($BN$2,0,0,ROW()-1,60),ROW()-1,FALSE))</f>
        <v>64.403213030000003</v>
      </c>
      <c r="AH142">
        <f ca="1">IF(AND(ISNUMBER($AH$451),$B$294=1),$AH$451,HLOOKUP(INDIRECT(ADDRESS(2,COLUMN())),OFFSET($BN$2,0,0,ROW()-1,60),ROW()-1,FALSE))</f>
        <v>62.45329641</v>
      </c>
      <c r="AI142">
        <f ca="1">IF(AND(ISNUMBER($AI$451),$B$294=1),$AI$451,HLOOKUP(INDIRECT(ADDRESS(2,COLUMN())),OFFSET($BN$2,0,0,ROW()-1,60),ROW()-1,FALSE))</f>
        <v>89.933046689999998</v>
      </c>
      <c r="AJ142">
        <f ca="1">IF(AND(ISNUMBER($AJ$451),$B$294=1),$AJ$451,HLOOKUP(INDIRECT(ADDRESS(2,COLUMN())),OFFSET($BN$2,0,0,ROW()-1,60),ROW()-1,FALSE))</f>
        <v>35.70437459</v>
      </c>
      <c r="AK142">
        <f ca="1">IF(AND(ISNUMBER($AK$451),$B$294=1),$AK$451,HLOOKUP(INDIRECT(ADDRESS(2,COLUMN())),OFFSET($BN$2,0,0,ROW()-1,60),ROW()-1,FALSE))</f>
        <v>61.181230669999998</v>
      </c>
      <c r="AL142">
        <f ca="1">IF(AND(ISNUMBER($AL$451),$B$294=1),$AL$451,HLOOKUP(INDIRECT(ADDRESS(2,COLUMN())),OFFSET($BN$2,0,0,ROW()-1,60),ROW()-1,FALSE))</f>
        <v>62.407399089999998</v>
      </c>
      <c r="AM142">
        <f ca="1">IF(AND(ISNUMBER($AM$451),$B$294=1),$AM$451,HLOOKUP(INDIRECT(ADDRESS(2,COLUMN())),OFFSET($BN$2,0,0,ROW()-1,60),ROW()-1,FALSE))</f>
        <v>77.599845650000006</v>
      </c>
      <c r="AN142">
        <f ca="1">IF(AND(ISNUMBER($AN$451),$B$294=1),$AN$451,HLOOKUP(INDIRECT(ADDRESS(2,COLUMN())),OFFSET($BN$2,0,0,ROW()-1,60),ROW()-1,FALSE))</f>
        <v>63.547172019999998</v>
      </c>
      <c r="AO142">
        <f ca="1">IF(AND(ISNUMBER($AO$451),$B$294=1),$AO$451,HLOOKUP(INDIRECT(ADDRESS(2,COLUMN())),OFFSET($BN$2,0,0,ROW()-1,60),ROW()-1,FALSE))</f>
        <v>64.555946520000006</v>
      </c>
      <c r="AP142">
        <f ca="1">IF(AND(ISNUMBER($AP$451),$B$294=1),$AP$451,HLOOKUP(INDIRECT(ADDRESS(2,COLUMN())),OFFSET($BN$2,0,0,ROW()-1,60),ROW()-1,FALSE))</f>
        <v>62.327614740000001</v>
      </c>
      <c r="AQ142">
        <f ca="1">IF(AND(ISNUMBER($AQ$451),$B$294=1),$AQ$451,HLOOKUP(INDIRECT(ADDRESS(2,COLUMN())),OFFSET($BN$2,0,0,ROW()-1,60),ROW()-1,FALSE))</f>
        <v>64.996403079999993</v>
      </c>
      <c r="AR142">
        <f ca="1">IF(AND(ISNUMBER($AR$451),$B$294=1),$AR$451,HLOOKUP(INDIRECT(ADDRESS(2,COLUMN())),OFFSET($BN$2,0,0,ROW()-1,60),ROW()-1,FALSE))</f>
        <v>67.469394120000004</v>
      </c>
      <c r="AS142">
        <f ca="1">IF(AND(ISNUMBER($AS$451),$B$294=1),$AS$451,HLOOKUP(INDIRECT(ADDRESS(2,COLUMN())),OFFSET($BN$2,0,0,ROW()-1,60),ROW()-1,FALSE))</f>
        <v>62.951234960000001</v>
      </c>
      <c r="AT142">
        <f ca="1">IF(AND(ISNUMBER($AT$451),$B$294=1),$AT$451,HLOOKUP(INDIRECT(ADDRESS(2,COLUMN())),OFFSET($BN$2,0,0,ROW()-1,60),ROW()-1,FALSE))</f>
        <v>66.719866670000002</v>
      </c>
      <c r="AU142">
        <f ca="1">IF(AND(ISNUMBER($AU$451),$B$294=1),$AU$451,HLOOKUP(INDIRECT(ADDRESS(2,COLUMN())),OFFSET($BN$2,0,0,ROW()-1,60),ROW()-1,FALSE))</f>
        <v>47.57832887</v>
      </c>
      <c r="AV142">
        <f ca="1">IF(AND(ISNUMBER($AV$451),$B$294=1),$AV$451,HLOOKUP(INDIRECT(ADDRESS(2,COLUMN())),OFFSET($BN$2,0,0,ROW()-1,60),ROW()-1,FALSE))</f>
        <v>65.566595509999999</v>
      </c>
      <c r="AW142">
        <f ca="1">IF(AND(ISNUMBER($AW$451),$B$294=1),$AW$451,HLOOKUP(INDIRECT(ADDRESS(2,COLUMN())),OFFSET($BN$2,0,0,ROW()-1,60),ROW()-1,FALSE))</f>
        <v>66.524605980000004</v>
      </c>
      <c r="AX142">
        <f ca="1">IF(AND(ISNUMBER($AX$451),$B$294=1),$AX$451,HLOOKUP(INDIRECT(ADDRESS(2,COLUMN())),OFFSET($BN$2,0,0,ROW()-1,60),ROW()-1,FALSE))</f>
        <v>67.554897209999993</v>
      </c>
      <c r="AY142">
        <f ca="1">IF(AND(ISNUMBER($AY$451),$B$294=1),$AY$451,HLOOKUP(INDIRECT(ADDRESS(2,COLUMN())),OFFSET($BN$2,0,0,ROW()-1,60),ROW()-1,FALSE))</f>
        <v>63.831261230000003</v>
      </c>
      <c r="AZ142">
        <f ca="1">IF(AND(ISNUMBER($AZ$451),$B$294=1),$AZ$451,HLOOKUP(INDIRECT(ADDRESS(2,COLUMN())),OFFSET($BN$2,0,0,ROW()-1,60),ROW()-1,FALSE))</f>
        <v>63.83846398</v>
      </c>
      <c r="BA142">
        <f ca="1">IF(AND(ISNUMBER($BA$451),$B$294=1),$BA$451,HLOOKUP(INDIRECT(ADDRESS(2,COLUMN())),OFFSET($BN$2,0,0,ROW()-1,60),ROW()-1,FALSE))</f>
        <v>68.240555079999993</v>
      </c>
      <c r="BB142">
        <f ca="1">IF(AND(ISNUMBER($BB$451),$B$294=1),$BB$451,HLOOKUP(INDIRECT(ADDRESS(2,COLUMN())),OFFSET($BN$2,0,0,ROW()-1,60),ROW()-1,FALSE))</f>
        <v>68.594138900000004</v>
      </c>
      <c r="BC142">
        <f ca="1">IF(AND(ISNUMBER($BC$451),$B$294=1),$BC$451,HLOOKUP(INDIRECT(ADDRESS(2,COLUMN())),OFFSET($BN$2,0,0,ROW()-1,60),ROW()-1,FALSE))</f>
        <v>34.060431749999999</v>
      </c>
      <c r="BD142">
        <f ca="1">IF(AND(ISNUMBER($BD$451),$B$294=1),$BD$451,HLOOKUP(INDIRECT(ADDRESS(2,COLUMN())),OFFSET($BN$2,0,0,ROW()-1,60),ROW()-1,FALSE))</f>
        <v>42.923149299999999</v>
      </c>
      <c r="BE142">
        <f ca="1">IF(AND(ISNUMBER($BE$451),$B$294=1),$BE$451,HLOOKUP(INDIRECT(ADDRESS(2,COLUMN())),OFFSET($BN$2,0,0,ROW()-1,60),ROW()-1,FALSE))</f>
        <v>48.338644360000004</v>
      </c>
      <c r="BF142">
        <f ca="1">IF(AND(ISNUMBER($BF$451),$B$294=1),$BF$451,HLOOKUP(INDIRECT(ADDRESS(2,COLUMN())),OFFSET($BN$2,0,0,ROW()-1,60),ROW()-1,FALSE))</f>
        <v>65.978376019999999</v>
      </c>
      <c r="BG142">
        <f ca="1">IF(AND(ISNUMBER($BG$451),$B$294=1),$BG$451,HLOOKUP(INDIRECT(ADDRESS(2,COLUMN())),OFFSET($BN$2,0,0,ROW()-1,60),ROW()-1,FALSE))</f>
        <v>56.04965052</v>
      </c>
      <c r="BH142">
        <f ca="1">IF(AND(ISNUMBER($BH$451),$B$294=1),$BH$451,HLOOKUP(INDIRECT(ADDRESS(2,COLUMN())),OFFSET($BN$2,0,0,ROW()-1,60),ROW()-1,FALSE))</f>
        <v>63.036866019999998</v>
      </c>
      <c r="BI142">
        <f ca="1">IF(AND(ISNUMBER($BI$451),$B$294=1),$BI$451,HLOOKUP(INDIRECT(ADDRESS(2,COLUMN())),OFFSET($BN$2,0,0,ROW()-1,60),ROW()-1,FALSE))</f>
        <v>65.829560240000006</v>
      </c>
      <c r="BJ142">
        <f ca="1">IF(AND(ISNUMBER($BJ$451),$B$294=1),$BJ$451,HLOOKUP(INDIRECT(ADDRESS(2,COLUMN())),OFFSET($BN$2,0,0,ROW()-1,60),ROW()-1,FALSE))</f>
        <v>61.616953039999999</v>
      </c>
      <c r="BK142">
        <f ca="1">IF(AND(ISNUMBER($BK$451),$B$294=1),$BK$451,HLOOKUP(INDIRECT(ADDRESS(2,COLUMN())),OFFSET($BN$2,0,0,ROW()-1,60),ROW()-1,FALSE))</f>
        <v>62.462772659999999</v>
      </c>
      <c r="BL142">
        <f ca="1">IF(AND(ISNUMBER($BL$451),$B$294=1),$BL$451,HLOOKUP(INDIRECT(ADDRESS(2,COLUMN())),OFFSET($BN$2,0,0,ROW()-1,60),ROW()-1,FALSE))</f>
        <v>71.657536440000001</v>
      </c>
      <c r="BM142">
        <f ca="1">IF(AND(ISNUMBER($BM$451),$B$294=1),$BM$451,HLOOKUP(INDIRECT(ADDRESS(2,COLUMN())),OFFSET($BN$2,0,0,ROW()-1,60),ROW()-1,FALSE))</f>
        <v>72.447850500000001</v>
      </c>
      <c r="BN142" t="str">
        <f>""</f>
        <v/>
      </c>
      <c r="BO142">
        <f>62.33970298</f>
        <v>62.339702979999998</v>
      </c>
      <c r="BP142">
        <f>63.33854815</f>
        <v>63.338548150000001</v>
      </c>
      <c r="BQ142">
        <f>63.3960509</f>
        <v>63.396050899999999</v>
      </c>
      <c r="BR142">
        <f>62.59062619</f>
        <v>62.590626190000002</v>
      </c>
      <c r="BS142">
        <f>62.95472739</f>
        <v>62.954727390000002</v>
      </c>
      <c r="BT142">
        <f>64.84603322</f>
        <v>64.846033219999995</v>
      </c>
      <c r="BU142">
        <f>63.45100635</f>
        <v>63.45100635</v>
      </c>
      <c r="BV142">
        <f>64.71198933</f>
        <v>64.711989329999994</v>
      </c>
      <c r="BW142">
        <f>63.93058957</f>
        <v>63.930589570000002</v>
      </c>
      <c r="BX142">
        <f>64.36952943</f>
        <v>64.36952943</v>
      </c>
      <c r="BY142">
        <f>63.89927989</f>
        <v>63.899279890000003</v>
      </c>
      <c r="BZ142">
        <f>64.94092359</f>
        <v>64.940923589999997</v>
      </c>
      <c r="CA142">
        <f>64.19285437</f>
        <v>64.192854370000006</v>
      </c>
      <c r="CB142">
        <f>62.66741071</f>
        <v>62.667410709999999</v>
      </c>
      <c r="CC142">
        <f>62.38579</f>
        <v>62.38579</v>
      </c>
      <c r="CD142">
        <f>62.52444286</f>
        <v>62.524442860000001</v>
      </c>
      <c r="CE142">
        <f>61.95237935</f>
        <v>61.952379350000001</v>
      </c>
      <c r="CF142">
        <f>63.919151</f>
        <v>63.919150999999999</v>
      </c>
      <c r="CG142">
        <f>64.76853227</f>
        <v>64.768532269999994</v>
      </c>
      <c r="CH142">
        <f>63.60080747</f>
        <v>63.600807469999999</v>
      </c>
      <c r="CI142">
        <f>96.07509608</f>
        <v>96.075096079999994</v>
      </c>
      <c r="CJ142">
        <f>66.99196848</f>
        <v>66.991968479999997</v>
      </c>
      <c r="CK142">
        <f>65.77009814</f>
        <v>65.770098140000002</v>
      </c>
      <c r="CL142">
        <f>66.153663</f>
        <v>66.153662999999995</v>
      </c>
      <c r="CM142">
        <f>67.84539299</f>
        <v>67.845392989999993</v>
      </c>
      <c r="CN142">
        <f>67.14776791</f>
        <v>67.147767909999999</v>
      </c>
      <c r="CO142">
        <f>64.40321303</f>
        <v>64.403213030000003</v>
      </c>
      <c r="CP142">
        <f>62.45329641</f>
        <v>62.45329641</v>
      </c>
      <c r="CQ142">
        <f>89.93304669</f>
        <v>89.933046689999998</v>
      </c>
      <c r="CR142">
        <f>35.70437459</f>
        <v>35.70437459</v>
      </c>
      <c r="CS142">
        <f>61.18123067</f>
        <v>61.181230669999998</v>
      </c>
      <c r="CT142">
        <f>62.40739909</f>
        <v>62.407399089999998</v>
      </c>
      <c r="CU142">
        <f>77.59984565</f>
        <v>77.599845650000006</v>
      </c>
      <c r="CV142">
        <f>63.54717202</f>
        <v>63.547172019999998</v>
      </c>
      <c r="CW142">
        <f>64.55594652</f>
        <v>64.555946520000006</v>
      </c>
      <c r="CX142">
        <f>62.32761474</f>
        <v>62.327614740000001</v>
      </c>
      <c r="CY142">
        <f>64.99640308</f>
        <v>64.996403079999993</v>
      </c>
      <c r="CZ142">
        <f>67.46939412</f>
        <v>67.469394120000004</v>
      </c>
      <c r="DA142">
        <f>62.95123496</f>
        <v>62.951234960000001</v>
      </c>
      <c r="DB142">
        <f>66.71986667</f>
        <v>66.719866670000002</v>
      </c>
      <c r="DC142">
        <f>47.57832887</f>
        <v>47.57832887</v>
      </c>
      <c r="DD142">
        <f>65.56659551</f>
        <v>65.566595509999999</v>
      </c>
      <c r="DE142">
        <f>66.52460598</f>
        <v>66.524605980000004</v>
      </c>
      <c r="DF142">
        <f>67.55489721</f>
        <v>67.554897209999993</v>
      </c>
      <c r="DG142">
        <f>63.83126123</f>
        <v>63.831261230000003</v>
      </c>
      <c r="DH142">
        <f>63.83846398</f>
        <v>63.83846398</v>
      </c>
      <c r="DI142">
        <f>68.24055508</f>
        <v>68.240555079999993</v>
      </c>
      <c r="DJ142">
        <f>68.5941389</f>
        <v>68.594138900000004</v>
      </c>
      <c r="DK142">
        <f>34.06043175</f>
        <v>34.060431749999999</v>
      </c>
      <c r="DL142">
        <f>42.9231493</f>
        <v>42.923149299999999</v>
      </c>
      <c r="DM142">
        <f>48.33864436</f>
        <v>48.338644360000004</v>
      </c>
      <c r="DN142">
        <f>65.97837602</f>
        <v>65.978376019999999</v>
      </c>
      <c r="DO142">
        <f>56.04965052</f>
        <v>56.04965052</v>
      </c>
      <c r="DP142">
        <f>63.03686602</f>
        <v>63.036866019999998</v>
      </c>
      <c r="DQ142">
        <f>65.82956024</f>
        <v>65.829560240000006</v>
      </c>
      <c r="DR142">
        <f>61.61695304</f>
        <v>61.616953039999999</v>
      </c>
      <c r="DS142">
        <f>62.46277266</f>
        <v>62.462772659999999</v>
      </c>
      <c r="DT142">
        <f>71.65753644</f>
        <v>71.657536440000001</v>
      </c>
      <c r="DU142">
        <f>72.4478505</f>
        <v>72.447850500000001</v>
      </c>
    </row>
    <row r="143" spans="1:125">
      <c r="A143" t="str">
        <f>"    Mack-Cali Realty Corp"</f>
        <v xml:space="preserve">    Mack-Cali Realty Corp</v>
      </c>
      <c r="B143" t="str">
        <f>"CLI US Equity"</f>
        <v>CLI US Equity</v>
      </c>
      <c r="C143" t="str">
        <f t="shared" si="36"/>
        <v>RX225</v>
      </c>
      <c r="D143" t="str">
        <f t="shared" si="37"/>
        <v>EBITDA_TO_REVENUE</v>
      </c>
      <c r="E143" t="str">
        <f t="shared" si="38"/>
        <v>动态</v>
      </c>
      <c r="F143" t="str">
        <f ca="1">IF(AND(ISNUMBER($F$452),$B$294=1),$F$452,HLOOKUP(INDIRECT(ADDRESS(2,COLUMN())),OFFSET($BN$2,0,0,ROW()-1,60),ROW()-1,FALSE))</f>
        <v/>
      </c>
      <c r="G143">
        <f ca="1">IF(AND(ISNUMBER($G$452),$B$294=1),$G$452,HLOOKUP(INDIRECT(ADDRESS(2,COLUMN())),OFFSET($BN$2,0,0,ROW()-1,60),ROW()-1,FALSE))</f>
        <v>48.885591069999997</v>
      </c>
      <c r="H143">
        <f ca="1">IF(AND(ISNUMBER($H$452),$B$294=1),$H$452,HLOOKUP(INDIRECT(ADDRESS(2,COLUMN())),OFFSET($BN$2,0,0,ROW()-1,60),ROW()-1,FALSE))</f>
        <v>50.654301390000001</v>
      </c>
      <c r="I143">
        <f ca="1">IF(AND(ISNUMBER($I$452),$B$294=1),$I$452,HLOOKUP(INDIRECT(ADDRESS(2,COLUMN())),OFFSET($BN$2,0,0,ROW()-1,60),ROW()-1,FALSE))</f>
        <v>52.329110499999999</v>
      </c>
      <c r="J143">
        <f ca="1">IF(AND(ISNUMBER($J$452),$B$294=1),$J$452,HLOOKUP(INDIRECT(ADDRESS(2,COLUMN())),OFFSET($BN$2,0,0,ROW()-1,60),ROW()-1,FALSE))</f>
        <v>48.19497355</v>
      </c>
      <c r="K143">
        <f ca="1">IF(AND(ISNUMBER($K$452),$B$294=1),$K$452,HLOOKUP(INDIRECT(ADDRESS(2,COLUMN())),OFFSET($BN$2,0,0,ROW()-1,60),ROW()-1,FALSE))</f>
        <v>48.722768989999999</v>
      </c>
      <c r="L143">
        <f ca="1">IF(AND(ISNUMBER($L$452),$B$294=1),$L$452,HLOOKUP(INDIRECT(ADDRESS(2,COLUMN())),OFFSET($BN$2,0,0,ROW()-1,60),ROW()-1,FALSE))</f>
        <v>48.726804090000002</v>
      </c>
      <c r="M143">
        <f ca="1">IF(AND(ISNUMBER($M$452),$B$294=1),$M$452,HLOOKUP(INDIRECT(ADDRESS(2,COLUMN())),OFFSET($BN$2,0,0,ROW()-1,60),ROW()-1,FALSE))</f>
        <v>48.451687700000001</v>
      </c>
      <c r="N143">
        <f ca="1">IF(AND(ISNUMBER($N$452),$B$294=1),$N$452,HLOOKUP(INDIRECT(ADDRESS(2,COLUMN())),OFFSET($BN$2,0,0,ROW()-1,60),ROW()-1,FALSE))</f>
        <v>46.958927039999999</v>
      </c>
      <c r="O143">
        <f ca="1">IF(AND(ISNUMBER($O$452),$B$294=1),$O$452,HLOOKUP(INDIRECT(ADDRESS(2,COLUMN())),OFFSET($BN$2,0,0,ROW()-1,60),ROW()-1,FALSE))</f>
        <v>22.058411809999999</v>
      </c>
      <c r="P143">
        <f ca="1">IF(AND(ISNUMBER($P$452),$B$294=1),$P$452,HLOOKUP(INDIRECT(ADDRESS(2,COLUMN())),OFFSET($BN$2,0,0,ROW()-1,60),ROW()-1,FALSE))</f>
        <v>-65.424403729999995</v>
      </c>
      <c r="Q143">
        <f ca="1">IF(AND(ISNUMBER($Q$452),$B$294=1),$Q$452,HLOOKUP(INDIRECT(ADDRESS(2,COLUMN())),OFFSET($BN$2,0,0,ROW()-1,60),ROW()-1,FALSE))</f>
        <v>47.658632130000001</v>
      </c>
      <c r="R143">
        <f ca="1">IF(AND(ISNUMBER($R$452),$B$294=1),$R$452,HLOOKUP(INDIRECT(ADDRESS(2,COLUMN())),OFFSET($BN$2,0,0,ROW()-1,60),ROW()-1,FALSE))</f>
        <v>44.427024039999999</v>
      </c>
      <c r="S143">
        <f ca="1">IF(AND(ISNUMBER($S$452),$B$294=1),$S$452,HLOOKUP(INDIRECT(ADDRESS(2,COLUMN())),OFFSET($BN$2,0,0,ROW()-1,60),ROW()-1,FALSE))</f>
        <v>38.3782213</v>
      </c>
      <c r="T143">
        <f ca="1">IF(AND(ISNUMBER($T$452),$B$294=1),$T$452,HLOOKUP(INDIRECT(ADDRESS(2,COLUMN())),OFFSET($BN$2,0,0,ROW()-1,60),ROW()-1,FALSE))</f>
        <v>42.581147219999998</v>
      </c>
      <c r="U143">
        <f ca="1">IF(AND(ISNUMBER($U$452),$B$294=1),$U$452,HLOOKUP(INDIRECT(ADDRESS(2,COLUMN())),OFFSET($BN$2,0,0,ROW()-1,60),ROW()-1,FALSE))</f>
        <v>49.980661259999998</v>
      </c>
      <c r="V143">
        <f ca="1">IF(AND(ISNUMBER($V$452),$B$294=1),$V$452,HLOOKUP(INDIRECT(ADDRESS(2,COLUMN())),OFFSET($BN$2,0,0,ROW()-1,60),ROW()-1,FALSE))</f>
        <v>34.569211539999998</v>
      </c>
      <c r="W143">
        <f ca="1">IF(AND(ISNUMBER($W$452),$B$294=1),$W$452,HLOOKUP(INDIRECT(ADDRESS(2,COLUMN())),OFFSET($BN$2,0,0,ROW()-1,60),ROW()-1,FALSE))</f>
        <v>6.390870531</v>
      </c>
      <c r="X143">
        <f ca="1">IF(AND(ISNUMBER($X$452),$B$294=1),$X$452,HLOOKUP(INDIRECT(ADDRESS(2,COLUMN())),OFFSET($BN$2,0,0,ROW()-1,60),ROW()-1,FALSE))</f>
        <v>19.197563150000001</v>
      </c>
      <c r="Y143">
        <f ca="1">IF(AND(ISNUMBER($Y$452),$B$294=1),$Y$452,HLOOKUP(INDIRECT(ADDRESS(2,COLUMN())),OFFSET($BN$2,0,0,ROW()-1,60),ROW()-1,FALSE))</f>
        <v>52.921958349999997</v>
      </c>
      <c r="Z143">
        <f ca="1">IF(AND(ISNUMBER($Z$452),$B$294=1),$Z$452,HLOOKUP(INDIRECT(ADDRESS(2,COLUMN())),OFFSET($BN$2,0,0,ROW()-1,60),ROW()-1,FALSE))</f>
        <v>50.558471269999998</v>
      </c>
      <c r="AA143">
        <f ca="1">IF(AND(ISNUMBER($AA$452),$B$294=1),$AA$452,HLOOKUP(INDIRECT(ADDRESS(2,COLUMN())),OFFSET($BN$2,0,0,ROW()-1,60),ROW()-1,FALSE))</f>
        <v>41.316161100000002</v>
      </c>
      <c r="AB143">
        <f ca="1">IF(AND(ISNUMBER($AB$452),$B$294=1),$AB$452,HLOOKUP(INDIRECT(ADDRESS(2,COLUMN())),OFFSET($BN$2,0,0,ROW()-1,60),ROW()-1,FALSE))</f>
        <v>54.937913350000002</v>
      </c>
      <c r="AC143">
        <f ca="1">IF(AND(ISNUMBER($AC$452),$B$294=1),$AC$452,HLOOKUP(INDIRECT(ADDRESS(2,COLUMN())),OFFSET($BN$2,0,0,ROW()-1,60),ROW()-1,FALSE))</f>
        <v>53.77837194</v>
      </c>
      <c r="AD143">
        <f ca="1">IF(AND(ISNUMBER($AD$452),$B$294=1),$AD$452,HLOOKUP(INDIRECT(ADDRESS(2,COLUMN())),OFFSET($BN$2,0,0,ROW()-1,60),ROW()-1,FALSE))</f>
        <v>56.721571449999999</v>
      </c>
      <c r="AE143">
        <f ca="1">IF(AND(ISNUMBER($AE$452),$B$294=1),$AE$452,HLOOKUP(INDIRECT(ADDRESS(2,COLUMN())),OFFSET($BN$2,0,0,ROW()-1,60),ROW()-1,FALSE))</f>
        <v>56.063972829999997</v>
      </c>
      <c r="AF143">
        <f ca="1">IF(AND(ISNUMBER($AF$452),$B$294=1),$AF$452,HLOOKUP(INDIRECT(ADDRESS(2,COLUMN())),OFFSET($BN$2,0,0,ROW()-1,60),ROW()-1,FALSE))</f>
        <v>60.079686729999999</v>
      </c>
      <c r="AG143">
        <f ca="1">IF(AND(ISNUMBER($AG$452),$B$294=1),$AG$452,HLOOKUP(INDIRECT(ADDRESS(2,COLUMN())),OFFSET($BN$2,0,0,ROW()-1,60),ROW()-1,FALSE))</f>
        <v>55.147124490000003</v>
      </c>
      <c r="AH143">
        <f ca="1">IF(AND(ISNUMBER($AH$452),$B$294=1),$AH$452,HLOOKUP(INDIRECT(ADDRESS(2,COLUMN())),OFFSET($BN$2,0,0,ROW()-1,60),ROW()-1,FALSE))</f>
        <v>52.675978350000001</v>
      </c>
      <c r="AI143">
        <f ca="1">IF(AND(ISNUMBER($AI$452),$B$294=1),$AI$452,HLOOKUP(INDIRECT(ADDRESS(2,COLUMN())),OFFSET($BN$2,0,0,ROW()-1,60),ROW()-1,FALSE))</f>
        <v>48.411707149999998</v>
      </c>
      <c r="AJ143">
        <f ca="1">IF(AND(ISNUMBER($AJ$452),$B$294=1),$AJ$452,HLOOKUP(INDIRECT(ADDRESS(2,COLUMN())),OFFSET($BN$2,0,0,ROW()-1,60),ROW()-1,FALSE))</f>
        <v>50.442522580000002</v>
      </c>
      <c r="AK143">
        <f ca="1">IF(AND(ISNUMBER($AK$452),$B$294=1),$AK$452,HLOOKUP(INDIRECT(ADDRESS(2,COLUMN())),OFFSET($BN$2,0,0,ROW()-1,60),ROW()-1,FALSE))</f>
        <v>50.240402400000001</v>
      </c>
      <c r="AL143">
        <f ca="1">IF(AND(ISNUMBER($AL$452),$B$294=1),$AL$452,HLOOKUP(INDIRECT(ADDRESS(2,COLUMN())),OFFSET($BN$2,0,0,ROW()-1,60),ROW()-1,FALSE))</f>
        <v>53.945617040000002</v>
      </c>
      <c r="AM143">
        <f ca="1">IF(AND(ISNUMBER($AM$452),$B$294=1),$AM$452,HLOOKUP(INDIRECT(ADDRESS(2,COLUMN())),OFFSET($BN$2,0,0,ROW()-1,60),ROW()-1,FALSE))</f>
        <v>56.03388649</v>
      </c>
      <c r="AN143">
        <f ca="1">IF(AND(ISNUMBER($AN$452),$B$294=1),$AN$452,HLOOKUP(INDIRECT(ADDRESS(2,COLUMN())),OFFSET($BN$2,0,0,ROW()-1,60),ROW()-1,FALSE))</f>
        <v>55.811436039999997</v>
      </c>
      <c r="AO143">
        <f ca="1">IF(AND(ISNUMBER($AO$452),$B$294=1),$AO$452,HLOOKUP(INDIRECT(ADDRESS(2,COLUMN())),OFFSET($BN$2,0,0,ROW()-1,60),ROW()-1,FALSE))</f>
        <v>56.562827769999998</v>
      </c>
      <c r="AP143">
        <f ca="1">IF(AND(ISNUMBER($AP$452),$B$294=1),$AP$452,HLOOKUP(INDIRECT(ADDRESS(2,COLUMN())),OFFSET($BN$2,0,0,ROW()-1,60),ROW()-1,FALSE))</f>
        <v>53.060010929999997</v>
      </c>
      <c r="AQ143">
        <f ca="1">IF(AND(ISNUMBER($AQ$452),$B$294=1),$AQ$452,HLOOKUP(INDIRECT(ADDRESS(2,COLUMN())),OFFSET($BN$2,0,0,ROW()-1,60),ROW()-1,FALSE))</f>
        <v>57.7544331</v>
      </c>
      <c r="AR143">
        <f ca="1">IF(AND(ISNUMBER($AR$452),$B$294=1),$AR$452,HLOOKUP(INDIRECT(ADDRESS(2,COLUMN())),OFFSET($BN$2,0,0,ROW()-1,60),ROW()-1,FALSE))</f>
        <v>52.878017790000001</v>
      </c>
      <c r="AS143">
        <f ca="1">IF(AND(ISNUMBER($AS$452),$B$294=1),$AS$452,HLOOKUP(INDIRECT(ADDRESS(2,COLUMN())),OFFSET($BN$2,0,0,ROW()-1,60),ROW()-1,FALSE))</f>
        <v>51.655402780000003</v>
      </c>
      <c r="AT143">
        <f ca="1">IF(AND(ISNUMBER($AT$452),$B$294=1),$AT$452,HLOOKUP(INDIRECT(ADDRESS(2,COLUMN())),OFFSET($BN$2,0,0,ROW()-1,60),ROW()-1,FALSE))</f>
        <v>50.816053750000002</v>
      </c>
      <c r="AU143">
        <f ca="1">IF(AND(ISNUMBER($AU$452),$B$294=1),$AU$452,HLOOKUP(INDIRECT(ADDRESS(2,COLUMN())),OFFSET($BN$2,0,0,ROW()-1,60),ROW()-1,FALSE))</f>
        <v>48.445684270000001</v>
      </c>
      <c r="AV143">
        <f ca="1">IF(AND(ISNUMBER($AV$452),$B$294=1),$AV$452,HLOOKUP(INDIRECT(ADDRESS(2,COLUMN())),OFFSET($BN$2,0,0,ROW()-1,60),ROW()-1,FALSE))</f>
        <v>49.982384519999997</v>
      </c>
      <c r="AW143">
        <f ca="1">IF(AND(ISNUMBER($AW$452),$B$294=1),$AW$452,HLOOKUP(INDIRECT(ADDRESS(2,COLUMN())),OFFSET($BN$2,0,0,ROW()-1,60),ROW()-1,FALSE))</f>
        <v>49.955220410000003</v>
      </c>
      <c r="AX143">
        <f ca="1">IF(AND(ISNUMBER($AX$452),$B$294=1),$AX$452,HLOOKUP(INDIRECT(ADDRESS(2,COLUMN())),OFFSET($BN$2,0,0,ROW()-1,60),ROW()-1,FALSE))</f>
        <v>50.557283169999998</v>
      </c>
      <c r="AY143">
        <f ca="1">IF(AND(ISNUMBER($AY$452),$B$294=1),$AY$452,HLOOKUP(INDIRECT(ADDRESS(2,COLUMN())),OFFSET($BN$2,0,0,ROW()-1,60),ROW()-1,FALSE))</f>
        <v>50.255445819999998</v>
      </c>
      <c r="AZ143">
        <f ca="1">IF(AND(ISNUMBER($AZ$452),$B$294=1),$AZ$452,HLOOKUP(INDIRECT(ADDRESS(2,COLUMN())),OFFSET($BN$2,0,0,ROW()-1,60),ROW()-1,FALSE))</f>
        <v>48.982236380000003</v>
      </c>
      <c r="BA143">
        <f ca="1">IF(AND(ISNUMBER($BA$452),$B$294=1),$BA$452,HLOOKUP(INDIRECT(ADDRESS(2,COLUMN())),OFFSET($BN$2,0,0,ROW()-1,60),ROW()-1,FALSE))</f>
        <v>55.97964932</v>
      </c>
      <c r="BB143">
        <f ca="1">IF(AND(ISNUMBER($BB$452),$B$294=1),$BB$452,HLOOKUP(INDIRECT(ADDRESS(2,COLUMN())),OFFSET($BN$2,0,0,ROW()-1,60),ROW()-1,FALSE))</f>
        <v>60.542121680000001</v>
      </c>
      <c r="BC143">
        <f ca="1">IF(AND(ISNUMBER($BC$452),$B$294=1),$BC$452,HLOOKUP(INDIRECT(ADDRESS(2,COLUMN())),OFFSET($BN$2,0,0,ROW()-1,60),ROW()-1,FALSE))</f>
        <v>65.515931789999996</v>
      </c>
      <c r="BD143">
        <f ca="1">IF(AND(ISNUMBER($BD$452),$B$294=1),$BD$452,HLOOKUP(INDIRECT(ADDRESS(2,COLUMN())),OFFSET($BN$2,0,0,ROW()-1,60),ROW()-1,FALSE))</f>
        <v>61.40942639</v>
      </c>
      <c r="BE143">
        <f ca="1">IF(AND(ISNUMBER($BE$452),$B$294=1),$BE$452,HLOOKUP(INDIRECT(ADDRESS(2,COLUMN())),OFFSET($BN$2,0,0,ROW()-1,60),ROW()-1,FALSE))</f>
        <v>61.922054260000003</v>
      </c>
      <c r="BF143">
        <f ca="1">IF(AND(ISNUMBER($BF$452),$B$294=1),$BF$452,HLOOKUP(INDIRECT(ADDRESS(2,COLUMN())),OFFSET($BN$2,0,0,ROW()-1,60),ROW()-1,FALSE))</f>
        <v>61.368766399999998</v>
      </c>
      <c r="BG143">
        <f ca="1">IF(AND(ISNUMBER($BG$452),$B$294=1),$BG$452,HLOOKUP(INDIRECT(ADDRESS(2,COLUMN())),OFFSET($BN$2,0,0,ROW()-1,60),ROW()-1,FALSE))</f>
        <v>60.195987870000003</v>
      </c>
      <c r="BH143">
        <f ca="1">IF(AND(ISNUMBER($BH$452),$B$294=1),$BH$452,HLOOKUP(INDIRECT(ADDRESS(2,COLUMN())),OFFSET($BN$2,0,0,ROW()-1,60),ROW()-1,FALSE))</f>
        <v>66.063953330000004</v>
      </c>
      <c r="BI143">
        <f ca="1">IF(AND(ISNUMBER($BI$452),$B$294=1),$BI$452,HLOOKUP(INDIRECT(ADDRESS(2,COLUMN())),OFFSET($BN$2,0,0,ROW()-1,60),ROW()-1,FALSE))</f>
        <v>62.404980520000002</v>
      </c>
      <c r="BJ143">
        <f ca="1">IF(AND(ISNUMBER($BJ$452),$B$294=1),$BJ$452,HLOOKUP(INDIRECT(ADDRESS(2,COLUMN())),OFFSET($BN$2,0,0,ROW()-1,60),ROW()-1,FALSE))</f>
        <v>64.605080889999996</v>
      </c>
      <c r="BK143">
        <f ca="1">IF(AND(ISNUMBER($BK$452),$B$294=1),$BK$452,HLOOKUP(INDIRECT(ADDRESS(2,COLUMN())),OFFSET($BN$2,0,0,ROW()-1,60),ROW()-1,FALSE))</f>
        <v>62.700641679999997</v>
      </c>
      <c r="BL143">
        <f ca="1">IF(AND(ISNUMBER($BL$452),$B$294=1),$BL$452,HLOOKUP(INDIRECT(ADDRESS(2,COLUMN())),OFFSET($BN$2,0,0,ROW()-1,60),ROW()-1,FALSE))</f>
        <v>63.97731246</v>
      </c>
      <c r="BM143">
        <f ca="1">IF(AND(ISNUMBER($BM$452),$B$294=1),$BM$452,HLOOKUP(INDIRECT(ADDRESS(2,COLUMN())),OFFSET($BN$2,0,0,ROW()-1,60),ROW()-1,FALSE))</f>
        <v>66.277305310000003</v>
      </c>
      <c r="BN143" t="str">
        <f>""</f>
        <v/>
      </c>
      <c r="BO143">
        <f>48.88559107</f>
        <v>48.885591069999997</v>
      </c>
      <c r="BP143">
        <f>50.65430139</f>
        <v>50.654301390000001</v>
      </c>
      <c r="BQ143">
        <f>52.3291105</f>
        <v>52.329110499999999</v>
      </c>
      <c r="BR143">
        <f>48.19497355</f>
        <v>48.19497355</v>
      </c>
      <c r="BS143">
        <f>48.72276899</f>
        <v>48.722768989999999</v>
      </c>
      <c r="BT143">
        <f>48.72680409</f>
        <v>48.726804090000002</v>
      </c>
      <c r="BU143">
        <f>48.4516877</f>
        <v>48.451687700000001</v>
      </c>
      <c r="BV143">
        <f>46.95892704</f>
        <v>46.958927039999999</v>
      </c>
      <c r="BW143">
        <f>22.05841181</f>
        <v>22.058411809999999</v>
      </c>
      <c r="BX143">
        <f>-65.42440373</f>
        <v>-65.424403729999995</v>
      </c>
      <c r="BY143">
        <f>47.65863213</f>
        <v>47.658632130000001</v>
      </c>
      <c r="BZ143">
        <f>44.42702404</f>
        <v>44.427024039999999</v>
      </c>
      <c r="CA143">
        <f>38.3782213</f>
        <v>38.3782213</v>
      </c>
      <c r="CB143">
        <f>42.58114722</f>
        <v>42.581147219999998</v>
      </c>
      <c r="CC143">
        <f>49.98066126</f>
        <v>49.980661259999998</v>
      </c>
      <c r="CD143">
        <f>34.56921154</f>
        <v>34.569211539999998</v>
      </c>
      <c r="CE143">
        <f>6.390870531</f>
        <v>6.390870531</v>
      </c>
      <c r="CF143">
        <f>19.19756315</f>
        <v>19.197563150000001</v>
      </c>
      <c r="CG143">
        <f>52.92195835</f>
        <v>52.921958349999997</v>
      </c>
      <c r="CH143">
        <f>50.55847127</f>
        <v>50.558471269999998</v>
      </c>
      <c r="CI143">
        <f>41.3161611</f>
        <v>41.316161100000002</v>
      </c>
      <c r="CJ143">
        <f>54.93791335</f>
        <v>54.937913350000002</v>
      </c>
      <c r="CK143">
        <f>53.77837194</f>
        <v>53.77837194</v>
      </c>
      <c r="CL143">
        <f>56.72157145</f>
        <v>56.721571449999999</v>
      </c>
      <c r="CM143">
        <f>56.06397283</f>
        <v>56.063972829999997</v>
      </c>
      <c r="CN143">
        <f>60.07968673</f>
        <v>60.079686729999999</v>
      </c>
      <c r="CO143">
        <f>55.14712449</f>
        <v>55.147124490000003</v>
      </c>
      <c r="CP143">
        <f>52.67597835</f>
        <v>52.675978350000001</v>
      </c>
      <c r="CQ143">
        <f>48.41170715</f>
        <v>48.411707149999998</v>
      </c>
      <c r="CR143">
        <f>50.44252258</f>
        <v>50.442522580000002</v>
      </c>
      <c r="CS143">
        <f>50.2404024</f>
        <v>50.240402400000001</v>
      </c>
      <c r="CT143">
        <f>53.94561704</f>
        <v>53.945617040000002</v>
      </c>
      <c r="CU143">
        <f>56.03388649</f>
        <v>56.03388649</v>
      </c>
      <c r="CV143">
        <f>55.81143604</f>
        <v>55.811436039999997</v>
      </c>
      <c r="CW143">
        <f>56.56282777</f>
        <v>56.562827769999998</v>
      </c>
      <c r="CX143">
        <f>53.06001093</f>
        <v>53.060010929999997</v>
      </c>
      <c r="CY143">
        <f>57.7544331</f>
        <v>57.7544331</v>
      </c>
      <c r="CZ143">
        <f>52.87801779</f>
        <v>52.878017790000001</v>
      </c>
      <c r="DA143">
        <f>51.65540278</f>
        <v>51.655402780000003</v>
      </c>
      <c r="DB143">
        <f>50.81605375</f>
        <v>50.816053750000002</v>
      </c>
      <c r="DC143">
        <f>48.44568427</f>
        <v>48.445684270000001</v>
      </c>
      <c r="DD143">
        <f>49.98238452</f>
        <v>49.982384519999997</v>
      </c>
      <c r="DE143">
        <f>49.95522041</f>
        <v>49.955220410000003</v>
      </c>
      <c r="DF143">
        <f>50.55728317</f>
        <v>50.557283169999998</v>
      </c>
      <c r="DG143">
        <f>50.25544582</f>
        <v>50.255445819999998</v>
      </c>
      <c r="DH143">
        <f>48.98223638</f>
        <v>48.982236380000003</v>
      </c>
      <c r="DI143">
        <f>55.97964932</f>
        <v>55.97964932</v>
      </c>
      <c r="DJ143">
        <f>60.54212168</f>
        <v>60.542121680000001</v>
      </c>
      <c r="DK143">
        <f>65.51593179</f>
        <v>65.515931789999996</v>
      </c>
      <c r="DL143">
        <f>61.40942639</f>
        <v>61.40942639</v>
      </c>
      <c r="DM143">
        <f>61.92205426</f>
        <v>61.922054260000003</v>
      </c>
      <c r="DN143">
        <f>61.3687664</f>
        <v>61.368766399999998</v>
      </c>
      <c r="DO143">
        <f>60.19598787</f>
        <v>60.195987870000003</v>
      </c>
      <c r="DP143">
        <f>66.06395333</f>
        <v>66.063953330000004</v>
      </c>
      <c r="DQ143">
        <f>62.40498052</f>
        <v>62.404980520000002</v>
      </c>
      <c r="DR143">
        <f>64.60508089</f>
        <v>64.605080889999996</v>
      </c>
      <c r="DS143">
        <f>62.70064168</f>
        <v>62.700641679999997</v>
      </c>
      <c r="DT143">
        <f>63.97731246</f>
        <v>63.97731246</v>
      </c>
      <c r="DU143">
        <f>66.27730531</f>
        <v>66.277305310000003</v>
      </c>
    </row>
    <row r="144" spans="1:125">
      <c r="A144" t="str">
        <f>"    Piedmont Office Realty Trust I"</f>
        <v xml:space="preserve">    Piedmont Office Realty Trust I</v>
      </c>
      <c r="B144" t="str">
        <f>"PDM US Equity"</f>
        <v>PDM US Equity</v>
      </c>
      <c r="C144" t="str">
        <f t="shared" si="36"/>
        <v>RX225</v>
      </c>
      <c r="D144" t="str">
        <f t="shared" si="37"/>
        <v>EBITDA_TO_REVENUE</v>
      </c>
      <c r="E144" t="str">
        <f t="shared" si="38"/>
        <v>动态</v>
      </c>
      <c r="F144" t="str">
        <f ca="1">IF(AND(ISNUMBER($F$453),$B$294=1),$F$453,HLOOKUP(INDIRECT(ADDRESS(2,COLUMN())),OFFSET($BN$2,0,0,ROW()-1,60),ROW()-1,FALSE))</f>
        <v/>
      </c>
      <c r="G144">
        <f ca="1">IF(AND(ISNUMBER($G$453),$B$294=1),$G$453,HLOOKUP(INDIRECT(ADDRESS(2,COLUMN())),OFFSET($BN$2,0,0,ROW()-1,60),ROW()-1,FALSE))</f>
        <v>21.317518140000001</v>
      </c>
      <c r="H144">
        <f ca="1">IF(AND(ISNUMBER($H$453),$B$294=1),$H$453,HLOOKUP(INDIRECT(ADDRESS(2,COLUMN())),OFFSET($BN$2,0,0,ROW()-1,60),ROW()-1,FALSE))</f>
        <v>55.868650379999998</v>
      </c>
      <c r="I144">
        <f ca="1">IF(AND(ISNUMBER($I$453),$B$294=1),$I$453,HLOOKUP(INDIRECT(ADDRESS(2,COLUMN())),OFFSET($BN$2,0,0,ROW()-1,60),ROW()-1,FALSE))</f>
        <v>56.80358356</v>
      </c>
      <c r="J144">
        <f ca="1">IF(AND(ISNUMBER($J$453),$B$294=1),$J$453,HLOOKUP(INDIRECT(ADDRESS(2,COLUMN())),OFFSET($BN$2,0,0,ROW()-1,60),ROW()-1,FALSE))</f>
        <v>56.712446870000001</v>
      </c>
      <c r="K144">
        <f ca="1">IF(AND(ISNUMBER($K$453),$B$294=1),$K$453,HLOOKUP(INDIRECT(ADDRESS(2,COLUMN())),OFFSET($BN$2,0,0,ROW()-1,60),ROW()-1,FALSE))</f>
        <v>55.913724449999997</v>
      </c>
      <c r="L144">
        <f ca="1">IF(AND(ISNUMBER($L$453),$B$294=1),$L$453,HLOOKUP(INDIRECT(ADDRESS(2,COLUMN())),OFFSET($BN$2,0,0,ROW()-1,60),ROW()-1,FALSE))</f>
        <v>38.539914070000002</v>
      </c>
      <c r="M144">
        <f ca="1">IF(AND(ISNUMBER($M$453),$B$294=1),$M$453,HLOOKUP(INDIRECT(ADDRESS(2,COLUMN())),OFFSET($BN$2,0,0,ROW()-1,60),ROW()-1,FALSE))</f>
        <v>46.98500447</v>
      </c>
      <c r="N144">
        <f ca="1">IF(AND(ISNUMBER($N$453),$B$294=1),$N$453,HLOOKUP(INDIRECT(ADDRESS(2,COLUMN())),OFFSET($BN$2,0,0,ROW()-1,60),ROW()-1,FALSE))</f>
        <v>54.951018750000003</v>
      </c>
      <c r="O144">
        <f ca="1">IF(AND(ISNUMBER($O$453),$B$294=1),$O$453,HLOOKUP(INDIRECT(ADDRESS(2,COLUMN())),OFFSET($BN$2,0,0,ROW()-1,60),ROW()-1,FALSE))</f>
        <v>55.283555980000003</v>
      </c>
      <c r="P144">
        <f ca="1">IF(AND(ISNUMBER($P$453),$B$294=1),$P$453,HLOOKUP(INDIRECT(ADDRESS(2,COLUMN())),OFFSET($BN$2,0,0,ROW()-1,60),ROW()-1,FALSE))</f>
        <v>29.746329339999999</v>
      </c>
      <c r="Q144">
        <f ca="1">IF(AND(ISNUMBER($Q$453),$B$294=1),$Q$453,HLOOKUP(INDIRECT(ADDRESS(2,COLUMN())),OFFSET($BN$2,0,0,ROW()-1,60),ROW()-1,FALSE))</f>
        <v>49.032262459999998</v>
      </c>
      <c r="R144">
        <f ca="1">IF(AND(ISNUMBER($R$453),$B$294=1),$R$453,HLOOKUP(INDIRECT(ADDRESS(2,COLUMN())),OFFSET($BN$2,0,0,ROW()-1,60),ROW()-1,FALSE))</f>
        <v>52.919690969999998</v>
      </c>
      <c r="S144">
        <f ca="1">IF(AND(ISNUMBER($S$453),$B$294=1),$S$453,HLOOKUP(INDIRECT(ADDRESS(2,COLUMN())),OFFSET($BN$2,0,0,ROW()-1,60),ROW()-1,FALSE))</f>
        <v>53.541315920000002</v>
      </c>
      <c r="T144">
        <f ca="1">IF(AND(ISNUMBER($T$453),$B$294=1),$T$453,HLOOKUP(INDIRECT(ADDRESS(2,COLUMN())),OFFSET($BN$2,0,0,ROW()-1,60),ROW()-1,FALSE))</f>
        <v>53.182016160000003</v>
      </c>
      <c r="U144">
        <f ca="1">IF(AND(ISNUMBER($U$453),$B$294=1),$U$453,HLOOKUP(INDIRECT(ADDRESS(2,COLUMN())),OFFSET($BN$2,0,0,ROW()-1,60),ROW()-1,FALSE))</f>
        <v>53.400923650000003</v>
      </c>
      <c r="V144">
        <f ca="1">IF(AND(ISNUMBER($V$453),$B$294=1),$V$453,HLOOKUP(INDIRECT(ADDRESS(2,COLUMN())),OFFSET($BN$2,0,0,ROW()-1,60),ROW()-1,FALSE))</f>
        <v>53.807218310000003</v>
      </c>
      <c r="W144">
        <f ca="1">IF(AND(ISNUMBER($W$453),$B$294=1),$W$453,HLOOKUP(INDIRECT(ADDRESS(2,COLUMN())),OFFSET($BN$2,0,0,ROW()-1,60),ROW()-1,FALSE))</f>
        <v>55.474050200000001</v>
      </c>
      <c r="X144">
        <f ca="1">IF(AND(ISNUMBER($X$453),$B$294=1),$X$453,HLOOKUP(INDIRECT(ADDRESS(2,COLUMN())),OFFSET($BN$2,0,0,ROW()-1,60),ROW()-1,FALSE))</f>
        <v>55.331998970000001</v>
      </c>
      <c r="Y144">
        <f ca="1">IF(AND(ISNUMBER($Y$453),$B$294=1),$Y$453,HLOOKUP(INDIRECT(ADDRESS(2,COLUMN())),OFFSET($BN$2,0,0,ROW()-1,60),ROW()-1,FALSE))</f>
        <v>56.037415609999996</v>
      </c>
      <c r="Z144">
        <f ca="1">IF(AND(ISNUMBER($Z$453),$B$294=1),$Z$453,HLOOKUP(INDIRECT(ADDRESS(2,COLUMN())),OFFSET($BN$2,0,0,ROW()-1,60),ROW()-1,FALSE))</f>
        <v>57.708227710000003</v>
      </c>
      <c r="AA144">
        <f ca="1">IF(AND(ISNUMBER($AA$453),$B$294=1),$AA$453,HLOOKUP(INDIRECT(ADDRESS(2,COLUMN())),OFFSET($BN$2,0,0,ROW()-1,60),ROW()-1,FALSE))</f>
        <v>50.468729930000002</v>
      </c>
      <c r="AB144">
        <f ca="1">IF(AND(ISNUMBER($AB$453),$B$294=1),$AB$453,HLOOKUP(INDIRECT(ADDRESS(2,COLUMN())),OFFSET($BN$2,0,0,ROW()-1,60),ROW()-1,FALSE))</f>
        <v>58.441176470000002</v>
      </c>
      <c r="AC144">
        <f ca="1">IF(AND(ISNUMBER($AC$453),$B$294=1),$AC$453,HLOOKUP(INDIRECT(ADDRESS(2,COLUMN())),OFFSET($BN$2,0,0,ROW()-1,60),ROW()-1,FALSE))</f>
        <v>56.685808039999998</v>
      </c>
      <c r="AD144">
        <f ca="1">IF(AND(ISNUMBER($AD$453),$B$294=1),$AD$453,HLOOKUP(INDIRECT(ADDRESS(2,COLUMN())),OFFSET($BN$2,0,0,ROW()-1,60),ROW()-1,FALSE))</f>
        <v>57.033550490000003</v>
      </c>
      <c r="AE144">
        <f ca="1">IF(AND(ISNUMBER($AE$453),$B$294=1),$AE$453,HLOOKUP(INDIRECT(ADDRESS(2,COLUMN())),OFFSET($BN$2,0,0,ROW()-1,60),ROW()-1,FALSE))</f>
        <v>54.674354639999997</v>
      </c>
      <c r="AF144">
        <f ca="1">IF(AND(ISNUMBER($AF$453),$B$294=1),$AF$453,HLOOKUP(INDIRECT(ADDRESS(2,COLUMN())),OFFSET($BN$2,0,0,ROW()-1,60),ROW()-1,FALSE))</f>
        <v>60.537598699999997</v>
      </c>
      <c r="AG144">
        <f ca="1">IF(AND(ISNUMBER($AG$453),$B$294=1),$AG$453,HLOOKUP(INDIRECT(ADDRESS(2,COLUMN())),OFFSET($BN$2,0,0,ROW()-1,60),ROW()-1,FALSE))</f>
        <v>58.042123119999999</v>
      </c>
      <c r="AH144">
        <f ca="1">IF(AND(ISNUMBER($AH$453),$B$294=1),$AH$453,HLOOKUP(INDIRECT(ADDRESS(2,COLUMN())),OFFSET($BN$2,0,0,ROW()-1,60),ROW()-1,FALSE))</f>
        <v>60.559908710000002</v>
      </c>
      <c r="AI144">
        <f ca="1">IF(AND(ISNUMBER($AI$453),$B$294=1),$AI$453,HLOOKUP(INDIRECT(ADDRESS(2,COLUMN())),OFFSET($BN$2,0,0,ROW()-1,60),ROW()-1,FALSE))</f>
        <v>57.263389850000003</v>
      </c>
      <c r="AJ144">
        <f ca="1">IF(AND(ISNUMBER($AJ$453),$B$294=1),$AJ$453,HLOOKUP(INDIRECT(ADDRESS(2,COLUMN())),OFFSET($BN$2,0,0,ROW()-1,60),ROW()-1,FALSE))</f>
        <v>63.832801459999999</v>
      </c>
      <c r="AK144">
        <f ca="1">IF(AND(ISNUMBER($AK$453),$B$294=1),$AK$453,HLOOKUP(INDIRECT(ADDRESS(2,COLUMN())),OFFSET($BN$2,0,0,ROW()-1,60),ROW()-1,FALSE))</f>
        <v>56.285914310000003</v>
      </c>
      <c r="AL144">
        <f ca="1">IF(AND(ISNUMBER($AL$453),$B$294=1),$AL$453,HLOOKUP(INDIRECT(ADDRESS(2,COLUMN())),OFFSET($BN$2,0,0,ROW()-1,60),ROW()-1,FALSE))</f>
        <v>57.86753289</v>
      </c>
      <c r="AM144">
        <f ca="1">IF(AND(ISNUMBER($AM$453),$B$294=1),$AM$453,HLOOKUP(INDIRECT(ADDRESS(2,COLUMN())),OFFSET($BN$2,0,0,ROW()-1,60),ROW()-1,FALSE))</f>
        <v>57.412848089999997</v>
      </c>
      <c r="AN144">
        <f ca="1">IF(AND(ISNUMBER($AN$453),$B$294=1),$AN$453,HLOOKUP(INDIRECT(ADDRESS(2,COLUMN())),OFFSET($BN$2,0,0,ROW()-1,60),ROW()-1,FALSE))</f>
        <v>34.089993550000003</v>
      </c>
      <c r="AO144">
        <f ca="1">IF(AND(ISNUMBER($AO$453),$B$294=1),$AO$453,HLOOKUP(INDIRECT(ADDRESS(2,COLUMN())),OFFSET($BN$2,0,0,ROW()-1,60),ROW()-1,FALSE))</f>
        <v>57.115248170000001</v>
      </c>
      <c r="AP144">
        <f ca="1">IF(AND(ISNUMBER($AP$453),$B$294=1),$AP$453,HLOOKUP(INDIRECT(ADDRESS(2,COLUMN())),OFFSET($BN$2,0,0,ROW()-1,60),ROW()-1,FALSE))</f>
        <v>55.921377839999998</v>
      </c>
      <c r="AQ144">
        <f ca="1">IF(AND(ISNUMBER($AQ$453),$B$294=1),$AQ$453,HLOOKUP(INDIRECT(ADDRESS(2,COLUMN())),OFFSET($BN$2,0,0,ROW()-1,60),ROW()-1,FALSE))</f>
        <v>58.035208730000001</v>
      </c>
      <c r="AR144">
        <f ca="1">IF(AND(ISNUMBER($AR$453),$B$294=1),$AR$453,HLOOKUP(INDIRECT(ADDRESS(2,COLUMN())),OFFSET($BN$2,0,0,ROW()-1,60),ROW()-1,FALSE))</f>
        <v>60.174201099999998</v>
      </c>
      <c r="AS144">
        <f ca="1">IF(AND(ISNUMBER($AS$453),$B$294=1),$AS$453,HLOOKUP(INDIRECT(ADDRESS(2,COLUMN())),OFFSET($BN$2,0,0,ROW()-1,60),ROW()-1,FALSE))</f>
        <v>57.265002199999998</v>
      </c>
      <c r="AT144">
        <f ca="1">IF(AND(ISNUMBER($AT$453),$B$294=1),$AT$453,HLOOKUP(INDIRECT(ADDRESS(2,COLUMN())),OFFSET($BN$2,0,0,ROW()-1,60),ROW()-1,FALSE))</f>
        <v>59.218193130000003</v>
      </c>
      <c r="AU144">
        <f ca="1">IF(AND(ISNUMBER($AU$453),$B$294=1),$AU$453,HLOOKUP(INDIRECT(ADDRESS(2,COLUMN())),OFFSET($BN$2,0,0,ROW()-1,60),ROW()-1,FALSE))</f>
        <v>60.96389499</v>
      </c>
      <c r="AV144">
        <f ca="1">IF(AND(ISNUMBER($AV$453),$B$294=1),$AV$453,HLOOKUP(INDIRECT(ADDRESS(2,COLUMN())),OFFSET($BN$2,0,0,ROW()-1,60),ROW()-1,FALSE))</f>
        <v>57.360632389999999</v>
      </c>
      <c r="AW144">
        <f ca="1">IF(AND(ISNUMBER($AW$453),$B$294=1),$AW$453,HLOOKUP(INDIRECT(ADDRESS(2,COLUMN())),OFFSET($BN$2,0,0,ROW()-1,60),ROW()-1,FALSE))</f>
        <v>56.453477630000002</v>
      </c>
      <c r="AX144">
        <f ca="1">IF(AND(ISNUMBER($AX$453),$B$294=1),$AX$453,HLOOKUP(INDIRECT(ADDRESS(2,COLUMN())),OFFSET($BN$2,0,0,ROW()-1,60),ROW()-1,FALSE))</f>
        <v>55.911562699999998</v>
      </c>
      <c r="AY144">
        <f ca="1">IF(AND(ISNUMBER($AY$453),$B$294=1),$AY$453,HLOOKUP(INDIRECT(ADDRESS(2,COLUMN())),OFFSET($BN$2,0,0,ROW()-1,60),ROW()-1,FALSE))</f>
        <v>55.883647590000002</v>
      </c>
      <c r="AZ144">
        <f ca="1">IF(AND(ISNUMBER($AZ$453),$B$294=1),$AZ$453,HLOOKUP(INDIRECT(ADDRESS(2,COLUMN())),OFFSET($BN$2,0,0,ROW()-1,60),ROW()-1,FALSE))</f>
        <v>58.57286989</v>
      </c>
      <c r="BA144">
        <f ca="1">IF(AND(ISNUMBER($BA$453),$B$294=1),$BA$453,HLOOKUP(INDIRECT(ADDRESS(2,COLUMN())),OFFSET($BN$2,0,0,ROW()-1,60),ROW()-1,FALSE))</f>
        <v>56.758513039999997</v>
      </c>
      <c r="BB144">
        <f ca="1">IF(AND(ISNUMBER($BB$453),$B$294=1),$BB$453,HLOOKUP(INDIRECT(ADDRESS(2,COLUMN())),OFFSET($BN$2,0,0,ROW()-1,60),ROW()-1,FALSE))</f>
        <v>59.314989969999999</v>
      </c>
      <c r="BC144">
        <f ca="1">IF(AND(ISNUMBER($BC$453),$B$294=1),$BC$453,HLOOKUP(INDIRECT(ADDRESS(2,COLUMN())),OFFSET($BN$2,0,0,ROW()-1,60),ROW()-1,FALSE))</f>
        <v>56.721734410000003</v>
      </c>
      <c r="BD144">
        <f ca="1">IF(AND(ISNUMBER($BD$453),$B$294=1),$BD$453,HLOOKUP(INDIRECT(ADDRESS(2,COLUMN())),OFFSET($BN$2,0,0,ROW()-1,60),ROW()-1,FALSE))</f>
        <v>59.238872479999998</v>
      </c>
      <c r="BE144">
        <f ca="1">IF(AND(ISNUMBER($BE$453),$B$294=1),$BE$453,HLOOKUP(INDIRECT(ADDRESS(2,COLUMN())),OFFSET($BN$2,0,0,ROW()-1,60),ROW()-1,FALSE))</f>
        <v>72.972390720000007</v>
      </c>
      <c r="BF144">
        <f ca="1">IF(AND(ISNUMBER($BF$453),$B$294=1),$BF$453,HLOOKUP(INDIRECT(ADDRESS(2,COLUMN())),OFFSET($BN$2,0,0,ROW()-1,60),ROW()-1,FALSE))</f>
        <v>51.252836279999997</v>
      </c>
      <c r="BG144">
        <f ca="1">IF(AND(ISNUMBER($BG$453),$B$294=1),$BG$453,HLOOKUP(INDIRECT(ADDRESS(2,COLUMN())),OFFSET($BN$2,0,0,ROW()-1,60),ROW()-1,FALSE))</f>
        <v>71.316675450000005</v>
      </c>
      <c r="BH144">
        <f ca="1">IF(AND(ISNUMBER($BH$453),$B$294=1),$BH$453,HLOOKUP(INDIRECT(ADDRESS(2,COLUMN())),OFFSET($BN$2,0,0,ROW()-1,60),ROW()-1,FALSE))</f>
        <v>51.870484189999999</v>
      </c>
      <c r="BI144">
        <f ca="1">IF(AND(ISNUMBER($BI$453),$B$294=1),$BI$453,HLOOKUP(INDIRECT(ADDRESS(2,COLUMN())),OFFSET($BN$2,0,0,ROW()-1,60),ROW()-1,FALSE))</f>
        <v>77.024493460000002</v>
      </c>
      <c r="BJ144">
        <f ca="1">IF(AND(ISNUMBER($BJ$453),$B$294=1),$BJ$453,HLOOKUP(INDIRECT(ADDRESS(2,COLUMN())),OFFSET($BN$2,0,0,ROW()-1,60),ROW()-1,FALSE))</f>
        <v>62.69934962</v>
      </c>
      <c r="BK144">
        <f ca="1">IF(AND(ISNUMBER($BK$453),$B$294=1),$BK$453,HLOOKUP(INDIRECT(ADDRESS(2,COLUMN())),OFFSET($BN$2,0,0,ROW()-1,60),ROW()-1,FALSE))</f>
        <v>58.160766760000001</v>
      </c>
      <c r="BL144">
        <f ca="1">IF(AND(ISNUMBER($BL$453),$B$294=1),$BL$453,HLOOKUP(INDIRECT(ADDRESS(2,COLUMN())),OFFSET($BN$2,0,0,ROW()-1,60),ROW()-1,FALSE))</f>
        <v>60.838579809999999</v>
      </c>
      <c r="BM144">
        <f ca="1">IF(AND(ISNUMBER($BM$453),$B$294=1),$BM$453,HLOOKUP(INDIRECT(ADDRESS(2,COLUMN())),OFFSET($BN$2,0,0,ROW()-1,60),ROW()-1,FALSE))</f>
        <v>65.719574480000006</v>
      </c>
      <c r="BN144" t="str">
        <f>""</f>
        <v/>
      </c>
      <c r="BO144">
        <f>21.31751814</f>
        <v>21.317518140000001</v>
      </c>
      <c r="BP144">
        <f>55.86865038</f>
        <v>55.868650379999998</v>
      </c>
      <c r="BQ144">
        <f>56.80358356</f>
        <v>56.80358356</v>
      </c>
      <c r="BR144">
        <f>56.71244687</f>
        <v>56.712446870000001</v>
      </c>
      <c r="BS144">
        <f>55.91372445</f>
        <v>55.913724449999997</v>
      </c>
      <c r="BT144">
        <f>38.53991407</f>
        <v>38.539914070000002</v>
      </c>
      <c r="BU144">
        <f>46.98500447</f>
        <v>46.98500447</v>
      </c>
      <c r="BV144">
        <f>54.95101875</f>
        <v>54.951018750000003</v>
      </c>
      <c r="BW144">
        <f>55.28355598</f>
        <v>55.283555980000003</v>
      </c>
      <c r="BX144">
        <f>29.74632934</f>
        <v>29.746329339999999</v>
      </c>
      <c r="BY144">
        <f>49.03226246</f>
        <v>49.032262459999998</v>
      </c>
      <c r="BZ144">
        <f>52.91969097</f>
        <v>52.919690969999998</v>
      </c>
      <c r="CA144">
        <f>53.54131592</f>
        <v>53.541315920000002</v>
      </c>
      <c r="CB144">
        <f>53.18201616</f>
        <v>53.182016160000003</v>
      </c>
      <c r="CC144">
        <f>53.40092365</f>
        <v>53.400923650000003</v>
      </c>
      <c r="CD144">
        <f>53.80721831</f>
        <v>53.807218310000003</v>
      </c>
      <c r="CE144">
        <f>55.4740502</f>
        <v>55.474050200000001</v>
      </c>
      <c r="CF144">
        <f>55.33199897</f>
        <v>55.331998970000001</v>
      </c>
      <c r="CG144">
        <f>56.03741561</f>
        <v>56.037415609999996</v>
      </c>
      <c r="CH144">
        <f>57.70822771</f>
        <v>57.708227710000003</v>
      </c>
      <c r="CI144">
        <f>50.46872993</f>
        <v>50.468729930000002</v>
      </c>
      <c r="CJ144">
        <f>58.44117647</f>
        <v>58.441176470000002</v>
      </c>
      <c r="CK144">
        <f>56.68580804</f>
        <v>56.685808039999998</v>
      </c>
      <c r="CL144">
        <f>57.03355049</f>
        <v>57.033550490000003</v>
      </c>
      <c r="CM144">
        <f>54.67435464</f>
        <v>54.674354639999997</v>
      </c>
      <c r="CN144">
        <f>60.5375987</f>
        <v>60.537598699999997</v>
      </c>
      <c r="CO144">
        <f>58.04212312</f>
        <v>58.042123119999999</v>
      </c>
      <c r="CP144">
        <f>60.55990871</f>
        <v>60.559908710000002</v>
      </c>
      <c r="CQ144">
        <f>57.26338985</f>
        <v>57.263389850000003</v>
      </c>
      <c r="CR144">
        <f>63.83280146</f>
        <v>63.832801459999999</v>
      </c>
      <c r="CS144">
        <f>56.28591431</f>
        <v>56.285914310000003</v>
      </c>
      <c r="CT144">
        <f>57.86753289</f>
        <v>57.86753289</v>
      </c>
      <c r="CU144">
        <f>57.41284809</f>
        <v>57.412848089999997</v>
      </c>
      <c r="CV144">
        <f>34.08999355</f>
        <v>34.089993550000003</v>
      </c>
      <c r="CW144">
        <f>57.11524817</f>
        <v>57.115248170000001</v>
      </c>
      <c r="CX144">
        <f>55.92137784</f>
        <v>55.921377839999998</v>
      </c>
      <c r="CY144">
        <f>58.03520873</f>
        <v>58.035208730000001</v>
      </c>
      <c r="CZ144">
        <f>60.1742011</f>
        <v>60.174201099999998</v>
      </c>
      <c r="DA144">
        <f>57.2650022</f>
        <v>57.265002199999998</v>
      </c>
      <c r="DB144">
        <f>59.21819313</f>
        <v>59.218193130000003</v>
      </c>
      <c r="DC144">
        <f>60.96389499</f>
        <v>60.96389499</v>
      </c>
      <c r="DD144">
        <f>57.36063239</f>
        <v>57.360632389999999</v>
      </c>
      <c r="DE144">
        <f>56.45347763</f>
        <v>56.453477630000002</v>
      </c>
      <c r="DF144">
        <f>55.9115627</f>
        <v>55.911562699999998</v>
      </c>
      <c r="DG144">
        <f>55.88364759</f>
        <v>55.883647590000002</v>
      </c>
      <c r="DH144">
        <f>58.57286989</f>
        <v>58.57286989</v>
      </c>
      <c r="DI144">
        <f>56.75851304</f>
        <v>56.758513039999997</v>
      </c>
      <c r="DJ144">
        <f>59.31498997</f>
        <v>59.314989969999999</v>
      </c>
      <c r="DK144">
        <f>56.72173441</f>
        <v>56.721734410000003</v>
      </c>
      <c r="DL144">
        <f>59.23887248</f>
        <v>59.238872479999998</v>
      </c>
      <c r="DM144">
        <f>72.97239072</f>
        <v>72.972390720000007</v>
      </c>
      <c r="DN144">
        <f>51.25283628</f>
        <v>51.252836279999997</v>
      </c>
      <c r="DO144">
        <f>71.31667545</f>
        <v>71.316675450000005</v>
      </c>
      <c r="DP144">
        <f>51.87048419</f>
        <v>51.870484189999999</v>
      </c>
      <c r="DQ144">
        <f>77.02449346</f>
        <v>77.024493460000002</v>
      </c>
      <c r="DR144">
        <f>62.69934962</f>
        <v>62.69934962</v>
      </c>
      <c r="DS144">
        <f>58.16076676</f>
        <v>58.160766760000001</v>
      </c>
      <c r="DT144">
        <f>60.83857981</f>
        <v>60.838579809999999</v>
      </c>
      <c r="DU144">
        <f>65.71957448</f>
        <v>65.719574480000006</v>
      </c>
    </row>
    <row r="145" spans="1:125">
      <c r="A145" t="str">
        <f>"    SL Green Realty Corp"</f>
        <v xml:space="preserve">    SL Green Realty Corp</v>
      </c>
      <c r="B145" t="str">
        <f>"SLG US Equity"</f>
        <v>SLG US Equity</v>
      </c>
      <c r="C145" t="str">
        <f t="shared" si="36"/>
        <v>RX225</v>
      </c>
      <c r="D145" t="str">
        <f t="shared" si="37"/>
        <v>EBITDA_TO_REVENUE</v>
      </c>
      <c r="E145" t="str">
        <f t="shared" si="38"/>
        <v>动态</v>
      </c>
      <c r="F145" t="str">
        <f ca="1">IF(AND(ISNUMBER($F$454),$B$294=1),$F$454,HLOOKUP(INDIRECT(ADDRESS(2,COLUMN())),OFFSET($BN$2,0,0,ROW()-1,60),ROW()-1,FALSE))</f>
        <v/>
      </c>
      <c r="G145">
        <f ca="1">IF(AND(ISNUMBER($G$454),$B$294=1),$G$454,HLOOKUP(INDIRECT(ADDRESS(2,COLUMN())),OFFSET($BN$2,0,0,ROW()-1,60),ROW()-1,FALSE))</f>
        <v>55.671635180000003</v>
      </c>
      <c r="H145">
        <f ca="1">IF(AND(ISNUMBER($H$454),$B$294=1),$H$454,HLOOKUP(INDIRECT(ADDRESS(2,COLUMN())),OFFSET($BN$2,0,0,ROW()-1,60),ROW()-1,FALSE))</f>
        <v>55.009343299999998</v>
      </c>
      <c r="I145">
        <f ca="1">IF(AND(ISNUMBER($I$454),$B$294=1),$I$454,HLOOKUP(INDIRECT(ADDRESS(2,COLUMN())),OFFSET($BN$2,0,0,ROW()-1,60),ROW()-1,FALSE))</f>
        <v>59.569257819999997</v>
      </c>
      <c r="J145">
        <f ca="1">IF(AND(ISNUMBER($J$454),$B$294=1),$J$454,HLOOKUP(INDIRECT(ADDRESS(2,COLUMN())),OFFSET($BN$2,0,0,ROW()-1,60),ROW()-1,FALSE))</f>
        <v>56.7023777</v>
      </c>
      <c r="K145">
        <f ca="1">IF(AND(ISNUMBER($K$454),$B$294=1),$K$454,HLOOKUP(INDIRECT(ADDRESS(2,COLUMN())),OFFSET($BN$2,0,0,ROW()-1,60),ROW()-1,FALSE))</f>
        <v>54.495486880000001</v>
      </c>
      <c r="L145">
        <f ca="1">IF(AND(ISNUMBER($L$454),$B$294=1),$L$454,HLOOKUP(INDIRECT(ADDRESS(2,COLUMN())),OFFSET($BN$2,0,0,ROW()-1,60),ROW()-1,FALSE))</f>
        <v>57.969765840000001</v>
      </c>
      <c r="M145">
        <f ca="1">IF(AND(ISNUMBER($M$454),$B$294=1),$M$454,HLOOKUP(INDIRECT(ADDRESS(2,COLUMN())),OFFSET($BN$2,0,0,ROW()-1,60),ROW()-1,FALSE))</f>
        <v>73.297075520000007</v>
      </c>
      <c r="N145">
        <f ca="1">IF(AND(ISNUMBER($N$454),$B$294=1),$N$454,HLOOKUP(INDIRECT(ADDRESS(2,COLUMN())),OFFSET($BN$2,0,0,ROW()-1,60),ROW()-1,FALSE))</f>
        <v>63.358612690000001</v>
      </c>
      <c r="O145">
        <f ca="1">IF(AND(ISNUMBER($O$454),$B$294=1),$O$454,HLOOKUP(INDIRECT(ADDRESS(2,COLUMN())),OFFSET($BN$2,0,0,ROW()-1,60),ROW()-1,FALSE))</f>
        <v>62.250875669999999</v>
      </c>
      <c r="P145">
        <f ca="1">IF(AND(ISNUMBER($P$454),$B$294=1),$P$454,HLOOKUP(INDIRECT(ADDRESS(2,COLUMN())),OFFSET($BN$2,0,0,ROW()-1,60),ROW()-1,FALSE))</f>
        <v>60.641892669999997</v>
      </c>
      <c r="Q145">
        <f ca="1">IF(AND(ISNUMBER($Q$454),$B$294=1),$Q$454,HLOOKUP(INDIRECT(ADDRESS(2,COLUMN())),OFFSET($BN$2,0,0,ROW()-1,60),ROW()-1,FALSE))</f>
        <v>62.158191430000002</v>
      </c>
      <c r="R145">
        <f ca="1">IF(AND(ISNUMBER($R$454),$B$294=1),$R$454,HLOOKUP(INDIRECT(ADDRESS(2,COLUMN())),OFFSET($BN$2,0,0,ROW()-1,60),ROW()-1,FALSE))</f>
        <v>59.455613059999997</v>
      </c>
      <c r="S145">
        <f ca="1">IF(AND(ISNUMBER($S$454),$B$294=1),$S$454,HLOOKUP(INDIRECT(ADDRESS(2,COLUMN())),OFFSET($BN$2,0,0,ROW()-1,60),ROW()-1,FALSE))</f>
        <v>59.789668079999998</v>
      </c>
      <c r="T145">
        <f ca="1">IF(AND(ISNUMBER($T$454),$B$294=1),$T$454,HLOOKUP(INDIRECT(ADDRESS(2,COLUMN())),OFFSET($BN$2,0,0,ROW()-1,60),ROW()-1,FALSE))</f>
        <v>60.700943440000003</v>
      </c>
      <c r="U145">
        <f ca="1">IF(AND(ISNUMBER($U$454),$B$294=1),$U$454,HLOOKUP(INDIRECT(ADDRESS(2,COLUMN())),OFFSET($BN$2,0,0,ROW()-1,60),ROW()-1,FALSE))</f>
        <v>61.237888560000002</v>
      </c>
      <c r="V145">
        <f ca="1">IF(AND(ISNUMBER($V$454),$B$294=1),$V$454,HLOOKUP(INDIRECT(ADDRESS(2,COLUMN())),OFFSET($BN$2,0,0,ROW()-1,60),ROW()-1,FALSE))</f>
        <v>58.929492750000001</v>
      </c>
      <c r="W145">
        <f ca="1">IF(AND(ISNUMBER($W$454),$B$294=1),$W$454,HLOOKUP(INDIRECT(ADDRESS(2,COLUMN())),OFFSET($BN$2,0,0,ROW()-1,60),ROW()-1,FALSE))</f>
        <v>56.944622789999997</v>
      </c>
      <c r="X145">
        <f ca="1">IF(AND(ISNUMBER($X$454),$B$294=1),$X$454,HLOOKUP(INDIRECT(ADDRESS(2,COLUMN())),OFFSET($BN$2,0,0,ROW()-1,60),ROW()-1,FALSE))</f>
        <v>57.060882810000003</v>
      </c>
      <c r="Y145">
        <f ca="1">IF(AND(ISNUMBER($Y$454),$B$294=1),$Y$454,HLOOKUP(INDIRECT(ADDRESS(2,COLUMN())),OFFSET($BN$2,0,0,ROW()-1,60),ROW()-1,FALSE))</f>
        <v>58.975431139999998</v>
      </c>
      <c r="Z145">
        <f ca="1">IF(AND(ISNUMBER($Z$454),$B$294=1),$Z$454,HLOOKUP(INDIRECT(ADDRESS(2,COLUMN())),OFFSET($BN$2,0,0,ROW()-1,60),ROW()-1,FALSE))</f>
        <v>58.982422710000002</v>
      </c>
      <c r="AA145">
        <f ca="1">IF(AND(ISNUMBER($AA$454),$B$294=1),$AA$454,HLOOKUP(INDIRECT(ADDRESS(2,COLUMN())),OFFSET($BN$2,0,0,ROW()-1,60),ROW()-1,FALSE))</f>
        <v>57.361100290000003</v>
      </c>
      <c r="AB145">
        <f ca="1">IF(AND(ISNUMBER($AB$454),$B$294=1),$AB$454,HLOOKUP(INDIRECT(ADDRESS(2,COLUMN())),OFFSET($BN$2,0,0,ROW()-1,60),ROW()-1,FALSE))</f>
        <v>55.08653795</v>
      </c>
      <c r="AC145">
        <f ca="1">IF(AND(ISNUMBER($AC$454),$B$294=1),$AC$454,HLOOKUP(INDIRECT(ADDRESS(2,COLUMN())),OFFSET($BN$2,0,0,ROW()-1,60),ROW()-1,FALSE))</f>
        <v>57.591246169999998</v>
      </c>
      <c r="AD145">
        <f ca="1">IF(AND(ISNUMBER($AD$454),$B$294=1),$AD$454,HLOOKUP(INDIRECT(ADDRESS(2,COLUMN())),OFFSET($BN$2,0,0,ROW()-1,60),ROW()-1,FALSE))</f>
        <v>55.250005160000001</v>
      </c>
      <c r="AE145">
        <f ca="1">IF(AND(ISNUMBER($AE$454),$B$294=1),$AE$454,HLOOKUP(INDIRECT(ADDRESS(2,COLUMN())),OFFSET($BN$2,0,0,ROW()-1,60),ROW()-1,FALSE))</f>
        <v>54.243962070000002</v>
      </c>
      <c r="AF145">
        <f ca="1">IF(AND(ISNUMBER($AF$454),$B$294=1),$AF$454,HLOOKUP(INDIRECT(ADDRESS(2,COLUMN())),OFFSET($BN$2,0,0,ROW()-1,60),ROW()-1,FALSE))</f>
        <v>54.76692877</v>
      </c>
      <c r="AG145">
        <f ca="1">IF(AND(ISNUMBER($AG$454),$B$294=1),$AG$454,HLOOKUP(INDIRECT(ADDRESS(2,COLUMN())),OFFSET($BN$2,0,0,ROW()-1,60),ROW()-1,FALSE))</f>
        <v>54.370700190000001</v>
      </c>
      <c r="AH145">
        <f ca="1">IF(AND(ISNUMBER($AH$454),$B$294=1),$AH$454,HLOOKUP(INDIRECT(ADDRESS(2,COLUMN())),OFFSET($BN$2,0,0,ROW()-1,60),ROW()-1,FALSE))</f>
        <v>61.675591779999998</v>
      </c>
      <c r="AI145">
        <f ca="1">IF(AND(ISNUMBER($AI$454),$B$294=1),$AI$454,HLOOKUP(INDIRECT(ADDRESS(2,COLUMN())),OFFSET($BN$2,0,0,ROW()-1,60),ROW()-1,FALSE))</f>
        <v>51.83040063</v>
      </c>
      <c r="AJ145">
        <f ca="1">IF(AND(ISNUMBER($AJ$454),$B$294=1),$AJ$454,HLOOKUP(INDIRECT(ADDRESS(2,COLUMN())),OFFSET($BN$2,0,0,ROW()-1,60),ROW()-1,FALSE))</f>
        <v>62.189684509999999</v>
      </c>
      <c r="AK145">
        <f ca="1">IF(AND(ISNUMBER($AK$454),$B$294=1),$AK$454,HLOOKUP(INDIRECT(ADDRESS(2,COLUMN())),OFFSET($BN$2,0,0,ROW()-1,60),ROW()-1,FALSE))</f>
        <v>51.598349579999997</v>
      </c>
      <c r="AL145">
        <f ca="1">IF(AND(ISNUMBER($AL$454),$B$294=1),$AL$454,HLOOKUP(INDIRECT(ADDRESS(2,COLUMN())),OFFSET($BN$2,0,0,ROW()-1,60),ROW()-1,FALSE))</f>
        <v>50.975960710000003</v>
      </c>
      <c r="AM145">
        <f ca="1">IF(AND(ISNUMBER($AM$454),$B$294=1),$AM$454,HLOOKUP(INDIRECT(ADDRESS(2,COLUMN())),OFFSET($BN$2,0,0,ROW()-1,60),ROW()-1,FALSE))</f>
        <v>42.89170507</v>
      </c>
      <c r="AN145">
        <f ca="1">IF(AND(ISNUMBER($AN$454),$B$294=1),$AN$454,HLOOKUP(INDIRECT(ADDRESS(2,COLUMN())),OFFSET($BN$2,0,0,ROW()-1,60),ROW()-1,FALSE))</f>
        <v>48.048777510000001</v>
      </c>
      <c r="AO145">
        <f ca="1">IF(AND(ISNUMBER($AO$454),$B$294=1),$AO$454,HLOOKUP(INDIRECT(ADDRESS(2,COLUMN())),OFFSET($BN$2,0,0,ROW()-1,60),ROW()-1,FALSE))</f>
        <v>36.863554290000003</v>
      </c>
      <c r="AP145">
        <f ca="1">IF(AND(ISNUMBER($AP$454),$B$294=1),$AP$454,HLOOKUP(INDIRECT(ADDRESS(2,COLUMN())),OFFSET($BN$2,0,0,ROW()-1,60),ROW()-1,FALSE))</f>
        <v>32.418828140000002</v>
      </c>
      <c r="AQ145">
        <f ca="1">IF(AND(ISNUMBER($AQ$454),$B$294=1),$AQ$454,HLOOKUP(INDIRECT(ADDRESS(2,COLUMN())),OFFSET($BN$2,0,0,ROW()-1,60),ROW()-1,FALSE))</f>
        <v>14.061146730000001</v>
      </c>
      <c r="AR145">
        <f ca="1">IF(AND(ISNUMBER($AR$454),$B$294=1),$AR$454,HLOOKUP(INDIRECT(ADDRESS(2,COLUMN())),OFFSET($BN$2,0,0,ROW()-1,60),ROW()-1,FALSE))</f>
        <v>52.881522699999998</v>
      </c>
      <c r="AS145">
        <f ca="1">IF(AND(ISNUMBER($AS$454),$B$294=1),$AS$454,HLOOKUP(INDIRECT(ADDRESS(2,COLUMN())),OFFSET($BN$2,0,0,ROW()-1,60),ROW()-1,FALSE))</f>
        <v>57.779597000000003</v>
      </c>
      <c r="AT145">
        <f ca="1">IF(AND(ISNUMBER($AT$454),$B$294=1),$AT$454,HLOOKUP(INDIRECT(ADDRESS(2,COLUMN())),OFFSET($BN$2,0,0,ROW()-1,60),ROW()-1,FALSE))</f>
        <v>54.41928214</v>
      </c>
      <c r="AU145">
        <f ca="1">IF(AND(ISNUMBER($AU$454),$B$294=1),$AU$454,HLOOKUP(INDIRECT(ADDRESS(2,COLUMN())),OFFSET($BN$2,0,0,ROW()-1,60),ROW()-1,FALSE))</f>
        <v>54.932789479999997</v>
      </c>
      <c r="AV145">
        <f ca="1">IF(AND(ISNUMBER($AV$454),$B$294=1),$AV$454,HLOOKUP(INDIRECT(ADDRESS(2,COLUMN())),OFFSET($BN$2,0,0,ROW()-1,60),ROW()-1,FALSE))</f>
        <v>53.512931649999999</v>
      </c>
      <c r="AW145">
        <f ca="1">IF(AND(ISNUMBER($AW$454),$B$294=1),$AW$454,HLOOKUP(INDIRECT(ADDRESS(2,COLUMN())),OFFSET($BN$2,0,0,ROW()-1,60),ROW()-1,FALSE))</f>
        <v>57.138488789999997</v>
      </c>
      <c r="AX145">
        <f ca="1">IF(AND(ISNUMBER($AX$454),$B$294=1),$AX$454,HLOOKUP(INDIRECT(ADDRESS(2,COLUMN())),OFFSET($BN$2,0,0,ROW()-1,60),ROW()-1,FALSE))</f>
        <v>60.954539410000002</v>
      </c>
      <c r="AY145">
        <f ca="1">IF(AND(ISNUMBER($AY$454),$B$294=1),$AY$454,HLOOKUP(INDIRECT(ADDRESS(2,COLUMN())),OFFSET($BN$2,0,0,ROW()-1,60),ROW()-1,FALSE))</f>
        <v>52.979594650000003</v>
      </c>
      <c r="AZ145">
        <f ca="1">IF(AND(ISNUMBER($AZ$454),$B$294=1),$AZ$454,HLOOKUP(INDIRECT(ADDRESS(2,COLUMN())),OFFSET($BN$2,0,0,ROW()-1,60),ROW()-1,FALSE))</f>
        <v>49.765410379999999</v>
      </c>
      <c r="BA145">
        <f ca="1">IF(AND(ISNUMBER($BA$454),$B$294=1),$BA$454,HLOOKUP(INDIRECT(ADDRESS(2,COLUMN())),OFFSET($BN$2,0,0,ROW()-1,60),ROW()-1,FALSE))</f>
        <v>48.380782920000001</v>
      </c>
      <c r="BB145">
        <f ca="1">IF(AND(ISNUMBER($BB$454),$B$294=1),$BB$454,HLOOKUP(INDIRECT(ADDRESS(2,COLUMN())),OFFSET($BN$2,0,0,ROW()-1,60),ROW()-1,FALSE))</f>
        <v>46.494680580000001</v>
      </c>
      <c r="BC145">
        <f ca="1">IF(AND(ISNUMBER($BC$454),$B$294=1),$BC$454,HLOOKUP(INDIRECT(ADDRESS(2,COLUMN())),OFFSET($BN$2,0,0,ROW()-1,60),ROW()-1,FALSE))</f>
        <v>48.603215470000002</v>
      </c>
      <c r="BD145">
        <f ca="1">IF(AND(ISNUMBER($BD$454),$B$294=1),$BD$454,HLOOKUP(INDIRECT(ADDRESS(2,COLUMN())),OFFSET($BN$2,0,0,ROW()-1,60),ROW()-1,FALSE))</f>
        <v>50.487897709999999</v>
      </c>
      <c r="BE145">
        <f ca="1">IF(AND(ISNUMBER($BE$454),$B$294=1),$BE$454,HLOOKUP(INDIRECT(ADDRESS(2,COLUMN())),OFFSET($BN$2,0,0,ROW()-1,60),ROW()-1,FALSE))</f>
        <v>47.29364271</v>
      </c>
      <c r="BF145">
        <f ca="1">IF(AND(ISNUMBER($BF$454),$B$294=1),$BF$454,HLOOKUP(INDIRECT(ADDRESS(2,COLUMN())),OFFSET($BN$2,0,0,ROW()-1,60),ROW()-1,FALSE))</f>
        <v>49.782243889999997</v>
      </c>
      <c r="BG145">
        <f ca="1">IF(AND(ISNUMBER($BG$454),$B$294=1),$BG$454,HLOOKUP(INDIRECT(ADDRESS(2,COLUMN())),OFFSET($BN$2,0,0,ROW()-1,60),ROW()-1,FALSE))</f>
        <v>42.209896610000001</v>
      </c>
      <c r="BH145">
        <f ca="1">IF(AND(ISNUMBER($BH$454),$B$294=1),$BH$454,HLOOKUP(INDIRECT(ADDRESS(2,COLUMN())),OFFSET($BN$2,0,0,ROW()-1,60),ROW()-1,FALSE))</f>
        <v>47.171239579999998</v>
      </c>
      <c r="BI145">
        <f ca="1">IF(AND(ISNUMBER($BI$454),$B$294=1),$BI$454,HLOOKUP(INDIRECT(ADDRESS(2,COLUMN())),OFFSET($BN$2,0,0,ROW()-1,60),ROW()-1,FALSE))</f>
        <v>52.67482811</v>
      </c>
      <c r="BJ145">
        <f ca="1">IF(AND(ISNUMBER($BJ$454),$B$294=1),$BJ$454,HLOOKUP(INDIRECT(ADDRESS(2,COLUMN())),OFFSET($BN$2,0,0,ROW()-1,60),ROW()-1,FALSE))</f>
        <v>48.038544870000003</v>
      </c>
      <c r="BK145">
        <f ca="1">IF(AND(ISNUMBER($BK$454),$B$294=1),$BK$454,HLOOKUP(INDIRECT(ADDRESS(2,COLUMN())),OFFSET($BN$2,0,0,ROW()-1,60),ROW()-1,FALSE))</f>
        <v>49.174531539999997</v>
      </c>
      <c r="BL145">
        <f ca="1">IF(AND(ISNUMBER($BL$454),$B$294=1),$BL$454,HLOOKUP(INDIRECT(ADDRESS(2,COLUMN())),OFFSET($BN$2,0,0,ROW()-1,60),ROW()-1,FALSE))</f>
        <v>51.34615385</v>
      </c>
      <c r="BM145">
        <f ca="1">IF(AND(ISNUMBER($BM$454),$B$294=1),$BM$454,HLOOKUP(INDIRECT(ADDRESS(2,COLUMN())),OFFSET($BN$2,0,0,ROW()-1,60),ROW()-1,FALSE))</f>
        <v>51.560839799999997</v>
      </c>
      <c r="BN145" t="str">
        <f>""</f>
        <v/>
      </c>
      <c r="BO145">
        <f>55.67163518</f>
        <v>55.671635180000003</v>
      </c>
      <c r="BP145">
        <f>55.0093433</f>
        <v>55.009343299999998</v>
      </c>
      <c r="BQ145">
        <f>59.56925782</f>
        <v>59.569257819999997</v>
      </c>
      <c r="BR145">
        <f>56.7023777</f>
        <v>56.7023777</v>
      </c>
      <c r="BS145">
        <f>54.49548688</f>
        <v>54.495486880000001</v>
      </c>
      <c r="BT145">
        <f>57.96976584</f>
        <v>57.969765840000001</v>
      </c>
      <c r="BU145">
        <f>73.29707552</f>
        <v>73.297075520000007</v>
      </c>
      <c r="BV145">
        <f>63.35861269</f>
        <v>63.358612690000001</v>
      </c>
      <c r="BW145">
        <f>62.25087567</f>
        <v>62.250875669999999</v>
      </c>
      <c r="BX145">
        <f>60.64189267</f>
        <v>60.641892669999997</v>
      </c>
      <c r="BY145">
        <f>62.15819143</f>
        <v>62.158191430000002</v>
      </c>
      <c r="BZ145">
        <f>59.45561306</f>
        <v>59.455613059999997</v>
      </c>
      <c r="CA145">
        <f>59.78966808</f>
        <v>59.789668079999998</v>
      </c>
      <c r="CB145">
        <f>60.70094344</f>
        <v>60.700943440000003</v>
      </c>
      <c r="CC145">
        <f>61.23788856</f>
        <v>61.237888560000002</v>
      </c>
      <c r="CD145">
        <f>58.92949275</f>
        <v>58.929492750000001</v>
      </c>
      <c r="CE145">
        <f>56.94462279</f>
        <v>56.944622789999997</v>
      </c>
      <c r="CF145">
        <f>57.06088281</f>
        <v>57.060882810000003</v>
      </c>
      <c r="CG145">
        <f>58.97543114</f>
        <v>58.975431139999998</v>
      </c>
      <c r="CH145">
        <f>58.98242271</f>
        <v>58.982422710000002</v>
      </c>
      <c r="CI145">
        <f>57.36110029</f>
        <v>57.361100290000003</v>
      </c>
      <c r="CJ145">
        <f>55.08653795</f>
        <v>55.08653795</v>
      </c>
      <c r="CK145">
        <f>57.59124617</f>
        <v>57.591246169999998</v>
      </c>
      <c r="CL145">
        <f>55.25000516</f>
        <v>55.250005160000001</v>
      </c>
      <c r="CM145">
        <f>54.24396207</f>
        <v>54.243962070000002</v>
      </c>
      <c r="CN145">
        <f>54.76692877</f>
        <v>54.76692877</v>
      </c>
      <c r="CO145">
        <f>54.37070019</f>
        <v>54.370700190000001</v>
      </c>
      <c r="CP145">
        <f>61.67559178</f>
        <v>61.675591779999998</v>
      </c>
      <c r="CQ145">
        <f>51.83040063</f>
        <v>51.83040063</v>
      </c>
      <c r="CR145">
        <f>62.18968451</f>
        <v>62.189684509999999</v>
      </c>
      <c r="CS145">
        <f>51.59834958</f>
        <v>51.598349579999997</v>
      </c>
      <c r="CT145">
        <f>50.97596071</f>
        <v>50.975960710000003</v>
      </c>
      <c r="CU145">
        <f>42.89170507</f>
        <v>42.89170507</v>
      </c>
      <c r="CV145">
        <f>48.04877751</f>
        <v>48.048777510000001</v>
      </c>
      <c r="CW145">
        <f>36.86355429</f>
        <v>36.863554290000003</v>
      </c>
      <c r="CX145">
        <f>32.41882814</f>
        <v>32.418828140000002</v>
      </c>
      <c r="CY145">
        <f>14.06114673</f>
        <v>14.061146730000001</v>
      </c>
      <c r="CZ145">
        <f>52.8815227</f>
        <v>52.881522699999998</v>
      </c>
      <c r="DA145">
        <f>57.779597</f>
        <v>57.779597000000003</v>
      </c>
      <c r="DB145">
        <f>54.41928214</f>
        <v>54.41928214</v>
      </c>
      <c r="DC145">
        <f>54.93278948</f>
        <v>54.932789479999997</v>
      </c>
      <c r="DD145">
        <f>53.51293165</f>
        <v>53.512931649999999</v>
      </c>
      <c r="DE145">
        <f>57.13848879</f>
        <v>57.138488789999997</v>
      </c>
      <c r="DF145">
        <f>60.95453941</f>
        <v>60.954539410000002</v>
      </c>
      <c r="DG145">
        <f>52.97959465</f>
        <v>52.979594650000003</v>
      </c>
      <c r="DH145">
        <f>49.76541038</f>
        <v>49.765410379999999</v>
      </c>
      <c r="DI145">
        <f>48.38078292</f>
        <v>48.380782920000001</v>
      </c>
      <c r="DJ145">
        <f>46.49468058</f>
        <v>46.494680580000001</v>
      </c>
      <c r="DK145">
        <f>48.60321547</f>
        <v>48.603215470000002</v>
      </c>
      <c r="DL145">
        <f>50.48789771</f>
        <v>50.487897709999999</v>
      </c>
      <c r="DM145">
        <f>47.29364271</f>
        <v>47.29364271</v>
      </c>
      <c r="DN145">
        <f>49.78224389</f>
        <v>49.782243889999997</v>
      </c>
      <c r="DO145">
        <f>42.20989661</f>
        <v>42.209896610000001</v>
      </c>
      <c r="DP145">
        <f>47.17123958</f>
        <v>47.171239579999998</v>
      </c>
      <c r="DQ145">
        <f>52.67482811</f>
        <v>52.67482811</v>
      </c>
      <c r="DR145">
        <f>48.03854487</f>
        <v>48.038544870000003</v>
      </c>
      <c r="DS145">
        <f>49.17453154</f>
        <v>49.174531539999997</v>
      </c>
      <c r="DT145">
        <f>51.34615385</f>
        <v>51.34615385</v>
      </c>
      <c r="DU145">
        <f>51.5608398</f>
        <v>51.560839799999997</v>
      </c>
    </row>
    <row r="146" spans="1:125">
      <c r="A146" t="str">
        <f>"    Vornado Realty Trust"</f>
        <v xml:space="preserve">    Vornado Realty Trust</v>
      </c>
      <c r="B146" t="str">
        <f>"VNO US Equity"</f>
        <v>VNO US Equity</v>
      </c>
      <c r="C146" t="str">
        <f t="shared" si="36"/>
        <v>RX225</v>
      </c>
      <c r="D146" t="str">
        <f t="shared" si="37"/>
        <v>EBITDA_TO_REVENUE</v>
      </c>
      <c r="E146" t="str">
        <f t="shared" si="38"/>
        <v>动态</v>
      </c>
      <c r="F146" t="str">
        <f ca="1">IF(AND(ISNUMBER($F$455),$B$294=1),$F$455,HLOOKUP(INDIRECT(ADDRESS(2,COLUMN())),OFFSET($BN$2,0,0,ROW()-1,60),ROW()-1,FALSE))</f>
        <v/>
      </c>
      <c r="G146">
        <f ca="1">IF(AND(ISNUMBER($G$455),$B$294=1),$G$455,HLOOKUP(INDIRECT(ADDRESS(2,COLUMN())),OFFSET($BN$2,0,0,ROW()-1,60),ROW()-1,FALSE))</f>
        <v>50.436010189999998</v>
      </c>
      <c r="H146">
        <f ca="1">IF(AND(ISNUMBER($H$455),$B$294=1),$H$455,HLOOKUP(INDIRECT(ADDRESS(2,COLUMN())),OFFSET($BN$2,0,0,ROW()-1,60),ROW()-1,FALSE))</f>
        <v>50.840370299999996</v>
      </c>
      <c r="I146">
        <f ca="1">IF(AND(ISNUMBER($I$455),$B$294=1),$I$455,HLOOKUP(INDIRECT(ADDRESS(2,COLUMN())),OFFSET($BN$2,0,0,ROW()-1,60),ROW()-1,FALSE))</f>
        <v>50.232653239999998</v>
      </c>
      <c r="J146">
        <f ca="1">IF(AND(ISNUMBER($J$455),$B$294=1),$J$455,HLOOKUP(INDIRECT(ADDRESS(2,COLUMN())),OFFSET($BN$2,0,0,ROW()-1,60),ROW()-1,FALSE))</f>
        <v>46.854302500000003</v>
      </c>
      <c r="K146">
        <f ca="1">IF(AND(ISNUMBER($K$455),$B$294=1),$K$455,HLOOKUP(INDIRECT(ADDRESS(2,COLUMN())),OFFSET($BN$2,0,0,ROW()-1,60),ROW()-1,FALSE))</f>
        <v>49.00949456</v>
      </c>
      <c r="L146">
        <f ca="1">IF(AND(ISNUMBER($L$455),$B$294=1),$L$455,HLOOKUP(INDIRECT(ADDRESS(2,COLUMN())),OFFSET($BN$2,0,0,ROW()-1,60),ROW()-1,FALSE))</f>
        <v>51.1352707</v>
      </c>
      <c r="M146">
        <f ca="1">IF(AND(ISNUMBER($M$455),$B$294=1),$M$455,HLOOKUP(INDIRECT(ADDRESS(2,COLUMN())),OFFSET($BN$2,0,0,ROW()-1,60),ROW()-1,FALSE))</f>
        <v>52.018471689999998</v>
      </c>
      <c r="N146">
        <f ca="1">IF(AND(ISNUMBER($N$455),$B$294=1),$N$455,HLOOKUP(INDIRECT(ADDRESS(2,COLUMN())),OFFSET($BN$2,0,0,ROW()-1,60),ROW()-1,FALSE))</f>
        <v>21.672590719999999</v>
      </c>
      <c r="O146">
        <f ca="1">IF(AND(ISNUMBER($O$455),$B$294=1),$O$455,HLOOKUP(INDIRECT(ADDRESS(2,COLUMN())),OFFSET($BN$2,0,0,ROW()-1,60),ROW()-1,FALSE))</f>
        <v>49.15444127</v>
      </c>
      <c r="P146">
        <f ca="1">IF(AND(ISNUMBER($P$455),$B$294=1),$P$455,HLOOKUP(INDIRECT(ADDRESS(2,COLUMN())),OFFSET($BN$2,0,0,ROW()-1,60),ROW()-1,FALSE))</f>
        <v>50.861700839999997</v>
      </c>
      <c r="Q146">
        <f ca="1">IF(AND(ISNUMBER($Q$455),$B$294=1),$Q$455,HLOOKUP(INDIRECT(ADDRESS(2,COLUMN())),OFFSET($BN$2,0,0,ROW()-1,60),ROW()-1,FALSE))</f>
        <v>52.22282439</v>
      </c>
      <c r="R146">
        <f ca="1">IF(AND(ISNUMBER($R$455),$B$294=1),$R$455,HLOOKUP(INDIRECT(ADDRESS(2,COLUMN())),OFFSET($BN$2,0,0,ROW()-1,60),ROW()-1,FALSE))</f>
        <v>47.144208489999997</v>
      </c>
      <c r="S146">
        <f ca="1">IF(AND(ISNUMBER($S$455),$B$294=1),$S$455,HLOOKUP(INDIRECT(ADDRESS(2,COLUMN())),OFFSET($BN$2,0,0,ROW()-1,60),ROW()-1,FALSE))</f>
        <v>53.36108273</v>
      </c>
      <c r="T146">
        <f ca="1">IF(AND(ISNUMBER($T$455),$B$294=1),$T$455,HLOOKUP(INDIRECT(ADDRESS(2,COLUMN())),OFFSET($BN$2,0,0,ROW()-1,60),ROW()-1,FALSE))</f>
        <v>53.199702790000003</v>
      </c>
      <c r="U146">
        <f ca="1">IF(AND(ISNUMBER($U$455),$B$294=1),$U$455,HLOOKUP(INDIRECT(ADDRESS(2,COLUMN())),OFFSET($BN$2,0,0,ROW()-1,60),ROW()-1,FALSE))</f>
        <v>52.39488798</v>
      </c>
      <c r="V146">
        <f ca="1">IF(AND(ISNUMBER($V$455),$B$294=1),$V$455,HLOOKUP(INDIRECT(ADDRESS(2,COLUMN())),OFFSET($BN$2,0,0,ROW()-1,60),ROW()-1,FALSE))</f>
        <v>53.186362979999998</v>
      </c>
      <c r="W146">
        <f ca="1">IF(AND(ISNUMBER($W$455),$B$294=1),$W$455,HLOOKUP(INDIRECT(ADDRESS(2,COLUMN())),OFFSET($BN$2,0,0,ROW()-1,60),ROW()-1,FALSE))</f>
        <v>46.838557880000003</v>
      </c>
      <c r="X146">
        <f ca="1">IF(AND(ISNUMBER($X$455),$B$294=1),$X$455,HLOOKUP(INDIRECT(ADDRESS(2,COLUMN())),OFFSET($BN$2,0,0,ROW()-1,60),ROW()-1,FALSE))</f>
        <v>52.710433209999998</v>
      </c>
      <c r="Y146">
        <f ca="1">IF(AND(ISNUMBER($Y$455),$B$294=1),$Y$455,HLOOKUP(INDIRECT(ADDRESS(2,COLUMN())),OFFSET($BN$2,0,0,ROW()-1,60),ROW()-1,FALSE))</f>
        <v>48.013754140000003</v>
      </c>
      <c r="Z146">
        <f ca="1">IF(AND(ISNUMBER($Z$455),$B$294=1),$Z$455,HLOOKUP(INDIRECT(ADDRESS(2,COLUMN())),OFFSET($BN$2,0,0,ROW()-1,60),ROW()-1,FALSE))</f>
        <v>55.545398509999998</v>
      </c>
      <c r="AA146">
        <f ca="1">IF(AND(ISNUMBER($AA$455),$B$294=1),$AA$455,HLOOKUP(INDIRECT(ADDRESS(2,COLUMN())),OFFSET($BN$2,0,0,ROW()-1,60),ROW()-1,FALSE))</f>
        <v>29.89982423</v>
      </c>
      <c r="AB146">
        <f ca="1">IF(AND(ISNUMBER($AB$455),$B$294=1),$AB$455,HLOOKUP(INDIRECT(ADDRESS(2,COLUMN())),OFFSET($BN$2,0,0,ROW()-1,60),ROW()-1,FALSE))</f>
        <v>45.44414922</v>
      </c>
      <c r="AC146">
        <f ca="1">IF(AND(ISNUMBER($AC$455),$B$294=1),$AC$455,HLOOKUP(INDIRECT(ADDRESS(2,COLUMN())),OFFSET($BN$2,0,0,ROW()-1,60),ROW()-1,FALSE))</f>
        <v>48.742962579999997</v>
      </c>
      <c r="AD146">
        <f ca="1">IF(AND(ISNUMBER($AD$455),$B$294=1),$AD$455,HLOOKUP(INDIRECT(ADDRESS(2,COLUMN())),OFFSET($BN$2,0,0,ROW()-1,60),ROW()-1,FALSE))</f>
        <v>46.875340870000002</v>
      </c>
      <c r="AE146">
        <f ca="1">IF(AND(ISNUMBER($AE$455),$B$294=1),$AE$455,HLOOKUP(INDIRECT(ADDRESS(2,COLUMN())),OFFSET($BN$2,0,0,ROW()-1,60),ROW()-1,FALSE))</f>
        <v>51.32797746</v>
      </c>
      <c r="AF146">
        <f ca="1">IF(AND(ISNUMBER($AF$455),$B$294=1),$AF$455,HLOOKUP(INDIRECT(ADDRESS(2,COLUMN())),OFFSET($BN$2,0,0,ROW()-1,60),ROW()-1,FALSE))</f>
        <v>49.572296690000002</v>
      </c>
      <c r="AG146">
        <f ca="1">IF(AND(ISNUMBER($AG$455),$B$294=1),$AG$455,HLOOKUP(INDIRECT(ADDRESS(2,COLUMN())),OFFSET($BN$2,0,0,ROW()-1,60),ROW()-1,FALSE))</f>
        <v>50.52655171</v>
      </c>
      <c r="AH146">
        <f ca="1">IF(AND(ISNUMBER($AH$455),$B$294=1),$AH$455,HLOOKUP(INDIRECT(ADDRESS(2,COLUMN())),OFFSET($BN$2,0,0,ROW()-1,60),ROW()-1,FALSE))</f>
        <v>43.358009469999999</v>
      </c>
      <c r="AI146">
        <f ca="1">IF(AND(ISNUMBER($AI$455),$B$294=1),$AI$455,HLOOKUP(INDIRECT(ADDRESS(2,COLUMN())),OFFSET($BN$2,0,0,ROW()-1,60),ROW()-1,FALSE))</f>
        <v>30.853938530000001</v>
      </c>
      <c r="AJ146">
        <f ca="1">IF(AND(ISNUMBER($AJ$455),$B$294=1),$AJ$455,HLOOKUP(INDIRECT(ADDRESS(2,COLUMN())),OFFSET($BN$2,0,0,ROW()-1,60),ROW()-1,FALSE))</f>
        <v>50.641877389999998</v>
      </c>
      <c r="AK146">
        <f ca="1">IF(AND(ISNUMBER($AK$455),$B$294=1),$AK$455,HLOOKUP(INDIRECT(ADDRESS(2,COLUMN())),OFFSET($BN$2,0,0,ROW()-1,60),ROW()-1,FALSE))</f>
        <v>52.764445039999998</v>
      </c>
      <c r="AL146">
        <f ca="1">IF(AND(ISNUMBER($AL$455),$B$294=1),$AL$455,HLOOKUP(INDIRECT(ADDRESS(2,COLUMN())),OFFSET($BN$2,0,0,ROW()-1,60),ROW()-1,FALSE))</f>
        <v>51.442258590000002</v>
      </c>
      <c r="AM146">
        <f ca="1">IF(AND(ISNUMBER($AM$455),$B$294=1),$AM$455,HLOOKUP(INDIRECT(ADDRESS(2,COLUMN())),OFFSET($BN$2,0,0,ROW()-1,60),ROW()-1,FALSE))</f>
        <v>42.790905690000002</v>
      </c>
      <c r="AN146">
        <f ca="1">IF(AND(ISNUMBER($AN$455),$B$294=1),$AN$455,HLOOKUP(INDIRECT(ADDRESS(2,COLUMN())),OFFSET($BN$2,0,0,ROW()-1,60),ROW()-1,FALSE))</f>
        <v>50.690311209999997</v>
      </c>
      <c r="AO146">
        <f ca="1">IF(AND(ISNUMBER($AO$455),$B$294=1),$AO$455,HLOOKUP(INDIRECT(ADDRESS(2,COLUMN())),OFFSET($BN$2,0,0,ROW()-1,60),ROW()-1,FALSE))</f>
        <v>50.435447250000003</v>
      </c>
      <c r="AP146">
        <f ca="1">IF(AND(ISNUMBER($AP$455),$B$294=1),$AP$455,HLOOKUP(INDIRECT(ADDRESS(2,COLUMN())),OFFSET($BN$2,0,0,ROW()-1,60),ROW()-1,FALSE))</f>
        <v>45.263541060000001</v>
      </c>
      <c r="AQ146">
        <f ca="1">IF(AND(ISNUMBER($AQ$455),$B$294=1),$AQ$455,HLOOKUP(INDIRECT(ADDRESS(2,COLUMN())),OFFSET($BN$2,0,0,ROW()-1,60),ROW()-1,FALSE))</f>
        <v>50.704952720000001</v>
      </c>
      <c r="AR146">
        <f ca="1">IF(AND(ISNUMBER($AR$455),$B$294=1),$AR$455,HLOOKUP(INDIRECT(ADDRESS(2,COLUMN())),OFFSET($BN$2,0,0,ROW()-1,60),ROW()-1,FALSE))</f>
        <v>48.850263579999996</v>
      </c>
      <c r="AS146">
        <f ca="1">IF(AND(ISNUMBER($AS$455),$B$294=1),$AS$455,HLOOKUP(INDIRECT(ADDRESS(2,COLUMN())),OFFSET($BN$2,0,0,ROW()-1,60),ROW()-1,FALSE))</f>
        <v>51.146930820000001</v>
      </c>
      <c r="AT146">
        <f ca="1">IF(AND(ISNUMBER($AT$455),$B$294=1),$AT$455,HLOOKUP(INDIRECT(ADDRESS(2,COLUMN())),OFFSET($BN$2,0,0,ROW()-1,60),ROW()-1,FALSE))</f>
        <v>52.27990303</v>
      </c>
      <c r="AU146">
        <f ca="1">IF(AND(ISNUMBER($AU$455),$B$294=1),$AU$455,HLOOKUP(INDIRECT(ADDRESS(2,COLUMN())),OFFSET($BN$2,0,0,ROW()-1,60),ROW()-1,FALSE))</f>
        <v>54.501906669999997</v>
      </c>
      <c r="AV146">
        <f ca="1">IF(AND(ISNUMBER($AV$455),$B$294=1),$AV$455,HLOOKUP(INDIRECT(ADDRESS(2,COLUMN())),OFFSET($BN$2,0,0,ROW()-1,60),ROW()-1,FALSE))</f>
        <v>51.803232889999997</v>
      </c>
      <c r="AW146">
        <f ca="1">IF(AND(ISNUMBER($AW$455),$B$294=1),$AW$455,HLOOKUP(INDIRECT(ADDRESS(2,COLUMN())),OFFSET($BN$2,0,0,ROW()-1,60),ROW()-1,FALSE))</f>
        <v>53.399574770000001</v>
      </c>
      <c r="AX146">
        <f ca="1">IF(AND(ISNUMBER($AX$455),$B$294=1),$AX$455,HLOOKUP(INDIRECT(ADDRESS(2,COLUMN())),OFFSET($BN$2,0,0,ROW()-1,60),ROW()-1,FALSE))</f>
        <v>52.99098918</v>
      </c>
      <c r="AY146">
        <f ca="1">IF(AND(ISNUMBER($AY$455),$B$294=1),$AY$455,HLOOKUP(INDIRECT(ADDRESS(2,COLUMN())),OFFSET($BN$2,0,0,ROW()-1,60),ROW()-1,FALSE))</f>
        <v>39.028910150000002</v>
      </c>
      <c r="AZ146">
        <f ca="1">IF(AND(ISNUMBER($AZ$455),$B$294=1),$AZ$455,HLOOKUP(INDIRECT(ADDRESS(2,COLUMN())),OFFSET($BN$2,0,0,ROW()-1,60),ROW()-1,FALSE))</f>
        <v>40.078055300000003</v>
      </c>
      <c r="BA146">
        <f ca="1">IF(AND(ISNUMBER($BA$455),$B$294=1),$BA$455,HLOOKUP(INDIRECT(ADDRESS(2,COLUMN())),OFFSET($BN$2,0,0,ROW()-1,60),ROW()-1,FALSE))</f>
        <v>44.379004330000001</v>
      </c>
      <c r="BB146">
        <f ca="1">IF(AND(ISNUMBER($BB$455),$B$294=1),$BB$455,HLOOKUP(INDIRECT(ADDRESS(2,COLUMN())),OFFSET($BN$2,0,0,ROW()-1,60),ROW()-1,FALSE))</f>
        <v>43.460105220000003</v>
      </c>
      <c r="BC146">
        <f ca="1">IF(AND(ISNUMBER($BC$455),$B$294=1),$BC$455,HLOOKUP(INDIRECT(ADDRESS(2,COLUMN())),OFFSET($BN$2,0,0,ROW()-1,60),ROW()-1,FALSE))</f>
        <v>42.592518550000001</v>
      </c>
      <c r="BD146">
        <f ca="1">IF(AND(ISNUMBER($BD$455),$B$294=1),$BD$455,HLOOKUP(INDIRECT(ADDRESS(2,COLUMN())),OFFSET($BN$2,0,0,ROW()-1,60),ROW()-1,FALSE))</f>
        <v>35.188353530000001</v>
      </c>
      <c r="BE146">
        <f ca="1">IF(AND(ISNUMBER($BE$455),$B$294=1),$BE$455,HLOOKUP(INDIRECT(ADDRESS(2,COLUMN())),OFFSET($BN$2,0,0,ROW()-1,60),ROW()-1,FALSE))</f>
        <v>44.399002490000001</v>
      </c>
      <c r="BF146">
        <f ca="1">IF(AND(ISNUMBER($BF$455),$B$294=1),$BF$455,HLOOKUP(INDIRECT(ADDRESS(2,COLUMN())),OFFSET($BN$2,0,0,ROW()-1,60),ROW()-1,FALSE))</f>
        <v>43.762160680000001</v>
      </c>
      <c r="BG146">
        <f ca="1">IF(AND(ISNUMBER($BG$455),$B$294=1),$BG$455,HLOOKUP(INDIRECT(ADDRESS(2,COLUMN())),OFFSET($BN$2,0,0,ROW()-1,60),ROW()-1,FALSE))</f>
        <v>56.82848619</v>
      </c>
      <c r="BH146">
        <f ca="1">IF(AND(ISNUMBER($BH$455),$B$294=1),$BH$455,HLOOKUP(INDIRECT(ADDRESS(2,COLUMN())),OFFSET($BN$2,0,0,ROW()-1,60),ROW()-1,FALSE))</f>
        <v>54.00154234</v>
      </c>
      <c r="BI146">
        <f ca="1">IF(AND(ISNUMBER($BI$455),$B$294=1),$BI$455,HLOOKUP(INDIRECT(ADDRESS(2,COLUMN())),OFFSET($BN$2,0,0,ROW()-1,60),ROW()-1,FALSE))</f>
        <v>58.133935319999999</v>
      </c>
      <c r="BJ146">
        <f ca="1">IF(AND(ISNUMBER($BJ$455),$B$294=1),$BJ$455,HLOOKUP(INDIRECT(ADDRESS(2,COLUMN())),OFFSET($BN$2,0,0,ROW()-1,60),ROW()-1,FALSE))</f>
        <v>54.420014649999999</v>
      </c>
      <c r="BK146">
        <f ca="1">IF(AND(ISNUMBER($BK$455),$B$294=1),$BK$455,HLOOKUP(INDIRECT(ADDRESS(2,COLUMN())),OFFSET($BN$2,0,0,ROW()-1,60),ROW()-1,FALSE))</f>
        <v>54.273368040000001</v>
      </c>
      <c r="BL146">
        <f ca="1">IF(AND(ISNUMBER($BL$455),$B$294=1),$BL$455,HLOOKUP(INDIRECT(ADDRESS(2,COLUMN())),OFFSET($BN$2,0,0,ROW()-1,60),ROW()-1,FALSE))</f>
        <v>53.011482389999998</v>
      </c>
      <c r="BM146">
        <f ca="1">IF(AND(ISNUMBER($BM$455),$B$294=1),$BM$455,HLOOKUP(INDIRECT(ADDRESS(2,COLUMN())),OFFSET($BN$2,0,0,ROW()-1,60),ROW()-1,FALSE))</f>
        <v>55.425161240000001</v>
      </c>
      <c r="BN146" t="str">
        <f>""</f>
        <v/>
      </c>
      <c r="BO146">
        <f>50.43601019</f>
        <v>50.436010189999998</v>
      </c>
      <c r="BP146">
        <f>50.8403703</f>
        <v>50.840370299999996</v>
      </c>
      <c r="BQ146">
        <f>50.23265324</f>
        <v>50.232653239999998</v>
      </c>
      <c r="BR146">
        <f>46.8543025</f>
        <v>46.854302500000003</v>
      </c>
      <c r="BS146">
        <f>49.00949456</f>
        <v>49.00949456</v>
      </c>
      <c r="BT146">
        <f>51.1352707</f>
        <v>51.1352707</v>
      </c>
      <c r="BU146">
        <f>52.01847169</f>
        <v>52.018471689999998</v>
      </c>
      <c r="BV146">
        <f>21.67259072</f>
        <v>21.672590719999999</v>
      </c>
      <c r="BW146">
        <f>49.15444127</f>
        <v>49.15444127</v>
      </c>
      <c r="BX146">
        <f>50.86170084</f>
        <v>50.861700839999997</v>
      </c>
      <c r="BY146">
        <f>52.22282439</f>
        <v>52.22282439</v>
      </c>
      <c r="BZ146">
        <f>47.14420849</f>
        <v>47.144208489999997</v>
      </c>
      <c r="CA146">
        <f>53.36108273</f>
        <v>53.36108273</v>
      </c>
      <c r="CB146">
        <f>53.19970279</f>
        <v>53.199702790000003</v>
      </c>
      <c r="CC146">
        <f>52.39488798</f>
        <v>52.39488798</v>
      </c>
      <c r="CD146">
        <f>53.18636298</f>
        <v>53.186362979999998</v>
      </c>
      <c r="CE146">
        <f>46.83855788</f>
        <v>46.838557880000003</v>
      </c>
      <c r="CF146">
        <f>52.71043321</f>
        <v>52.710433209999998</v>
      </c>
      <c r="CG146">
        <f>48.01375414</f>
        <v>48.013754140000003</v>
      </c>
      <c r="CH146">
        <f>55.54539851</f>
        <v>55.545398509999998</v>
      </c>
      <c r="CI146">
        <f>29.89982423</f>
        <v>29.89982423</v>
      </c>
      <c r="CJ146">
        <f>45.44414922</f>
        <v>45.44414922</v>
      </c>
      <c r="CK146">
        <f>48.74296258</f>
        <v>48.742962579999997</v>
      </c>
      <c r="CL146">
        <f>46.87534087</f>
        <v>46.875340870000002</v>
      </c>
      <c r="CM146">
        <f>51.32797746</f>
        <v>51.32797746</v>
      </c>
      <c r="CN146">
        <f>49.57229669</f>
        <v>49.572296690000002</v>
      </c>
      <c r="CO146">
        <f>50.52655171</f>
        <v>50.52655171</v>
      </c>
      <c r="CP146">
        <f>43.35800947</f>
        <v>43.358009469999999</v>
      </c>
      <c r="CQ146">
        <f>30.85393853</f>
        <v>30.853938530000001</v>
      </c>
      <c r="CR146">
        <f>50.64187739</f>
        <v>50.641877389999998</v>
      </c>
      <c r="CS146">
        <f>52.76444504</f>
        <v>52.764445039999998</v>
      </c>
      <c r="CT146">
        <f>51.44225859</f>
        <v>51.442258590000002</v>
      </c>
      <c r="CU146">
        <f>42.79090569</f>
        <v>42.790905690000002</v>
      </c>
      <c r="CV146">
        <f>50.69031121</f>
        <v>50.690311209999997</v>
      </c>
      <c r="CW146">
        <f>50.43544725</f>
        <v>50.435447250000003</v>
      </c>
      <c r="CX146">
        <f>45.26354106</f>
        <v>45.263541060000001</v>
      </c>
      <c r="CY146">
        <f>50.70495272</f>
        <v>50.704952720000001</v>
      </c>
      <c r="CZ146">
        <f>48.85026358</f>
        <v>48.850263579999996</v>
      </c>
      <c r="DA146">
        <f>51.14693082</f>
        <v>51.146930820000001</v>
      </c>
      <c r="DB146">
        <f>52.27990303</f>
        <v>52.27990303</v>
      </c>
      <c r="DC146">
        <f>54.50190667</f>
        <v>54.501906669999997</v>
      </c>
      <c r="DD146">
        <f>51.80323289</f>
        <v>51.803232889999997</v>
      </c>
      <c r="DE146">
        <f>53.39957477</f>
        <v>53.399574770000001</v>
      </c>
      <c r="DF146">
        <f>52.99098918</f>
        <v>52.99098918</v>
      </c>
      <c r="DG146">
        <f>39.02891015</f>
        <v>39.028910150000002</v>
      </c>
      <c r="DH146">
        <f>40.0780553</f>
        <v>40.078055300000003</v>
      </c>
      <c r="DI146">
        <f>44.37900433</f>
        <v>44.379004330000001</v>
      </c>
      <c r="DJ146">
        <f>43.46010522</f>
        <v>43.460105220000003</v>
      </c>
      <c r="DK146">
        <f>42.59251855</f>
        <v>42.592518550000001</v>
      </c>
      <c r="DL146">
        <f>35.18835353</f>
        <v>35.188353530000001</v>
      </c>
      <c r="DM146">
        <f>44.39900249</f>
        <v>44.399002490000001</v>
      </c>
      <c r="DN146">
        <f>43.76216068</f>
        <v>43.762160680000001</v>
      </c>
      <c r="DO146">
        <f>56.82848619</f>
        <v>56.82848619</v>
      </c>
      <c r="DP146">
        <f>54.00154234</f>
        <v>54.00154234</v>
      </c>
      <c r="DQ146">
        <f>58.13393532</f>
        <v>58.133935319999999</v>
      </c>
      <c r="DR146">
        <f>54.42001465</f>
        <v>54.420014649999999</v>
      </c>
      <c r="DS146">
        <f>54.27336804</f>
        <v>54.273368040000001</v>
      </c>
      <c r="DT146">
        <f>53.01148239</f>
        <v>53.011482389999998</v>
      </c>
      <c r="DU146">
        <f>55.42516124</f>
        <v>55.425161240000001</v>
      </c>
    </row>
    <row r="147" spans="1:125">
      <c r="A147" t="str">
        <f>"资产回报率(NOI/总资产)(%)"</f>
        <v>资产回报率(NOI/总资产)(%)</v>
      </c>
      <c r="B147" t="str">
        <f>""</f>
        <v/>
      </c>
      <c r="E147" t="str">
        <f>"Median"</f>
        <v>Median</v>
      </c>
      <c r="F147" t="str">
        <f ca="1">IF(ISERROR(IF(MEDIAN($F$148:$F$157) = 0, "", MEDIAN($F$148:$F$157))), "", (IF(MEDIAN($F$148:$F$157) = 0, "", MEDIAN($F$148:$F$157))))</f>
        <v/>
      </c>
      <c r="G147">
        <f ca="1">IF(ISERROR(IF(MEDIAN($G$148:$G$157) = 0, "", MEDIAN($G$148:$G$157))), "", (IF(MEDIAN($G$148:$G$157) = 0, "", MEDIAN($G$148:$G$157))))</f>
        <v>6.3740366724999999</v>
      </c>
      <c r="H147">
        <f ca="1">IF(ISERROR(IF(MEDIAN($H$148:$H$157) = 0, "", MEDIAN($H$148:$H$157))), "", (IF(MEDIAN($H$148:$H$157) = 0, "", MEDIAN($H$148:$H$157))))</f>
        <v>6.3434932385000007</v>
      </c>
      <c r="I147">
        <f ca="1">IF(ISERROR(IF(MEDIAN($I$148:$I$157) = 0, "", MEDIAN($I$148:$I$157))), "", (IF(MEDIAN($I$148:$I$157) = 0, "", MEDIAN($I$148:$I$157))))</f>
        <v>6.3760480815000005</v>
      </c>
      <c r="J147">
        <f ca="1">IF(ISERROR(IF(MEDIAN($J$148:$J$157) = 0, "", MEDIAN($J$148:$J$157))), "", (IF(MEDIAN($J$148:$J$157) = 0, "", MEDIAN($J$148:$J$157))))</f>
        <v>6.324540968</v>
      </c>
      <c r="K147">
        <f ca="1">IF(ISERROR(IF(MEDIAN($K$148:$K$157) = 0, "", MEDIAN($K$148:$K$157))), "", (IF(MEDIAN($K$148:$K$157) = 0, "", MEDIAN($K$148:$K$157))))</f>
        <v>6.3288046690000002</v>
      </c>
      <c r="L147">
        <f ca="1">IF(ISERROR(IF(MEDIAN($L$148:$L$157) = 0, "", MEDIAN($L$148:$L$157))), "", (IF(MEDIAN($L$148:$L$157) = 0, "", MEDIAN($L$148:$L$157))))</f>
        <v>6.0791159109999997</v>
      </c>
      <c r="M147">
        <f ca="1">IF(ISERROR(IF(MEDIAN($M$148:$M$157) = 0, "", MEDIAN($M$148:$M$157))), "", (IF(MEDIAN($M$148:$M$157) = 0, "", MEDIAN($M$148:$M$157))))</f>
        <v>6.502001871</v>
      </c>
      <c r="N147">
        <f ca="1">IF(ISERROR(IF(MEDIAN($N$148:$N$157) = 0, "", MEDIAN($N$148:$N$157))), "", (IF(MEDIAN($N$148:$N$157) = 0, "", MEDIAN($N$148:$N$157))))</f>
        <v>6.075565117</v>
      </c>
      <c r="O147">
        <f ca="1">IF(ISERROR(IF(MEDIAN($O$148:$O$157) = 0, "", MEDIAN($O$148:$O$157))), "", (IF(MEDIAN($O$148:$O$157) = 0, "", MEDIAN($O$148:$O$157))))</f>
        <v>6.2869875175000001</v>
      </c>
      <c r="P147">
        <f ca="1">IF(ISERROR(IF(MEDIAN($P$148:$P$157) = 0, "", MEDIAN($P$148:$P$157))), "", (IF(MEDIAN($P$148:$P$157) = 0, "", MEDIAN($P$148:$P$157))))</f>
        <v>5.821117986</v>
      </c>
      <c r="Q147">
        <f ca="1">IF(ISERROR(IF(MEDIAN($Q$148:$Q$157) = 0, "", MEDIAN($Q$148:$Q$157))), "", (IF(MEDIAN($Q$148:$Q$157) = 0, "", MEDIAN($Q$148:$Q$157))))</f>
        <v>6.2167402534999994</v>
      </c>
      <c r="R147">
        <f ca="1">IF(ISERROR(IF(MEDIAN($R$148:$R$157) = 0, "", MEDIAN($R$148:$R$157))), "", (IF(MEDIAN($R$148:$R$157) = 0, "", MEDIAN($R$148:$R$157))))</f>
        <v>6.1731242115000002</v>
      </c>
      <c r="S147">
        <f ca="1">IF(ISERROR(IF(MEDIAN($S$148:$S$157) = 0, "", MEDIAN($S$148:$S$157))), "", (IF(MEDIAN($S$148:$S$157) = 0, "", MEDIAN($S$148:$S$157))))</f>
        <v>6.1688306510000004</v>
      </c>
      <c r="T147">
        <f ca="1">IF(ISERROR(IF(MEDIAN($T$148:$T$157) = 0, "", MEDIAN($T$148:$T$157))), "", (IF(MEDIAN($T$148:$T$157) = 0, "", MEDIAN($T$148:$T$157))))</f>
        <v>5.8587001579999995</v>
      </c>
      <c r="U147">
        <f ca="1">IF(ISERROR(IF(MEDIAN($U$148:$U$157) = 0, "", MEDIAN($U$148:$U$157))), "", (IF(MEDIAN($U$148:$U$157) = 0, "", MEDIAN($U$148:$U$157))))</f>
        <v>6.2087963305000002</v>
      </c>
      <c r="V147">
        <f ca="1">IF(ISERROR(IF(MEDIAN($V$148:$V$157) = 0, "", MEDIAN($V$148:$V$157))), "", (IF(MEDIAN($V$148:$V$157) = 0, "", MEDIAN($V$148:$V$157))))</f>
        <v>6.0517428495000001</v>
      </c>
      <c r="W147">
        <f ca="1">IF(ISERROR(IF(MEDIAN($W$148:$W$157) = 0, "", MEDIAN($W$148:$W$157))), "", (IF(MEDIAN($W$148:$W$157) = 0, "", MEDIAN($W$148:$W$157))))</f>
        <v>5.9296298049999994</v>
      </c>
      <c r="X147">
        <f ca="1">IF(ISERROR(IF(MEDIAN($X$148:$X$157) = 0, "", MEDIAN($X$148:$X$157))), "", (IF(MEDIAN($X$148:$X$157) = 0, "", MEDIAN($X$148:$X$157))))</f>
        <v>6.15979002</v>
      </c>
      <c r="Y147">
        <f ca="1">IF(ISERROR(IF(MEDIAN($Y$148:$Y$157) = 0, "", MEDIAN($Y$148:$Y$157))), "", (IF(MEDIAN($Y$148:$Y$157) = 0, "", MEDIAN($Y$148:$Y$157))))</f>
        <v>5.8221720550000002</v>
      </c>
      <c r="Z147">
        <f ca="1">IF(ISERROR(IF(MEDIAN($Z$148:$Z$157) = 0, "", MEDIAN($Z$148:$Z$157))), "", (IF(MEDIAN($Z$148:$Z$157) = 0, "", MEDIAN($Z$148:$Z$157))))</f>
        <v>5.9771084005000006</v>
      </c>
      <c r="AA147">
        <f ca="1">IF(ISERROR(IF(MEDIAN($AA$148:$AA$157) = 0, "", MEDIAN($AA$148:$AA$157))), "", (IF(MEDIAN($AA$148:$AA$157) = 0, "", MEDIAN($AA$148:$AA$157))))</f>
        <v>6.1395268749999996</v>
      </c>
      <c r="AB147">
        <f ca="1">IF(ISERROR(IF(MEDIAN($AB$148:$AB$157) = 0, "", MEDIAN($AB$148:$AB$157))), "", (IF(MEDIAN($AB$148:$AB$157) = 0, "", MEDIAN($AB$148:$AB$157))))</f>
        <v>6.0908771369999997</v>
      </c>
      <c r="AC147">
        <f ca="1">IF(ISERROR(IF(MEDIAN($AC$148:$AC$157) = 0, "", MEDIAN($AC$148:$AC$157))), "", (IF(MEDIAN($AC$148:$AC$157) = 0, "", MEDIAN($AC$148:$AC$157))))</f>
        <v>5.7966380170000003</v>
      </c>
      <c r="AD147">
        <f ca="1">IF(ISERROR(IF(MEDIAN($AD$148:$AD$157) = 0, "", MEDIAN($AD$148:$AD$157))), "", (IF(MEDIAN($AD$148:$AD$157) = 0, "", MEDIAN($AD$148:$AD$157))))</f>
        <v>5.7328189739999997</v>
      </c>
      <c r="AE147">
        <f ca="1">IF(ISERROR(IF(MEDIAN($AE$148:$AE$157) = 0, "", MEDIAN($AE$148:$AE$157))), "", (IF(MEDIAN($AE$148:$AE$157) = 0, "", MEDIAN($AE$148:$AE$157))))</f>
        <v>6.6515470729999997</v>
      </c>
      <c r="AF147">
        <f ca="1">IF(ISERROR(IF(MEDIAN($AF$148:$AF$157) = 0, "", MEDIAN($AF$148:$AF$157))), "", (IF(MEDIAN($AF$148:$AF$157) = 0, "", MEDIAN($AF$148:$AF$157))))</f>
        <v>6.4118961864999999</v>
      </c>
      <c r="AG147">
        <f ca="1">IF(ISERROR(IF(MEDIAN($AG$148:$AG$157) = 0, "", MEDIAN($AG$148:$AG$157))), "", (IF(MEDIAN($AG$148:$AG$157) = 0, "", MEDIAN($AG$148:$AG$157))))</f>
        <v>6.0210180300000005</v>
      </c>
      <c r="AH147">
        <f ca="1">IF(ISERROR(IF(MEDIAN($AH$148:$AH$157) = 0, "", MEDIAN($AH$148:$AH$157))), "", (IF(MEDIAN($AH$148:$AH$157) = 0, "", MEDIAN($AH$148:$AH$157))))</f>
        <v>6.3064193999999993</v>
      </c>
      <c r="AI147">
        <f ca="1">IF(ISERROR(IF(MEDIAN($AI$148:$AI$157) = 0, "", MEDIAN($AI$148:$AI$157))), "", (IF(MEDIAN($AI$148:$AI$157) = 0, "", MEDIAN($AI$148:$AI$157))))</f>
        <v>5.8647803715000002</v>
      </c>
      <c r="AJ147">
        <f ca="1">IF(ISERROR(IF(MEDIAN($AJ$148:$AJ$157) = 0, "", MEDIAN($AJ$148:$AJ$157))), "", (IF(MEDIAN($AJ$148:$AJ$157) = 0, "", MEDIAN($AJ$148:$AJ$157))))</f>
        <v>5.9710749045</v>
      </c>
      <c r="AK147">
        <f ca="1">IF(ISERROR(IF(MEDIAN($AK$148:$AK$157) = 0, "", MEDIAN($AK$148:$AK$157))), "", (IF(MEDIAN($AK$148:$AK$157) = 0, "", MEDIAN($AK$148:$AK$157))))</f>
        <v>6.2663998415000002</v>
      </c>
      <c r="AL147">
        <f ca="1">IF(ISERROR(IF(MEDIAN($AL$148:$AL$157) = 0, "", MEDIAN($AL$148:$AL$157))), "", (IF(MEDIAN($AL$148:$AL$157) = 0, "", MEDIAN($AL$148:$AL$157))))</f>
        <v>6.4118727189999998</v>
      </c>
      <c r="AM147">
        <f ca="1">IF(ISERROR(IF(MEDIAN($AM$148:$AM$157) = 0, "", MEDIAN($AM$148:$AM$157))), "", (IF(MEDIAN($AM$148:$AM$157) = 0, "", MEDIAN($AM$148:$AM$157))))</f>
        <v>6.4220801240000007</v>
      </c>
      <c r="AN147">
        <f ca="1">IF(ISERROR(IF(MEDIAN($AN$148:$AN$157) = 0, "", MEDIAN($AN$148:$AN$157))), "", (IF(MEDIAN($AN$148:$AN$157) = 0, "", MEDIAN($AN$148:$AN$157))))</f>
        <v>6.7199359750000003</v>
      </c>
      <c r="AO147">
        <f ca="1">IF(ISERROR(IF(MEDIAN($AO$148:$AO$157) = 0, "", MEDIAN($AO$148:$AO$157))), "", (IF(MEDIAN($AO$148:$AO$157) = 0, "", MEDIAN($AO$148:$AO$157))))</f>
        <v>6.9513087754999994</v>
      </c>
      <c r="AP147">
        <f ca="1">IF(ISERROR(IF(MEDIAN($AP$148:$AP$157) = 0, "", MEDIAN($AP$148:$AP$157))), "", (IF(MEDIAN($AP$148:$AP$157) = 0, "", MEDIAN($AP$148:$AP$157))))</f>
        <v>6.9983869009999999</v>
      </c>
      <c r="AQ147">
        <f ca="1">IF(ISERROR(IF(MEDIAN($AQ$148:$AQ$157) = 0, "", MEDIAN($AQ$148:$AQ$157))), "", (IF(MEDIAN($AQ$148:$AQ$157) = 0, "", MEDIAN($AQ$148:$AQ$157))))</f>
        <v>7.1217506940000002</v>
      </c>
      <c r="AR147">
        <f ca="1">IF(ISERROR(IF(MEDIAN($AR$148:$AR$157) = 0, "", MEDIAN($AR$148:$AR$157))), "", (IF(MEDIAN($AR$148:$AR$157) = 0, "", MEDIAN($AR$148:$AR$157))))</f>
        <v>6.473797298</v>
      </c>
      <c r="AS147">
        <f ca="1">IF(ISERROR(IF(MEDIAN($AS$148:$AS$157) = 0, "", MEDIAN($AS$148:$AS$157))), "", (IF(MEDIAN($AS$148:$AS$157) = 0, "", MEDIAN($AS$148:$AS$157))))</f>
        <v>7.0368304935000001</v>
      </c>
      <c r="AT147">
        <f ca="1">IF(ISERROR(IF(MEDIAN($AT$148:$AT$157) = 0, "", MEDIAN($AT$148:$AT$157))), "", (IF(MEDIAN($AT$148:$AT$157) = 0, "", MEDIAN($AT$148:$AT$157))))</f>
        <v>7.0775871549999998</v>
      </c>
      <c r="AU147">
        <f ca="1">IF(ISERROR(IF(MEDIAN($AU$148:$AU$157) = 0, "", MEDIAN($AU$148:$AU$157))), "", (IF(MEDIAN($AU$148:$AU$157) = 0, "", MEDIAN($AU$148:$AU$157))))</f>
        <v>6.9649659795000005</v>
      </c>
      <c r="AV147">
        <f ca="1">IF(ISERROR(IF(MEDIAN($AV$148:$AV$157) = 0, "", MEDIAN($AV$148:$AV$157))), "", (IF(MEDIAN($AV$148:$AV$157) = 0, "", MEDIAN($AV$148:$AV$157))))</f>
        <v>6.9072315040000003</v>
      </c>
      <c r="AW147">
        <f ca="1">IF(ISERROR(IF(MEDIAN($AW$148:$AW$157) = 0, "", MEDIAN($AW$148:$AW$157))), "", (IF(MEDIAN($AW$148:$AW$157) = 0, "", MEDIAN($AW$148:$AW$157))))</f>
        <v>6.7218573859999999</v>
      </c>
      <c r="AX147">
        <f ca="1">IF(ISERROR(IF(MEDIAN($AX$148:$AX$157) = 0, "", MEDIAN($AX$148:$AX$157))), "", (IF(MEDIAN($AX$148:$AX$157) = 0, "", MEDIAN($AX$148:$AX$157))))</f>
        <v>6.9234261139999997</v>
      </c>
      <c r="AY147">
        <f ca="1">IF(ISERROR(IF(MEDIAN($AY$148:$AY$157) = 0, "", MEDIAN($AY$148:$AY$157))), "", (IF(MEDIAN($AY$148:$AY$157) = 0, "", MEDIAN($AY$148:$AY$157))))</f>
        <v>7.690407671</v>
      </c>
      <c r="AZ147">
        <f ca="1">IF(ISERROR(IF(MEDIAN($AZ$148:$AZ$157) = 0, "", MEDIAN($AZ$148:$AZ$157))), "", (IF(MEDIAN($AZ$148:$AZ$157) = 0, "", MEDIAN($AZ$148:$AZ$157))))</f>
        <v>7.0182806729999996</v>
      </c>
      <c r="BA147">
        <f ca="1">IF(ISERROR(IF(MEDIAN($BA$148:$BA$157) = 0, "", MEDIAN($BA$148:$BA$157))), "", (IF(MEDIAN($BA$148:$BA$157) = 0, "", MEDIAN($BA$148:$BA$157))))</f>
        <v>6.9773131164999995</v>
      </c>
      <c r="BB147">
        <f ca="1">IF(ISERROR(IF(MEDIAN($BB$148:$BB$157) = 0, "", MEDIAN($BB$148:$BB$157))), "", (IF(MEDIAN($BB$148:$BB$157) = 0, "", MEDIAN($BB$148:$BB$157))))</f>
        <v>6.7594286614999994</v>
      </c>
      <c r="BC147">
        <f ca="1">IF(ISERROR(IF(MEDIAN($BC$148:$BC$157) = 0, "", MEDIAN($BC$148:$BC$157))), "", (IF(MEDIAN($BC$148:$BC$157) = 0, "", MEDIAN($BC$148:$BC$157))))</f>
        <v>8.8743376749999996</v>
      </c>
      <c r="BD147">
        <f ca="1">IF(ISERROR(IF(MEDIAN($BD$148:$BD$157) = 0, "", MEDIAN($BD$148:$BD$157))), "", (IF(MEDIAN($BD$148:$BD$157) = 0, "", MEDIAN($BD$148:$BD$157))))</f>
        <v>7.403627738</v>
      </c>
      <c r="BE147">
        <f ca="1">IF(ISERROR(IF(MEDIAN($BE$148:$BE$157) = 0, "", MEDIAN($BE$148:$BE$157))), "", (IF(MEDIAN($BE$148:$BE$157) = 0, "", MEDIAN($BE$148:$BE$157))))</f>
        <v>7.5986709440000002</v>
      </c>
      <c r="BF147">
        <f ca="1">IF(ISERROR(IF(MEDIAN($BF$148:$BF$157) = 0, "", MEDIAN($BF$148:$BF$157))), "", (IF(MEDIAN($BF$148:$BF$157) = 0, "", MEDIAN($BF$148:$BF$157))))</f>
        <v>7.9698959470000004</v>
      </c>
      <c r="BG147">
        <f ca="1">IF(ISERROR(IF(MEDIAN($BG$148:$BG$157) = 0, "", MEDIAN($BG$148:$BG$157))), "", (IF(MEDIAN($BG$148:$BG$157) = 0, "", MEDIAN($BG$148:$BG$157))))</f>
        <v>8.9006766934999995</v>
      </c>
      <c r="BH147">
        <f ca="1">IF(ISERROR(IF(MEDIAN($BH$148:$BH$157) = 0, "", MEDIAN($BH$148:$BH$157))), "", (IF(MEDIAN($BH$148:$BH$157) = 0, "", MEDIAN($BH$148:$BH$157))))</f>
        <v>8.2840787979999995</v>
      </c>
      <c r="BI147">
        <f ca="1">IF(ISERROR(IF(MEDIAN($BI$148:$BI$157) = 0, "", MEDIAN($BI$148:$BI$157))), "", (IF(MEDIAN($BI$148:$BI$157) = 0, "", MEDIAN($BI$148:$BI$157))))</f>
        <v>8.834535644999999</v>
      </c>
      <c r="BJ147">
        <f ca="1">IF(ISERROR(IF(MEDIAN($BJ$148:$BJ$157) = 0, "", MEDIAN($BJ$148:$BJ$157))), "", (IF(MEDIAN($BJ$148:$BJ$157) = 0, "", MEDIAN($BJ$148:$BJ$157))))</f>
        <v>7.8519223910000004</v>
      </c>
      <c r="BK147" t="str">
        <f ca="1">IF(ISERROR(IF(MEDIAN($BK$148:$BK$157) = 0, "", MEDIAN($BK$148:$BK$157))), "", (IF(MEDIAN($BK$148:$BK$157) = 0, "", MEDIAN($BK$148:$BK$157))))</f>
        <v/>
      </c>
      <c r="BL147">
        <f ca="1">IF(ISERROR(IF(MEDIAN($BL$148:$BL$157) = 0, "", MEDIAN($BL$148:$BL$157))), "", (IF(MEDIAN($BL$148:$BL$157) = 0, "", MEDIAN($BL$148:$BL$157))))</f>
        <v>9.3406588330000009</v>
      </c>
      <c r="BM147">
        <f ca="1">IF(ISERROR(IF(MEDIAN($BM$148:$BM$157) = 0, "", MEDIAN($BM$148:$BM$157))), "", (IF(MEDIAN($BM$148:$BM$157) = 0, "", MEDIAN($BM$148:$BM$157))))</f>
        <v>8.5905581590000004</v>
      </c>
      <c r="BN147" t="str">
        <f>""</f>
        <v/>
      </c>
      <c r="BO147">
        <f>6.374036673</f>
        <v>6.374036673</v>
      </c>
      <c r="BP147">
        <f>6.343493238</f>
        <v>6.3434932379999998</v>
      </c>
      <c r="BQ147">
        <f>6.376048081</f>
        <v>6.3760480810000004</v>
      </c>
      <c r="BR147">
        <f>6.324540968</f>
        <v>6.324540968</v>
      </c>
      <c r="BS147">
        <f>6.328804669</f>
        <v>6.3288046690000002</v>
      </c>
      <c r="BT147">
        <f>6.079115911</f>
        <v>6.0791159109999997</v>
      </c>
      <c r="BU147">
        <f>6.502001871</f>
        <v>6.502001871</v>
      </c>
      <c r="BV147">
        <f>6.075565117</f>
        <v>6.075565117</v>
      </c>
      <c r="BW147">
        <f>6.286987518</f>
        <v>6.2869875180000001</v>
      </c>
      <c r="BX147">
        <f>5.821117986</f>
        <v>5.821117986</v>
      </c>
      <c r="BY147">
        <f>6.216740253</f>
        <v>6.2167402530000002</v>
      </c>
      <c r="BZ147">
        <f>6.173124212</f>
        <v>6.1731242120000003</v>
      </c>
      <c r="CA147">
        <f>6.168830651</f>
        <v>6.1688306510000004</v>
      </c>
      <c r="CB147">
        <f>5.858700158</f>
        <v>5.8587001580000004</v>
      </c>
      <c r="CC147">
        <f>6.20879633</f>
        <v>6.2087963300000002</v>
      </c>
      <c r="CD147">
        <f>6.051742849</f>
        <v>6.051742849</v>
      </c>
      <c r="CE147">
        <f>5.929629805</f>
        <v>5.9296298050000003</v>
      </c>
      <c r="CF147">
        <f>6.15979002</f>
        <v>6.15979002</v>
      </c>
      <c r="CG147">
        <f>5.822172055</f>
        <v>5.8221720550000002</v>
      </c>
      <c r="CH147">
        <f>5.977108401</f>
        <v>5.9771084009999997</v>
      </c>
      <c r="CI147">
        <f>6.139526875</f>
        <v>6.1395268749999996</v>
      </c>
      <c r="CJ147">
        <f>6.090877137</f>
        <v>6.0908771369999997</v>
      </c>
      <c r="CK147">
        <f>5.796638017</f>
        <v>5.7966380170000003</v>
      </c>
      <c r="CL147">
        <f>5.732818974</f>
        <v>5.7328189739999997</v>
      </c>
      <c r="CM147">
        <f>6.651547073</f>
        <v>6.6515470729999997</v>
      </c>
      <c r="CN147">
        <f>6.411896187</f>
        <v>6.411896187</v>
      </c>
      <c r="CO147">
        <f>6.02101803</f>
        <v>6.0210180299999996</v>
      </c>
      <c r="CP147">
        <f>6.3064194</f>
        <v>6.3064194000000002</v>
      </c>
      <c r="CQ147">
        <f>5.864780371</f>
        <v>5.8647803710000002</v>
      </c>
      <c r="CR147">
        <f>5.971074904</f>
        <v>5.971074904</v>
      </c>
      <c r="CS147">
        <f>6.266399842</f>
        <v>6.2663998420000002</v>
      </c>
      <c r="CT147">
        <f>6.411872719</f>
        <v>6.4118727189999998</v>
      </c>
      <c r="CU147">
        <f>6.422080124</f>
        <v>6.4220801239999998</v>
      </c>
      <c r="CV147">
        <f>6.719935975</f>
        <v>6.7199359750000003</v>
      </c>
      <c r="CW147">
        <f>6.951308776</f>
        <v>6.9513087760000003</v>
      </c>
      <c r="CX147">
        <f>6.998386901</f>
        <v>6.9983869009999999</v>
      </c>
      <c r="CY147">
        <f>7.121750694</f>
        <v>7.1217506940000002</v>
      </c>
      <c r="CZ147">
        <f>6.473797298</f>
        <v>6.473797298</v>
      </c>
      <c r="DA147">
        <f>7.036830494</f>
        <v>7.0368304940000002</v>
      </c>
      <c r="DB147">
        <f>7.077587155</f>
        <v>7.0775871549999998</v>
      </c>
      <c r="DC147">
        <f>6.964965979</f>
        <v>6.9649659789999996</v>
      </c>
      <c r="DD147">
        <f>6.907231504</f>
        <v>6.9072315040000003</v>
      </c>
      <c r="DE147">
        <f>6.721857386</f>
        <v>6.7218573859999999</v>
      </c>
      <c r="DF147">
        <f>6.923426114</f>
        <v>6.9234261139999997</v>
      </c>
      <c r="DG147">
        <f>7.690407671</f>
        <v>7.690407671</v>
      </c>
      <c r="DH147">
        <f>7.018280673</f>
        <v>7.0182806729999996</v>
      </c>
      <c r="DI147">
        <f>6.977313117</f>
        <v>6.9773131169999996</v>
      </c>
      <c r="DJ147">
        <f>6.759428662</f>
        <v>6.7594286620000004</v>
      </c>
      <c r="DK147">
        <f>8.874337675</f>
        <v>8.8743376749999996</v>
      </c>
      <c r="DL147">
        <f>7.403627738</f>
        <v>7.403627738</v>
      </c>
      <c r="DM147">
        <f>7.598670944</f>
        <v>7.5986709440000002</v>
      </c>
      <c r="DN147">
        <f>7.969895947</f>
        <v>7.9698959470000004</v>
      </c>
      <c r="DO147">
        <f>8.900676694</f>
        <v>8.9006766939999995</v>
      </c>
      <c r="DP147">
        <f>8.284078798</f>
        <v>8.2840787979999995</v>
      </c>
      <c r="DQ147">
        <f>8.834535645</f>
        <v>8.8345356450000008</v>
      </c>
      <c r="DR147">
        <f>7.851922391</f>
        <v>7.8519223909999996</v>
      </c>
      <c r="DS147" t="str">
        <f>""</f>
        <v/>
      </c>
      <c r="DT147">
        <f>9.340658833</f>
        <v>9.3406588330000009</v>
      </c>
      <c r="DU147">
        <f>8.590558159</f>
        <v>8.5905581590000004</v>
      </c>
    </row>
    <row r="148" spans="1:125">
      <c r="A148" t="str">
        <f>"    Boston Properties Inc"</f>
        <v xml:space="preserve">    Boston Properties Inc</v>
      </c>
      <c r="B148" t="str">
        <f>"BXP US Equity"</f>
        <v>BXP US Equity</v>
      </c>
      <c r="C148" t="str">
        <f t="shared" ref="C148:C157" si="39">"RX902"</f>
        <v>RX902</v>
      </c>
      <c r="D148" t="str">
        <f t="shared" ref="D148:D157" si="40">"ANN_NOI_GR_AST_NET_RTL_DEV_CTD_%"</f>
        <v>ANN_NOI_GR_AST_NET_RTL_DEV_CTD_%</v>
      </c>
      <c r="E148" t="str">
        <f t="shared" ref="E148:E157" si="41">"动态"</f>
        <v>动态</v>
      </c>
      <c r="F148" t="str">
        <f ca="1">IF(AND(ISNUMBER($F$456),$B$294=1),$F$456,HLOOKUP(INDIRECT(ADDRESS(2,COLUMN())),OFFSET($BN$2,0,0,ROW()-1,60),ROW()-1,FALSE))</f>
        <v/>
      </c>
      <c r="G148">
        <f ca="1">IF(AND(ISNUMBER($G$456),$B$294=1),$G$456,HLOOKUP(INDIRECT(ADDRESS(2,COLUMN())),OFFSET($BN$2,0,0,ROW()-1,60),ROW()-1,FALSE))</f>
        <v>6.7316958229999999</v>
      </c>
      <c r="H148">
        <f ca="1">IF(AND(ISNUMBER($H$456),$B$294=1),$H$456,HLOOKUP(INDIRECT(ADDRESS(2,COLUMN())),OFFSET($BN$2,0,0,ROW()-1,60),ROW()-1,FALSE))</f>
        <v>6.7432887450000001</v>
      </c>
      <c r="I148">
        <f ca="1">IF(AND(ISNUMBER($I$456),$B$294=1),$I$456,HLOOKUP(INDIRECT(ADDRESS(2,COLUMN())),OFFSET($BN$2,0,0,ROW()-1,60),ROW()-1,FALSE))</f>
        <v>6.9427393559999997</v>
      </c>
      <c r="J148">
        <f ca="1">IF(AND(ISNUMBER($J$456),$B$294=1),$J$456,HLOOKUP(INDIRECT(ADDRESS(2,COLUMN())),OFFSET($BN$2,0,0,ROW()-1,60),ROW()-1,FALSE))</f>
        <v>6.7107225909999997</v>
      </c>
      <c r="K148">
        <f ca="1">IF(AND(ISNUMBER($K$456),$B$294=1),$K$456,HLOOKUP(INDIRECT(ADDRESS(2,COLUMN())),OFFSET($BN$2,0,0,ROW()-1,60),ROW()-1,FALSE))</f>
        <v>6.8394051490000001</v>
      </c>
      <c r="L148">
        <f ca="1">IF(AND(ISNUMBER($L$456),$B$294=1),$L$456,HLOOKUP(INDIRECT(ADDRESS(2,COLUMN())),OFFSET($BN$2,0,0,ROW()-1,60),ROW()-1,FALSE))</f>
        <v>6.6747318260000004</v>
      </c>
      <c r="M148">
        <f ca="1">IF(AND(ISNUMBER($M$456),$B$294=1),$M$456,HLOOKUP(INDIRECT(ADDRESS(2,COLUMN())),OFFSET($BN$2,0,0,ROW()-1,60),ROW()-1,FALSE))</f>
        <v>6.8129522319999998</v>
      </c>
      <c r="N148">
        <f ca="1">IF(AND(ISNUMBER($N$456),$B$294=1),$N$456,HLOOKUP(INDIRECT(ADDRESS(2,COLUMN())),OFFSET($BN$2,0,0,ROW()-1,60),ROW()-1,FALSE))</f>
        <v>7.4742893620000004</v>
      </c>
      <c r="O148">
        <f ca="1">IF(AND(ISNUMBER($O$456),$B$294=1),$O$456,HLOOKUP(INDIRECT(ADDRESS(2,COLUMN())),OFFSET($BN$2,0,0,ROW()-1,60),ROW()-1,FALSE))</f>
        <v>7.0611176000000002</v>
      </c>
      <c r="P148">
        <f ca="1">IF(AND(ISNUMBER($P$456),$B$294=1),$P$456,HLOOKUP(INDIRECT(ADDRESS(2,COLUMN())),OFFSET($BN$2,0,0,ROW()-1,60),ROW()-1,FALSE))</f>
        <v>7.1339739470000003</v>
      </c>
      <c r="Q148">
        <f ca="1">IF(AND(ISNUMBER($Q$456),$B$294=1),$Q$456,HLOOKUP(INDIRECT(ADDRESS(2,COLUMN())),OFFSET($BN$2,0,0,ROW()-1,60),ROW()-1,FALSE))</f>
        <v>6.8287906820000002</v>
      </c>
      <c r="R148">
        <f ca="1">IF(AND(ISNUMBER($R$456),$B$294=1),$R$456,HLOOKUP(INDIRECT(ADDRESS(2,COLUMN())),OFFSET($BN$2,0,0,ROW()-1,60),ROW()-1,FALSE))</f>
        <v>6.733081211</v>
      </c>
      <c r="S148">
        <f ca="1">IF(AND(ISNUMBER($S$456),$B$294=1),$S$456,HLOOKUP(INDIRECT(ADDRESS(2,COLUMN())),OFFSET($BN$2,0,0,ROW()-1,60),ROW()-1,FALSE))</f>
        <v>6.8141801299999996</v>
      </c>
      <c r="T148">
        <f ca="1">IF(AND(ISNUMBER($T$456),$B$294=1),$T$456,HLOOKUP(INDIRECT(ADDRESS(2,COLUMN())),OFFSET($BN$2,0,0,ROW()-1,60),ROW()-1,FALSE))</f>
        <v>7.2069240060000004</v>
      </c>
      <c r="U148">
        <f ca="1">IF(AND(ISNUMBER($U$456),$B$294=1),$U$456,HLOOKUP(INDIRECT(ADDRESS(2,COLUMN())),OFFSET($BN$2,0,0,ROW()-1,60),ROW()-1,FALSE))</f>
        <v>6.7062199639999998</v>
      </c>
      <c r="V148">
        <f ca="1">IF(AND(ISNUMBER($V$456),$B$294=1),$V$456,HLOOKUP(INDIRECT(ADDRESS(2,COLUMN())),OFFSET($BN$2,0,0,ROW()-1,60),ROW()-1,FALSE))</f>
        <v>6.4073477160000003</v>
      </c>
      <c r="W148">
        <f ca="1">IF(AND(ISNUMBER($W$456),$B$294=1),$W$456,HLOOKUP(INDIRECT(ADDRESS(2,COLUMN())),OFFSET($BN$2,0,0,ROW()-1,60),ROW()-1,FALSE))</f>
        <v>6.4009022260000004</v>
      </c>
      <c r="X148">
        <f ca="1">IF(AND(ISNUMBER($X$456),$B$294=1),$X$456,HLOOKUP(INDIRECT(ADDRESS(2,COLUMN())),OFFSET($BN$2,0,0,ROW()-1,60),ROW()-1,FALSE))</f>
        <v>6.5733616069999998</v>
      </c>
      <c r="Y148">
        <f ca="1">IF(AND(ISNUMBER($Y$456),$B$294=1),$Y$456,HLOOKUP(INDIRECT(ADDRESS(2,COLUMN())),OFFSET($BN$2,0,0,ROW()-1,60),ROW()-1,FALSE))</f>
        <v>5.6782703510000001</v>
      </c>
      <c r="Z148">
        <f ca="1">IF(AND(ISNUMBER($Z$456),$B$294=1),$Z$456,HLOOKUP(INDIRECT(ADDRESS(2,COLUMN())),OFFSET($BN$2,0,0,ROW()-1,60),ROW()-1,FALSE))</f>
        <v>6.3200756670000002</v>
      </c>
      <c r="AA148">
        <f ca="1">IF(AND(ISNUMBER($AA$456),$B$294=1),$AA$456,HLOOKUP(INDIRECT(ADDRESS(2,COLUMN())),OFFSET($BN$2,0,0,ROW()-1,60),ROW()-1,FALSE))</f>
        <v>6.510158111</v>
      </c>
      <c r="AB148">
        <f ca="1">IF(AND(ISNUMBER($AB$456),$B$294=1),$AB$456,HLOOKUP(INDIRECT(ADDRESS(2,COLUMN())),OFFSET($BN$2,0,0,ROW()-1,60),ROW()-1,FALSE))</f>
        <v>6.384281219</v>
      </c>
      <c r="AC148">
        <f ca="1">IF(AND(ISNUMBER($AC$456),$B$294=1),$AC$456,HLOOKUP(INDIRECT(ADDRESS(2,COLUMN())),OFFSET($BN$2,0,0,ROW()-1,60),ROW()-1,FALSE))</f>
        <v>6.5108956239999998</v>
      </c>
      <c r="AD148">
        <f ca="1">IF(AND(ISNUMBER($AD$456),$B$294=1),$AD$456,HLOOKUP(INDIRECT(ADDRESS(2,COLUMN())),OFFSET($BN$2,0,0,ROW()-1,60),ROW()-1,FALSE))</f>
        <v>6.4623451080000001</v>
      </c>
      <c r="AE148">
        <f ca="1">IF(AND(ISNUMBER($AE$456),$B$294=1),$AE$456,HLOOKUP(INDIRECT(ADDRESS(2,COLUMN())),OFFSET($BN$2,0,0,ROW()-1,60),ROW()-1,FALSE))</f>
        <v>6.4439980090000004</v>
      </c>
      <c r="AF148">
        <f ca="1">IF(AND(ISNUMBER($AF$456),$B$294=1),$AF$456,HLOOKUP(INDIRECT(ADDRESS(2,COLUMN())),OFFSET($BN$2,0,0,ROW()-1,60),ROW()-1,FALSE))</f>
        <v>6.8132264390000001</v>
      </c>
      <c r="AG148">
        <f ca="1">IF(AND(ISNUMBER($AG$456),$B$294=1),$AG$456,HLOOKUP(INDIRECT(ADDRESS(2,COLUMN())),OFFSET($BN$2,0,0,ROW()-1,60),ROW()-1,FALSE))</f>
        <v>6.7561309280000001</v>
      </c>
      <c r="AH148">
        <f ca="1">IF(AND(ISNUMBER($AH$456),$B$294=1),$AH$456,HLOOKUP(INDIRECT(ADDRESS(2,COLUMN())),OFFSET($BN$2,0,0,ROW()-1,60),ROW()-1,FALSE))</f>
        <v>6.5099876889999999</v>
      </c>
      <c r="AI148">
        <f ca="1">IF(AND(ISNUMBER($AI$456),$B$294=1),$AI$456,HLOOKUP(INDIRECT(ADDRESS(2,COLUMN())),OFFSET($BN$2,0,0,ROW()-1,60),ROW()-1,FALSE))</f>
        <v>6.4453980299999998</v>
      </c>
      <c r="AJ148">
        <f ca="1">IF(AND(ISNUMBER($AJ$456),$B$294=1),$AJ$456,HLOOKUP(INDIRECT(ADDRESS(2,COLUMN())),OFFSET($BN$2,0,0,ROW()-1,60),ROW()-1,FALSE))</f>
        <v>6.4277890920000003</v>
      </c>
      <c r="AK148">
        <f ca="1">IF(AND(ISNUMBER($AK$456),$B$294=1),$AK$456,HLOOKUP(INDIRECT(ADDRESS(2,COLUMN())),OFFSET($BN$2,0,0,ROW()-1,60),ROW()-1,FALSE))</f>
        <v>6.565977771</v>
      </c>
      <c r="AL148">
        <f ca="1">IF(AND(ISNUMBER($AL$456),$B$294=1),$AL$456,HLOOKUP(INDIRECT(ADDRESS(2,COLUMN())),OFFSET($BN$2,0,0,ROW()-1,60),ROW()-1,FALSE))</f>
        <v>6.6563675409999998</v>
      </c>
      <c r="AM148">
        <f ca="1">IF(AND(ISNUMBER($AM$456),$B$294=1),$AM$456,HLOOKUP(INDIRECT(ADDRESS(2,COLUMN())),OFFSET($BN$2,0,0,ROW()-1,60),ROW()-1,FALSE))</f>
        <v>6.5620849960000003</v>
      </c>
      <c r="AN148">
        <f ca="1">IF(AND(ISNUMBER($AN$456),$B$294=1),$AN$456,HLOOKUP(INDIRECT(ADDRESS(2,COLUMN())),OFFSET($BN$2,0,0,ROW()-1,60),ROW()-1,FALSE))</f>
        <v>6.812428701</v>
      </c>
      <c r="AO148">
        <f ca="1">IF(AND(ISNUMBER($AO$456),$B$294=1),$AO$456,HLOOKUP(INDIRECT(ADDRESS(2,COLUMN())),OFFSET($BN$2,0,0,ROW()-1,60),ROW()-1,FALSE))</f>
        <v>7.4292798319999998</v>
      </c>
      <c r="AP148">
        <f ca="1">IF(AND(ISNUMBER($AP$456),$B$294=1),$AP$456,HLOOKUP(INDIRECT(ADDRESS(2,COLUMN())),OFFSET($BN$2,0,0,ROW()-1,60),ROW()-1,FALSE))</f>
        <v>7.542012143</v>
      </c>
      <c r="AQ148">
        <f ca="1">IF(AND(ISNUMBER($AQ$456),$B$294=1),$AQ$456,HLOOKUP(INDIRECT(ADDRESS(2,COLUMN())),OFFSET($BN$2,0,0,ROW()-1,60),ROW()-1,FALSE))</f>
        <v>7.8217529969999999</v>
      </c>
      <c r="AR148">
        <f ca="1">IF(AND(ISNUMBER($AR$456),$B$294=1),$AR$456,HLOOKUP(INDIRECT(ADDRESS(2,COLUMN())),OFFSET($BN$2,0,0,ROW()-1,60),ROW()-1,FALSE))</f>
        <v>6.778209103</v>
      </c>
      <c r="AS148">
        <f ca="1">IF(AND(ISNUMBER($AS$456),$B$294=1),$AS$456,HLOOKUP(INDIRECT(ADDRESS(2,COLUMN())),OFFSET($BN$2,0,0,ROW()-1,60),ROW()-1,FALSE))</f>
        <v>7.7238603509999999</v>
      </c>
      <c r="AT148">
        <f ca="1">IF(AND(ISNUMBER($AT$456),$B$294=1),$AT$456,HLOOKUP(INDIRECT(ADDRESS(2,COLUMN())),OFFSET($BN$2,0,0,ROW()-1,60),ROW()-1,FALSE))</f>
        <v>7.6947708190000004</v>
      </c>
      <c r="AU148">
        <f ca="1">IF(AND(ISNUMBER($AU$456),$B$294=1),$AU$456,HLOOKUP(INDIRECT(ADDRESS(2,COLUMN())),OFFSET($BN$2,0,0,ROW()-1,60),ROW()-1,FALSE))</f>
        <v>7.1816983260000002</v>
      </c>
      <c r="AV148">
        <f ca="1">IF(AND(ISNUMBER($AV$456),$B$294=1),$AV$456,HLOOKUP(INDIRECT(ADDRESS(2,COLUMN())),OFFSET($BN$2,0,0,ROW()-1,60),ROW()-1,FALSE))</f>
        <v>7.003664831</v>
      </c>
      <c r="AW148">
        <f ca="1">IF(AND(ISNUMBER($AW$456),$B$294=1),$AW$456,HLOOKUP(INDIRECT(ADDRESS(2,COLUMN())),OFFSET($BN$2,0,0,ROW()-1,60),ROW()-1,FALSE))</f>
        <v>7.1042224819999999</v>
      </c>
      <c r="AX148">
        <f ca="1">IF(AND(ISNUMBER($AX$456),$B$294=1),$AX$456,HLOOKUP(INDIRECT(ADDRESS(2,COLUMN())),OFFSET($BN$2,0,0,ROW()-1,60),ROW()-1,FALSE))</f>
        <v>7.0429596280000002</v>
      </c>
      <c r="AY148">
        <f ca="1">IF(AND(ISNUMBER($AY$456),$B$294=1),$AY$456,HLOOKUP(INDIRECT(ADDRESS(2,COLUMN())),OFFSET($BN$2,0,0,ROW()-1,60),ROW()-1,FALSE))</f>
        <v>8.0331362360000007</v>
      </c>
      <c r="AZ148">
        <f ca="1">IF(AND(ISNUMBER($AZ$456),$B$294=1),$AZ$456,HLOOKUP(INDIRECT(ADDRESS(2,COLUMN())),OFFSET($BN$2,0,0,ROW()-1,60),ROW()-1,FALSE))</f>
        <v>7.9930513300000001</v>
      </c>
      <c r="BA148">
        <f ca="1">IF(AND(ISNUMBER($BA$456),$B$294=1),$BA$456,HLOOKUP(INDIRECT(ADDRESS(2,COLUMN())),OFFSET($BN$2,0,0,ROW()-1,60),ROW()-1,FALSE))</f>
        <v>8.3041904439999996</v>
      </c>
      <c r="BB148">
        <f ca="1">IF(AND(ISNUMBER($BB$456),$B$294=1),$BB$456,HLOOKUP(INDIRECT(ADDRESS(2,COLUMN())),OFFSET($BN$2,0,0,ROW()-1,60),ROW()-1,FALSE))</f>
        <v>8.9541292759999997</v>
      </c>
      <c r="BC148">
        <f ca="1">IF(AND(ISNUMBER($BC$456),$B$294=1),$BC$456,HLOOKUP(INDIRECT(ADDRESS(2,COLUMN())),OFFSET($BN$2,0,0,ROW()-1,60),ROW()-1,FALSE))</f>
        <v>9.0083630679999995</v>
      </c>
      <c r="BD148">
        <f ca="1">IF(AND(ISNUMBER($BD$456),$B$294=1),$BD$456,HLOOKUP(INDIRECT(ADDRESS(2,COLUMN())),OFFSET($BN$2,0,0,ROW()-1,60),ROW()-1,FALSE))</f>
        <v>8.6766819329999993</v>
      </c>
      <c r="BE148">
        <f ca="1">IF(AND(ISNUMBER($BE$456),$B$294=1),$BE$456,HLOOKUP(INDIRECT(ADDRESS(2,COLUMN())),OFFSET($BN$2,0,0,ROW()-1,60),ROW()-1,FALSE))</f>
        <v>8.9938923450000008</v>
      </c>
      <c r="BF148">
        <f ca="1">IF(AND(ISNUMBER($BF$456),$B$294=1),$BF$456,HLOOKUP(INDIRECT(ADDRESS(2,COLUMN())),OFFSET($BN$2,0,0,ROW()-1,60),ROW()-1,FALSE))</f>
        <v>8.8914328549999997</v>
      </c>
      <c r="BG148">
        <f ca="1">IF(AND(ISNUMBER($BG$456),$B$294=1),$BG$456,HLOOKUP(INDIRECT(ADDRESS(2,COLUMN())),OFFSET($BN$2,0,0,ROW()-1,60),ROW()-1,FALSE))</f>
        <v>8.9404921149999996</v>
      </c>
      <c r="BH148">
        <f ca="1">IF(AND(ISNUMBER($BH$456),$B$294=1),$BH$456,HLOOKUP(INDIRECT(ADDRESS(2,COLUMN())),OFFSET($BN$2,0,0,ROW()-1,60),ROW()-1,FALSE))</f>
        <v>9.0486809600000004</v>
      </c>
      <c r="BI148">
        <f ca="1">IF(AND(ISNUMBER($BI$456),$B$294=1),$BI$456,HLOOKUP(INDIRECT(ADDRESS(2,COLUMN())),OFFSET($BN$2,0,0,ROW()-1,60),ROW()-1,FALSE))</f>
        <v>8.7936612099999998</v>
      </c>
      <c r="BJ148">
        <f ca="1">IF(AND(ISNUMBER($BJ$456),$B$294=1),$BJ$456,HLOOKUP(INDIRECT(ADDRESS(2,COLUMN())),OFFSET($BN$2,0,0,ROW()-1,60),ROW()-1,FALSE))</f>
        <v>8.5014120040000005</v>
      </c>
      <c r="BK148" t="str">
        <f ca="1">IF(AND(ISNUMBER($BK$456),$B$294=1),$BK$456,HLOOKUP(INDIRECT(ADDRESS(2,COLUMN())),OFFSET($BN$2,0,0,ROW()-1,60),ROW()-1,FALSE))</f>
        <v/>
      </c>
      <c r="BL148" t="str">
        <f ca="1">IF(AND(ISNUMBER($BL$456),$B$294=1),$BL$456,HLOOKUP(INDIRECT(ADDRESS(2,COLUMN())),OFFSET($BN$2,0,0,ROW()-1,60),ROW()-1,FALSE))</f>
        <v/>
      </c>
      <c r="BM148">
        <f ca="1">IF(AND(ISNUMBER($BM$456),$B$294=1),$BM$456,HLOOKUP(INDIRECT(ADDRESS(2,COLUMN())),OFFSET($BN$2,0,0,ROW()-1,60),ROW()-1,FALSE))</f>
        <v>9.0629159969999993</v>
      </c>
      <c r="BN148" t="str">
        <f>""</f>
        <v/>
      </c>
      <c r="BO148">
        <f>6.731695823</f>
        <v>6.7316958229999999</v>
      </c>
      <c r="BP148">
        <f>6.743288745</f>
        <v>6.7432887450000001</v>
      </c>
      <c r="BQ148">
        <f>6.942739356</f>
        <v>6.9427393559999997</v>
      </c>
      <c r="BR148">
        <f>6.710722591</f>
        <v>6.7107225909999997</v>
      </c>
      <c r="BS148">
        <f>6.839405149</f>
        <v>6.8394051490000001</v>
      </c>
      <c r="BT148">
        <f>6.674731826</f>
        <v>6.6747318260000004</v>
      </c>
      <c r="BU148">
        <f>6.812952232</f>
        <v>6.8129522319999998</v>
      </c>
      <c r="BV148">
        <f>7.474289362</f>
        <v>7.4742893620000004</v>
      </c>
      <c r="BW148">
        <f>7.0611176</f>
        <v>7.0611176000000002</v>
      </c>
      <c r="BX148">
        <f>7.133973947</f>
        <v>7.1339739470000003</v>
      </c>
      <c r="BY148">
        <f>6.828790682</f>
        <v>6.8287906820000002</v>
      </c>
      <c r="BZ148">
        <f>6.733081211</f>
        <v>6.733081211</v>
      </c>
      <c r="CA148">
        <f>6.81418013</f>
        <v>6.8141801299999996</v>
      </c>
      <c r="CB148">
        <f>7.206924006</f>
        <v>7.2069240060000004</v>
      </c>
      <c r="CC148">
        <f>6.706219964</f>
        <v>6.7062199639999998</v>
      </c>
      <c r="CD148">
        <f>6.407347716</f>
        <v>6.4073477160000003</v>
      </c>
      <c r="CE148">
        <f>6.400902226</f>
        <v>6.4009022260000004</v>
      </c>
      <c r="CF148">
        <f>6.573361607</f>
        <v>6.5733616069999998</v>
      </c>
      <c r="CG148">
        <f>5.678270351</f>
        <v>5.6782703510000001</v>
      </c>
      <c r="CH148">
        <f>6.320075667</f>
        <v>6.3200756670000002</v>
      </c>
      <c r="CI148">
        <f>6.510158111</f>
        <v>6.510158111</v>
      </c>
      <c r="CJ148">
        <f>6.384281219</f>
        <v>6.384281219</v>
      </c>
      <c r="CK148">
        <f>6.510895624</f>
        <v>6.5108956239999998</v>
      </c>
      <c r="CL148">
        <f>6.462345108</f>
        <v>6.4623451080000001</v>
      </c>
      <c r="CM148">
        <f>6.443998009</f>
        <v>6.4439980090000004</v>
      </c>
      <c r="CN148">
        <f>6.813226439</f>
        <v>6.8132264390000001</v>
      </c>
      <c r="CO148">
        <f>6.756130928</f>
        <v>6.7561309280000001</v>
      </c>
      <c r="CP148">
        <f>6.509987689</f>
        <v>6.5099876889999999</v>
      </c>
      <c r="CQ148">
        <f>6.44539803</f>
        <v>6.4453980299999998</v>
      </c>
      <c r="CR148">
        <f>6.427789092</f>
        <v>6.4277890920000003</v>
      </c>
      <c r="CS148">
        <f>6.565977771</f>
        <v>6.565977771</v>
      </c>
      <c r="CT148">
        <f>6.656367541</f>
        <v>6.6563675409999998</v>
      </c>
      <c r="CU148">
        <f>6.562084996</f>
        <v>6.5620849960000003</v>
      </c>
      <c r="CV148">
        <f>6.812428701</f>
        <v>6.812428701</v>
      </c>
      <c r="CW148">
        <f>7.429279832</f>
        <v>7.4292798319999998</v>
      </c>
      <c r="CX148">
        <f>7.542012143</f>
        <v>7.542012143</v>
      </c>
      <c r="CY148">
        <f>7.821752997</f>
        <v>7.8217529969999999</v>
      </c>
      <c r="CZ148">
        <f>6.778209103</f>
        <v>6.778209103</v>
      </c>
      <c r="DA148">
        <f>7.723860351</f>
        <v>7.7238603509999999</v>
      </c>
      <c r="DB148">
        <f>7.694770819</f>
        <v>7.6947708190000004</v>
      </c>
      <c r="DC148">
        <f>7.181698326</f>
        <v>7.1816983260000002</v>
      </c>
      <c r="DD148">
        <f>7.003664831</f>
        <v>7.003664831</v>
      </c>
      <c r="DE148">
        <f>7.104222482</f>
        <v>7.1042224819999999</v>
      </c>
      <c r="DF148">
        <f>7.042959628</f>
        <v>7.0429596280000002</v>
      </c>
      <c r="DG148">
        <f>8.033136236</f>
        <v>8.0331362360000007</v>
      </c>
      <c r="DH148">
        <f>7.99305133</f>
        <v>7.9930513300000001</v>
      </c>
      <c r="DI148">
        <f>8.304190444</f>
        <v>8.3041904439999996</v>
      </c>
      <c r="DJ148">
        <f>8.954129276</f>
        <v>8.9541292759999997</v>
      </c>
      <c r="DK148">
        <f>9.008363068</f>
        <v>9.0083630679999995</v>
      </c>
      <c r="DL148">
        <f>8.676681933</f>
        <v>8.6766819329999993</v>
      </c>
      <c r="DM148">
        <f>8.993892345</f>
        <v>8.9938923450000008</v>
      </c>
      <c r="DN148">
        <f>8.891432855</f>
        <v>8.8914328549999997</v>
      </c>
      <c r="DO148">
        <f>8.940492115</f>
        <v>8.9404921149999996</v>
      </c>
      <c r="DP148">
        <f>9.04868096</f>
        <v>9.0486809600000004</v>
      </c>
      <c r="DQ148">
        <f>8.79366121</f>
        <v>8.7936612099999998</v>
      </c>
      <c r="DR148">
        <f>8.501412004</f>
        <v>8.5014120040000005</v>
      </c>
      <c r="DS148" t="str">
        <f>""</f>
        <v/>
      </c>
      <c r="DT148" t="str">
        <f>""</f>
        <v/>
      </c>
      <c r="DU148">
        <f>9.062915997</f>
        <v>9.0629159969999993</v>
      </c>
    </row>
    <row r="149" spans="1:125">
      <c r="A149" t="str">
        <f>"    Brandywine Realty Trust"</f>
        <v xml:space="preserve">    Brandywine Realty Trust</v>
      </c>
      <c r="B149" t="str">
        <f>"BDN US Equity"</f>
        <v>BDN US Equity</v>
      </c>
      <c r="C149" t="str">
        <f t="shared" si="39"/>
        <v>RX902</v>
      </c>
      <c r="D149" t="str">
        <f t="shared" si="40"/>
        <v>ANN_NOI_GR_AST_NET_RTL_DEV_CTD_%</v>
      </c>
      <c r="E149" t="str">
        <f t="shared" si="41"/>
        <v>动态</v>
      </c>
      <c r="F149" t="str">
        <f ca="1">IF(AND(ISNUMBER($F$457),$B$294=1),$F$457,HLOOKUP(INDIRECT(ADDRESS(2,COLUMN())),OFFSET($BN$2,0,0,ROW()-1,60),ROW()-1,FALSE))</f>
        <v/>
      </c>
      <c r="G149">
        <f ca="1">IF(AND(ISNUMBER($G$457),$B$294=1),$G$457,HLOOKUP(INDIRECT(ADDRESS(2,COLUMN())),OFFSET($BN$2,0,0,ROW()-1,60),ROW()-1,FALSE))</f>
        <v>6.5223894539999998</v>
      </c>
      <c r="H149">
        <f ca="1">IF(AND(ISNUMBER($H$457),$B$294=1),$H$457,HLOOKUP(INDIRECT(ADDRESS(2,COLUMN())),OFFSET($BN$2,0,0,ROW()-1,60),ROW()-1,FALSE))</f>
        <v>6.5588985280000003</v>
      </c>
      <c r="I149">
        <f ca="1">IF(AND(ISNUMBER($I$457),$B$294=1),$I$457,HLOOKUP(INDIRECT(ADDRESS(2,COLUMN())),OFFSET($BN$2,0,0,ROW()-1,60),ROW()-1,FALSE))</f>
        <v>6.4923863390000003</v>
      </c>
      <c r="J149">
        <f ca="1">IF(AND(ISNUMBER($J$457),$B$294=1),$J$457,HLOOKUP(INDIRECT(ADDRESS(2,COLUMN())),OFFSET($BN$2,0,0,ROW()-1,60),ROW()-1,FALSE))</f>
        <v>6.430774671</v>
      </c>
      <c r="K149">
        <f ca="1">IF(AND(ISNUMBER($K$457),$B$294=1),$K$457,HLOOKUP(INDIRECT(ADDRESS(2,COLUMN())),OFFSET($BN$2,0,0,ROW()-1,60),ROW()-1,FALSE))</f>
        <v>6.3777026379999997</v>
      </c>
      <c r="L149">
        <f ca="1">IF(AND(ISNUMBER($L$457),$B$294=1),$L$457,HLOOKUP(INDIRECT(ADDRESS(2,COLUMN())),OFFSET($BN$2,0,0,ROW()-1,60),ROW()-1,FALSE))</f>
        <v>6.2542067689999996</v>
      </c>
      <c r="M149">
        <f ca="1">IF(AND(ISNUMBER($M$457),$B$294=1),$M$457,HLOOKUP(INDIRECT(ADDRESS(2,COLUMN())),OFFSET($BN$2,0,0,ROW()-1,60),ROW()-1,FALSE))</f>
        <v>6.08568993</v>
      </c>
      <c r="N149">
        <f ca="1">IF(AND(ISNUMBER($N$457),$B$294=1),$N$457,HLOOKUP(INDIRECT(ADDRESS(2,COLUMN())),OFFSET($BN$2,0,0,ROW()-1,60),ROW()-1,FALSE))</f>
        <v>6.2039801289999996</v>
      </c>
      <c r="O149">
        <f ca="1">IF(AND(ISNUMBER($O$457),$B$294=1),$O$457,HLOOKUP(INDIRECT(ADDRESS(2,COLUMN())),OFFSET($BN$2,0,0,ROW()-1,60),ROW()-1,FALSE))</f>
        <v>6.7560064970000004</v>
      </c>
      <c r="P149">
        <f ca="1">IF(AND(ISNUMBER($P$457),$B$294=1),$P$457,HLOOKUP(INDIRECT(ADDRESS(2,COLUMN())),OFFSET($BN$2,0,0,ROW()-1,60),ROW()-1,FALSE))</f>
        <v>6.4733118919999999</v>
      </c>
      <c r="Q149">
        <f ca="1">IF(AND(ISNUMBER($Q$457),$B$294=1),$Q$457,HLOOKUP(INDIRECT(ADDRESS(2,COLUMN())),OFFSET($BN$2,0,0,ROW()-1,60),ROW()-1,FALSE))</f>
        <v>6.0511018910000001</v>
      </c>
      <c r="R149">
        <f ca="1">IF(AND(ISNUMBER($R$457),$B$294=1),$R$457,HLOOKUP(INDIRECT(ADDRESS(2,COLUMN())),OFFSET($BN$2,0,0,ROW()-1,60),ROW()-1,FALSE))</f>
        <v>6.0790174690000001</v>
      </c>
      <c r="S149">
        <f ca="1">IF(AND(ISNUMBER($S$457),$B$294=1),$S$457,HLOOKUP(INDIRECT(ADDRESS(2,COLUMN())),OFFSET($BN$2,0,0,ROW()-1,60),ROW()-1,FALSE))</f>
        <v>6.0143258409999998</v>
      </c>
      <c r="T149">
        <f ca="1">IF(AND(ISNUMBER($T$457),$B$294=1),$T$457,HLOOKUP(INDIRECT(ADDRESS(2,COLUMN())),OFFSET($BN$2,0,0,ROW()-1,60),ROW()-1,FALSE))</f>
        <v>5.7612462720000002</v>
      </c>
      <c r="U149">
        <f ca="1">IF(AND(ISNUMBER($U$457),$B$294=1),$U$457,HLOOKUP(INDIRECT(ADDRESS(2,COLUMN())),OFFSET($BN$2,0,0,ROW()-1,60),ROW()-1,FALSE))</f>
        <v>6.4560758050000002</v>
      </c>
      <c r="V149">
        <f ca="1">IF(AND(ISNUMBER($V$457),$B$294=1),$V$457,HLOOKUP(INDIRECT(ADDRESS(2,COLUMN())),OFFSET($BN$2,0,0,ROW()-1,60),ROW()-1,FALSE))</f>
        <v>6.2387595569999998</v>
      </c>
      <c r="W149">
        <f ca="1">IF(AND(ISNUMBER($W$457),$B$294=1),$W$457,HLOOKUP(INDIRECT(ADDRESS(2,COLUMN())),OFFSET($BN$2,0,0,ROW()-1,60),ROW()-1,FALSE))</f>
        <v>5.778772054</v>
      </c>
      <c r="X149">
        <f ca="1">IF(AND(ISNUMBER($X$457),$B$294=1),$X$457,HLOOKUP(INDIRECT(ADDRESS(2,COLUMN())),OFFSET($BN$2,0,0,ROW()-1,60),ROW()-1,FALSE))</f>
        <v>6.2795068379999996</v>
      </c>
      <c r="Y149">
        <f ca="1">IF(AND(ISNUMBER($Y$457),$B$294=1),$Y$457,HLOOKUP(INDIRECT(ADDRESS(2,COLUMN())),OFFSET($BN$2,0,0,ROW()-1,60),ROW()-1,FALSE))</f>
        <v>6.1922095940000004</v>
      </c>
      <c r="Z149">
        <f ca="1">IF(AND(ISNUMBER($Z$457),$B$294=1),$Z$457,HLOOKUP(INDIRECT(ADDRESS(2,COLUMN())),OFFSET($BN$2,0,0,ROW()-1,60),ROW()-1,FALSE))</f>
        <v>6.2846390660000004</v>
      </c>
      <c r="AA149">
        <f ca="1">IF(AND(ISNUMBER($AA$457),$B$294=1),$AA$457,HLOOKUP(INDIRECT(ADDRESS(2,COLUMN())),OFFSET($BN$2,0,0,ROW()-1,60),ROW()-1,FALSE))</f>
        <v>6.0460975570000004</v>
      </c>
      <c r="AB149">
        <f ca="1">IF(AND(ISNUMBER($AB$457),$B$294=1),$AB$457,HLOOKUP(INDIRECT(ADDRESS(2,COLUMN())),OFFSET($BN$2,0,0,ROW()-1,60),ROW()-1,FALSE))</f>
        <v>6.0311140710000002</v>
      </c>
      <c r="AC149">
        <f ca="1">IF(AND(ISNUMBER($AC$457),$B$294=1),$AC$457,HLOOKUP(INDIRECT(ADDRESS(2,COLUMN())),OFFSET($BN$2,0,0,ROW()-1,60),ROW()-1,FALSE))</f>
        <v>5.7966380170000003</v>
      </c>
      <c r="AD149">
        <f ca="1">IF(AND(ISNUMBER($AD$457),$B$294=1),$AD$457,HLOOKUP(INDIRECT(ADDRESS(2,COLUMN())),OFFSET($BN$2,0,0,ROW()-1,60),ROW()-1,FALSE))</f>
        <v>5.7200716930000004</v>
      </c>
      <c r="AE149">
        <f ca="1">IF(AND(ISNUMBER($AE$457),$B$294=1),$AE$457,HLOOKUP(INDIRECT(ADDRESS(2,COLUMN())),OFFSET($BN$2,0,0,ROW()-1,60),ROW()-1,FALSE))</f>
        <v>6.1780113979999998</v>
      </c>
      <c r="AF149">
        <f ca="1">IF(AND(ISNUMBER($AF$457),$B$294=1),$AF$457,HLOOKUP(INDIRECT(ADDRESS(2,COLUMN())),OFFSET($BN$2,0,0,ROW()-1,60),ROW()-1,FALSE))</f>
        <v>6.0406107609999999</v>
      </c>
      <c r="AG149">
        <f ca="1">IF(AND(ISNUMBER($AG$457),$B$294=1),$AG$457,HLOOKUP(INDIRECT(ADDRESS(2,COLUMN())),OFFSET($BN$2,0,0,ROW()-1,60),ROW()-1,FALSE))</f>
        <v>5.783284353</v>
      </c>
      <c r="AH149">
        <f ca="1">IF(AND(ISNUMBER($AH$457),$B$294=1),$AH$457,HLOOKUP(INDIRECT(ADDRESS(2,COLUMN())),OFFSET($BN$2,0,0,ROW()-1,60),ROW()-1,FALSE))</f>
        <v>6.1028511109999997</v>
      </c>
      <c r="AI149">
        <f ca="1">IF(AND(ISNUMBER($AI$457),$B$294=1),$AI$457,HLOOKUP(INDIRECT(ADDRESS(2,COLUMN())),OFFSET($BN$2,0,0,ROW()-1,60),ROW()-1,FALSE))</f>
        <v>6.3445127890000004</v>
      </c>
      <c r="AJ149">
        <f ca="1">IF(AND(ISNUMBER($AJ$457),$B$294=1),$AJ$457,HLOOKUP(INDIRECT(ADDRESS(2,COLUMN())),OFFSET($BN$2,0,0,ROW()-1,60),ROW()-1,FALSE))</f>
        <v>5.5143607169999997</v>
      </c>
      <c r="AK149">
        <f ca="1">IF(AND(ISNUMBER($AK$457),$B$294=1),$AK$457,HLOOKUP(INDIRECT(ADDRESS(2,COLUMN())),OFFSET($BN$2,0,0,ROW()-1,60),ROW()-1,FALSE))</f>
        <v>6.155179403</v>
      </c>
      <c r="AL149">
        <f ca="1">IF(AND(ISNUMBER($AL$457),$B$294=1),$AL$457,HLOOKUP(INDIRECT(ADDRESS(2,COLUMN())),OFFSET($BN$2,0,0,ROW()-1,60),ROW()-1,FALSE))</f>
        <v>6.1673778969999997</v>
      </c>
      <c r="AM149">
        <f ca="1">IF(AND(ISNUMBER($AM$457),$B$294=1),$AM$457,HLOOKUP(INDIRECT(ADDRESS(2,COLUMN())),OFFSET($BN$2,0,0,ROW()-1,60),ROW()-1,FALSE))</f>
        <v>6.2820752520000003</v>
      </c>
      <c r="AN149">
        <f ca="1">IF(AND(ISNUMBER($AN$457),$B$294=1),$AN$457,HLOOKUP(INDIRECT(ADDRESS(2,COLUMN())),OFFSET($BN$2,0,0,ROW()-1,60),ROW()-1,FALSE))</f>
        <v>6.6274432489999997</v>
      </c>
      <c r="AO149">
        <f ca="1">IF(AND(ISNUMBER($AO$457),$B$294=1),$AO$457,HLOOKUP(INDIRECT(ADDRESS(2,COLUMN())),OFFSET($BN$2,0,0,ROW()-1,60),ROW()-1,FALSE))</f>
        <v>6.4733377189999999</v>
      </c>
      <c r="AP149">
        <f ca="1">IF(AND(ISNUMBER($AP$457),$B$294=1),$AP$457,HLOOKUP(INDIRECT(ADDRESS(2,COLUMN())),OFFSET($BN$2,0,0,ROW()-1,60),ROW()-1,FALSE))</f>
        <v>6.4547616589999999</v>
      </c>
      <c r="AQ149">
        <f ca="1">IF(AND(ISNUMBER($AQ$457),$B$294=1),$AQ$457,HLOOKUP(INDIRECT(ADDRESS(2,COLUMN())),OFFSET($BN$2,0,0,ROW()-1,60),ROW()-1,FALSE))</f>
        <v>6.6552130900000002</v>
      </c>
      <c r="AR149">
        <f ca="1">IF(AND(ISNUMBER($AR$457),$B$294=1),$AR$457,HLOOKUP(INDIRECT(ADDRESS(2,COLUMN())),OFFSET($BN$2,0,0,ROW()-1,60),ROW()-1,FALSE))</f>
        <v>6.1693854930000001</v>
      </c>
      <c r="AS149">
        <f ca="1">IF(AND(ISNUMBER($AS$457),$B$294=1),$AS$457,HLOOKUP(INDIRECT(ADDRESS(2,COLUMN())),OFFSET($BN$2,0,0,ROW()-1,60),ROW()-1,FALSE))</f>
        <v>6.4665469450000002</v>
      </c>
      <c r="AT149">
        <f ca="1">IF(AND(ISNUMBER($AT$457),$B$294=1),$AT$457,HLOOKUP(INDIRECT(ADDRESS(2,COLUMN())),OFFSET($BN$2,0,0,ROW()-1,60),ROW()-1,FALSE))</f>
        <v>6.4604034910000001</v>
      </c>
      <c r="AU149">
        <f ca="1">IF(AND(ISNUMBER($AU$457),$B$294=1),$AU$457,HLOOKUP(INDIRECT(ADDRESS(2,COLUMN())),OFFSET($BN$2,0,0,ROW()-1,60),ROW()-1,FALSE))</f>
        <v>6.7482336329999999</v>
      </c>
      <c r="AV149">
        <f ca="1">IF(AND(ISNUMBER($AV$457),$B$294=1),$AV$457,HLOOKUP(INDIRECT(ADDRESS(2,COLUMN())),OFFSET($BN$2,0,0,ROW()-1,60),ROW()-1,FALSE))</f>
        <v>6.8107981769999997</v>
      </c>
      <c r="AW149">
        <f ca="1">IF(AND(ISNUMBER($AW$457),$B$294=1),$AW$457,HLOOKUP(INDIRECT(ADDRESS(2,COLUMN())),OFFSET($BN$2,0,0,ROW()-1,60),ROW()-1,FALSE))</f>
        <v>6.3394922899999999</v>
      </c>
      <c r="AX149">
        <f ca="1">IF(AND(ISNUMBER($AX$457),$B$294=1),$AX$457,HLOOKUP(INDIRECT(ADDRESS(2,COLUMN())),OFFSET($BN$2,0,0,ROW()-1,60),ROW()-1,FALSE))</f>
        <v>6.8038926000000002</v>
      </c>
      <c r="AY149">
        <f ca="1">IF(AND(ISNUMBER($AY$457),$B$294=1),$AY$457,HLOOKUP(INDIRECT(ADDRESS(2,COLUMN())),OFFSET($BN$2,0,0,ROW()-1,60),ROW()-1,FALSE))</f>
        <v>6.8080221539999997</v>
      </c>
      <c r="AZ149">
        <f ca="1">IF(AND(ISNUMBER($AZ$457),$B$294=1),$AZ$457,HLOOKUP(INDIRECT(ADDRESS(2,COLUMN())),OFFSET($BN$2,0,0,ROW()-1,60),ROW()-1,FALSE))</f>
        <v>6.5241987049999999</v>
      </c>
      <c r="BA149">
        <f ca="1">IF(AND(ISNUMBER($BA$457),$B$294=1),$BA$457,HLOOKUP(INDIRECT(ADDRESS(2,COLUMN())),OFFSET($BN$2,0,0,ROW()-1,60),ROW()-1,FALSE))</f>
        <v>6.2401875149999997</v>
      </c>
      <c r="BB149">
        <f ca="1">IF(AND(ISNUMBER($BB$457),$B$294=1),$BB$457,HLOOKUP(INDIRECT(ADDRESS(2,COLUMN())),OFFSET($BN$2,0,0,ROW()-1,60),ROW()-1,FALSE))</f>
        <v>5.8794551679999998</v>
      </c>
      <c r="BC149">
        <f ca="1">IF(AND(ISNUMBER($BC$457),$B$294=1),$BC$457,HLOOKUP(INDIRECT(ADDRESS(2,COLUMN())),OFFSET($BN$2,0,0,ROW()-1,60),ROW()-1,FALSE))</f>
        <v>6.842010739</v>
      </c>
      <c r="BD149">
        <f ca="1">IF(AND(ISNUMBER($BD$457),$B$294=1),$BD$457,HLOOKUP(INDIRECT(ADDRESS(2,COLUMN())),OFFSET($BN$2,0,0,ROW()-1,60),ROW()-1,FALSE))</f>
        <v>7.403627738</v>
      </c>
      <c r="BE149">
        <f ca="1">IF(AND(ISNUMBER($BE$457),$B$294=1),$BE$457,HLOOKUP(INDIRECT(ADDRESS(2,COLUMN())),OFFSET($BN$2,0,0,ROW()-1,60),ROW()-1,FALSE))</f>
        <v>7.5986709440000002</v>
      </c>
      <c r="BF149">
        <f ca="1">IF(AND(ISNUMBER($BF$457),$B$294=1),$BF$457,HLOOKUP(INDIRECT(ADDRESS(2,COLUMN())),OFFSET($BN$2,0,0,ROW()-1,60),ROW()-1,FALSE))</f>
        <v>7.9698959470000004</v>
      </c>
      <c r="BG149">
        <f ca="1">IF(AND(ISNUMBER($BG$457),$B$294=1),$BG$457,HLOOKUP(INDIRECT(ADDRESS(2,COLUMN())),OFFSET($BN$2,0,0,ROW()-1,60),ROW()-1,FALSE))</f>
        <v>10.03437411</v>
      </c>
      <c r="BH149">
        <f ca="1">IF(AND(ISNUMBER($BH$457),$B$294=1),$BH$457,HLOOKUP(INDIRECT(ADDRESS(2,COLUMN())),OFFSET($BN$2,0,0,ROW()-1,60),ROW()-1,FALSE))</f>
        <v>6.7826240530000002</v>
      </c>
      <c r="BI149">
        <f ca="1">IF(AND(ISNUMBER($BI$457),$B$294=1),$BI$457,HLOOKUP(INDIRECT(ADDRESS(2,COLUMN())),OFFSET($BN$2,0,0,ROW()-1,60),ROW()-1,FALSE))</f>
        <v>9.1211330020000005</v>
      </c>
      <c r="BJ149">
        <f ca="1">IF(AND(ISNUMBER($BJ$457),$B$294=1),$BJ$457,HLOOKUP(INDIRECT(ADDRESS(2,COLUMN())),OFFSET($BN$2,0,0,ROW()-1,60),ROW()-1,FALSE))</f>
        <v>5.4076862339999998</v>
      </c>
      <c r="BK149" t="str">
        <f ca="1">IF(AND(ISNUMBER($BK$457),$B$294=1),$BK$457,HLOOKUP(INDIRECT(ADDRESS(2,COLUMN())),OFFSET($BN$2,0,0,ROW()-1,60),ROW()-1,FALSE))</f>
        <v/>
      </c>
      <c r="BL149">
        <f ca="1">IF(AND(ISNUMBER($BL$457),$B$294=1),$BL$457,HLOOKUP(INDIRECT(ADDRESS(2,COLUMN())),OFFSET($BN$2,0,0,ROW()-1,60),ROW()-1,FALSE))</f>
        <v>9.3406588330000009</v>
      </c>
      <c r="BM149">
        <f ca="1">IF(AND(ISNUMBER($BM$457),$B$294=1),$BM$457,HLOOKUP(INDIRECT(ADDRESS(2,COLUMN())),OFFSET($BN$2,0,0,ROW()-1,60),ROW()-1,FALSE))</f>
        <v>8.1541419509999997</v>
      </c>
      <c r="BN149" t="str">
        <f>""</f>
        <v/>
      </c>
      <c r="BO149">
        <f>6.522389454</f>
        <v>6.5223894539999998</v>
      </c>
      <c r="BP149">
        <f>6.558898528</f>
        <v>6.5588985280000003</v>
      </c>
      <c r="BQ149">
        <f>6.492386339</f>
        <v>6.4923863390000003</v>
      </c>
      <c r="BR149">
        <f>6.430774671</f>
        <v>6.430774671</v>
      </c>
      <c r="BS149">
        <f>6.377702638</f>
        <v>6.3777026379999997</v>
      </c>
      <c r="BT149">
        <f>6.254206769</f>
        <v>6.2542067689999996</v>
      </c>
      <c r="BU149">
        <f>6.08568993</f>
        <v>6.08568993</v>
      </c>
      <c r="BV149">
        <f>6.203980129</f>
        <v>6.2039801289999996</v>
      </c>
      <c r="BW149">
        <f>6.756006497</f>
        <v>6.7560064970000004</v>
      </c>
      <c r="BX149">
        <f>6.473311892</f>
        <v>6.4733118919999999</v>
      </c>
      <c r="BY149">
        <f>6.051101891</f>
        <v>6.0511018910000001</v>
      </c>
      <c r="BZ149">
        <f>6.079017469</f>
        <v>6.0790174690000001</v>
      </c>
      <c r="CA149">
        <f>6.014325841</f>
        <v>6.0143258409999998</v>
      </c>
      <c r="CB149">
        <f>5.761246272</f>
        <v>5.7612462720000002</v>
      </c>
      <c r="CC149">
        <f>6.456075805</f>
        <v>6.4560758050000002</v>
      </c>
      <c r="CD149">
        <f>6.238759557</f>
        <v>6.2387595569999998</v>
      </c>
      <c r="CE149">
        <f>5.778772054</f>
        <v>5.778772054</v>
      </c>
      <c r="CF149">
        <f>6.279506838</f>
        <v>6.2795068379999996</v>
      </c>
      <c r="CG149">
        <f>6.192209594</f>
        <v>6.1922095940000004</v>
      </c>
      <c r="CH149">
        <f>6.284639066</f>
        <v>6.2846390660000004</v>
      </c>
      <c r="CI149">
        <f>6.046097557</f>
        <v>6.0460975570000004</v>
      </c>
      <c r="CJ149">
        <f>6.031114071</f>
        <v>6.0311140710000002</v>
      </c>
      <c r="CK149">
        <f>5.796638017</f>
        <v>5.7966380170000003</v>
      </c>
      <c r="CL149">
        <f>5.720071693</f>
        <v>5.7200716930000004</v>
      </c>
      <c r="CM149">
        <f>6.178011398</f>
        <v>6.1780113979999998</v>
      </c>
      <c r="CN149">
        <f>6.040610761</f>
        <v>6.0406107609999999</v>
      </c>
      <c r="CO149">
        <f>5.783284353</f>
        <v>5.783284353</v>
      </c>
      <c r="CP149">
        <f>6.102851111</f>
        <v>6.1028511109999997</v>
      </c>
      <c r="CQ149">
        <f>6.344512789</f>
        <v>6.3445127890000004</v>
      </c>
      <c r="CR149">
        <f>5.514360717</f>
        <v>5.5143607169999997</v>
      </c>
      <c r="CS149">
        <f>6.155179403</f>
        <v>6.155179403</v>
      </c>
      <c r="CT149">
        <f>6.167377897</f>
        <v>6.1673778969999997</v>
      </c>
      <c r="CU149">
        <f>6.282075252</f>
        <v>6.2820752520000003</v>
      </c>
      <c r="CV149">
        <f>6.627443249</f>
        <v>6.6274432489999997</v>
      </c>
      <c r="CW149">
        <f>6.473337719</f>
        <v>6.4733377189999999</v>
      </c>
      <c r="CX149">
        <f>6.454761659</f>
        <v>6.4547616589999999</v>
      </c>
      <c r="CY149">
        <f>6.65521309</f>
        <v>6.6552130900000002</v>
      </c>
      <c r="CZ149">
        <f>6.169385493</f>
        <v>6.1693854930000001</v>
      </c>
      <c r="DA149">
        <f>6.466546945</f>
        <v>6.4665469450000002</v>
      </c>
      <c r="DB149">
        <f>6.460403491</f>
        <v>6.4604034910000001</v>
      </c>
      <c r="DC149">
        <f>6.748233633</f>
        <v>6.7482336329999999</v>
      </c>
      <c r="DD149">
        <f>6.810798177</f>
        <v>6.8107981769999997</v>
      </c>
      <c r="DE149">
        <f>6.33949229</f>
        <v>6.3394922899999999</v>
      </c>
      <c r="DF149">
        <f>6.8038926</f>
        <v>6.8038926000000002</v>
      </c>
      <c r="DG149">
        <f>6.808022154</f>
        <v>6.8080221539999997</v>
      </c>
      <c r="DH149">
        <f>6.524198705</f>
        <v>6.5241987049999999</v>
      </c>
      <c r="DI149">
        <f>6.240187515</f>
        <v>6.2401875149999997</v>
      </c>
      <c r="DJ149">
        <f>5.879455168</f>
        <v>5.8794551679999998</v>
      </c>
      <c r="DK149">
        <f>6.842010739</f>
        <v>6.842010739</v>
      </c>
      <c r="DL149">
        <f>7.403627738</f>
        <v>7.403627738</v>
      </c>
      <c r="DM149">
        <f>7.598670944</f>
        <v>7.5986709440000002</v>
      </c>
      <c r="DN149">
        <f>7.969895947</f>
        <v>7.9698959470000004</v>
      </c>
      <c r="DO149">
        <f>10.03437411</f>
        <v>10.03437411</v>
      </c>
      <c r="DP149">
        <f>6.782624053</f>
        <v>6.7826240530000002</v>
      </c>
      <c r="DQ149">
        <f>9.121133002</f>
        <v>9.1211330020000005</v>
      </c>
      <c r="DR149">
        <f>5.407686234</f>
        <v>5.4076862339999998</v>
      </c>
      <c r="DS149" t="str">
        <f>""</f>
        <v/>
      </c>
      <c r="DT149">
        <f>9.340658833</f>
        <v>9.3406588330000009</v>
      </c>
      <c r="DU149">
        <f>8.154141951</f>
        <v>8.1541419509999997</v>
      </c>
    </row>
    <row r="150" spans="1:125">
      <c r="A150" t="str">
        <f>"    Columbia Property Trust Inc"</f>
        <v xml:space="preserve">    Columbia Property Trust Inc</v>
      </c>
      <c r="B150" t="str">
        <f>"CXP US Equity"</f>
        <v>CXP US Equity</v>
      </c>
      <c r="C150" t="str">
        <f t="shared" si="39"/>
        <v>RX902</v>
      </c>
      <c r="D150" t="str">
        <f t="shared" si="40"/>
        <v>ANN_NOI_GR_AST_NET_RTL_DEV_CTD_%</v>
      </c>
      <c r="E150" t="str">
        <f t="shared" si="41"/>
        <v>动态</v>
      </c>
      <c r="F150" t="str">
        <f ca="1">IF(AND(ISNUMBER($F$458),$B$294=1),$F$458,HLOOKUP(INDIRECT(ADDRESS(2,COLUMN())),OFFSET($BN$2,0,0,ROW()-1,60),ROW()-1,FALSE))</f>
        <v/>
      </c>
      <c r="G150">
        <f ca="1">IF(AND(ISNUMBER($G$458),$B$294=1),$G$458,HLOOKUP(INDIRECT(ADDRESS(2,COLUMN())),OFFSET($BN$2,0,0,ROW()-1,60),ROW()-1,FALSE))</f>
        <v>5.1563821660000002</v>
      </c>
      <c r="H150">
        <f ca="1">IF(AND(ISNUMBER($H$458),$B$294=1),$H$458,HLOOKUP(INDIRECT(ADDRESS(2,COLUMN())),OFFSET($BN$2,0,0,ROW()-1,60),ROW()-1,FALSE))</f>
        <v>4.8354766290000004</v>
      </c>
      <c r="I150">
        <f ca="1">IF(AND(ISNUMBER($I$458),$B$294=1),$I$458,HLOOKUP(INDIRECT(ADDRESS(2,COLUMN())),OFFSET($BN$2,0,0,ROW()-1,60),ROW()-1,FALSE))</f>
        <v>4.7735232180000002</v>
      </c>
      <c r="J150">
        <f ca="1">IF(AND(ISNUMBER($J$458),$B$294=1),$J$458,HLOOKUP(INDIRECT(ADDRESS(2,COLUMN())),OFFSET($BN$2,0,0,ROW()-1,60),ROW()-1,FALSE))</f>
        <v>4.9980143549999996</v>
      </c>
      <c r="K150">
        <f ca="1">IF(AND(ISNUMBER($K$458),$B$294=1),$K$458,HLOOKUP(INDIRECT(ADDRESS(2,COLUMN())),OFFSET($BN$2,0,0,ROW()-1,60),ROW()-1,FALSE))</f>
        <v>19.2040547</v>
      </c>
      <c r="L150">
        <f ca="1">IF(AND(ISNUMBER($L$458),$B$294=1),$L$458,HLOOKUP(INDIRECT(ADDRESS(2,COLUMN())),OFFSET($BN$2,0,0,ROW()-1,60),ROW()-1,FALSE))</f>
        <v>5.9040250529999998</v>
      </c>
      <c r="M150">
        <f ca="1">IF(AND(ISNUMBER($M$458),$B$294=1),$M$458,HLOOKUP(INDIRECT(ADDRESS(2,COLUMN())),OFFSET($BN$2,0,0,ROW()-1,60),ROW()-1,FALSE))</f>
        <v>6.6776133150000003</v>
      </c>
      <c r="N150">
        <f ca="1">IF(AND(ISNUMBER($N$458),$B$294=1),$N$458,HLOOKUP(INDIRECT(ADDRESS(2,COLUMN())),OFFSET($BN$2,0,0,ROW()-1,60),ROW()-1,FALSE))</f>
        <v>6.2917127429999997</v>
      </c>
      <c r="O150">
        <f ca="1">IF(AND(ISNUMBER($O$458),$B$294=1),$O$458,HLOOKUP(INDIRECT(ADDRESS(2,COLUMN())),OFFSET($BN$2,0,0,ROW()-1,60),ROW()-1,FALSE))</f>
        <v>6.42387774</v>
      </c>
      <c r="P150">
        <f ca="1">IF(AND(ISNUMBER($P$458),$B$294=1),$P$458,HLOOKUP(INDIRECT(ADDRESS(2,COLUMN())),OFFSET($BN$2,0,0,ROW()-1,60),ROW()-1,FALSE))</f>
        <v>5.761797992</v>
      </c>
      <c r="Q150">
        <f ca="1">IF(AND(ISNUMBER($Q$458),$B$294=1),$Q$458,HLOOKUP(INDIRECT(ADDRESS(2,COLUMN())),OFFSET($BN$2,0,0,ROW()-1,60),ROW()-1,FALSE))</f>
        <v>6.4849725039999999</v>
      </c>
      <c r="R150">
        <f ca="1">IF(AND(ISNUMBER($R$458),$B$294=1),$R$458,HLOOKUP(INDIRECT(ADDRESS(2,COLUMN())),OFFSET($BN$2,0,0,ROW()-1,60),ROW()-1,FALSE))</f>
        <v>6.2672309540000004</v>
      </c>
      <c r="S150">
        <f ca="1">IF(AND(ISNUMBER($S$458),$B$294=1),$S$458,HLOOKUP(INDIRECT(ADDRESS(2,COLUMN())),OFFSET($BN$2,0,0,ROW()-1,60),ROW()-1,FALSE))</f>
        <v>6.3572582960000004</v>
      </c>
      <c r="T150">
        <f ca="1">IF(AND(ISNUMBER($T$458),$B$294=1),$T$458,HLOOKUP(INDIRECT(ADDRESS(2,COLUMN())),OFFSET($BN$2,0,0,ROW()-1,60),ROW()-1,FALSE))</f>
        <v>6.4767385830000004</v>
      </c>
      <c r="U150">
        <f ca="1">IF(AND(ISNUMBER($U$458),$B$294=1),$U$458,HLOOKUP(INDIRECT(ADDRESS(2,COLUMN())),OFFSET($BN$2,0,0,ROW()-1,60),ROW()-1,FALSE))</f>
        <v>6.7377811779999996</v>
      </c>
      <c r="V150">
        <f ca="1">IF(AND(ISNUMBER($V$458),$B$294=1),$V$458,HLOOKUP(INDIRECT(ADDRESS(2,COLUMN())),OFFSET($BN$2,0,0,ROW()-1,60),ROW()-1,FALSE))</f>
        <v>6.6209734039999999</v>
      </c>
      <c r="W150">
        <f ca="1">IF(AND(ISNUMBER($W$458),$B$294=1),$W$458,HLOOKUP(INDIRECT(ADDRESS(2,COLUMN())),OFFSET($BN$2,0,0,ROW()-1,60),ROW()-1,FALSE))</f>
        <v>6.952192803</v>
      </c>
      <c r="X150">
        <f ca="1">IF(AND(ISNUMBER($X$458),$B$294=1),$X$458,HLOOKUP(INDIRECT(ADDRESS(2,COLUMN())),OFFSET($BN$2,0,0,ROW()-1,60),ROW()-1,FALSE))</f>
        <v>6.3460188960000004</v>
      </c>
      <c r="Y150">
        <f ca="1">IF(AND(ISNUMBER($Y$458),$B$294=1),$Y$458,HLOOKUP(INDIRECT(ADDRESS(2,COLUMN())),OFFSET($BN$2,0,0,ROW()-1,60),ROW()-1,FALSE))</f>
        <v>6.430486771</v>
      </c>
      <c r="Z150">
        <f ca="1">IF(AND(ISNUMBER($Z$458),$B$294=1),$Z$458,HLOOKUP(INDIRECT(ADDRESS(2,COLUMN())),OFFSET($BN$2,0,0,ROW()-1,60),ROW()-1,FALSE))</f>
        <v>6.2782798270000004</v>
      </c>
      <c r="AA150">
        <f ca="1">IF(AND(ISNUMBER($AA$458),$B$294=1),$AA$458,HLOOKUP(INDIRECT(ADDRESS(2,COLUMN())),OFFSET($BN$2,0,0,ROW()-1,60),ROW()-1,FALSE))</f>
        <v>6.1200234560000002</v>
      </c>
      <c r="AB150" t="str">
        <f ca="1">IF(AND(ISNUMBER($AB$458),$B$294=1),$AB$458,HLOOKUP(INDIRECT(ADDRESS(2,COLUMN())),OFFSET($BN$2,0,0,ROW()-1,60),ROW()-1,FALSE))</f>
        <v/>
      </c>
      <c r="AC150" t="str">
        <f ca="1">IF(AND(ISNUMBER($AC$458),$B$294=1),$AC$458,HLOOKUP(INDIRECT(ADDRESS(2,COLUMN())),OFFSET($BN$2,0,0,ROW()-1,60),ROW()-1,FALSE))</f>
        <v/>
      </c>
      <c r="AD150" t="str">
        <f ca="1">IF(AND(ISNUMBER($AD$458),$B$294=1),$AD$458,HLOOKUP(INDIRECT(ADDRESS(2,COLUMN())),OFFSET($BN$2,0,0,ROW()-1,60),ROW()-1,FALSE))</f>
        <v/>
      </c>
      <c r="AE150" t="str">
        <f ca="1">IF(AND(ISNUMBER($AE$458),$B$294=1),$AE$458,HLOOKUP(INDIRECT(ADDRESS(2,COLUMN())),OFFSET($BN$2,0,0,ROW()-1,60),ROW()-1,FALSE))</f>
        <v/>
      </c>
      <c r="AF150" t="str">
        <f ca="1">IF(AND(ISNUMBER($AF$458),$B$294=1),$AF$458,HLOOKUP(INDIRECT(ADDRESS(2,COLUMN())),OFFSET($BN$2,0,0,ROW()-1,60),ROW()-1,FALSE))</f>
        <v/>
      </c>
      <c r="AG150" t="str">
        <f ca="1">IF(AND(ISNUMBER($AG$458),$B$294=1),$AG$458,HLOOKUP(INDIRECT(ADDRESS(2,COLUMN())),OFFSET($BN$2,0,0,ROW()-1,60),ROW()-1,FALSE))</f>
        <v/>
      </c>
      <c r="AH150" t="str">
        <f ca="1">IF(AND(ISNUMBER($AH$458),$B$294=1),$AH$458,HLOOKUP(INDIRECT(ADDRESS(2,COLUMN())),OFFSET($BN$2,0,0,ROW()-1,60),ROW()-1,FALSE))</f>
        <v/>
      </c>
      <c r="AI150" t="str">
        <f ca="1">IF(AND(ISNUMBER($AI$458),$B$294=1),$AI$458,HLOOKUP(INDIRECT(ADDRESS(2,COLUMN())),OFFSET($BN$2,0,0,ROW()-1,60),ROW()-1,FALSE))</f>
        <v/>
      </c>
      <c r="AJ150" t="str">
        <f ca="1">IF(AND(ISNUMBER($AJ$458),$B$294=1),$AJ$458,HLOOKUP(INDIRECT(ADDRESS(2,COLUMN())),OFFSET($BN$2,0,0,ROW()-1,60),ROW()-1,FALSE))</f>
        <v/>
      </c>
      <c r="AK150" t="str">
        <f ca="1">IF(AND(ISNUMBER($AK$458),$B$294=1),$AK$458,HLOOKUP(INDIRECT(ADDRESS(2,COLUMN())),OFFSET($BN$2,0,0,ROW()-1,60),ROW()-1,FALSE))</f>
        <v/>
      </c>
      <c r="AL150" t="str">
        <f ca="1">IF(AND(ISNUMBER($AL$458),$B$294=1),$AL$458,HLOOKUP(INDIRECT(ADDRESS(2,COLUMN())),OFFSET($BN$2,0,0,ROW()-1,60),ROW()-1,FALSE))</f>
        <v/>
      </c>
      <c r="AM150" t="str">
        <f ca="1">IF(AND(ISNUMBER($AM$458),$B$294=1),$AM$458,HLOOKUP(INDIRECT(ADDRESS(2,COLUMN())),OFFSET($BN$2,0,0,ROW()-1,60),ROW()-1,FALSE))</f>
        <v/>
      </c>
      <c r="AN150" t="str">
        <f ca="1">IF(AND(ISNUMBER($AN$458),$B$294=1),$AN$458,HLOOKUP(INDIRECT(ADDRESS(2,COLUMN())),OFFSET($BN$2,0,0,ROW()-1,60),ROW()-1,FALSE))</f>
        <v/>
      </c>
      <c r="AO150" t="str">
        <f ca="1">IF(AND(ISNUMBER($AO$458),$B$294=1),$AO$458,HLOOKUP(INDIRECT(ADDRESS(2,COLUMN())),OFFSET($BN$2,0,0,ROW()-1,60),ROW()-1,FALSE))</f>
        <v/>
      </c>
      <c r="AP150" t="str">
        <f ca="1">IF(AND(ISNUMBER($AP$458),$B$294=1),$AP$458,HLOOKUP(INDIRECT(ADDRESS(2,COLUMN())),OFFSET($BN$2,0,0,ROW()-1,60),ROW()-1,FALSE))</f>
        <v/>
      </c>
      <c r="AQ150" t="str">
        <f ca="1">IF(AND(ISNUMBER($AQ$458),$B$294=1),$AQ$458,HLOOKUP(INDIRECT(ADDRESS(2,COLUMN())),OFFSET($BN$2,0,0,ROW()-1,60),ROW()-1,FALSE))</f>
        <v/>
      </c>
      <c r="AR150" t="str">
        <f ca="1">IF(AND(ISNUMBER($AR$458),$B$294=1),$AR$458,HLOOKUP(INDIRECT(ADDRESS(2,COLUMN())),OFFSET($BN$2,0,0,ROW()-1,60),ROW()-1,FALSE))</f>
        <v/>
      </c>
      <c r="AS150" t="str">
        <f ca="1">IF(AND(ISNUMBER($AS$458),$B$294=1),$AS$458,HLOOKUP(INDIRECT(ADDRESS(2,COLUMN())),OFFSET($BN$2,0,0,ROW()-1,60),ROW()-1,FALSE))</f>
        <v/>
      </c>
      <c r="AT150" t="str">
        <f ca="1">IF(AND(ISNUMBER($AT$458),$B$294=1),$AT$458,HLOOKUP(INDIRECT(ADDRESS(2,COLUMN())),OFFSET($BN$2,0,0,ROW()-1,60),ROW()-1,FALSE))</f>
        <v/>
      </c>
      <c r="AU150" t="str">
        <f ca="1">IF(AND(ISNUMBER($AU$458),$B$294=1),$AU$458,HLOOKUP(INDIRECT(ADDRESS(2,COLUMN())),OFFSET($BN$2,0,0,ROW()-1,60),ROW()-1,FALSE))</f>
        <v/>
      </c>
      <c r="AV150" t="str">
        <f ca="1">IF(AND(ISNUMBER($AV$458),$B$294=1),$AV$458,HLOOKUP(INDIRECT(ADDRESS(2,COLUMN())),OFFSET($BN$2,0,0,ROW()-1,60),ROW()-1,FALSE))</f>
        <v/>
      </c>
      <c r="AW150" t="str">
        <f ca="1">IF(AND(ISNUMBER($AW$458),$B$294=1),$AW$458,HLOOKUP(INDIRECT(ADDRESS(2,COLUMN())),OFFSET($BN$2,0,0,ROW()-1,60),ROW()-1,FALSE))</f>
        <v/>
      </c>
      <c r="AX150" t="str">
        <f ca="1">IF(AND(ISNUMBER($AX$458),$B$294=1),$AX$458,HLOOKUP(INDIRECT(ADDRESS(2,COLUMN())),OFFSET($BN$2,0,0,ROW()-1,60),ROW()-1,FALSE))</f>
        <v/>
      </c>
      <c r="AY150" t="str">
        <f ca="1">IF(AND(ISNUMBER($AY$458),$B$294=1),$AY$458,HLOOKUP(INDIRECT(ADDRESS(2,COLUMN())),OFFSET($BN$2,0,0,ROW()-1,60),ROW()-1,FALSE))</f>
        <v/>
      </c>
      <c r="AZ150" t="str">
        <f ca="1">IF(AND(ISNUMBER($AZ$458),$B$294=1),$AZ$458,HLOOKUP(INDIRECT(ADDRESS(2,COLUMN())),OFFSET($BN$2,0,0,ROW()-1,60),ROW()-1,FALSE))</f>
        <v/>
      </c>
      <c r="BA150" t="str">
        <f ca="1">IF(AND(ISNUMBER($BA$458),$B$294=1),$BA$458,HLOOKUP(INDIRECT(ADDRESS(2,COLUMN())),OFFSET($BN$2,0,0,ROW()-1,60),ROW()-1,FALSE))</f>
        <v/>
      </c>
      <c r="BB150" t="str">
        <f ca="1">IF(AND(ISNUMBER($BB$458),$B$294=1),$BB$458,HLOOKUP(INDIRECT(ADDRESS(2,COLUMN())),OFFSET($BN$2,0,0,ROW()-1,60),ROW()-1,FALSE))</f>
        <v/>
      </c>
      <c r="BC150" t="str">
        <f ca="1">IF(AND(ISNUMBER($BC$458),$B$294=1),$BC$458,HLOOKUP(INDIRECT(ADDRESS(2,COLUMN())),OFFSET($BN$2,0,0,ROW()-1,60),ROW()-1,FALSE))</f>
        <v/>
      </c>
      <c r="BD150" t="str">
        <f ca="1">IF(AND(ISNUMBER($BD$458),$B$294=1),$BD$458,HLOOKUP(INDIRECT(ADDRESS(2,COLUMN())),OFFSET($BN$2,0,0,ROW()-1,60),ROW()-1,FALSE))</f>
        <v/>
      </c>
      <c r="BE150" t="str">
        <f ca="1">IF(AND(ISNUMBER($BE$458),$B$294=1),$BE$458,HLOOKUP(INDIRECT(ADDRESS(2,COLUMN())),OFFSET($BN$2,0,0,ROW()-1,60),ROW()-1,FALSE))</f>
        <v/>
      </c>
      <c r="BF150" t="str">
        <f ca="1">IF(AND(ISNUMBER($BF$458),$B$294=1),$BF$458,HLOOKUP(INDIRECT(ADDRESS(2,COLUMN())),OFFSET($BN$2,0,0,ROW()-1,60),ROW()-1,FALSE))</f>
        <v/>
      </c>
      <c r="BG150" t="str">
        <f ca="1">IF(AND(ISNUMBER($BG$458),$B$294=1),$BG$458,HLOOKUP(INDIRECT(ADDRESS(2,COLUMN())),OFFSET($BN$2,0,0,ROW()-1,60),ROW()-1,FALSE))</f>
        <v/>
      </c>
      <c r="BH150" t="str">
        <f ca="1">IF(AND(ISNUMBER($BH$458),$B$294=1),$BH$458,HLOOKUP(INDIRECT(ADDRESS(2,COLUMN())),OFFSET($BN$2,0,0,ROW()-1,60),ROW()-1,FALSE))</f>
        <v/>
      </c>
      <c r="BI150" t="str">
        <f ca="1">IF(AND(ISNUMBER($BI$458),$B$294=1),$BI$458,HLOOKUP(INDIRECT(ADDRESS(2,COLUMN())),OFFSET($BN$2,0,0,ROW()-1,60),ROW()-1,FALSE))</f>
        <v/>
      </c>
      <c r="BJ150" t="str">
        <f ca="1">IF(AND(ISNUMBER($BJ$458),$B$294=1),$BJ$458,HLOOKUP(INDIRECT(ADDRESS(2,COLUMN())),OFFSET($BN$2,0,0,ROW()-1,60),ROW()-1,FALSE))</f>
        <v/>
      </c>
      <c r="BK150" t="str">
        <f ca="1">IF(AND(ISNUMBER($BK$458),$B$294=1),$BK$458,HLOOKUP(INDIRECT(ADDRESS(2,COLUMN())),OFFSET($BN$2,0,0,ROW()-1,60),ROW()-1,FALSE))</f>
        <v/>
      </c>
      <c r="BL150" t="str">
        <f ca="1">IF(AND(ISNUMBER($BL$458),$B$294=1),$BL$458,HLOOKUP(INDIRECT(ADDRESS(2,COLUMN())),OFFSET($BN$2,0,0,ROW()-1,60),ROW()-1,FALSE))</f>
        <v/>
      </c>
      <c r="BM150" t="str">
        <f ca="1">IF(AND(ISNUMBER($BM$458),$B$294=1),$BM$458,HLOOKUP(INDIRECT(ADDRESS(2,COLUMN())),OFFSET($BN$2,0,0,ROW()-1,60),ROW()-1,FALSE))</f>
        <v/>
      </c>
      <c r="BN150" t="str">
        <f>""</f>
        <v/>
      </c>
      <c r="BO150">
        <f>5.156382166</f>
        <v>5.1563821660000002</v>
      </c>
      <c r="BP150">
        <f>4.835476629</f>
        <v>4.8354766290000004</v>
      </c>
      <c r="BQ150">
        <f>4.773523218</f>
        <v>4.7735232180000002</v>
      </c>
      <c r="BR150">
        <f>4.998014355</f>
        <v>4.9980143549999996</v>
      </c>
      <c r="BS150">
        <f>19.2040547</f>
        <v>19.2040547</v>
      </c>
      <c r="BT150">
        <f>5.904025053</f>
        <v>5.9040250529999998</v>
      </c>
      <c r="BU150">
        <f>6.677613315</f>
        <v>6.6776133150000003</v>
      </c>
      <c r="BV150">
        <f>6.291712743</f>
        <v>6.2917127429999997</v>
      </c>
      <c r="BW150">
        <f>6.42387774</f>
        <v>6.42387774</v>
      </c>
      <c r="BX150">
        <f>5.761797992</f>
        <v>5.761797992</v>
      </c>
      <c r="BY150">
        <f>6.484972504</f>
        <v>6.4849725039999999</v>
      </c>
      <c r="BZ150">
        <f>6.267230954</f>
        <v>6.2672309540000004</v>
      </c>
      <c r="CA150">
        <f>6.357258296</f>
        <v>6.3572582960000004</v>
      </c>
      <c r="CB150">
        <f>6.476738583</f>
        <v>6.4767385830000004</v>
      </c>
      <c r="CC150">
        <f>6.737781178</f>
        <v>6.7377811779999996</v>
      </c>
      <c r="CD150">
        <f>6.620973404</f>
        <v>6.6209734039999999</v>
      </c>
      <c r="CE150">
        <f>6.952192803</f>
        <v>6.952192803</v>
      </c>
      <c r="CF150">
        <f>6.346018896</f>
        <v>6.3460188960000004</v>
      </c>
      <c r="CG150">
        <f>6.430486771</f>
        <v>6.430486771</v>
      </c>
      <c r="CH150">
        <f>6.278279827</f>
        <v>6.2782798270000004</v>
      </c>
      <c r="CI150">
        <f>6.120023456</f>
        <v>6.1200234560000002</v>
      </c>
      <c r="CJ150" t="str">
        <f>""</f>
        <v/>
      </c>
      <c r="CK150" t="str">
        <f>""</f>
        <v/>
      </c>
      <c r="CL150" t="str">
        <f>""</f>
        <v/>
      </c>
      <c r="CM150" t="str">
        <f>""</f>
        <v/>
      </c>
      <c r="CN150" t="str">
        <f>""</f>
        <v/>
      </c>
      <c r="CO150" t="str">
        <f>""</f>
        <v/>
      </c>
      <c r="CP150" t="str">
        <f>""</f>
        <v/>
      </c>
      <c r="CQ150" t="str">
        <f>""</f>
        <v/>
      </c>
      <c r="CR150" t="str">
        <f>""</f>
        <v/>
      </c>
      <c r="CS150" t="str">
        <f>""</f>
        <v/>
      </c>
      <c r="CT150" t="str">
        <f>""</f>
        <v/>
      </c>
      <c r="CU150" t="str">
        <f>""</f>
        <v/>
      </c>
      <c r="CV150" t="str">
        <f>""</f>
        <v/>
      </c>
      <c r="CW150" t="str">
        <f>""</f>
        <v/>
      </c>
      <c r="CX150" t="str">
        <f>""</f>
        <v/>
      </c>
      <c r="CY150" t="str">
        <f>""</f>
        <v/>
      </c>
      <c r="CZ150" t="str">
        <f>""</f>
        <v/>
      </c>
      <c r="DA150" t="str">
        <f>""</f>
        <v/>
      </c>
      <c r="DB150" t="str">
        <f>""</f>
        <v/>
      </c>
      <c r="DC150" t="str">
        <f>""</f>
        <v/>
      </c>
      <c r="DD150" t="str">
        <f>""</f>
        <v/>
      </c>
      <c r="DE150" t="str">
        <f>""</f>
        <v/>
      </c>
      <c r="DF150" t="str">
        <f>""</f>
        <v/>
      </c>
      <c r="DG150" t="str">
        <f>""</f>
        <v/>
      </c>
      <c r="DH150" t="str">
        <f>""</f>
        <v/>
      </c>
      <c r="DI150" t="str">
        <f>""</f>
        <v/>
      </c>
      <c r="DJ150" t="str">
        <f>""</f>
        <v/>
      </c>
      <c r="DK150" t="str">
        <f>""</f>
        <v/>
      </c>
      <c r="DL150" t="str">
        <f>""</f>
        <v/>
      </c>
      <c r="DM150" t="str">
        <f>""</f>
        <v/>
      </c>
      <c r="DN150" t="str">
        <f>""</f>
        <v/>
      </c>
      <c r="DO150" t="str">
        <f>""</f>
        <v/>
      </c>
      <c r="DP150" t="str">
        <f>""</f>
        <v/>
      </c>
      <c r="DQ150" t="str">
        <f>""</f>
        <v/>
      </c>
      <c r="DR150" t="str">
        <f>""</f>
        <v/>
      </c>
      <c r="DS150" t="str">
        <f>""</f>
        <v/>
      </c>
      <c r="DT150" t="str">
        <f>""</f>
        <v/>
      </c>
      <c r="DU150" t="str">
        <f>""</f>
        <v/>
      </c>
    </row>
    <row r="151" spans="1:125">
      <c r="A151" t="str">
        <f>"    Corporate Office Properties Tr"</f>
        <v xml:space="preserve">    Corporate Office Properties Tr</v>
      </c>
      <c r="B151" t="str">
        <f>"OFC US Equity"</f>
        <v>OFC US Equity</v>
      </c>
      <c r="C151" t="str">
        <f t="shared" si="39"/>
        <v>RX902</v>
      </c>
      <c r="D151" t="str">
        <f t="shared" si="40"/>
        <v>ANN_NOI_GR_AST_NET_RTL_DEV_CTD_%</v>
      </c>
      <c r="E151" t="str">
        <f t="shared" si="41"/>
        <v>动态</v>
      </c>
      <c r="F151" t="str">
        <f ca="1">IF(AND(ISNUMBER($F$459),$B$294=1),$F$459,HLOOKUP(INDIRECT(ADDRESS(2,COLUMN())),OFFSET($BN$2,0,0,ROW()-1,60),ROW()-1,FALSE))</f>
        <v/>
      </c>
      <c r="G151">
        <f ca="1">IF(AND(ISNUMBER($G$459),$B$294=1),$G$459,HLOOKUP(INDIRECT(ADDRESS(2,COLUMN())),OFFSET($BN$2,0,0,ROW()-1,60),ROW()-1,FALSE))</f>
        <v>7.4722596880000003</v>
      </c>
      <c r="H151">
        <f ca="1">IF(AND(ISNUMBER($H$459),$B$294=1),$H$459,HLOOKUP(INDIRECT(ADDRESS(2,COLUMN())),OFFSET($BN$2,0,0,ROW()-1,60),ROW()-1,FALSE))</f>
        <v>7.6091088889999998</v>
      </c>
      <c r="I151">
        <f ca="1">IF(AND(ISNUMBER($I$459),$B$294=1),$I$459,HLOOKUP(INDIRECT(ADDRESS(2,COLUMN())),OFFSET($BN$2,0,0,ROW()-1,60),ROW()-1,FALSE))</f>
        <v>7.4790968790000001</v>
      </c>
      <c r="J151">
        <f ca="1">IF(AND(ISNUMBER($J$459),$B$294=1),$J$459,HLOOKUP(INDIRECT(ADDRESS(2,COLUMN())),OFFSET($BN$2,0,0,ROW()-1,60),ROW()-1,FALSE))</f>
        <v>7.1154452959999999</v>
      </c>
      <c r="K151">
        <f ca="1">IF(AND(ISNUMBER($K$459),$B$294=1),$K$459,HLOOKUP(INDIRECT(ADDRESS(2,COLUMN())),OFFSET($BN$2,0,0,ROW()-1,60),ROW()-1,FALSE))</f>
        <v>7.2858553199999996</v>
      </c>
      <c r="L151">
        <f ca="1">IF(AND(ISNUMBER($L$459),$B$294=1),$L$459,HLOOKUP(INDIRECT(ADDRESS(2,COLUMN())),OFFSET($BN$2,0,0,ROW()-1,60),ROW()-1,FALSE))</f>
        <v>7.6011372509999999</v>
      </c>
      <c r="M151">
        <f ca="1">IF(AND(ISNUMBER($M$459),$B$294=1),$M$459,HLOOKUP(INDIRECT(ADDRESS(2,COLUMN())),OFFSET($BN$2,0,0,ROW()-1,60),ROW()-1,FALSE))</f>
        <v>7.59054436</v>
      </c>
      <c r="N151">
        <f ca="1">IF(AND(ISNUMBER($N$459),$B$294=1),$N$459,HLOOKUP(INDIRECT(ADDRESS(2,COLUMN())),OFFSET($BN$2,0,0,ROW()-1,60),ROW()-1,FALSE))</f>
        <v>6.9841896410000004</v>
      </c>
      <c r="O151">
        <f ca="1">IF(AND(ISNUMBER($O$459),$B$294=1),$O$459,HLOOKUP(INDIRECT(ADDRESS(2,COLUMN())),OFFSET($BN$2,0,0,ROW()-1,60),ROW()-1,FALSE))</f>
        <v>7.460742894</v>
      </c>
      <c r="P151">
        <f ca="1">IF(AND(ISNUMBER($P$459),$B$294=1),$P$459,HLOOKUP(INDIRECT(ADDRESS(2,COLUMN())),OFFSET($BN$2,0,0,ROW()-1,60),ROW()-1,FALSE))</f>
        <v>7.3822324569999997</v>
      </c>
      <c r="Q151">
        <f ca="1">IF(AND(ISNUMBER($Q$459),$B$294=1),$Q$459,HLOOKUP(INDIRECT(ADDRESS(2,COLUMN())),OFFSET($BN$2,0,0,ROW()-1,60),ROW()-1,FALSE))</f>
        <v>7.0592230999999996</v>
      </c>
      <c r="R151">
        <f ca="1">IF(AND(ISNUMBER($R$459),$B$294=1),$R$459,HLOOKUP(INDIRECT(ADDRESS(2,COLUMN())),OFFSET($BN$2,0,0,ROW()-1,60),ROW()-1,FALSE))</f>
        <v>6.3997241929999999</v>
      </c>
      <c r="S151">
        <f ca="1">IF(AND(ISNUMBER($S$459),$B$294=1),$S$459,HLOOKUP(INDIRECT(ADDRESS(2,COLUMN())),OFFSET($BN$2,0,0,ROW()-1,60),ROW()-1,FALSE))</f>
        <v>7.079949965</v>
      </c>
      <c r="T151">
        <f ca="1">IF(AND(ISNUMBER($T$459),$B$294=1),$T$459,HLOOKUP(INDIRECT(ADDRESS(2,COLUMN())),OFFSET($BN$2,0,0,ROW()-1,60),ROW()-1,FALSE))</f>
        <v>6.9140090819999998</v>
      </c>
      <c r="U151">
        <f ca="1">IF(AND(ISNUMBER($U$459),$B$294=1),$U$459,HLOOKUP(INDIRECT(ADDRESS(2,COLUMN())),OFFSET($BN$2,0,0,ROW()-1,60),ROW()-1,FALSE))</f>
        <v>6.6082680329999999</v>
      </c>
      <c r="V151">
        <f ca="1">IF(AND(ISNUMBER($V$459),$B$294=1),$V$459,HLOOKUP(INDIRECT(ADDRESS(2,COLUMN())),OFFSET($BN$2,0,0,ROW()-1,60),ROW()-1,FALSE))</f>
        <v>7.0872597160000002</v>
      </c>
      <c r="W151">
        <f ca="1">IF(AND(ISNUMBER($W$459),$B$294=1),$W$459,HLOOKUP(INDIRECT(ADDRESS(2,COLUMN())),OFFSET($BN$2,0,0,ROW()-1,60),ROW()-1,FALSE))</f>
        <v>7.5334450909999999</v>
      </c>
      <c r="X151">
        <f ca="1">IF(AND(ISNUMBER($X$459),$B$294=1),$X$459,HLOOKUP(INDIRECT(ADDRESS(2,COLUMN())),OFFSET($BN$2,0,0,ROW()-1,60),ROW()-1,FALSE))</f>
        <v>7.2964088250000003</v>
      </c>
      <c r="Y151">
        <f ca="1">IF(AND(ISNUMBER($Y$459),$B$294=1),$Y$459,HLOOKUP(INDIRECT(ADDRESS(2,COLUMN())),OFFSET($BN$2,0,0,ROW()-1,60),ROW()-1,FALSE))</f>
        <v>7.5041338780000002</v>
      </c>
      <c r="Z151">
        <f ca="1">IF(AND(ISNUMBER($Z$459),$B$294=1),$Z$459,HLOOKUP(INDIRECT(ADDRESS(2,COLUMN())),OFFSET($BN$2,0,0,ROW()-1,60),ROW()-1,FALSE))</f>
        <v>7.3225734840000003</v>
      </c>
      <c r="AA151">
        <f ca="1">IF(AND(ISNUMBER($AA$459),$B$294=1),$AA$459,HLOOKUP(INDIRECT(ADDRESS(2,COLUMN())),OFFSET($BN$2,0,0,ROW()-1,60),ROW()-1,FALSE))</f>
        <v>7.2329510609999996</v>
      </c>
      <c r="AB151">
        <f ca="1">IF(AND(ISNUMBER($AB$459),$B$294=1),$AB$459,HLOOKUP(INDIRECT(ADDRESS(2,COLUMN())),OFFSET($BN$2,0,0,ROW()-1,60),ROW()-1,FALSE))</f>
        <v>7.3255864229999998</v>
      </c>
      <c r="AC151">
        <f ca="1">IF(AND(ISNUMBER($AC$459),$B$294=1),$AC$459,HLOOKUP(INDIRECT(ADDRESS(2,COLUMN())),OFFSET($BN$2,0,0,ROW()-1,60),ROW()-1,FALSE))</f>
        <v>7.4736640310000002</v>
      </c>
      <c r="AD151">
        <f ca="1">IF(AND(ISNUMBER($AD$459),$B$294=1),$AD$459,HLOOKUP(INDIRECT(ADDRESS(2,COLUMN())),OFFSET($BN$2,0,0,ROW()-1,60),ROW()-1,FALSE))</f>
        <v>7.2129150729999996</v>
      </c>
      <c r="AE151">
        <f ca="1">IF(AND(ISNUMBER($AE$459),$B$294=1),$AE$459,HLOOKUP(INDIRECT(ADDRESS(2,COLUMN())),OFFSET($BN$2,0,0,ROW()-1,60),ROW()-1,FALSE))</f>
        <v>6.9190099370000002</v>
      </c>
      <c r="AF151">
        <f ca="1">IF(AND(ISNUMBER($AF$459),$B$294=1),$AF$459,HLOOKUP(INDIRECT(ADDRESS(2,COLUMN())),OFFSET($BN$2,0,0,ROW()-1,60),ROW()-1,FALSE))</f>
        <v>6.8280730419999998</v>
      </c>
      <c r="AG151">
        <f ca="1">IF(AND(ISNUMBER($AG$459),$B$294=1),$AG$459,HLOOKUP(INDIRECT(ADDRESS(2,COLUMN())),OFFSET($BN$2,0,0,ROW()-1,60),ROW()-1,FALSE))</f>
        <v>6.9277222180000004</v>
      </c>
      <c r="AH151">
        <f ca="1">IF(AND(ISNUMBER($AH$459),$B$294=1),$AH$459,HLOOKUP(INDIRECT(ADDRESS(2,COLUMN())),OFFSET($BN$2,0,0,ROW()-1,60),ROW()-1,FALSE))</f>
        <v>6.5827473899999998</v>
      </c>
      <c r="AI151">
        <f ca="1">IF(AND(ISNUMBER($AI$459),$B$294=1),$AI$459,HLOOKUP(INDIRECT(ADDRESS(2,COLUMN())),OFFSET($BN$2,0,0,ROW()-1,60),ROW()-1,FALSE))</f>
        <v>7.0562976979999998</v>
      </c>
      <c r="AJ151">
        <f ca="1">IF(AND(ISNUMBER($AJ$459),$B$294=1),$AJ$459,HLOOKUP(INDIRECT(ADDRESS(2,COLUMN())),OFFSET($BN$2,0,0,ROW()-1,60),ROW()-1,FALSE))</f>
        <v>6.709118031</v>
      </c>
      <c r="AK151">
        <f ca="1">IF(AND(ISNUMBER($AK$459),$B$294=1),$AK$459,HLOOKUP(INDIRECT(ADDRESS(2,COLUMN())),OFFSET($BN$2,0,0,ROW()-1,60),ROW()-1,FALSE))</f>
        <v>7.1197582539999997</v>
      </c>
      <c r="AL151">
        <f ca="1">IF(AND(ISNUMBER($AL$459),$B$294=1),$AL$459,HLOOKUP(INDIRECT(ADDRESS(2,COLUMN())),OFFSET($BN$2,0,0,ROW()-1,60),ROW()-1,FALSE))</f>
        <v>6.7500793549999996</v>
      </c>
      <c r="AM151">
        <f ca="1">IF(AND(ISNUMBER($AM$459),$B$294=1),$AM$459,HLOOKUP(INDIRECT(ADDRESS(2,COLUMN())),OFFSET($BN$2,0,0,ROW()-1,60),ROW()-1,FALSE))</f>
        <v>7.0430414240000001</v>
      </c>
      <c r="AN151">
        <f ca="1">IF(AND(ISNUMBER($AN$459),$B$294=1),$AN$459,HLOOKUP(INDIRECT(ADDRESS(2,COLUMN())),OFFSET($BN$2,0,0,ROW()-1,60),ROW()-1,FALSE))</f>
        <v>7.2958060680000001</v>
      </c>
      <c r="AO151">
        <f ca="1">IF(AND(ISNUMBER($AO$459),$B$294=1),$AO$459,HLOOKUP(INDIRECT(ADDRESS(2,COLUMN())),OFFSET($BN$2,0,0,ROW()-1,60),ROW()-1,FALSE))</f>
        <v>7.657620928</v>
      </c>
      <c r="AP151">
        <f ca="1">IF(AND(ISNUMBER($AP$459),$B$294=1),$AP$459,HLOOKUP(INDIRECT(ADDRESS(2,COLUMN())),OFFSET($BN$2,0,0,ROW()-1,60),ROW()-1,FALSE))</f>
        <v>7.750696649</v>
      </c>
      <c r="AQ151">
        <f ca="1">IF(AND(ISNUMBER($AQ$459),$B$294=1),$AQ$459,HLOOKUP(INDIRECT(ADDRESS(2,COLUMN())),OFFSET($BN$2,0,0,ROW()-1,60),ROW()-1,FALSE))</f>
        <v>7.7299688289999997</v>
      </c>
      <c r="AR151">
        <f ca="1">IF(AND(ISNUMBER($AR$459),$B$294=1),$AR$459,HLOOKUP(INDIRECT(ADDRESS(2,COLUMN())),OFFSET($BN$2,0,0,ROW()-1,60),ROW()-1,FALSE))</f>
        <v>7.5859287609999999</v>
      </c>
      <c r="AS151">
        <f ca="1">IF(AND(ISNUMBER($AS$459),$B$294=1),$AS$459,HLOOKUP(INDIRECT(ADDRESS(2,COLUMN())),OFFSET($BN$2,0,0,ROW()-1,60),ROW()-1,FALSE))</f>
        <v>7.6921391300000002</v>
      </c>
      <c r="AT151">
        <f ca="1">IF(AND(ISNUMBER($AT$459),$B$294=1),$AT$459,HLOOKUP(INDIRECT(ADDRESS(2,COLUMN())),OFFSET($BN$2,0,0,ROW()-1,60),ROW()-1,FALSE))</f>
        <v>7.7219824570000002</v>
      </c>
      <c r="AU151">
        <f ca="1">IF(AND(ISNUMBER($AU$459),$B$294=1),$AU$459,HLOOKUP(INDIRECT(ADDRESS(2,COLUMN())),OFFSET($BN$2,0,0,ROW()-1,60),ROW()-1,FALSE))</f>
        <v>7.8971980479999999</v>
      </c>
      <c r="AV151">
        <f ca="1">IF(AND(ISNUMBER($AV$459),$B$294=1),$AV$459,HLOOKUP(INDIRECT(ADDRESS(2,COLUMN())),OFFSET($BN$2,0,0,ROW()-1,60),ROW()-1,FALSE))</f>
        <v>7.8642918709999998</v>
      </c>
      <c r="AW151">
        <f ca="1">IF(AND(ISNUMBER($AW$459),$B$294=1),$AW$459,HLOOKUP(INDIRECT(ADDRESS(2,COLUMN())),OFFSET($BN$2,0,0,ROW()-1,60),ROW()-1,FALSE))</f>
        <v>7.9529325430000002</v>
      </c>
      <c r="AX151">
        <f ca="1">IF(AND(ISNUMBER($AX$459),$B$294=1),$AX$459,HLOOKUP(INDIRECT(ADDRESS(2,COLUMN())),OFFSET($BN$2,0,0,ROW()-1,60),ROW()-1,FALSE))</f>
        <v>7.6508991850000001</v>
      </c>
      <c r="AY151">
        <f ca="1">IF(AND(ISNUMBER($AY$459),$B$294=1),$AY$459,HLOOKUP(INDIRECT(ADDRESS(2,COLUMN())),OFFSET($BN$2,0,0,ROW()-1,60),ROW()-1,FALSE))</f>
        <v>8.4323320729999995</v>
      </c>
      <c r="AZ151">
        <f ca="1">IF(AND(ISNUMBER($AZ$459),$B$294=1),$AZ$459,HLOOKUP(INDIRECT(ADDRESS(2,COLUMN())),OFFSET($BN$2,0,0,ROW()-1,60),ROW()-1,FALSE))</f>
        <v>8.3282483250000006</v>
      </c>
      <c r="BA151">
        <f ca="1">IF(AND(ISNUMBER($BA$459),$B$294=1),$BA$459,HLOOKUP(INDIRECT(ADDRESS(2,COLUMN())),OFFSET($BN$2,0,0,ROW()-1,60),ROW()-1,FALSE))</f>
        <v>8.0975314750000003</v>
      </c>
      <c r="BB151">
        <f ca="1">IF(AND(ISNUMBER($BB$459),$B$294=1),$BB$459,HLOOKUP(INDIRECT(ADDRESS(2,COLUMN())),OFFSET($BN$2,0,0,ROW()-1,60),ROW()-1,FALSE))</f>
        <v>8.6147683829999995</v>
      </c>
      <c r="BC151">
        <f ca="1">IF(AND(ISNUMBER($BC$459),$B$294=1),$BC$459,HLOOKUP(INDIRECT(ADDRESS(2,COLUMN())),OFFSET($BN$2,0,0,ROW()-1,60),ROW()-1,FALSE))</f>
        <v>8.8156453379999995</v>
      </c>
      <c r="BD151">
        <f ca="1">IF(AND(ISNUMBER($BD$459),$B$294=1),$BD$459,HLOOKUP(INDIRECT(ADDRESS(2,COLUMN())),OFFSET($BN$2,0,0,ROW()-1,60),ROW()-1,FALSE))</f>
        <v>8.5881692110000003</v>
      </c>
      <c r="BE151">
        <f ca="1">IF(AND(ISNUMBER($BE$459),$B$294=1),$BE$459,HLOOKUP(INDIRECT(ADDRESS(2,COLUMN())),OFFSET($BN$2,0,0,ROW()-1,60),ROW()-1,FALSE))</f>
        <v>8.4078201129999997</v>
      </c>
      <c r="BF151">
        <f ca="1">IF(AND(ISNUMBER($BF$459),$B$294=1),$BF$459,HLOOKUP(INDIRECT(ADDRESS(2,COLUMN())),OFFSET($BN$2,0,0,ROW()-1,60),ROW()-1,FALSE))</f>
        <v>8.5467204429999999</v>
      </c>
      <c r="BG151" t="str">
        <f ca="1">IF(AND(ISNUMBER($BG$459),$B$294=1),$BG$459,HLOOKUP(INDIRECT(ADDRESS(2,COLUMN())),OFFSET($BN$2,0,0,ROW()-1,60),ROW()-1,FALSE))</f>
        <v/>
      </c>
      <c r="BH151">
        <f ca="1">IF(AND(ISNUMBER($BH$459),$B$294=1),$BH$459,HLOOKUP(INDIRECT(ADDRESS(2,COLUMN())),OFFSET($BN$2,0,0,ROW()-1,60),ROW()-1,FALSE))</f>
        <v>8.2840787979999995</v>
      </c>
      <c r="BI151" t="str">
        <f ca="1">IF(AND(ISNUMBER($BI$459),$B$294=1),$BI$459,HLOOKUP(INDIRECT(ADDRESS(2,COLUMN())),OFFSET($BN$2,0,0,ROW()-1,60),ROW()-1,FALSE))</f>
        <v/>
      </c>
      <c r="BJ151" t="str">
        <f ca="1">IF(AND(ISNUMBER($BJ$459),$B$294=1),$BJ$459,HLOOKUP(INDIRECT(ADDRESS(2,COLUMN())),OFFSET($BN$2,0,0,ROW()-1,60),ROW()-1,FALSE))</f>
        <v/>
      </c>
      <c r="BK151" t="str">
        <f ca="1">IF(AND(ISNUMBER($BK$459),$B$294=1),$BK$459,HLOOKUP(INDIRECT(ADDRESS(2,COLUMN())),OFFSET($BN$2,0,0,ROW()-1,60),ROW()-1,FALSE))</f>
        <v/>
      </c>
      <c r="BL151" t="str">
        <f ca="1">IF(AND(ISNUMBER($BL$459),$B$294=1),$BL$459,HLOOKUP(INDIRECT(ADDRESS(2,COLUMN())),OFFSET($BN$2,0,0,ROW()-1,60),ROW()-1,FALSE))</f>
        <v/>
      </c>
      <c r="BM151" t="str">
        <f ca="1">IF(AND(ISNUMBER($BM$459),$B$294=1),$BM$459,HLOOKUP(INDIRECT(ADDRESS(2,COLUMN())),OFFSET($BN$2,0,0,ROW()-1,60),ROW()-1,FALSE))</f>
        <v/>
      </c>
      <c r="BN151" t="str">
        <f>""</f>
        <v/>
      </c>
      <c r="BO151">
        <f>7.472259688</f>
        <v>7.4722596880000003</v>
      </c>
      <c r="BP151">
        <f>7.609108889</f>
        <v>7.6091088889999998</v>
      </c>
      <c r="BQ151">
        <f>7.479096879</f>
        <v>7.4790968790000001</v>
      </c>
      <c r="BR151">
        <f>7.115445296</f>
        <v>7.1154452959999999</v>
      </c>
      <c r="BS151">
        <f>7.28585532</f>
        <v>7.2858553199999996</v>
      </c>
      <c r="BT151">
        <f>7.601137251</f>
        <v>7.6011372509999999</v>
      </c>
      <c r="BU151">
        <f>7.59054436</f>
        <v>7.59054436</v>
      </c>
      <c r="BV151">
        <f>6.984189641</f>
        <v>6.9841896410000004</v>
      </c>
      <c r="BW151">
        <f>7.460742894</f>
        <v>7.460742894</v>
      </c>
      <c r="BX151">
        <f>7.382232457</f>
        <v>7.3822324569999997</v>
      </c>
      <c r="BY151">
        <f>7.0592231</f>
        <v>7.0592230999999996</v>
      </c>
      <c r="BZ151">
        <f>6.399724193</f>
        <v>6.3997241929999999</v>
      </c>
      <c r="CA151">
        <f>7.079949965</f>
        <v>7.079949965</v>
      </c>
      <c r="CB151">
        <f>6.914009082</f>
        <v>6.9140090819999998</v>
      </c>
      <c r="CC151">
        <f>6.608268033</f>
        <v>6.6082680329999999</v>
      </c>
      <c r="CD151">
        <f>7.087259716</f>
        <v>7.0872597160000002</v>
      </c>
      <c r="CE151">
        <f>7.533445091</f>
        <v>7.5334450909999999</v>
      </c>
      <c r="CF151">
        <f>7.296408825</f>
        <v>7.2964088250000003</v>
      </c>
      <c r="CG151">
        <f>7.504133878</f>
        <v>7.5041338780000002</v>
      </c>
      <c r="CH151">
        <f>7.322573484</f>
        <v>7.3225734840000003</v>
      </c>
      <c r="CI151">
        <f>7.232951061</f>
        <v>7.2329510609999996</v>
      </c>
      <c r="CJ151">
        <f>7.325586423</f>
        <v>7.3255864229999998</v>
      </c>
      <c r="CK151">
        <f>7.473664031</f>
        <v>7.4736640310000002</v>
      </c>
      <c r="CL151">
        <f>7.212915073</f>
        <v>7.2129150729999996</v>
      </c>
      <c r="CM151">
        <f>6.919009937</f>
        <v>6.9190099370000002</v>
      </c>
      <c r="CN151">
        <f>6.828073042</f>
        <v>6.8280730419999998</v>
      </c>
      <c r="CO151">
        <f>6.927722218</f>
        <v>6.9277222180000004</v>
      </c>
      <c r="CP151">
        <f>6.58274739</f>
        <v>6.5827473899999998</v>
      </c>
      <c r="CQ151">
        <f>7.056297698</f>
        <v>7.0562976979999998</v>
      </c>
      <c r="CR151">
        <f>6.709118031</f>
        <v>6.709118031</v>
      </c>
      <c r="CS151">
        <f>7.119758254</f>
        <v>7.1197582539999997</v>
      </c>
      <c r="CT151">
        <f>6.750079355</f>
        <v>6.7500793549999996</v>
      </c>
      <c r="CU151">
        <f>7.043041424</f>
        <v>7.0430414240000001</v>
      </c>
      <c r="CV151">
        <f>7.295806068</f>
        <v>7.2958060680000001</v>
      </c>
      <c r="CW151">
        <f>7.657620928</f>
        <v>7.657620928</v>
      </c>
      <c r="CX151">
        <f>7.750696649</f>
        <v>7.750696649</v>
      </c>
      <c r="CY151">
        <f>7.729968829</f>
        <v>7.7299688289999997</v>
      </c>
      <c r="CZ151">
        <f>7.585928761</f>
        <v>7.5859287609999999</v>
      </c>
      <c r="DA151">
        <f>7.69213913</f>
        <v>7.6921391300000002</v>
      </c>
      <c r="DB151">
        <f>7.721982457</f>
        <v>7.7219824570000002</v>
      </c>
      <c r="DC151">
        <f>7.897198048</f>
        <v>7.8971980479999999</v>
      </c>
      <c r="DD151">
        <f>7.864291871</f>
        <v>7.8642918709999998</v>
      </c>
      <c r="DE151">
        <f>7.952932543</f>
        <v>7.9529325430000002</v>
      </c>
      <c r="DF151">
        <f>7.650899185</f>
        <v>7.6508991850000001</v>
      </c>
      <c r="DG151">
        <f>8.432332073</f>
        <v>8.4323320729999995</v>
      </c>
      <c r="DH151">
        <f>8.328248325</f>
        <v>8.3282483250000006</v>
      </c>
      <c r="DI151">
        <f>8.097531475</f>
        <v>8.0975314750000003</v>
      </c>
      <c r="DJ151">
        <f>8.614768383</f>
        <v>8.6147683829999995</v>
      </c>
      <c r="DK151">
        <f>8.815645338</f>
        <v>8.8156453379999995</v>
      </c>
      <c r="DL151">
        <f>8.588169211</f>
        <v>8.5881692110000003</v>
      </c>
      <c r="DM151">
        <f>8.407820113</f>
        <v>8.4078201129999997</v>
      </c>
      <c r="DN151">
        <f>8.546720443</f>
        <v>8.5467204429999999</v>
      </c>
      <c r="DO151" t="str">
        <f>""</f>
        <v/>
      </c>
      <c r="DP151">
        <f>8.284078798</f>
        <v>8.2840787979999995</v>
      </c>
      <c r="DQ151" t="str">
        <f>""</f>
        <v/>
      </c>
      <c r="DR151" t="str">
        <f>""</f>
        <v/>
      </c>
      <c r="DS151" t="str">
        <f>""</f>
        <v/>
      </c>
      <c r="DT151" t="str">
        <f>""</f>
        <v/>
      </c>
      <c r="DU151" t="str">
        <f>""</f>
        <v/>
      </c>
    </row>
    <row r="152" spans="1:125">
      <c r="A152" t="str">
        <f>"    Highwoods Properties Inc"</f>
        <v xml:space="preserve">    Highwoods Properties Inc</v>
      </c>
      <c r="B152" t="str">
        <f>"HIW US Equity"</f>
        <v>HIW US Equity</v>
      </c>
      <c r="C152" t="str">
        <f t="shared" si="39"/>
        <v>RX902</v>
      </c>
      <c r="D152" t="str">
        <f t="shared" si="40"/>
        <v>ANN_NOI_GR_AST_NET_RTL_DEV_CTD_%</v>
      </c>
      <c r="E152" t="str">
        <f t="shared" si="41"/>
        <v>动态</v>
      </c>
      <c r="F152" t="str">
        <f ca="1">IF(AND(ISNUMBER($F$460),$B$294=1),$F$460,HLOOKUP(INDIRECT(ADDRESS(2,COLUMN())),OFFSET($BN$2,0,0,ROW()-1,60),ROW()-1,FALSE))</f>
        <v/>
      </c>
      <c r="G152">
        <f ca="1">IF(AND(ISNUMBER($G$460),$B$294=1),$G$460,HLOOKUP(INDIRECT(ADDRESS(2,COLUMN())),OFFSET($BN$2,0,0,ROW()-1,60),ROW()-1,FALSE))</f>
        <v>7.9953795049999998</v>
      </c>
      <c r="H152">
        <f ca="1">IF(AND(ISNUMBER($H$460),$B$294=1),$H$460,HLOOKUP(INDIRECT(ADDRESS(2,COLUMN())),OFFSET($BN$2,0,0,ROW()-1,60),ROW()-1,FALSE))</f>
        <v>8.2646356470000004</v>
      </c>
      <c r="I152">
        <f ca="1">IF(AND(ISNUMBER($I$460),$B$294=1),$I$460,HLOOKUP(INDIRECT(ADDRESS(2,COLUMN())),OFFSET($BN$2,0,0,ROW()-1,60),ROW()-1,FALSE))</f>
        <v>8.2755603900000008</v>
      </c>
      <c r="J152">
        <f ca="1">IF(AND(ISNUMBER($J$460),$B$294=1),$J$460,HLOOKUP(INDIRECT(ADDRESS(2,COLUMN())),OFFSET($BN$2,0,0,ROW()-1,60),ROW()-1,FALSE))</f>
        <v>7.8389259300000003</v>
      </c>
      <c r="K152">
        <f ca="1">IF(AND(ISNUMBER($K$460),$B$294=1),$K$460,HLOOKUP(INDIRECT(ADDRESS(2,COLUMN())),OFFSET($BN$2,0,0,ROW()-1,60),ROW()-1,FALSE))</f>
        <v>7.7452528489999999</v>
      </c>
      <c r="L152">
        <f ca="1">IF(AND(ISNUMBER($L$460),$B$294=1),$L$460,HLOOKUP(INDIRECT(ADDRESS(2,COLUMN())),OFFSET($BN$2,0,0,ROW()-1,60),ROW()-1,FALSE))</f>
        <v>7.7246622089999999</v>
      </c>
      <c r="M152">
        <f ca="1">IF(AND(ISNUMBER($M$460),$B$294=1),$M$460,HLOOKUP(INDIRECT(ADDRESS(2,COLUMN())),OFFSET($BN$2,0,0,ROW()-1,60),ROW()-1,FALSE))</f>
        <v>7.772366924</v>
      </c>
      <c r="N152">
        <f ca="1">IF(AND(ISNUMBER($N$460),$B$294=1),$N$460,HLOOKUP(INDIRECT(ADDRESS(2,COLUMN())),OFFSET($BN$2,0,0,ROW()-1,60),ROW()-1,FALSE))</f>
        <v>7.7357908589999997</v>
      </c>
      <c r="O152">
        <f ca="1">IF(AND(ISNUMBER($O$460),$B$294=1),$O$460,HLOOKUP(INDIRECT(ADDRESS(2,COLUMN())),OFFSET($BN$2,0,0,ROW()-1,60),ROW()-1,FALSE))</f>
        <v>7.5264665119999998</v>
      </c>
      <c r="P152">
        <f ca="1">IF(AND(ISNUMBER($P$460),$B$294=1),$P$460,HLOOKUP(INDIRECT(ADDRESS(2,COLUMN())),OFFSET($BN$2,0,0,ROW()-1,60),ROW()-1,FALSE))</f>
        <v>7.4820141810000003</v>
      </c>
      <c r="Q152">
        <f ca="1">IF(AND(ISNUMBER($Q$460),$B$294=1),$Q$460,HLOOKUP(INDIRECT(ADDRESS(2,COLUMN())),OFFSET($BN$2,0,0,ROW()-1,60),ROW()-1,FALSE))</f>
        <v>7.5332506820000003</v>
      </c>
      <c r="R152">
        <f ca="1">IF(AND(ISNUMBER($R$460),$B$294=1),$R$460,HLOOKUP(INDIRECT(ADDRESS(2,COLUMN())),OFFSET($BN$2,0,0,ROW()-1,60),ROW()-1,FALSE))</f>
        <v>7.8799899880000002</v>
      </c>
      <c r="S152">
        <f ca="1">IF(AND(ISNUMBER($S$460),$B$294=1),$S$460,HLOOKUP(INDIRECT(ADDRESS(2,COLUMN())),OFFSET($BN$2,0,0,ROW()-1,60),ROW()-1,FALSE))</f>
        <v>7.2984728079999996</v>
      </c>
      <c r="T152">
        <f ca="1">IF(AND(ISNUMBER($T$460),$B$294=1),$T$460,HLOOKUP(INDIRECT(ADDRESS(2,COLUMN())),OFFSET($BN$2,0,0,ROW()-1,60),ROW()-1,FALSE))</f>
        <v>7.7622603019999996</v>
      </c>
      <c r="U152">
        <f ca="1">IF(AND(ISNUMBER($U$460),$B$294=1),$U$460,HLOOKUP(INDIRECT(ADDRESS(2,COLUMN())),OFFSET($BN$2,0,0,ROW()-1,60),ROW()-1,FALSE))</f>
        <v>7.9739343739999997</v>
      </c>
      <c r="V152">
        <f ca="1">IF(AND(ISNUMBER($V$460),$B$294=1),$V$460,HLOOKUP(INDIRECT(ADDRESS(2,COLUMN())),OFFSET($BN$2,0,0,ROW()-1,60),ROW()-1,FALSE))</f>
        <v>7.608631871</v>
      </c>
      <c r="W152">
        <f ca="1">IF(AND(ISNUMBER($W$460),$B$294=1),$W$460,HLOOKUP(INDIRECT(ADDRESS(2,COLUMN())),OFFSET($BN$2,0,0,ROW()-1,60),ROW()-1,FALSE))</f>
        <v>7.8172168319999997</v>
      </c>
      <c r="X152">
        <f ca="1">IF(AND(ISNUMBER($X$460),$B$294=1),$X$460,HLOOKUP(INDIRECT(ADDRESS(2,COLUMN())),OFFSET($BN$2,0,0,ROW()-1,60),ROW()-1,FALSE))</f>
        <v>7.4388122330000002</v>
      </c>
      <c r="Y152">
        <f ca="1">IF(AND(ISNUMBER($Y$460),$B$294=1),$Y$460,HLOOKUP(INDIRECT(ADDRESS(2,COLUMN())),OFFSET($BN$2,0,0,ROW()-1,60),ROW()-1,FALSE))</f>
        <v>7.5515009869999998</v>
      </c>
      <c r="Z152">
        <f ca="1">IF(AND(ISNUMBER($Z$460),$B$294=1),$Z$460,HLOOKUP(INDIRECT(ADDRESS(2,COLUMN())),OFFSET($BN$2,0,0,ROW()-1,60),ROW()-1,FALSE))</f>
        <v>7.6391353530000004</v>
      </c>
      <c r="AA152">
        <f ca="1">IF(AND(ISNUMBER($AA$460),$B$294=1),$AA$460,HLOOKUP(INDIRECT(ADDRESS(2,COLUMN())),OFFSET($BN$2,0,0,ROW()-1,60),ROW()-1,FALSE))</f>
        <v>6.6750984300000002</v>
      </c>
      <c r="AB152">
        <f ca="1">IF(AND(ISNUMBER($AB$460),$B$294=1),$AB$460,HLOOKUP(INDIRECT(ADDRESS(2,COLUMN())),OFFSET($BN$2,0,0,ROW()-1,60),ROW()-1,FALSE))</f>
        <v>7.4955161940000004</v>
      </c>
      <c r="AC152">
        <f ca="1">IF(AND(ISNUMBER($AC$460),$B$294=1),$AC$460,HLOOKUP(INDIRECT(ADDRESS(2,COLUMN())),OFFSET($BN$2,0,0,ROW()-1,60),ROW()-1,FALSE))</f>
        <v>7.9688339770000001</v>
      </c>
      <c r="AD152">
        <f ca="1">IF(AND(ISNUMBER($AD$460),$B$294=1),$AD$460,HLOOKUP(INDIRECT(ADDRESS(2,COLUMN())),OFFSET($BN$2,0,0,ROW()-1,60),ROW()-1,FALSE))</f>
        <v>7.88995069</v>
      </c>
      <c r="AE152">
        <f ca="1">IF(AND(ISNUMBER($AE$460),$B$294=1),$AE$460,HLOOKUP(INDIRECT(ADDRESS(2,COLUMN())),OFFSET($BN$2,0,0,ROW()-1,60),ROW()-1,FALSE))</f>
        <v>6.8590961369999999</v>
      </c>
      <c r="AF152">
        <f ca="1">IF(AND(ISNUMBER($AF$460),$B$294=1),$AF$460,HLOOKUP(INDIRECT(ADDRESS(2,COLUMN())),OFFSET($BN$2,0,0,ROW()-1,60),ROW()-1,FALSE))</f>
        <v>7.2319001910000003</v>
      </c>
      <c r="AG152">
        <f ca="1">IF(AND(ISNUMBER($AG$460),$B$294=1),$AG$460,HLOOKUP(INDIRECT(ADDRESS(2,COLUMN())),OFFSET($BN$2,0,0,ROW()-1,60),ROW()-1,FALSE))</f>
        <v>7.9633167340000002</v>
      </c>
      <c r="AH152">
        <f ca="1">IF(AND(ISNUMBER($AH$460),$B$294=1),$AH$460,HLOOKUP(INDIRECT(ADDRESS(2,COLUMN())),OFFSET($BN$2,0,0,ROW()-1,60),ROW()-1,FALSE))</f>
        <v>7.8696512969999999</v>
      </c>
      <c r="AI152">
        <f ca="1">IF(AND(ISNUMBER($AI$460),$B$294=1),$AI$460,HLOOKUP(INDIRECT(ADDRESS(2,COLUMN())),OFFSET($BN$2,0,0,ROW()-1,60),ROW()-1,FALSE))</f>
        <v>8.2872229730000004</v>
      </c>
      <c r="AJ152">
        <f ca="1">IF(AND(ISNUMBER($AJ$460),$B$294=1),$AJ$460,HLOOKUP(INDIRECT(ADDRESS(2,COLUMN())),OFFSET($BN$2,0,0,ROW()-1,60),ROW()-1,FALSE))</f>
        <v>7.8115400629999998</v>
      </c>
      <c r="AK152">
        <f ca="1">IF(AND(ISNUMBER($AK$460),$B$294=1),$AK$460,HLOOKUP(INDIRECT(ADDRESS(2,COLUMN())),OFFSET($BN$2,0,0,ROW()-1,60),ROW()-1,FALSE))</f>
        <v>8.2784380419999994</v>
      </c>
      <c r="AL152">
        <f ca="1">IF(AND(ISNUMBER($AL$460),$B$294=1),$AL$460,HLOOKUP(INDIRECT(ADDRESS(2,COLUMN())),OFFSET($BN$2,0,0,ROW()-1,60),ROW()-1,FALSE))</f>
        <v>8.0259034259999993</v>
      </c>
      <c r="AM152">
        <f ca="1">IF(AND(ISNUMBER($AM$460),$B$294=1),$AM$460,HLOOKUP(INDIRECT(ADDRESS(2,COLUMN())),OFFSET($BN$2,0,0,ROW()-1,60),ROW()-1,FALSE))</f>
        <v>15.652692589999999</v>
      </c>
      <c r="AN152">
        <f ca="1">IF(AND(ISNUMBER($AN$460),$B$294=1),$AN$460,HLOOKUP(INDIRECT(ADDRESS(2,COLUMN())),OFFSET($BN$2,0,0,ROW()-1,60),ROW()-1,FALSE))</f>
        <v>7.6499668319999996</v>
      </c>
      <c r="AO152">
        <f ca="1">IF(AND(ISNUMBER($AO$460),$B$294=1),$AO$460,HLOOKUP(INDIRECT(ADDRESS(2,COLUMN())),OFFSET($BN$2,0,0,ROW()-1,60),ROW()-1,FALSE))</f>
        <v>8.0002936570000003</v>
      </c>
      <c r="AP152">
        <f ca="1">IF(AND(ISNUMBER($AP$460),$B$294=1),$AP$460,HLOOKUP(INDIRECT(ADDRESS(2,COLUMN())),OFFSET($BN$2,0,0,ROW()-1,60),ROW()-1,FALSE))</f>
        <v>7.9147881629999999</v>
      </c>
      <c r="AQ152">
        <f ca="1">IF(AND(ISNUMBER($AQ$460),$B$294=1),$AQ$460,HLOOKUP(INDIRECT(ADDRESS(2,COLUMN())),OFFSET($BN$2,0,0,ROW()-1,60),ROW()-1,FALSE))</f>
        <v>7.5882882980000002</v>
      </c>
      <c r="AR152">
        <f ca="1">IF(AND(ISNUMBER($AR$460),$B$294=1),$AR$460,HLOOKUP(INDIRECT(ADDRESS(2,COLUMN())),OFFSET($BN$2,0,0,ROW()-1,60),ROW()-1,FALSE))</f>
        <v>7.7985578789999996</v>
      </c>
      <c r="AS152">
        <f ca="1">IF(AND(ISNUMBER($AS$460),$B$294=1),$AS$460,HLOOKUP(INDIRECT(ADDRESS(2,COLUMN())),OFFSET($BN$2,0,0,ROW()-1,60),ROW()-1,FALSE))</f>
        <v>7.8847361400000002</v>
      </c>
      <c r="AT152">
        <f ca="1">IF(AND(ISNUMBER($AT$460),$B$294=1),$AT$460,HLOOKUP(INDIRECT(ADDRESS(2,COLUMN())),OFFSET($BN$2,0,0,ROW()-1,60),ROW()-1,FALSE))</f>
        <v>8.2648542739999993</v>
      </c>
      <c r="AU152">
        <f ca="1">IF(AND(ISNUMBER($AU$460),$B$294=1),$AU$460,HLOOKUP(INDIRECT(ADDRESS(2,COLUMN())),OFFSET($BN$2,0,0,ROW()-1,60),ROW()-1,FALSE))</f>
        <v>7.9280458070000002</v>
      </c>
      <c r="AV152">
        <f ca="1">IF(AND(ISNUMBER($AV$460),$B$294=1),$AV$460,HLOOKUP(INDIRECT(ADDRESS(2,COLUMN())),OFFSET($BN$2,0,0,ROW()-1,60),ROW()-1,FALSE))</f>
        <v>7.7736921140000002</v>
      </c>
      <c r="AW152">
        <f ca="1">IF(AND(ISNUMBER($AW$460),$B$294=1),$AW$460,HLOOKUP(INDIRECT(ADDRESS(2,COLUMN())),OFFSET($BN$2,0,0,ROW()-1,60),ROW()-1,FALSE))</f>
        <v>7.6841271969999996</v>
      </c>
      <c r="AX152">
        <f ca="1">IF(AND(ISNUMBER($AX$460),$B$294=1),$AX$460,HLOOKUP(INDIRECT(ADDRESS(2,COLUMN())),OFFSET($BN$2,0,0,ROW()-1,60),ROW()-1,FALSE))</f>
        <v>7.8814931970000002</v>
      </c>
      <c r="AY152">
        <f ca="1">IF(AND(ISNUMBER($AY$460),$B$294=1),$AY$460,HLOOKUP(INDIRECT(ADDRESS(2,COLUMN())),OFFSET($BN$2,0,0,ROW()-1,60),ROW()-1,FALSE))</f>
        <v>7.690407671</v>
      </c>
      <c r="AZ152">
        <f ca="1">IF(AND(ISNUMBER($AZ$460),$B$294=1),$AZ$460,HLOOKUP(INDIRECT(ADDRESS(2,COLUMN())),OFFSET($BN$2,0,0,ROW()-1,60),ROW()-1,FALSE))</f>
        <v>7.5123626410000002</v>
      </c>
      <c r="BA152">
        <f ca="1">IF(AND(ISNUMBER($BA$460),$B$294=1),$BA$460,HLOOKUP(INDIRECT(ADDRESS(2,COLUMN())),OFFSET($BN$2,0,0,ROW()-1,60),ROW()-1,FALSE))</f>
        <v>7.7144387180000003</v>
      </c>
      <c r="BB152">
        <f ca="1">IF(AND(ISNUMBER($BB$460),$B$294=1),$BB$460,HLOOKUP(INDIRECT(ADDRESS(2,COLUMN())),OFFSET($BN$2,0,0,ROW()-1,60),ROW()-1,FALSE))</f>
        <v>7.639402155</v>
      </c>
      <c r="BC152" t="str">
        <f ca="1">IF(AND(ISNUMBER($BC$460),$B$294=1),$BC$460,HLOOKUP(INDIRECT(ADDRESS(2,COLUMN())),OFFSET($BN$2,0,0,ROW()-1,60),ROW()-1,FALSE))</f>
        <v/>
      </c>
      <c r="BD152">
        <f ca="1">IF(AND(ISNUMBER($BD$460),$B$294=1),$BD$460,HLOOKUP(INDIRECT(ADDRESS(2,COLUMN())),OFFSET($BN$2,0,0,ROW()-1,60),ROW()-1,FALSE))</f>
        <v>7.2217330110000004</v>
      </c>
      <c r="BE152">
        <f ca="1">IF(AND(ISNUMBER($BE$460),$B$294=1),$BE$460,HLOOKUP(INDIRECT(ADDRESS(2,COLUMN())),OFFSET($BN$2,0,0,ROW()-1,60),ROW()-1,FALSE))</f>
        <v>7.1395033640000003</v>
      </c>
      <c r="BF152">
        <f ca="1">IF(AND(ISNUMBER($BF$460),$B$294=1),$BF$460,HLOOKUP(INDIRECT(ADDRESS(2,COLUMN())),OFFSET($BN$2,0,0,ROW()-1,60),ROW()-1,FALSE))</f>
        <v>7.0000437729999998</v>
      </c>
      <c r="BG152">
        <f ca="1">IF(AND(ISNUMBER($BG$460),$B$294=1),$BG$460,HLOOKUP(INDIRECT(ADDRESS(2,COLUMN())),OFFSET($BN$2,0,0,ROW()-1,60),ROW()-1,FALSE))</f>
        <v>5.5542962320000004</v>
      </c>
      <c r="BH152">
        <f ca="1">IF(AND(ISNUMBER($BH$460),$B$294=1),$BH$460,HLOOKUP(INDIRECT(ADDRESS(2,COLUMN())),OFFSET($BN$2,0,0,ROW()-1,60),ROW()-1,FALSE))</f>
        <v>6.700793977</v>
      </c>
      <c r="BI152">
        <f ca="1">IF(AND(ISNUMBER($BI$460),$B$294=1),$BI$460,HLOOKUP(INDIRECT(ADDRESS(2,COLUMN())),OFFSET($BN$2,0,0,ROW()-1,60),ROW()-1,FALSE))</f>
        <v>7.0787529620000003</v>
      </c>
      <c r="BJ152">
        <f ca="1">IF(AND(ISNUMBER($BJ$460),$B$294=1),$BJ$460,HLOOKUP(INDIRECT(ADDRESS(2,COLUMN())),OFFSET($BN$2,0,0,ROW()-1,60),ROW()-1,FALSE))</f>
        <v>7.2024327780000004</v>
      </c>
      <c r="BK152" t="str">
        <f ca="1">IF(AND(ISNUMBER($BK$460),$B$294=1),$BK$460,HLOOKUP(INDIRECT(ADDRESS(2,COLUMN())),OFFSET($BN$2,0,0,ROW()-1,60),ROW()-1,FALSE))</f>
        <v/>
      </c>
      <c r="BL152">
        <f ca="1">IF(AND(ISNUMBER($BL$460),$B$294=1),$BL$460,HLOOKUP(INDIRECT(ADDRESS(2,COLUMN())),OFFSET($BN$2,0,0,ROW()-1,60),ROW()-1,FALSE))</f>
        <v>8.0362104310000007</v>
      </c>
      <c r="BM152">
        <f ca="1">IF(AND(ISNUMBER($BM$460),$B$294=1),$BM$460,HLOOKUP(INDIRECT(ADDRESS(2,COLUMN())),OFFSET($BN$2,0,0,ROW()-1,60),ROW()-1,FALSE))</f>
        <v>8.5105986629999997</v>
      </c>
      <c r="BN152" t="str">
        <f>""</f>
        <v/>
      </c>
      <c r="BO152">
        <f>7.995379505</f>
        <v>7.9953795049999998</v>
      </c>
      <c r="BP152">
        <f>8.264635647</f>
        <v>8.2646356470000004</v>
      </c>
      <c r="BQ152">
        <f>8.27556039</f>
        <v>8.2755603900000008</v>
      </c>
      <c r="BR152">
        <f>7.83892593</f>
        <v>7.8389259300000003</v>
      </c>
      <c r="BS152">
        <f>7.745252849</f>
        <v>7.7452528489999999</v>
      </c>
      <c r="BT152">
        <f>7.724662209</f>
        <v>7.7246622089999999</v>
      </c>
      <c r="BU152">
        <f>7.772366924</f>
        <v>7.772366924</v>
      </c>
      <c r="BV152">
        <f>7.735790859</f>
        <v>7.7357908589999997</v>
      </c>
      <c r="BW152">
        <f>7.526466512</f>
        <v>7.5264665119999998</v>
      </c>
      <c r="BX152">
        <f>7.482014181</f>
        <v>7.4820141810000003</v>
      </c>
      <c r="BY152">
        <f>7.533250682</f>
        <v>7.5332506820000003</v>
      </c>
      <c r="BZ152">
        <f>7.879989988</f>
        <v>7.8799899880000002</v>
      </c>
      <c r="CA152">
        <f>7.298472808</f>
        <v>7.2984728079999996</v>
      </c>
      <c r="CB152">
        <f>7.762260302</f>
        <v>7.7622603019999996</v>
      </c>
      <c r="CC152">
        <f>7.973934374</f>
        <v>7.9739343739999997</v>
      </c>
      <c r="CD152">
        <f>7.608631871</f>
        <v>7.608631871</v>
      </c>
      <c r="CE152">
        <f>7.817216832</f>
        <v>7.8172168319999997</v>
      </c>
      <c r="CF152">
        <f>7.438812233</f>
        <v>7.4388122330000002</v>
      </c>
      <c r="CG152">
        <f>7.551500987</f>
        <v>7.5515009869999998</v>
      </c>
      <c r="CH152">
        <f>7.639135353</f>
        <v>7.6391353530000004</v>
      </c>
      <c r="CI152">
        <f>6.67509843</f>
        <v>6.6750984300000002</v>
      </c>
      <c r="CJ152">
        <f>7.495516194</f>
        <v>7.4955161940000004</v>
      </c>
      <c r="CK152">
        <f>7.968833977</f>
        <v>7.9688339770000001</v>
      </c>
      <c r="CL152">
        <f>7.88995069</f>
        <v>7.88995069</v>
      </c>
      <c r="CM152">
        <f>6.859096137</f>
        <v>6.8590961369999999</v>
      </c>
      <c r="CN152">
        <f>7.231900191</f>
        <v>7.2319001910000003</v>
      </c>
      <c r="CO152">
        <f>7.963316734</f>
        <v>7.9633167340000002</v>
      </c>
      <c r="CP152">
        <f>7.869651297</f>
        <v>7.8696512969999999</v>
      </c>
      <c r="CQ152">
        <f>8.287222973</f>
        <v>8.2872229730000004</v>
      </c>
      <c r="CR152">
        <f>7.811540063</f>
        <v>7.8115400629999998</v>
      </c>
      <c r="CS152">
        <f>8.278438042</f>
        <v>8.2784380419999994</v>
      </c>
      <c r="CT152">
        <f>8.025903426</f>
        <v>8.0259034259999993</v>
      </c>
      <c r="CU152">
        <f>15.65269259</f>
        <v>15.652692589999999</v>
      </c>
      <c r="CV152">
        <f>7.649966832</f>
        <v>7.6499668319999996</v>
      </c>
      <c r="CW152">
        <f>8.000293657</f>
        <v>8.0002936570000003</v>
      </c>
      <c r="CX152">
        <f>7.914788163</f>
        <v>7.9147881629999999</v>
      </c>
      <c r="CY152">
        <f>7.588288298</f>
        <v>7.5882882980000002</v>
      </c>
      <c r="CZ152">
        <f>7.798557879</f>
        <v>7.7985578789999996</v>
      </c>
      <c r="DA152">
        <f>7.88473614</f>
        <v>7.8847361400000002</v>
      </c>
      <c r="DB152">
        <f>8.264854274</f>
        <v>8.2648542739999993</v>
      </c>
      <c r="DC152">
        <f>7.928045807</f>
        <v>7.9280458070000002</v>
      </c>
      <c r="DD152">
        <f>7.773692114</f>
        <v>7.7736921140000002</v>
      </c>
      <c r="DE152">
        <f>7.684127197</f>
        <v>7.6841271969999996</v>
      </c>
      <c r="DF152">
        <f>7.881493197</f>
        <v>7.8814931970000002</v>
      </c>
      <c r="DG152">
        <f>7.690407671</f>
        <v>7.690407671</v>
      </c>
      <c r="DH152">
        <f>7.512362641</f>
        <v>7.5123626410000002</v>
      </c>
      <c r="DI152">
        <f>7.714438718</f>
        <v>7.7144387180000003</v>
      </c>
      <c r="DJ152">
        <f>7.639402155</f>
        <v>7.639402155</v>
      </c>
      <c r="DK152" t="str">
        <f>""</f>
        <v/>
      </c>
      <c r="DL152">
        <f>7.221733011</f>
        <v>7.2217330110000004</v>
      </c>
      <c r="DM152">
        <f>7.139503364</f>
        <v>7.1395033640000003</v>
      </c>
      <c r="DN152">
        <f>7.000043773</f>
        <v>7.0000437729999998</v>
      </c>
      <c r="DO152">
        <f>5.554296232</f>
        <v>5.5542962320000004</v>
      </c>
      <c r="DP152">
        <f>6.700793977</f>
        <v>6.700793977</v>
      </c>
      <c r="DQ152">
        <f>7.078752962</f>
        <v>7.0787529620000003</v>
      </c>
      <c r="DR152">
        <f>7.202432778</f>
        <v>7.2024327780000004</v>
      </c>
      <c r="DS152" t="str">
        <f>""</f>
        <v/>
      </c>
      <c r="DT152">
        <f>8.036210431</f>
        <v>8.0362104310000007</v>
      </c>
      <c r="DU152">
        <f>8.510598663</f>
        <v>8.5105986629999997</v>
      </c>
    </row>
    <row r="153" spans="1:125">
      <c r="A153" t="str">
        <f>"    Kilroy Realty Corp"</f>
        <v xml:space="preserve">    Kilroy Realty Corp</v>
      </c>
      <c r="B153" t="str">
        <f>"KRC US Equity"</f>
        <v>KRC US Equity</v>
      </c>
      <c r="C153" t="str">
        <f t="shared" si="39"/>
        <v>RX902</v>
      </c>
      <c r="D153" t="str">
        <f t="shared" si="40"/>
        <v>ANN_NOI_GR_AST_NET_RTL_DEV_CTD_%</v>
      </c>
      <c r="E153" t="str">
        <f t="shared" si="41"/>
        <v>动态</v>
      </c>
      <c r="F153" t="str">
        <f ca="1">IF(AND(ISNUMBER($F$461),$B$294=1),$F$461,HLOOKUP(INDIRECT(ADDRESS(2,COLUMN())),OFFSET($BN$2,0,0,ROW()-1,60),ROW()-1,FALSE))</f>
        <v/>
      </c>
      <c r="G153">
        <f ca="1">IF(AND(ISNUMBER($G$461),$B$294=1),$G$461,HLOOKUP(INDIRECT(ADDRESS(2,COLUMN())),OFFSET($BN$2,0,0,ROW()-1,60),ROW()-1,FALSE))</f>
        <v>6.3231436719999996</v>
      </c>
      <c r="H153">
        <f ca="1">IF(AND(ISNUMBER($H$461),$B$294=1),$H$461,HLOOKUP(INDIRECT(ADDRESS(2,COLUMN())),OFFSET($BN$2,0,0,ROW()-1,60),ROW()-1,FALSE))</f>
        <v>6.4308138760000002</v>
      </c>
      <c r="I153">
        <f ca="1">IF(AND(ISNUMBER($I$461),$B$294=1),$I$461,HLOOKUP(INDIRECT(ADDRESS(2,COLUMN())),OFFSET($BN$2,0,0,ROW()-1,60),ROW()-1,FALSE))</f>
        <v>6.260202692</v>
      </c>
      <c r="J153">
        <f ca="1">IF(AND(ISNUMBER($J$461),$B$294=1),$J$461,HLOOKUP(INDIRECT(ADDRESS(2,COLUMN())),OFFSET($BN$2,0,0,ROW()-1,60),ROW()-1,FALSE))</f>
        <v>6.218307265</v>
      </c>
      <c r="K153">
        <f ca="1">IF(AND(ISNUMBER($K$461),$B$294=1),$K$461,HLOOKUP(INDIRECT(ADDRESS(2,COLUMN())),OFFSET($BN$2,0,0,ROW()-1,60),ROW()-1,FALSE))</f>
        <v>6.2799066999999997</v>
      </c>
      <c r="L153">
        <f ca="1">IF(AND(ISNUMBER($L$461),$B$294=1),$L$461,HLOOKUP(INDIRECT(ADDRESS(2,COLUMN())),OFFSET($BN$2,0,0,ROW()-1,60),ROW()-1,FALSE))</f>
        <v>6.6178215839999996</v>
      </c>
      <c r="M153">
        <f ca="1">IF(AND(ISNUMBER($M$461),$B$294=1),$M$461,HLOOKUP(INDIRECT(ADDRESS(2,COLUMN())),OFFSET($BN$2,0,0,ROW()-1,60),ROW()-1,FALSE))</f>
        <v>6.3263904269999998</v>
      </c>
      <c r="N153">
        <f ca="1">IF(AND(ISNUMBER($N$461),$B$294=1),$N$461,HLOOKUP(INDIRECT(ADDRESS(2,COLUMN())),OFFSET($BN$2,0,0,ROW()-1,60),ROW()-1,FALSE))</f>
        <v>5.9471501050000004</v>
      </c>
      <c r="O153">
        <f ca="1">IF(AND(ISNUMBER($O$461),$B$294=1),$O$461,HLOOKUP(INDIRECT(ADDRESS(2,COLUMN())),OFFSET($BN$2,0,0,ROW()-1,60),ROW()-1,FALSE))</f>
        <v>6.1500972950000001</v>
      </c>
      <c r="P153">
        <f ca="1">IF(AND(ISNUMBER($P$461),$B$294=1),$P$461,HLOOKUP(INDIRECT(ADDRESS(2,COLUMN())),OFFSET($BN$2,0,0,ROW()-1,60),ROW()-1,FALSE))</f>
        <v>5.5444421009999996</v>
      </c>
      <c r="Q153">
        <f ca="1">IF(AND(ISNUMBER($Q$461),$B$294=1),$Q$461,HLOOKUP(INDIRECT(ADDRESS(2,COLUMN())),OFFSET($BN$2,0,0,ROW()-1,60),ROW()-1,FALSE))</f>
        <v>6.3823786159999996</v>
      </c>
      <c r="R153">
        <f ca="1">IF(AND(ISNUMBER($R$461),$B$294=1),$R$461,HLOOKUP(INDIRECT(ADDRESS(2,COLUMN())),OFFSET($BN$2,0,0,ROW()-1,60),ROW()-1,FALSE))</f>
        <v>6.4774426150000002</v>
      </c>
      <c r="S153">
        <f ca="1">IF(AND(ISNUMBER($S$461),$B$294=1),$S$461,HLOOKUP(INDIRECT(ADDRESS(2,COLUMN())),OFFSET($BN$2,0,0,ROW()-1,60),ROW()-1,FALSE))</f>
        <v>6.3233354610000001</v>
      </c>
      <c r="T153">
        <f ca="1">IF(AND(ISNUMBER($T$461),$B$294=1),$T$461,HLOOKUP(INDIRECT(ADDRESS(2,COLUMN())),OFFSET($BN$2,0,0,ROW()-1,60),ROW()-1,FALSE))</f>
        <v>5.783858876</v>
      </c>
      <c r="U153">
        <f ca="1">IF(AND(ISNUMBER($U$461),$B$294=1),$U$461,HLOOKUP(INDIRECT(ADDRESS(2,COLUMN())),OFFSET($BN$2,0,0,ROW()-1,60),ROW()-1,FALSE))</f>
        <v>5.9615168560000003</v>
      </c>
      <c r="V153">
        <f ca="1">IF(AND(ISNUMBER($V$461),$B$294=1),$V$461,HLOOKUP(INDIRECT(ADDRESS(2,COLUMN())),OFFSET($BN$2,0,0,ROW()-1,60),ROW()-1,FALSE))</f>
        <v>5.8647261420000003</v>
      </c>
      <c r="W153">
        <f ca="1">IF(AND(ISNUMBER($W$461),$B$294=1),$W$461,HLOOKUP(INDIRECT(ADDRESS(2,COLUMN())),OFFSET($BN$2,0,0,ROW()-1,60),ROW()-1,FALSE))</f>
        <v>6.0804875559999996</v>
      </c>
      <c r="X153">
        <f ca="1">IF(AND(ISNUMBER($X$461),$B$294=1),$X$461,HLOOKUP(INDIRECT(ADDRESS(2,COLUMN())),OFFSET($BN$2,0,0,ROW()-1,60),ROW()-1,FALSE))</f>
        <v>6.0400732020000003</v>
      </c>
      <c r="Y153">
        <f ca="1">IF(AND(ISNUMBER($Y$461),$B$294=1),$Y$461,HLOOKUP(INDIRECT(ADDRESS(2,COLUMN())),OFFSET($BN$2,0,0,ROW()-1,60),ROW()-1,FALSE))</f>
        <v>5.9660737590000004</v>
      </c>
      <c r="Z153">
        <f ca="1">IF(AND(ISNUMBER($Z$461),$B$294=1),$Z$461,HLOOKUP(INDIRECT(ADDRESS(2,COLUMN())),OFFSET($BN$2,0,0,ROW()-1,60),ROW()-1,FALSE))</f>
        <v>5.5932703049999999</v>
      </c>
      <c r="AA153">
        <f ca="1">IF(AND(ISNUMBER($AA$461),$B$294=1),$AA$461,HLOOKUP(INDIRECT(ADDRESS(2,COLUMN())),OFFSET($BN$2,0,0,ROW()-1,60),ROW()-1,FALSE))</f>
        <v>6.1590302939999999</v>
      </c>
      <c r="AB153">
        <f ca="1">IF(AND(ISNUMBER($AB$461),$B$294=1),$AB$461,HLOOKUP(INDIRECT(ADDRESS(2,COLUMN())),OFFSET($BN$2,0,0,ROW()-1,60),ROW()-1,FALSE))</f>
        <v>6.2816486019999997</v>
      </c>
      <c r="AC153">
        <f ca="1">IF(AND(ISNUMBER($AC$461),$B$294=1),$AC$461,HLOOKUP(INDIRECT(ADDRESS(2,COLUMN())),OFFSET($BN$2,0,0,ROW()-1,60),ROW()-1,FALSE))</f>
        <v>6.3012452120000004</v>
      </c>
      <c r="AD153">
        <f ca="1">IF(AND(ISNUMBER($AD$461),$B$294=1),$AD$461,HLOOKUP(INDIRECT(ADDRESS(2,COLUMN())),OFFSET($BN$2,0,0,ROW()-1,60),ROW()-1,FALSE))</f>
        <v>5.7328189739999997</v>
      </c>
      <c r="AE153">
        <f ca="1">IF(AND(ISNUMBER($AE$461),$B$294=1),$AE$461,HLOOKUP(INDIRECT(ADDRESS(2,COLUMN())),OFFSET($BN$2,0,0,ROW()-1,60),ROW()-1,FALSE))</f>
        <v>7.3127287670000003</v>
      </c>
      <c r="AF153">
        <f ca="1">IF(AND(ISNUMBER($AF$461),$B$294=1),$AF$461,HLOOKUP(INDIRECT(ADDRESS(2,COLUMN())),OFFSET($BN$2,0,0,ROW()-1,60),ROW()-1,FALSE))</f>
        <v>6.7831816119999999</v>
      </c>
      <c r="AG153">
        <f ca="1">IF(AND(ISNUMBER($AG$461),$B$294=1),$AG$461,HLOOKUP(INDIRECT(ADDRESS(2,COLUMN())),OFFSET($BN$2,0,0,ROW()-1,60),ROW()-1,FALSE))</f>
        <v>6.2587517070000001</v>
      </c>
      <c r="AH153">
        <f ca="1">IF(AND(ISNUMBER($AH$461),$B$294=1),$AH$461,HLOOKUP(INDIRECT(ADDRESS(2,COLUMN())),OFFSET($BN$2,0,0,ROW()-1,60),ROW()-1,FALSE))</f>
        <v>6.999557029</v>
      </c>
      <c r="AI153">
        <f ca="1">IF(AND(ISNUMBER($AI$461),$B$294=1),$AI$461,HLOOKUP(INDIRECT(ADDRESS(2,COLUMN())),OFFSET($BN$2,0,0,ROW()-1,60),ROW()-1,FALSE))</f>
        <v>5.385047954</v>
      </c>
      <c r="AJ153">
        <f ca="1">IF(AND(ISNUMBER($AJ$461),$B$294=1),$AJ$461,HLOOKUP(INDIRECT(ADDRESS(2,COLUMN())),OFFSET($BN$2,0,0,ROW()-1,60),ROW()-1,FALSE))</f>
        <v>7.1342028920000002</v>
      </c>
      <c r="AK153">
        <f ca="1">IF(AND(ISNUMBER($AK$461),$B$294=1),$AK$461,HLOOKUP(INDIRECT(ADDRESS(2,COLUMN())),OFFSET($BN$2,0,0,ROW()-1,60),ROW()-1,FALSE))</f>
        <v>6.3776202800000004</v>
      </c>
      <c r="AL153">
        <f ca="1">IF(AND(ISNUMBER($AL$461),$B$294=1),$AL$461,HLOOKUP(INDIRECT(ADDRESS(2,COLUMN())),OFFSET($BN$2,0,0,ROW()-1,60),ROW()-1,FALSE))</f>
        <v>7.1331905329999996</v>
      </c>
      <c r="AM153">
        <f ca="1">IF(AND(ISNUMBER($AM$461),$B$294=1),$AM$461,HLOOKUP(INDIRECT(ADDRESS(2,COLUMN())),OFFSET($BN$2,0,0,ROW()-1,60),ROW()-1,FALSE))</f>
        <v>7.2360373009999996</v>
      </c>
      <c r="AN153">
        <f ca="1">IF(AND(ISNUMBER($AN$461),$B$294=1),$AN$461,HLOOKUP(INDIRECT(ADDRESS(2,COLUMN())),OFFSET($BN$2,0,0,ROW()-1,60),ROW()-1,FALSE))</f>
        <v>7.374061201</v>
      </c>
      <c r="AO153">
        <f ca="1">IF(AND(ISNUMBER($AO$461),$B$294=1),$AO$461,HLOOKUP(INDIRECT(ADDRESS(2,COLUMN())),OFFSET($BN$2,0,0,ROW()-1,60),ROW()-1,FALSE))</f>
        <v>8.0053936459999999</v>
      </c>
      <c r="AP153">
        <f ca="1">IF(AND(ISNUMBER($AP$461),$B$294=1),$AP$461,HLOOKUP(INDIRECT(ADDRESS(2,COLUMN())),OFFSET($BN$2,0,0,ROW()-1,60),ROW()-1,FALSE))</f>
        <v>7.8712581459999997</v>
      </c>
      <c r="AQ153">
        <f ca="1">IF(AND(ISNUMBER($AQ$461),$B$294=1),$AQ$461,HLOOKUP(INDIRECT(ADDRESS(2,COLUMN())),OFFSET($BN$2,0,0,ROW()-1,60),ROW()-1,FALSE))</f>
        <v>8.0252321309999992</v>
      </c>
      <c r="AR153">
        <f ca="1">IF(AND(ISNUMBER($AR$461),$B$294=1),$AR$461,HLOOKUP(INDIRECT(ADDRESS(2,COLUMN())),OFFSET($BN$2,0,0,ROW()-1,60),ROW()-1,FALSE))</f>
        <v>8.8543766569999995</v>
      </c>
      <c r="AS153">
        <f ca="1">IF(AND(ISNUMBER($AS$461),$B$294=1),$AS$461,HLOOKUP(INDIRECT(ADDRESS(2,COLUMN())),OFFSET($BN$2,0,0,ROW()-1,60),ROW()-1,FALSE))</f>
        <v>7.6071140420000001</v>
      </c>
      <c r="AT153">
        <f ca="1">IF(AND(ISNUMBER($AT$461),$B$294=1),$AT$461,HLOOKUP(INDIRECT(ADDRESS(2,COLUMN())),OFFSET($BN$2,0,0,ROW()-1,60),ROW()-1,FALSE))</f>
        <v>8.2577747329999998</v>
      </c>
      <c r="AU153">
        <f ca="1">IF(AND(ISNUMBER($AU$461),$B$294=1),$AU$461,HLOOKUP(INDIRECT(ADDRESS(2,COLUMN())),OFFSET($BN$2,0,0,ROW()-1,60),ROW()-1,FALSE))</f>
        <v>8.2402161839999994</v>
      </c>
      <c r="AV153">
        <f ca="1">IF(AND(ISNUMBER($AV$461),$B$294=1),$AV$461,HLOOKUP(INDIRECT(ADDRESS(2,COLUMN())),OFFSET($BN$2,0,0,ROW()-1,60),ROW()-1,FALSE))</f>
        <v>7.8582266089999999</v>
      </c>
      <c r="AW153">
        <f ca="1">IF(AND(ISNUMBER($AW$461),$B$294=1),$AW$461,HLOOKUP(INDIRECT(ADDRESS(2,COLUMN())),OFFSET($BN$2,0,0,ROW()-1,60),ROW()-1,FALSE))</f>
        <v>7.7575420199999998</v>
      </c>
      <c r="AX153">
        <f ca="1">IF(AND(ISNUMBER($AX$461),$B$294=1),$AX$461,HLOOKUP(INDIRECT(ADDRESS(2,COLUMN())),OFFSET($BN$2,0,0,ROW()-1,60),ROW()-1,FALSE))</f>
        <v>8.3085678759999997</v>
      </c>
      <c r="AY153">
        <f ca="1">IF(AND(ISNUMBER($AY$461),$B$294=1),$AY$461,HLOOKUP(INDIRECT(ADDRESS(2,COLUMN())),OFFSET($BN$2,0,0,ROW()-1,60),ROW()-1,FALSE))</f>
        <v>8.2587101490000006</v>
      </c>
      <c r="AZ153">
        <f ca="1">IF(AND(ISNUMBER($AZ$461),$B$294=1),$AZ$461,HLOOKUP(INDIRECT(ADDRESS(2,COLUMN())),OFFSET($BN$2,0,0,ROW()-1,60),ROW()-1,FALSE))</f>
        <v>8.3795116309999997</v>
      </c>
      <c r="BA153">
        <f ca="1">IF(AND(ISNUMBER($BA$461),$B$294=1),$BA$461,HLOOKUP(INDIRECT(ADDRESS(2,COLUMN())),OFFSET($BN$2,0,0,ROW()-1,60),ROW()-1,FALSE))</f>
        <v>8.7156164839999999</v>
      </c>
      <c r="BB153">
        <f ca="1">IF(AND(ISNUMBER($BB$461),$B$294=1),$BB$461,HLOOKUP(INDIRECT(ADDRESS(2,COLUMN())),OFFSET($BN$2,0,0,ROW()-1,60),ROW()-1,FALSE))</f>
        <v>8.7569269829999996</v>
      </c>
      <c r="BC153">
        <f ca="1">IF(AND(ISNUMBER($BC$461),$B$294=1),$BC$461,HLOOKUP(INDIRECT(ADDRESS(2,COLUMN())),OFFSET($BN$2,0,0,ROW()-1,60),ROW()-1,FALSE))</f>
        <v>8.9330300119999997</v>
      </c>
      <c r="BD153">
        <f ca="1">IF(AND(ISNUMBER($BD$461),$B$294=1),$BD$461,HLOOKUP(INDIRECT(ADDRESS(2,COLUMN())),OFFSET($BN$2,0,0,ROW()-1,60),ROW()-1,FALSE))</f>
        <v>8.7402948939999998</v>
      </c>
      <c r="BE153">
        <f ca="1">IF(AND(ISNUMBER($BE$461),$B$294=1),$BE$461,HLOOKUP(INDIRECT(ADDRESS(2,COLUMN())),OFFSET($BN$2,0,0,ROW()-1,60),ROW()-1,FALSE))</f>
        <v>9.0639875050000001</v>
      </c>
      <c r="BF153">
        <f ca="1">IF(AND(ISNUMBER($BF$461),$B$294=1),$BF$461,HLOOKUP(INDIRECT(ADDRESS(2,COLUMN())),OFFSET($BN$2,0,0,ROW()-1,60),ROW()-1,FALSE))</f>
        <v>9.0471414239999994</v>
      </c>
      <c r="BG153">
        <f ca="1">IF(AND(ISNUMBER($BG$461),$B$294=1),$BG$461,HLOOKUP(INDIRECT(ADDRESS(2,COLUMN())),OFFSET($BN$2,0,0,ROW()-1,60),ROW()-1,FALSE))</f>
        <v>8.8608612719999993</v>
      </c>
      <c r="BH153">
        <f ca="1">IF(AND(ISNUMBER($BH$461),$B$294=1),$BH$461,HLOOKUP(INDIRECT(ADDRESS(2,COLUMN())),OFFSET($BN$2,0,0,ROW()-1,60),ROW()-1,FALSE))</f>
        <v>9.1798533510000002</v>
      </c>
      <c r="BI153">
        <f ca="1">IF(AND(ISNUMBER($BI$461),$B$294=1),$BI$461,HLOOKUP(INDIRECT(ADDRESS(2,COLUMN())),OFFSET($BN$2,0,0,ROW()-1,60),ROW()-1,FALSE))</f>
        <v>8.87541008</v>
      </c>
      <c r="BJ153">
        <f ca="1">IF(AND(ISNUMBER($BJ$461),$B$294=1),$BJ$461,HLOOKUP(INDIRECT(ADDRESS(2,COLUMN())),OFFSET($BN$2,0,0,ROW()-1,60),ROW()-1,FALSE))</f>
        <v>8.8787420309999998</v>
      </c>
      <c r="BK153" t="str">
        <f ca="1">IF(AND(ISNUMBER($BK$461),$B$294=1),$BK$461,HLOOKUP(INDIRECT(ADDRESS(2,COLUMN())),OFFSET($BN$2,0,0,ROW()-1,60),ROW()-1,FALSE))</f>
        <v/>
      </c>
      <c r="BL153">
        <f ca="1">IF(AND(ISNUMBER($BL$461),$B$294=1),$BL$461,HLOOKUP(INDIRECT(ADDRESS(2,COLUMN())),OFFSET($BN$2,0,0,ROW()-1,60),ROW()-1,FALSE))</f>
        <v>11.92562822</v>
      </c>
      <c r="BM153">
        <f ca="1">IF(AND(ISNUMBER($BM$461),$B$294=1),$BM$461,HLOOKUP(INDIRECT(ADDRESS(2,COLUMN())),OFFSET($BN$2,0,0,ROW()-1,60),ROW()-1,FALSE))</f>
        <v>8.6705176549999994</v>
      </c>
      <c r="BN153" t="str">
        <f>""</f>
        <v/>
      </c>
      <c r="BO153">
        <f>6.323143672</f>
        <v>6.3231436719999996</v>
      </c>
      <c r="BP153">
        <f>6.430813876</f>
        <v>6.4308138760000002</v>
      </c>
      <c r="BQ153">
        <f>6.260202692</f>
        <v>6.260202692</v>
      </c>
      <c r="BR153">
        <f>6.218307265</f>
        <v>6.218307265</v>
      </c>
      <c r="BS153">
        <f>6.2799067</f>
        <v>6.2799066999999997</v>
      </c>
      <c r="BT153">
        <f>6.617821584</f>
        <v>6.6178215839999996</v>
      </c>
      <c r="BU153">
        <f>6.326390427</f>
        <v>6.3263904269999998</v>
      </c>
      <c r="BV153">
        <f>5.947150105</f>
        <v>5.9471501050000004</v>
      </c>
      <c r="BW153">
        <f>6.150097295</f>
        <v>6.1500972950000001</v>
      </c>
      <c r="BX153">
        <f>5.544442101</f>
        <v>5.5444421009999996</v>
      </c>
      <c r="BY153">
        <f>6.382378616</f>
        <v>6.3823786159999996</v>
      </c>
      <c r="BZ153">
        <f>6.477442615</f>
        <v>6.4774426150000002</v>
      </c>
      <c r="CA153">
        <f>6.323335461</f>
        <v>6.3233354610000001</v>
      </c>
      <c r="CB153">
        <f>5.783858876</f>
        <v>5.783858876</v>
      </c>
      <c r="CC153">
        <f>5.961516856</f>
        <v>5.9615168560000003</v>
      </c>
      <c r="CD153">
        <f>5.864726142</f>
        <v>5.8647261420000003</v>
      </c>
      <c r="CE153">
        <f>6.080487556</f>
        <v>6.0804875559999996</v>
      </c>
      <c r="CF153">
        <f>6.040073202</f>
        <v>6.0400732020000003</v>
      </c>
      <c r="CG153">
        <f>5.966073759</f>
        <v>5.9660737590000004</v>
      </c>
      <c r="CH153">
        <f>5.593270305</f>
        <v>5.5932703049999999</v>
      </c>
      <c r="CI153">
        <f>6.159030294</f>
        <v>6.1590302939999999</v>
      </c>
      <c r="CJ153">
        <f>6.281648602</f>
        <v>6.2816486019999997</v>
      </c>
      <c r="CK153">
        <f>6.301245212</f>
        <v>6.3012452120000004</v>
      </c>
      <c r="CL153">
        <f>5.732818974</f>
        <v>5.7328189739999997</v>
      </c>
      <c r="CM153">
        <f>7.312728767</f>
        <v>7.3127287670000003</v>
      </c>
      <c r="CN153">
        <f>6.783181612</f>
        <v>6.7831816119999999</v>
      </c>
      <c r="CO153">
        <f>6.258751707</f>
        <v>6.2587517070000001</v>
      </c>
      <c r="CP153">
        <f>6.999557029</f>
        <v>6.999557029</v>
      </c>
      <c r="CQ153">
        <f>5.385047954</f>
        <v>5.385047954</v>
      </c>
      <c r="CR153">
        <f>7.134202892</f>
        <v>7.1342028920000002</v>
      </c>
      <c r="CS153">
        <f>6.37762028</f>
        <v>6.3776202800000004</v>
      </c>
      <c r="CT153">
        <f>7.133190533</f>
        <v>7.1331905329999996</v>
      </c>
      <c r="CU153">
        <f>7.236037301</f>
        <v>7.2360373009999996</v>
      </c>
      <c r="CV153">
        <f>7.374061201</f>
        <v>7.374061201</v>
      </c>
      <c r="CW153">
        <f>8.005393646</f>
        <v>8.0053936459999999</v>
      </c>
      <c r="CX153">
        <f>7.871258146</f>
        <v>7.8712581459999997</v>
      </c>
      <c r="CY153">
        <f>8.025232131</f>
        <v>8.0252321309999992</v>
      </c>
      <c r="CZ153">
        <f>8.854376657</f>
        <v>8.8543766569999995</v>
      </c>
      <c r="DA153">
        <f>7.607114042</f>
        <v>7.6071140420000001</v>
      </c>
      <c r="DB153">
        <f>8.257774733</f>
        <v>8.2577747329999998</v>
      </c>
      <c r="DC153">
        <f>8.240216184</f>
        <v>8.2402161839999994</v>
      </c>
      <c r="DD153">
        <f>7.858226609</f>
        <v>7.8582266089999999</v>
      </c>
      <c r="DE153">
        <f>7.75754202</f>
        <v>7.7575420199999998</v>
      </c>
      <c r="DF153">
        <f>8.308567876</f>
        <v>8.3085678759999997</v>
      </c>
      <c r="DG153">
        <f>8.258710149</f>
        <v>8.2587101490000006</v>
      </c>
      <c r="DH153">
        <f>8.379511631</f>
        <v>8.3795116309999997</v>
      </c>
      <c r="DI153">
        <f>8.715616484</f>
        <v>8.7156164839999999</v>
      </c>
      <c r="DJ153">
        <f>8.756926983</f>
        <v>8.7569269829999996</v>
      </c>
      <c r="DK153">
        <f>8.933030012</f>
        <v>8.9330300119999997</v>
      </c>
      <c r="DL153">
        <f>8.740294894</f>
        <v>8.7402948939999998</v>
      </c>
      <c r="DM153">
        <f>9.063987505</f>
        <v>9.0639875050000001</v>
      </c>
      <c r="DN153">
        <f>9.047141424</f>
        <v>9.0471414239999994</v>
      </c>
      <c r="DO153">
        <f>8.860861272</f>
        <v>8.8608612719999993</v>
      </c>
      <c r="DP153">
        <f>9.179853351</f>
        <v>9.1798533510000002</v>
      </c>
      <c r="DQ153">
        <f>8.87541008</f>
        <v>8.87541008</v>
      </c>
      <c r="DR153">
        <f>8.878742031</f>
        <v>8.8787420309999998</v>
      </c>
      <c r="DS153" t="str">
        <f>""</f>
        <v/>
      </c>
      <c r="DT153">
        <f>11.92562822</f>
        <v>11.92562822</v>
      </c>
      <c r="DU153">
        <f>8.670517655</f>
        <v>8.6705176549999994</v>
      </c>
    </row>
    <row r="154" spans="1:125">
      <c r="A154" t="str">
        <f>"    Mack-Cali Realty Corp"</f>
        <v xml:space="preserve">    Mack-Cali Realty Corp</v>
      </c>
      <c r="B154" t="str">
        <f>"CLI US Equity"</f>
        <v>CLI US Equity</v>
      </c>
      <c r="C154" t="str">
        <f t="shared" si="39"/>
        <v>RX902</v>
      </c>
      <c r="D154" t="str">
        <f t="shared" si="40"/>
        <v>ANN_NOI_GR_AST_NET_RTL_DEV_CTD_%</v>
      </c>
      <c r="E154" t="str">
        <f t="shared" si="41"/>
        <v>动态</v>
      </c>
      <c r="F154" t="str">
        <f ca="1">IF(AND(ISNUMBER($F$462),$B$294=1),$F$462,HLOOKUP(INDIRECT(ADDRESS(2,COLUMN())),OFFSET($BN$2,0,0,ROW()-1,60),ROW()-1,FALSE))</f>
        <v/>
      </c>
      <c r="G154">
        <f ca="1">IF(AND(ISNUMBER($G$462),$B$294=1),$G$462,HLOOKUP(INDIRECT(ADDRESS(2,COLUMN())),OFFSET($BN$2,0,0,ROW()-1,60),ROW()-1,FALSE))</f>
        <v>3.2104719159999999</v>
      </c>
      <c r="H154">
        <f ca="1">IF(AND(ISNUMBER($H$462),$B$294=1),$H$462,HLOOKUP(INDIRECT(ADDRESS(2,COLUMN())),OFFSET($BN$2,0,0,ROW()-1,60),ROW()-1,FALSE))</f>
        <v>3.5934551360000002</v>
      </c>
      <c r="I154">
        <f ca="1">IF(AND(ISNUMBER($I$462),$B$294=1),$I$462,HLOOKUP(INDIRECT(ADDRESS(2,COLUMN())),OFFSET($BN$2,0,0,ROW()-1,60),ROW()-1,FALSE))</f>
        <v>3.7105851799999998</v>
      </c>
      <c r="J154">
        <f ca="1">IF(AND(ISNUMBER($J$462),$B$294=1),$J$462,HLOOKUP(INDIRECT(ADDRESS(2,COLUMN())),OFFSET($BN$2,0,0,ROW()-1,60),ROW()-1,FALSE))</f>
        <v>3.366124154</v>
      </c>
      <c r="K154">
        <f ca="1">IF(AND(ISNUMBER($K$462),$B$294=1),$K$462,HLOOKUP(INDIRECT(ADDRESS(2,COLUMN())),OFFSET($BN$2,0,0,ROW()-1,60),ROW()-1,FALSE))</f>
        <v>3.6572373100000002</v>
      </c>
      <c r="L154">
        <f ca="1">IF(AND(ISNUMBER($L$462),$B$294=1),$L$462,HLOOKUP(INDIRECT(ADDRESS(2,COLUMN())),OFFSET($BN$2,0,0,ROW()-1,60),ROW()-1,FALSE))</f>
        <v>5.1744431569999998</v>
      </c>
      <c r="M154">
        <f ca="1">IF(AND(ISNUMBER($M$462),$B$294=1),$M$462,HLOOKUP(INDIRECT(ADDRESS(2,COLUMN())),OFFSET($BN$2,0,0,ROW()-1,60),ROW()-1,FALSE))</f>
        <v>3.3836471320000001</v>
      </c>
      <c r="N154">
        <f ca="1">IF(AND(ISNUMBER($N$462),$B$294=1),$N$462,HLOOKUP(INDIRECT(ADDRESS(2,COLUMN())),OFFSET($BN$2,0,0,ROW()-1,60),ROW()-1,FALSE))</f>
        <v>3.0705996990000002</v>
      </c>
      <c r="O154">
        <f ca="1">IF(AND(ISNUMBER($O$462),$B$294=1),$O$462,HLOOKUP(INDIRECT(ADDRESS(2,COLUMN())),OFFSET($BN$2,0,0,ROW()-1,60),ROW()-1,FALSE))</f>
        <v>5.269745372</v>
      </c>
      <c r="P154">
        <f ca="1">IF(AND(ISNUMBER($P$462),$B$294=1),$P$462,HLOOKUP(INDIRECT(ADDRESS(2,COLUMN())),OFFSET($BN$2,0,0,ROW()-1,60),ROW()-1,FALSE))</f>
        <v>3.4976714950000001</v>
      </c>
      <c r="Q154">
        <f ca="1">IF(AND(ISNUMBER($Q$462),$B$294=1),$Q$462,HLOOKUP(INDIRECT(ADDRESS(2,COLUMN())),OFFSET($BN$2,0,0,ROW()-1,60),ROW()-1,FALSE))</f>
        <v>2.9267619100000002</v>
      </c>
      <c r="R154">
        <f ca="1">IF(AND(ISNUMBER($R$462),$B$294=1),$R$462,HLOOKUP(INDIRECT(ADDRESS(2,COLUMN())),OFFSET($BN$2,0,0,ROW()-1,60),ROW()-1,FALSE))</f>
        <v>2.6635526600000001</v>
      </c>
      <c r="S154">
        <f ca="1">IF(AND(ISNUMBER($S$462),$B$294=1),$S$462,HLOOKUP(INDIRECT(ADDRESS(2,COLUMN())),OFFSET($BN$2,0,0,ROW()-1,60),ROW()-1,FALSE))</f>
        <v>5.4799410249999996</v>
      </c>
      <c r="T154">
        <f ca="1">IF(AND(ISNUMBER($T$462),$B$294=1),$T$462,HLOOKUP(INDIRECT(ADDRESS(2,COLUMN())),OFFSET($BN$2,0,0,ROW()-1,60),ROW()-1,FALSE))</f>
        <v>5.9335414399999999</v>
      </c>
      <c r="U154">
        <f ca="1">IF(AND(ISNUMBER($U$462),$B$294=1),$U$462,HLOOKUP(INDIRECT(ADDRESS(2,COLUMN())),OFFSET($BN$2,0,0,ROW()-1,60),ROW()-1,FALSE))</f>
        <v>3.4939665710000001</v>
      </c>
      <c r="V154">
        <f ca="1">IF(AND(ISNUMBER($V$462),$B$294=1),$V$462,HLOOKUP(INDIRECT(ADDRESS(2,COLUMN())),OFFSET($BN$2,0,0,ROW()-1,60),ROW()-1,FALSE))</f>
        <v>5.1252329919999999</v>
      </c>
      <c r="W154">
        <f ca="1">IF(AND(ISNUMBER($W$462),$B$294=1),$W$462,HLOOKUP(INDIRECT(ADDRESS(2,COLUMN())),OFFSET($BN$2,0,0,ROW()-1,60),ROW()-1,FALSE))</f>
        <v>5.7330890309999996</v>
      </c>
      <c r="X154">
        <f ca="1">IF(AND(ISNUMBER($X$462),$B$294=1),$X$462,HLOOKUP(INDIRECT(ADDRESS(2,COLUMN())),OFFSET($BN$2,0,0,ROW()-1,60),ROW()-1,FALSE))</f>
        <v>5.4671908399999998</v>
      </c>
      <c r="Y154">
        <f ca="1">IF(AND(ISNUMBER($Y$462),$B$294=1),$Y$462,HLOOKUP(INDIRECT(ADDRESS(2,COLUMN())),OFFSET($BN$2,0,0,ROW()-1,60),ROW()-1,FALSE))</f>
        <v>5.6231779949999998</v>
      </c>
      <c r="Z154">
        <f ca="1">IF(AND(ISNUMBER($Z$462),$B$294=1),$Z$462,HLOOKUP(INDIRECT(ADDRESS(2,COLUMN())),OFFSET($BN$2,0,0,ROW()-1,60),ROW()-1,FALSE))</f>
        <v>5.6613142969999997</v>
      </c>
      <c r="AA154">
        <f ca="1">IF(AND(ISNUMBER($AA$462),$B$294=1),$AA$462,HLOOKUP(INDIRECT(ADDRESS(2,COLUMN())),OFFSET($BN$2,0,0,ROW()-1,60),ROW()-1,FALSE))</f>
        <v>6.3155836550000002</v>
      </c>
      <c r="AB154">
        <f ca="1">IF(AND(ISNUMBER($AB$462),$B$294=1),$AB$462,HLOOKUP(INDIRECT(ADDRESS(2,COLUMN())),OFFSET($BN$2,0,0,ROW()-1,60),ROW()-1,FALSE))</f>
        <v>3.7253495330000002</v>
      </c>
      <c r="AC154">
        <f ca="1">IF(AND(ISNUMBER($AC$462),$B$294=1),$AC$462,HLOOKUP(INDIRECT(ADDRESS(2,COLUMN())),OFFSET($BN$2,0,0,ROW()-1,60),ROW()-1,FALSE))</f>
        <v>4.287776601</v>
      </c>
      <c r="AD154">
        <f ca="1">IF(AND(ISNUMBER($AD$462),$B$294=1),$AD$462,HLOOKUP(INDIRECT(ADDRESS(2,COLUMN())),OFFSET($BN$2,0,0,ROW()-1,60),ROW()-1,FALSE))</f>
        <v>5.1629623860000002</v>
      </c>
      <c r="AE154">
        <f ca="1">IF(AND(ISNUMBER($AE$462),$B$294=1),$AE$462,HLOOKUP(INDIRECT(ADDRESS(2,COLUMN())),OFFSET($BN$2,0,0,ROW()-1,60),ROW()-1,FALSE))</f>
        <v>6.9946618029999996</v>
      </c>
      <c r="AF154">
        <f ca="1">IF(AND(ISNUMBER($AF$462),$B$294=1),$AF$462,HLOOKUP(INDIRECT(ADDRESS(2,COLUMN())),OFFSET($BN$2,0,0,ROW()-1,60),ROW()-1,FALSE))</f>
        <v>5.0901817019999998</v>
      </c>
      <c r="AG154">
        <f ca="1">IF(AND(ISNUMBER($AG$462),$B$294=1),$AG$462,HLOOKUP(INDIRECT(ADDRESS(2,COLUMN())),OFFSET($BN$2,0,0,ROW()-1,60),ROW()-1,FALSE))</f>
        <v>4.8054563870000004</v>
      </c>
      <c r="AH154">
        <f ca="1">IF(AND(ISNUMBER($AH$462),$B$294=1),$AH$462,HLOOKUP(INDIRECT(ADDRESS(2,COLUMN())),OFFSET($BN$2,0,0,ROW()-1,60),ROW()-1,FALSE))</f>
        <v>4.702654442</v>
      </c>
      <c r="AI154">
        <f ca="1">IF(AND(ISNUMBER($AI$462),$B$294=1),$AI$462,HLOOKUP(INDIRECT(ADDRESS(2,COLUMN())),OFFSET($BN$2,0,0,ROW()-1,60),ROW()-1,FALSE))</f>
        <v>4.8493197940000003</v>
      </c>
      <c r="AJ154">
        <f ca="1">IF(AND(ISNUMBER($AJ$462),$B$294=1),$AJ$462,HLOOKUP(INDIRECT(ADDRESS(2,COLUMN())),OFFSET($BN$2,0,0,ROW()-1,60),ROW()-1,FALSE))</f>
        <v>4.4550058190000001</v>
      </c>
      <c r="AK154">
        <f ca="1">IF(AND(ISNUMBER($AK$462),$B$294=1),$AK$462,HLOOKUP(INDIRECT(ADDRESS(2,COLUMN())),OFFSET($BN$2,0,0,ROW()-1,60),ROW()-1,FALSE))</f>
        <v>4.5595324990000003</v>
      </c>
      <c r="AL154">
        <f ca="1">IF(AND(ISNUMBER($AL$462),$B$294=1),$AL$462,HLOOKUP(INDIRECT(ADDRESS(2,COLUMN())),OFFSET($BN$2,0,0,ROW()-1,60),ROW()-1,FALSE))</f>
        <v>4.4840109889999997</v>
      </c>
      <c r="AM154">
        <f ca="1">IF(AND(ISNUMBER($AM$462),$B$294=1),$AM$462,HLOOKUP(INDIRECT(ADDRESS(2,COLUMN())),OFFSET($BN$2,0,0,ROW()-1,60),ROW()-1,FALSE))</f>
        <v>4.789765203</v>
      </c>
      <c r="AN154">
        <f ca="1">IF(AND(ISNUMBER($AN$462),$B$294=1),$AN$462,HLOOKUP(INDIRECT(ADDRESS(2,COLUMN())),OFFSET($BN$2,0,0,ROW()-1,60),ROW()-1,FALSE))</f>
        <v>5.046582184</v>
      </c>
      <c r="AO154">
        <f ca="1">IF(AND(ISNUMBER($AO$462),$B$294=1),$AO$462,HLOOKUP(INDIRECT(ADDRESS(2,COLUMN())),OFFSET($BN$2,0,0,ROW()-1,60),ROW()-1,FALSE))</f>
        <v>5.1398805569999997</v>
      </c>
      <c r="AP154">
        <f ca="1">IF(AND(ISNUMBER($AP$462),$B$294=1),$AP$462,HLOOKUP(INDIRECT(ADDRESS(2,COLUMN())),OFFSET($BN$2,0,0,ROW()-1,60),ROW()-1,FALSE))</f>
        <v>4.6189617380000003</v>
      </c>
      <c r="AQ154">
        <f ca="1">IF(AND(ISNUMBER($AQ$462),$B$294=1),$AQ$462,HLOOKUP(INDIRECT(ADDRESS(2,COLUMN())),OFFSET($BN$2,0,0,ROW()-1,60),ROW()-1,FALSE))</f>
        <v>2.6308093420000001</v>
      </c>
      <c r="AR154">
        <f ca="1">IF(AND(ISNUMBER($AR$462),$B$294=1),$AR$462,HLOOKUP(INDIRECT(ADDRESS(2,COLUMN())),OFFSET($BN$2,0,0,ROW()-1,60),ROW()-1,FALSE))</f>
        <v>5.6266558059999996</v>
      </c>
      <c r="AS154">
        <f ca="1">IF(AND(ISNUMBER($AS$462),$B$294=1),$AS$462,HLOOKUP(INDIRECT(ADDRESS(2,COLUMN())),OFFSET($BN$2,0,0,ROW()-1,60),ROW()-1,FALSE))</f>
        <v>5.0941040109999998</v>
      </c>
      <c r="AT154">
        <f ca="1">IF(AND(ISNUMBER($AT$462),$B$294=1),$AT$462,HLOOKUP(INDIRECT(ADDRESS(2,COLUMN())),OFFSET($BN$2,0,0,ROW()-1,60),ROW()-1,FALSE))</f>
        <v>4.8424351019999996</v>
      </c>
      <c r="AU154">
        <f ca="1">IF(AND(ISNUMBER($AU$462),$B$294=1),$AU$462,HLOOKUP(INDIRECT(ADDRESS(2,COLUMN())),OFFSET($BN$2,0,0,ROW()-1,60),ROW()-1,FALSE))</f>
        <v>4.9438794670000004</v>
      </c>
      <c r="AV154">
        <f ca="1">IF(AND(ISNUMBER($AV$462),$B$294=1),$AV$462,HLOOKUP(INDIRECT(ADDRESS(2,COLUMN())),OFFSET($BN$2,0,0,ROW()-1,60),ROW()-1,FALSE))</f>
        <v>5.307741568</v>
      </c>
      <c r="AW154">
        <f ca="1">IF(AND(ISNUMBER($AW$462),$B$294=1),$AW$462,HLOOKUP(INDIRECT(ADDRESS(2,COLUMN())),OFFSET($BN$2,0,0,ROW()-1,60),ROW()-1,FALSE))</f>
        <v>4.9169428389999998</v>
      </c>
      <c r="AX154">
        <f ca="1">IF(AND(ISNUMBER($AX$462),$B$294=1),$AX$462,HLOOKUP(INDIRECT(ADDRESS(2,COLUMN())),OFFSET($BN$2,0,0,ROW()-1,60),ROW()-1,FALSE))</f>
        <v>4.8589743079999996</v>
      </c>
      <c r="AY154">
        <f ca="1">IF(AND(ISNUMBER($AY$462),$B$294=1),$AY$462,HLOOKUP(INDIRECT(ADDRESS(2,COLUMN())),OFFSET($BN$2,0,0,ROW()-1,60),ROW()-1,FALSE))</f>
        <v>3.7813797849999999</v>
      </c>
      <c r="AZ154">
        <f ca="1">IF(AND(ISNUMBER($AZ$462),$B$294=1),$AZ$462,HLOOKUP(INDIRECT(ADDRESS(2,COLUMN())),OFFSET($BN$2,0,0,ROW()-1,60),ROW()-1,FALSE))</f>
        <v>4.1812919219999998</v>
      </c>
      <c r="BA154">
        <f ca="1">IF(AND(ISNUMBER($BA$462),$B$294=1),$BA$462,HLOOKUP(INDIRECT(ADDRESS(2,COLUMN())),OFFSET($BN$2,0,0,ROW()-1,60),ROW()-1,FALSE))</f>
        <v>4.7854048369999997</v>
      </c>
      <c r="BB154">
        <f ca="1">IF(AND(ISNUMBER($BB$462),$B$294=1),$BB$462,HLOOKUP(INDIRECT(ADDRESS(2,COLUMN())),OFFSET($BN$2,0,0,ROW()-1,60),ROW()-1,FALSE))</f>
        <v>4.6379260069999999</v>
      </c>
      <c r="BC154" t="str">
        <f ca="1">IF(AND(ISNUMBER($BC$462),$B$294=1),$BC$462,HLOOKUP(INDIRECT(ADDRESS(2,COLUMN())),OFFSET($BN$2,0,0,ROW()-1,60),ROW()-1,FALSE))</f>
        <v/>
      </c>
      <c r="BD154">
        <f ca="1">IF(AND(ISNUMBER($BD$462),$B$294=1),$BD$462,HLOOKUP(INDIRECT(ADDRESS(2,COLUMN())),OFFSET($BN$2,0,0,ROW()-1,60),ROW()-1,FALSE))</f>
        <v>5.0618953299999996</v>
      </c>
      <c r="BE154">
        <f ca="1">IF(AND(ISNUMBER($BE$462),$B$294=1),$BE$462,HLOOKUP(INDIRECT(ADDRESS(2,COLUMN())),OFFSET($BN$2,0,0,ROW()-1,60),ROW()-1,FALSE))</f>
        <v>5.7870628890000004</v>
      </c>
      <c r="BF154">
        <f ca="1">IF(AND(ISNUMBER($BF$462),$B$294=1),$BF$462,HLOOKUP(INDIRECT(ADDRESS(2,COLUMN())),OFFSET($BN$2,0,0,ROW()-1,60),ROW()-1,FALSE))</f>
        <v>5.316405821</v>
      </c>
      <c r="BG154" t="str">
        <f ca="1">IF(AND(ISNUMBER($BG$462),$B$294=1),$BG$462,HLOOKUP(INDIRECT(ADDRESS(2,COLUMN())),OFFSET($BN$2,0,0,ROW()-1,60),ROW()-1,FALSE))</f>
        <v/>
      </c>
      <c r="BH154" t="str">
        <f ca="1">IF(AND(ISNUMBER($BH$462),$B$294=1),$BH$462,HLOOKUP(INDIRECT(ADDRESS(2,COLUMN())),OFFSET($BN$2,0,0,ROW()-1,60),ROW()-1,FALSE))</f>
        <v/>
      </c>
      <c r="BI154" t="str">
        <f ca="1">IF(AND(ISNUMBER($BI$462),$B$294=1),$BI$462,HLOOKUP(INDIRECT(ADDRESS(2,COLUMN())),OFFSET($BN$2,0,0,ROW()-1,60),ROW()-1,FALSE))</f>
        <v/>
      </c>
      <c r="BJ154" t="str">
        <f ca="1">IF(AND(ISNUMBER($BJ$462),$B$294=1),$BJ$462,HLOOKUP(INDIRECT(ADDRESS(2,COLUMN())),OFFSET($BN$2,0,0,ROW()-1,60),ROW()-1,FALSE))</f>
        <v/>
      </c>
      <c r="BK154" t="str">
        <f ca="1">IF(AND(ISNUMBER($BK$462),$B$294=1),$BK$462,HLOOKUP(INDIRECT(ADDRESS(2,COLUMN())),OFFSET($BN$2,0,0,ROW()-1,60),ROW()-1,FALSE))</f>
        <v/>
      </c>
      <c r="BL154" t="str">
        <f ca="1">IF(AND(ISNUMBER($BL$462),$B$294=1),$BL$462,HLOOKUP(INDIRECT(ADDRESS(2,COLUMN())),OFFSET($BN$2,0,0,ROW()-1,60),ROW()-1,FALSE))</f>
        <v/>
      </c>
      <c r="BM154" t="str">
        <f ca="1">IF(AND(ISNUMBER($BM$462),$B$294=1),$BM$462,HLOOKUP(INDIRECT(ADDRESS(2,COLUMN())),OFFSET($BN$2,0,0,ROW()-1,60),ROW()-1,FALSE))</f>
        <v/>
      </c>
      <c r="BN154" t="str">
        <f>""</f>
        <v/>
      </c>
      <c r="BO154">
        <f>3.210471916</f>
        <v>3.2104719159999999</v>
      </c>
      <c r="BP154">
        <f>3.593455136</f>
        <v>3.5934551360000002</v>
      </c>
      <c r="BQ154">
        <f>3.71058518</f>
        <v>3.7105851799999998</v>
      </c>
      <c r="BR154">
        <f>3.366124154</f>
        <v>3.366124154</v>
      </c>
      <c r="BS154">
        <f>3.65723731</f>
        <v>3.6572373100000002</v>
      </c>
      <c r="BT154">
        <f>5.174443157</f>
        <v>5.1744431569999998</v>
      </c>
      <c r="BU154">
        <f>3.383647132</f>
        <v>3.3836471320000001</v>
      </c>
      <c r="BV154">
        <f>3.070599699</f>
        <v>3.0705996990000002</v>
      </c>
      <c r="BW154">
        <f>5.269745372</f>
        <v>5.269745372</v>
      </c>
      <c r="BX154">
        <f>3.497671495</f>
        <v>3.4976714950000001</v>
      </c>
      <c r="BY154">
        <f>2.92676191</f>
        <v>2.9267619100000002</v>
      </c>
      <c r="BZ154">
        <f>2.66355266</f>
        <v>2.6635526600000001</v>
      </c>
      <c r="CA154">
        <f>5.479941025</f>
        <v>5.4799410249999996</v>
      </c>
      <c r="CB154">
        <f>5.93354144</f>
        <v>5.9335414399999999</v>
      </c>
      <c r="CC154">
        <f>3.493966571</f>
        <v>3.4939665710000001</v>
      </c>
      <c r="CD154">
        <f>5.125232992</f>
        <v>5.1252329919999999</v>
      </c>
      <c r="CE154">
        <f>5.733089031</f>
        <v>5.7330890309999996</v>
      </c>
      <c r="CF154">
        <f>5.46719084</f>
        <v>5.4671908399999998</v>
      </c>
      <c r="CG154">
        <f>5.623177995</f>
        <v>5.6231779949999998</v>
      </c>
      <c r="CH154">
        <f>5.661314297</f>
        <v>5.6613142969999997</v>
      </c>
      <c r="CI154">
        <f>6.315583655</f>
        <v>6.3155836550000002</v>
      </c>
      <c r="CJ154">
        <f>3.725349533</f>
        <v>3.7253495330000002</v>
      </c>
      <c r="CK154">
        <f>4.287776601</f>
        <v>4.287776601</v>
      </c>
      <c r="CL154">
        <f>5.162962386</f>
        <v>5.1629623860000002</v>
      </c>
      <c r="CM154">
        <f>6.994661803</f>
        <v>6.9946618029999996</v>
      </c>
      <c r="CN154">
        <f>5.090181702</f>
        <v>5.0901817019999998</v>
      </c>
      <c r="CO154">
        <f>4.805456387</f>
        <v>4.8054563870000004</v>
      </c>
      <c r="CP154">
        <f>4.702654442</f>
        <v>4.702654442</v>
      </c>
      <c r="CQ154">
        <f>4.849319794</f>
        <v>4.8493197940000003</v>
      </c>
      <c r="CR154">
        <f>4.455005819</f>
        <v>4.4550058190000001</v>
      </c>
      <c r="CS154">
        <f>4.559532499</f>
        <v>4.5595324990000003</v>
      </c>
      <c r="CT154">
        <f>4.484010989</f>
        <v>4.4840109889999997</v>
      </c>
      <c r="CU154">
        <f>4.789765203</f>
        <v>4.789765203</v>
      </c>
      <c r="CV154">
        <f>5.046582184</f>
        <v>5.046582184</v>
      </c>
      <c r="CW154">
        <f>5.139880557</f>
        <v>5.1398805569999997</v>
      </c>
      <c r="CX154">
        <f>4.618961738</f>
        <v>4.6189617380000003</v>
      </c>
      <c r="CY154">
        <f>2.630809342</f>
        <v>2.6308093420000001</v>
      </c>
      <c r="CZ154">
        <f>5.626655806</f>
        <v>5.6266558059999996</v>
      </c>
      <c r="DA154">
        <f>5.094104011</f>
        <v>5.0941040109999998</v>
      </c>
      <c r="DB154">
        <f>4.842435102</f>
        <v>4.8424351019999996</v>
      </c>
      <c r="DC154">
        <f>4.943879467</f>
        <v>4.9438794670000004</v>
      </c>
      <c r="DD154">
        <f>5.307741568</f>
        <v>5.307741568</v>
      </c>
      <c r="DE154">
        <f>4.916942839</f>
        <v>4.9169428389999998</v>
      </c>
      <c r="DF154">
        <f>4.858974308</f>
        <v>4.8589743079999996</v>
      </c>
      <c r="DG154">
        <f>3.781379785</f>
        <v>3.7813797849999999</v>
      </c>
      <c r="DH154">
        <f>4.181291922</f>
        <v>4.1812919219999998</v>
      </c>
      <c r="DI154">
        <f>4.785404837</f>
        <v>4.7854048369999997</v>
      </c>
      <c r="DJ154">
        <f>4.637926007</f>
        <v>4.6379260069999999</v>
      </c>
      <c r="DK154" t="str">
        <f>""</f>
        <v/>
      </c>
      <c r="DL154">
        <f>5.06189533</f>
        <v>5.0618953299999996</v>
      </c>
      <c r="DM154">
        <f>5.787062889</f>
        <v>5.7870628890000004</v>
      </c>
      <c r="DN154">
        <f>5.316405821</f>
        <v>5.316405821</v>
      </c>
      <c r="DO154" t="str">
        <f>""</f>
        <v/>
      </c>
      <c r="DP154" t="str">
        <f>""</f>
        <v/>
      </c>
      <c r="DQ154" t="str">
        <f>""</f>
        <v/>
      </c>
      <c r="DR154" t="str">
        <f>""</f>
        <v/>
      </c>
      <c r="DS154" t="str">
        <f>""</f>
        <v/>
      </c>
      <c r="DT154" t="str">
        <f>""</f>
        <v/>
      </c>
      <c r="DU154" t="str">
        <f>""</f>
        <v/>
      </c>
    </row>
    <row r="155" spans="1:125">
      <c r="A155" t="str">
        <f>"    Piedmont Office Realty Trust I"</f>
        <v xml:space="preserve">    Piedmont Office Realty Trust I</v>
      </c>
      <c r="B155" t="str">
        <f>"PDM US Equity"</f>
        <v>PDM US Equity</v>
      </c>
      <c r="C155" t="str">
        <f t="shared" si="39"/>
        <v>RX902</v>
      </c>
      <c r="D155" t="str">
        <f t="shared" si="40"/>
        <v>ANN_NOI_GR_AST_NET_RTL_DEV_CTD_%</v>
      </c>
      <c r="E155" t="str">
        <f t="shared" si="41"/>
        <v>动态</v>
      </c>
      <c r="F155" t="str">
        <f ca="1">IF(AND(ISNUMBER($F$463),$B$294=1),$F$463,HLOOKUP(INDIRECT(ADDRESS(2,COLUMN())),OFFSET($BN$2,0,0,ROW()-1,60),ROW()-1,FALSE))</f>
        <v/>
      </c>
      <c r="G155">
        <f ca="1">IF(AND(ISNUMBER($G$463),$B$294=1),$G$463,HLOOKUP(INDIRECT(ADDRESS(2,COLUMN())),OFFSET($BN$2,0,0,ROW()-1,60),ROW()-1,FALSE))</f>
        <v>6.4249296730000003</v>
      </c>
      <c r="H155">
        <f ca="1">IF(AND(ISNUMBER($H$463),$B$294=1),$H$463,HLOOKUP(INDIRECT(ADDRESS(2,COLUMN())),OFFSET($BN$2,0,0,ROW()-1,60),ROW()-1,FALSE))</f>
        <v>6.2561726010000003</v>
      </c>
      <c r="I155">
        <f ca="1">IF(AND(ISNUMBER($I$463),$B$294=1),$I$463,HLOOKUP(INDIRECT(ADDRESS(2,COLUMN())),OFFSET($BN$2,0,0,ROW()-1,60),ROW()-1,FALSE))</f>
        <v>6.491893471</v>
      </c>
      <c r="J155">
        <f ca="1">IF(AND(ISNUMBER($J$463),$B$294=1),$J$463,HLOOKUP(INDIRECT(ADDRESS(2,COLUMN())),OFFSET($BN$2,0,0,ROW()-1,60),ROW()-1,FALSE))</f>
        <v>6.5408388679999998</v>
      </c>
      <c r="K155">
        <f ca="1">IF(AND(ISNUMBER($K$463),$B$294=1),$K$463,HLOOKUP(INDIRECT(ADDRESS(2,COLUMN())),OFFSET($BN$2,0,0,ROW()-1,60),ROW()-1,FALSE))</f>
        <v>5.8173647370000001</v>
      </c>
      <c r="L155">
        <f ca="1">IF(AND(ISNUMBER($L$463),$B$294=1),$L$463,HLOOKUP(INDIRECT(ADDRESS(2,COLUMN())),OFFSET($BN$2,0,0,ROW()-1,60),ROW()-1,FALSE))</f>
        <v>5.8816585579999998</v>
      </c>
      <c r="M155">
        <f ca="1">IF(AND(ISNUMBER($M$463),$B$294=1),$M$463,HLOOKUP(INDIRECT(ADDRESS(2,COLUMN())),OFFSET($BN$2,0,0,ROW()-1,60),ROW()-1,FALSE))</f>
        <v>6.063358579</v>
      </c>
      <c r="N155">
        <f ca="1">IF(AND(ISNUMBER($N$463),$B$294=1),$N$463,HLOOKUP(INDIRECT(ADDRESS(2,COLUMN())),OFFSET($BN$2,0,0,ROW()-1,60),ROW()-1,FALSE))</f>
        <v>5.6264570569999997</v>
      </c>
      <c r="O155">
        <f ca="1">IF(AND(ISNUMBER($O$463),$B$294=1),$O$463,HLOOKUP(INDIRECT(ADDRESS(2,COLUMN())),OFFSET($BN$2,0,0,ROW()-1,60),ROW()-1,FALSE))</f>
        <v>5.8808704250000003</v>
      </c>
      <c r="P155">
        <f ca="1">IF(AND(ISNUMBER($P$463),$B$294=1),$P$463,HLOOKUP(INDIRECT(ADDRESS(2,COLUMN())),OFFSET($BN$2,0,0,ROW()-1,60),ROW()-1,FALSE))</f>
        <v>5.88043798</v>
      </c>
      <c r="Q155">
        <f ca="1">IF(AND(ISNUMBER($Q$463),$B$294=1),$Q$463,HLOOKUP(INDIRECT(ADDRESS(2,COLUMN())),OFFSET($BN$2,0,0,ROW()-1,60),ROW()-1,FALSE))</f>
        <v>5.4599648370000002</v>
      </c>
      <c r="R155">
        <f ca="1">IF(AND(ISNUMBER($R$463),$B$294=1),$R$463,HLOOKUP(INDIRECT(ADDRESS(2,COLUMN())),OFFSET($BN$2,0,0,ROW()-1,60),ROW()-1,FALSE))</f>
        <v>5.3757803940000004</v>
      </c>
      <c r="S155">
        <f ca="1">IF(AND(ISNUMBER($S$463),$B$294=1),$S$463,HLOOKUP(INDIRECT(ADDRESS(2,COLUMN())),OFFSET($BN$2,0,0,ROW()-1,60),ROW()-1,FALSE))</f>
        <v>5.0538316170000002</v>
      </c>
      <c r="T155">
        <f ca="1">IF(AND(ISNUMBER($T$463),$B$294=1),$T$463,HLOOKUP(INDIRECT(ADDRESS(2,COLUMN())),OFFSET($BN$2,0,0,ROW()-1,60),ROW()-1,FALSE))</f>
        <v>5.0938057800000003</v>
      </c>
      <c r="U155">
        <f ca="1">IF(AND(ISNUMBER($U$463),$B$294=1),$U$463,HLOOKUP(INDIRECT(ADDRESS(2,COLUMN())),OFFSET($BN$2,0,0,ROW()-1,60),ROW()-1,FALSE))</f>
        <v>5.0356083949999997</v>
      </c>
      <c r="V155">
        <f ca="1">IF(AND(ISNUMBER($V$463),$B$294=1),$V$463,HLOOKUP(INDIRECT(ADDRESS(2,COLUMN())),OFFSET($BN$2,0,0,ROW()-1,60),ROW()-1,FALSE))</f>
        <v>4.8259184089999998</v>
      </c>
      <c r="W155">
        <f ca="1">IF(AND(ISNUMBER($W$463),$B$294=1),$W$463,HLOOKUP(INDIRECT(ADDRESS(2,COLUMN())),OFFSET($BN$2,0,0,ROW()-1,60),ROW()-1,FALSE))</f>
        <v>5.6822274449999997</v>
      </c>
      <c r="X155">
        <f ca="1">IF(AND(ISNUMBER($X$463),$B$294=1),$X$463,HLOOKUP(INDIRECT(ADDRESS(2,COLUMN())),OFFSET($BN$2,0,0,ROW()-1,60),ROW()-1,FALSE))</f>
        <v>5.7525325680000003</v>
      </c>
      <c r="Y155">
        <f ca="1">IF(AND(ISNUMBER($Y$463),$B$294=1),$Y$463,HLOOKUP(INDIRECT(ADDRESS(2,COLUMN())),OFFSET($BN$2,0,0,ROW()-1,60),ROW()-1,FALSE))</f>
        <v>5.5424854430000003</v>
      </c>
      <c r="Z155">
        <f ca="1">IF(AND(ISNUMBER($Z$463),$B$294=1),$Z$463,HLOOKUP(INDIRECT(ADDRESS(2,COLUMN())),OFFSET($BN$2,0,0,ROW()-1,60),ROW()-1,FALSE))</f>
        <v>5.6759369739999999</v>
      </c>
      <c r="AA155">
        <f ca="1">IF(AND(ISNUMBER($AA$463),$B$294=1),$AA$463,HLOOKUP(INDIRECT(ADDRESS(2,COLUMN())),OFFSET($BN$2,0,0,ROW()-1,60),ROW()-1,FALSE))</f>
        <v>5.757572927</v>
      </c>
      <c r="AB155">
        <f ca="1">IF(AND(ISNUMBER($AB$463),$B$294=1),$AB$463,HLOOKUP(INDIRECT(ADDRESS(2,COLUMN())),OFFSET($BN$2,0,0,ROW()-1,60),ROW()-1,FALSE))</f>
        <v>6.0908771369999997</v>
      </c>
      <c r="AC155">
        <f ca="1">IF(AND(ISNUMBER($AC$463),$B$294=1),$AC$463,HLOOKUP(INDIRECT(ADDRESS(2,COLUMN())),OFFSET($BN$2,0,0,ROW()-1,60),ROW()-1,FALSE))</f>
        <v>5.6527875889999999</v>
      </c>
      <c r="AD155">
        <f ca="1">IF(AND(ISNUMBER($AD$463),$B$294=1),$AD$463,HLOOKUP(INDIRECT(ADDRESS(2,COLUMN())),OFFSET($BN$2,0,0,ROW()-1,60),ROW()-1,FALSE))</f>
        <v>6.0779199659999996</v>
      </c>
      <c r="AE155" t="str">
        <f ca="1">IF(AND(ISNUMBER($AE$463),$B$294=1),$AE$463,HLOOKUP(INDIRECT(ADDRESS(2,COLUMN())),OFFSET($BN$2,0,0,ROW()-1,60),ROW()-1,FALSE))</f>
        <v/>
      </c>
      <c r="AF155" t="str">
        <f ca="1">IF(AND(ISNUMBER($AF$463),$B$294=1),$AF$463,HLOOKUP(INDIRECT(ADDRESS(2,COLUMN())),OFFSET($BN$2,0,0,ROW()-1,60),ROW()-1,FALSE))</f>
        <v/>
      </c>
      <c r="AG155" t="str">
        <f ca="1">IF(AND(ISNUMBER($AG$463),$B$294=1),$AG$463,HLOOKUP(INDIRECT(ADDRESS(2,COLUMN())),OFFSET($BN$2,0,0,ROW()-1,60),ROW()-1,FALSE))</f>
        <v/>
      </c>
      <c r="AH155" t="str">
        <f ca="1">IF(AND(ISNUMBER($AH$463),$B$294=1),$AH$463,HLOOKUP(INDIRECT(ADDRESS(2,COLUMN())),OFFSET($BN$2,0,0,ROW()-1,60),ROW()-1,FALSE))</f>
        <v/>
      </c>
      <c r="AI155" t="str">
        <f ca="1">IF(AND(ISNUMBER($AI$463),$B$294=1),$AI$463,HLOOKUP(INDIRECT(ADDRESS(2,COLUMN())),OFFSET($BN$2,0,0,ROW()-1,60),ROW()-1,FALSE))</f>
        <v/>
      </c>
      <c r="AJ155" t="str">
        <f ca="1">IF(AND(ISNUMBER($AJ$463),$B$294=1),$AJ$463,HLOOKUP(INDIRECT(ADDRESS(2,COLUMN())),OFFSET($BN$2,0,0,ROW()-1,60),ROW()-1,FALSE))</f>
        <v/>
      </c>
      <c r="AK155" t="str">
        <f ca="1">IF(AND(ISNUMBER($AK$463),$B$294=1),$AK$463,HLOOKUP(INDIRECT(ADDRESS(2,COLUMN())),OFFSET($BN$2,0,0,ROW()-1,60),ROW()-1,FALSE))</f>
        <v/>
      </c>
      <c r="AL155" t="str">
        <f ca="1">IF(AND(ISNUMBER($AL$463),$B$294=1),$AL$463,HLOOKUP(INDIRECT(ADDRESS(2,COLUMN())),OFFSET($BN$2,0,0,ROW()-1,60),ROW()-1,FALSE))</f>
        <v/>
      </c>
      <c r="AM155" t="str">
        <f ca="1">IF(AND(ISNUMBER($AM$463),$B$294=1),$AM$463,HLOOKUP(INDIRECT(ADDRESS(2,COLUMN())),OFFSET($BN$2,0,0,ROW()-1,60),ROW()-1,FALSE))</f>
        <v/>
      </c>
      <c r="AN155" t="str">
        <f ca="1">IF(AND(ISNUMBER($AN$463),$B$294=1),$AN$463,HLOOKUP(INDIRECT(ADDRESS(2,COLUMN())),OFFSET($BN$2,0,0,ROW()-1,60),ROW()-1,FALSE))</f>
        <v/>
      </c>
      <c r="AO155" t="str">
        <f ca="1">IF(AND(ISNUMBER($AO$463),$B$294=1),$AO$463,HLOOKUP(INDIRECT(ADDRESS(2,COLUMN())),OFFSET($BN$2,0,0,ROW()-1,60),ROW()-1,FALSE))</f>
        <v/>
      </c>
      <c r="AP155" t="str">
        <f ca="1">IF(AND(ISNUMBER($AP$463),$B$294=1),$AP$463,HLOOKUP(INDIRECT(ADDRESS(2,COLUMN())),OFFSET($BN$2,0,0,ROW()-1,60),ROW()-1,FALSE))</f>
        <v/>
      </c>
      <c r="AQ155" t="str">
        <f ca="1">IF(AND(ISNUMBER($AQ$463),$B$294=1),$AQ$463,HLOOKUP(INDIRECT(ADDRESS(2,COLUMN())),OFFSET($BN$2,0,0,ROW()-1,60),ROW()-1,FALSE))</f>
        <v/>
      </c>
      <c r="AR155" t="str">
        <f ca="1">IF(AND(ISNUMBER($AR$463),$B$294=1),$AR$463,HLOOKUP(INDIRECT(ADDRESS(2,COLUMN())),OFFSET($BN$2,0,0,ROW()-1,60),ROW()-1,FALSE))</f>
        <v/>
      </c>
      <c r="AS155" t="str">
        <f ca="1">IF(AND(ISNUMBER($AS$463),$B$294=1),$AS$463,HLOOKUP(INDIRECT(ADDRESS(2,COLUMN())),OFFSET($BN$2,0,0,ROW()-1,60),ROW()-1,FALSE))</f>
        <v/>
      </c>
      <c r="AT155" t="str">
        <f ca="1">IF(AND(ISNUMBER($AT$463),$B$294=1),$AT$463,HLOOKUP(INDIRECT(ADDRESS(2,COLUMN())),OFFSET($BN$2,0,0,ROW()-1,60),ROW()-1,FALSE))</f>
        <v/>
      </c>
      <c r="AU155" t="str">
        <f ca="1">IF(AND(ISNUMBER($AU$463),$B$294=1),$AU$463,HLOOKUP(INDIRECT(ADDRESS(2,COLUMN())),OFFSET($BN$2,0,0,ROW()-1,60),ROW()-1,FALSE))</f>
        <v/>
      </c>
      <c r="AV155" t="str">
        <f ca="1">IF(AND(ISNUMBER($AV$463),$B$294=1),$AV$463,HLOOKUP(INDIRECT(ADDRESS(2,COLUMN())),OFFSET($BN$2,0,0,ROW()-1,60),ROW()-1,FALSE))</f>
        <v/>
      </c>
      <c r="AW155" t="str">
        <f ca="1">IF(AND(ISNUMBER($AW$463),$B$294=1),$AW$463,HLOOKUP(INDIRECT(ADDRESS(2,COLUMN())),OFFSET($BN$2,0,0,ROW()-1,60),ROW()-1,FALSE))</f>
        <v/>
      </c>
      <c r="AX155" t="str">
        <f ca="1">IF(AND(ISNUMBER($AX$463),$B$294=1),$AX$463,HLOOKUP(INDIRECT(ADDRESS(2,COLUMN())),OFFSET($BN$2,0,0,ROW()-1,60),ROW()-1,FALSE))</f>
        <v/>
      </c>
      <c r="AY155" t="str">
        <f ca="1">IF(AND(ISNUMBER($AY$463),$B$294=1),$AY$463,HLOOKUP(INDIRECT(ADDRESS(2,COLUMN())),OFFSET($BN$2,0,0,ROW()-1,60),ROW()-1,FALSE))</f>
        <v/>
      </c>
      <c r="AZ155" t="str">
        <f ca="1">IF(AND(ISNUMBER($AZ$463),$B$294=1),$AZ$463,HLOOKUP(INDIRECT(ADDRESS(2,COLUMN())),OFFSET($BN$2,0,0,ROW()-1,60),ROW()-1,FALSE))</f>
        <v/>
      </c>
      <c r="BA155" t="str">
        <f ca="1">IF(AND(ISNUMBER($BA$463),$B$294=1),$BA$463,HLOOKUP(INDIRECT(ADDRESS(2,COLUMN())),OFFSET($BN$2,0,0,ROW()-1,60),ROW()-1,FALSE))</f>
        <v/>
      </c>
      <c r="BB155" t="str">
        <f ca="1">IF(AND(ISNUMBER($BB$463),$B$294=1),$BB$463,HLOOKUP(INDIRECT(ADDRESS(2,COLUMN())),OFFSET($BN$2,0,0,ROW()-1,60),ROW()-1,FALSE))</f>
        <v/>
      </c>
      <c r="BC155" t="str">
        <f ca="1">IF(AND(ISNUMBER($BC$463),$B$294=1),$BC$463,HLOOKUP(INDIRECT(ADDRESS(2,COLUMN())),OFFSET($BN$2,0,0,ROW()-1,60),ROW()-1,FALSE))</f>
        <v/>
      </c>
      <c r="BD155" t="str">
        <f ca="1">IF(AND(ISNUMBER($BD$463),$B$294=1),$BD$463,HLOOKUP(INDIRECT(ADDRESS(2,COLUMN())),OFFSET($BN$2,0,0,ROW()-1,60),ROW()-1,FALSE))</f>
        <v/>
      </c>
      <c r="BE155" t="str">
        <f ca="1">IF(AND(ISNUMBER($BE$463),$B$294=1),$BE$463,HLOOKUP(INDIRECT(ADDRESS(2,COLUMN())),OFFSET($BN$2,0,0,ROW()-1,60),ROW()-1,FALSE))</f>
        <v/>
      </c>
      <c r="BF155" t="str">
        <f ca="1">IF(AND(ISNUMBER($BF$463),$B$294=1),$BF$463,HLOOKUP(INDIRECT(ADDRESS(2,COLUMN())),OFFSET($BN$2,0,0,ROW()-1,60),ROW()-1,FALSE))</f>
        <v/>
      </c>
      <c r="BG155" t="str">
        <f ca="1">IF(AND(ISNUMBER($BG$463),$B$294=1),$BG$463,HLOOKUP(INDIRECT(ADDRESS(2,COLUMN())),OFFSET($BN$2,0,0,ROW()-1,60),ROW()-1,FALSE))</f>
        <v/>
      </c>
      <c r="BH155" t="str">
        <f ca="1">IF(AND(ISNUMBER($BH$463),$B$294=1),$BH$463,HLOOKUP(INDIRECT(ADDRESS(2,COLUMN())),OFFSET($BN$2,0,0,ROW()-1,60),ROW()-1,FALSE))</f>
        <v/>
      </c>
      <c r="BI155" t="str">
        <f ca="1">IF(AND(ISNUMBER($BI$463),$B$294=1),$BI$463,HLOOKUP(INDIRECT(ADDRESS(2,COLUMN())),OFFSET($BN$2,0,0,ROW()-1,60),ROW()-1,FALSE))</f>
        <v/>
      </c>
      <c r="BJ155" t="str">
        <f ca="1">IF(AND(ISNUMBER($BJ$463),$B$294=1),$BJ$463,HLOOKUP(INDIRECT(ADDRESS(2,COLUMN())),OFFSET($BN$2,0,0,ROW()-1,60),ROW()-1,FALSE))</f>
        <v/>
      </c>
      <c r="BK155" t="str">
        <f ca="1">IF(AND(ISNUMBER($BK$463),$B$294=1),$BK$463,HLOOKUP(INDIRECT(ADDRESS(2,COLUMN())),OFFSET($BN$2,0,0,ROW()-1,60),ROW()-1,FALSE))</f>
        <v/>
      </c>
      <c r="BL155" t="str">
        <f ca="1">IF(AND(ISNUMBER($BL$463),$B$294=1),$BL$463,HLOOKUP(INDIRECT(ADDRESS(2,COLUMN())),OFFSET($BN$2,0,0,ROW()-1,60),ROW()-1,FALSE))</f>
        <v/>
      </c>
      <c r="BM155" t="str">
        <f ca="1">IF(AND(ISNUMBER($BM$463),$B$294=1),$BM$463,HLOOKUP(INDIRECT(ADDRESS(2,COLUMN())),OFFSET($BN$2,0,0,ROW()-1,60),ROW()-1,FALSE))</f>
        <v/>
      </c>
      <c r="BN155" t="str">
        <f>""</f>
        <v/>
      </c>
      <c r="BO155">
        <f>6.424929673</f>
        <v>6.4249296730000003</v>
      </c>
      <c r="BP155">
        <f>6.256172601</f>
        <v>6.2561726010000003</v>
      </c>
      <c r="BQ155">
        <f>6.491893471</f>
        <v>6.491893471</v>
      </c>
      <c r="BR155">
        <f>6.540838868</f>
        <v>6.5408388679999998</v>
      </c>
      <c r="BS155">
        <f>5.817364737</f>
        <v>5.8173647370000001</v>
      </c>
      <c r="BT155">
        <f>5.881658558</f>
        <v>5.8816585579999998</v>
      </c>
      <c r="BU155">
        <f>6.063358579</f>
        <v>6.063358579</v>
      </c>
      <c r="BV155">
        <f>5.626457057</f>
        <v>5.6264570569999997</v>
      </c>
      <c r="BW155">
        <f>5.880870425</f>
        <v>5.8808704250000003</v>
      </c>
      <c r="BX155">
        <f>5.88043798</f>
        <v>5.88043798</v>
      </c>
      <c r="BY155">
        <f>5.459964837</f>
        <v>5.4599648370000002</v>
      </c>
      <c r="BZ155">
        <f>5.375780394</f>
        <v>5.3757803940000004</v>
      </c>
      <c r="CA155">
        <f>5.053831617</f>
        <v>5.0538316170000002</v>
      </c>
      <c r="CB155">
        <f>5.09380578</f>
        <v>5.0938057800000003</v>
      </c>
      <c r="CC155">
        <f>5.035608395</f>
        <v>5.0356083949999997</v>
      </c>
      <c r="CD155">
        <f>4.825918409</f>
        <v>4.8259184089999998</v>
      </c>
      <c r="CE155">
        <f>5.682227445</f>
        <v>5.6822274449999997</v>
      </c>
      <c r="CF155">
        <f>5.752532568</f>
        <v>5.7525325680000003</v>
      </c>
      <c r="CG155">
        <f>5.542485443</f>
        <v>5.5424854430000003</v>
      </c>
      <c r="CH155">
        <f>5.675936974</f>
        <v>5.6759369739999999</v>
      </c>
      <c r="CI155">
        <f>5.757572927</f>
        <v>5.757572927</v>
      </c>
      <c r="CJ155">
        <f>6.090877137</f>
        <v>6.0908771369999997</v>
      </c>
      <c r="CK155">
        <f>5.652787589</f>
        <v>5.6527875889999999</v>
      </c>
      <c r="CL155">
        <f>6.077919966</f>
        <v>6.0779199659999996</v>
      </c>
      <c r="CM155" t="str">
        <f>""</f>
        <v/>
      </c>
      <c r="CN155" t="str">
        <f>""</f>
        <v/>
      </c>
      <c r="CO155" t="str">
        <f>""</f>
        <v/>
      </c>
      <c r="CP155" t="str">
        <f>""</f>
        <v/>
      </c>
      <c r="CQ155" t="str">
        <f>""</f>
        <v/>
      </c>
      <c r="CR155" t="str">
        <f>""</f>
        <v/>
      </c>
      <c r="CS155" t="str">
        <f>""</f>
        <v/>
      </c>
      <c r="CT155" t="str">
        <f>""</f>
        <v/>
      </c>
      <c r="CU155" t="str">
        <f>""</f>
        <v/>
      </c>
      <c r="CV155" t="str">
        <f>""</f>
        <v/>
      </c>
      <c r="CW155" t="str">
        <f>""</f>
        <v/>
      </c>
      <c r="CX155" t="str">
        <f>""</f>
        <v/>
      </c>
      <c r="CY155" t="str">
        <f>""</f>
        <v/>
      </c>
      <c r="CZ155" t="str">
        <f>""</f>
        <v/>
      </c>
      <c r="DA155" t="str">
        <f>""</f>
        <v/>
      </c>
      <c r="DB155" t="str">
        <f>""</f>
        <v/>
      </c>
      <c r="DC155" t="str">
        <f>""</f>
        <v/>
      </c>
      <c r="DD155" t="str">
        <f>""</f>
        <v/>
      </c>
      <c r="DE155" t="str">
        <f>""</f>
        <v/>
      </c>
      <c r="DF155" t="str">
        <f>""</f>
        <v/>
      </c>
      <c r="DG155" t="str">
        <f>""</f>
        <v/>
      </c>
      <c r="DH155" t="str">
        <f>""</f>
        <v/>
      </c>
      <c r="DI155" t="str">
        <f>""</f>
        <v/>
      </c>
      <c r="DJ155" t="str">
        <f>""</f>
        <v/>
      </c>
      <c r="DK155" t="str">
        <f>""</f>
        <v/>
      </c>
      <c r="DL155" t="str">
        <f>""</f>
        <v/>
      </c>
      <c r="DM155" t="str">
        <f>""</f>
        <v/>
      </c>
      <c r="DN155" t="str">
        <f>""</f>
        <v/>
      </c>
      <c r="DO155" t="str">
        <f>""</f>
        <v/>
      </c>
      <c r="DP155" t="str">
        <f>""</f>
        <v/>
      </c>
      <c r="DQ155" t="str">
        <f>""</f>
        <v/>
      </c>
      <c r="DR155" t="str">
        <f>""</f>
        <v/>
      </c>
      <c r="DS155" t="str">
        <f>""</f>
        <v/>
      </c>
      <c r="DT155" t="str">
        <f>""</f>
        <v/>
      </c>
      <c r="DU155" t="str">
        <f>""</f>
        <v/>
      </c>
    </row>
    <row r="156" spans="1:125">
      <c r="A156" t="str">
        <f>"    SL Green Realty Corp"</f>
        <v xml:space="preserve">    SL Green Realty Corp</v>
      </c>
      <c r="B156" t="str">
        <f>"SLG US Equity"</f>
        <v>SLG US Equity</v>
      </c>
      <c r="C156" t="str">
        <f t="shared" si="39"/>
        <v>RX902</v>
      </c>
      <c r="D156" t="str">
        <f t="shared" si="40"/>
        <v>ANN_NOI_GR_AST_NET_RTL_DEV_CTD_%</v>
      </c>
      <c r="E156" t="str">
        <f t="shared" si="41"/>
        <v>动态</v>
      </c>
      <c r="F156" t="str">
        <f ca="1">IF(AND(ISNUMBER($F$464),$B$294=1),$F$464,HLOOKUP(INDIRECT(ADDRESS(2,COLUMN())),OFFSET($BN$2,0,0,ROW()-1,60),ROW()-1,FALSE))</f>
        <v/>
      </c>
      <c r="G156">
        <f ca="1">IF(AND(ISNUMBER($G$464),$B$294=1),$G$464,HLOOKUP(INDIRECT(ADDRESS(2,COLUMN())),OFFSET($BN$2,0,0,ROW()-1,60),ROW()-1,FALSE))</f>
        <v>4.2535844090000001</v>
      </c>
      <c r="H156">
        <f ca="1">IF(AND(ISNUMBER($H$464),$B$294=1),$H$464,HLOOKUP(INDIRECT(ADDRESS(2,COLUMN())),OFFSET($BN$2,0,0,ROW()-1,60),ROW()-1,FALSE))</f>
        <v>4.0002866749999999</v>
      </c>
      <c r="I156">
        <f ca="1">IF(AND(ISNUMBER($I$464),$B$294=1),$I$464,HLOOKUP(INDIRECT(ADDRESS(2,COLUMN())),OFFSET($BN$2,0,0,ROW()-1,60),ROW()-1,FALSE))</f>
        <v>4.424802251</v>
      </c>
      <c r="J156">
        <f ca="1">IF(AND(ISNUMBER($J$464),$B$294=1),$J$464,HLOOKUP(INDIRECT(ADDRESS(2,COLUMN())),OFFSET($BN$2,0,0,ROW()-1,60),ROW()-1,FALSE))</f>
        <v>4.0906436519999998</v>
      </c>
      <c r="K156">
        <f ca="1">IF(AND(ISNUMBER($K$464),$B$294=1),$K$464,HLOOKUP(INDIRECT(ADDRESS(2,COLUMN())),OFFSET($BN$2,0,0,ROW()-1,60),ROW()-1,FALSE))</f>
        <v>4.1779489239999998</v>
      </c>
      <c r="L156">
        <f ca="1">IF(AND(ISNUMBER($L$464),$B$294=1),$L$464,HLOOKUP(INDIRECT(ADDRESS(2,COLUMN())),OFFSET($BN$2,0,0,ROW()-1,60),ROW()-1,FALSE))</f>
        <v>4.1559897059999997</v>
      </c>
      <c r="M156">
        <f ca="1">IF(AND(ISNUMBER($M$464),$B$294=1),$M$464,HLOOKUP(INDIRECT(ADDRESS(2,COLUMN())),OFFSET($BN$2,0,0,ROW()-1,60),ROW()-1,FALSE))</f>
        <v>8.6990333270000004</v>
      </c>
      <c r="N156">
        <f ca="1">IF(AND(ISNUMBER($N$464),$B$294=1),$N$464,HLOOKUP(INDIRECT(ADDRESS(2,COLUMN())),OFFSET($BN$2,0,0,ROW()-1,60),ROW()-1,FALSE))</f>
        <v>4.5516208389999999</v>
      </c>
      <c r="O156">
        <f ca="1">IF(AND(ISNUMBER($O$464),$B$294=1),$O$464,HLOOKUP(INDIRECT(ADDRESS(2,COLUMN())),OFFSET($BN$2,0,0,ROW()-1,60),ROW()-1,FALSE))</f>
        <v>4.1017879649999998</v>
      </c>
      <c r="P156">
        <f ca="1">IF(AND(ISNUMBER($P$464),$B$294=1),$P$464,HLOOKUP(INDIRECT(ADDRESS(2,COLUMN())),OFFSET($BN$2,0,0,ROW()-1,60),ROW()-1,FALSE))</f>
        <v>4.2560934960000001</v>
      </c>
      <c r="Q156">
        <f ca="1">IF(AND(ISNUMBER($Q$464),$B$294=1),$Q$464,HLOOKUP(INDIRECT(ADDRESS(2,COLUMN())),OFFSET($BN$2,0,0,ROW()-1,60),ROW()-1,FALSE))</f>
        <v>4.6977032550000004</v>
      </c>
      <c r="R156">
        <f ca="1">IF(AND(ISNUMBER($R$464),$B$294=1),$R$464,HLOOKUP(INDIRECT(ADDRESS(2,COLUMN())),OFFSET($BN$2,0,0,ROW()-1,60),ROW()-1,FALSE))</f>
        <v>4.367430819</v>
      </c>
      <c r="S156">
        <f ca="1">IF(AND(ISNUMBER($S$464),$B$294=1),$S$464,HLOOKUP(INDIRECT(ADDRESS(2,COLUMN())),OFFSET($BN$2,0,0,ROW()-1,60),ROW()-1,FALSE))</f>
        <v>4.4398642820000003</v>
      </c>
      <c r="T156">
        <f ca="1">IF(AND(ISNUMBER($T$464),$B$294=1),$T$464,HLOOKUP(INDIRECT(ADDRESS(2,COLUMN())),OFFSET($BN$2,0,0,ROW()-1,60),ROW()-1,FALSE))</f>
        <v>4.4354087389999997</v>
      </c>
      <c r="U156">
        <f ca="1">IF(AND(ISNUMBER($U$464),$B$294=1),$U$464,HLOOKUP(INDIRECT(ADDRESS(2,COLUMN())),OFFSET($BN$2,0,0,ROW()-1,60),ROW()-1,FALSE))</f>
        <v>4.4051104859999999</v>
      </c>
      <c r="V156">
        <f ca="1">IF(AND(ISNUMBER($V$464),$B$294=1),$V$464,HLOOKUP(INDIRECT(ADDRESS(2,COLUMN())),OFFSET($BN$2,0,0,ROW()-1,60),ROW()-1,FALSE))</f>
        <v>4.2579171630000001</v>
      </c>
      <c r="W156">
        <f ca="1">IF(AND(ISNUMBER($W$464),$B$294=1),$W$464,HLOOKUP(INDIRECT(ADDRESS(2,COLUMN())),OFFSET($BN$2,0,0,ROW()-1,60),ROW()-1,FALSE))</f>
        <v>4.4195925850000002</v>
      </c>
      <c r="X156">
        <f ca="1">IF(AND(ISNUMBER($X$464),$B$294=1),$X$464,HLOOKUP(INDIRECT(ADDRESS(2,COLUMN())),OFFSET($BN$2,0,0,ROW()-1,60),ROW()-1,FALSE))</f>
        <v>4.2605199440000003</v>
      </c>
      <c r="Y156">
        <f ca="1">IF(AND(ISNUMBER($Y$464),$B$294=1),$Y$464,HLOOKUP(INDIRECT(ADDRESS(2,COLUMN())),OFFSET($BN$2,0,0,ROW()-1,60),ROW()-1,FALSE))</f>
        <v>4.7350269750000002</v>
      </c>
      <c r="Z156">
        <f ca="1">IF(AND(ISNUMBER($Z$464),$B$294=1),$Z$464,HLOOKUP(INDIRECT(ADDRESS(2,COLUMN())),OFFSET($BN$2,0,0,ROW()-1,60),ROW()-1,FALSE))</f>
        <v>4.4606247510000001</v>
      </c>
      <c r="AA156">
        <f ca="1">IF(AND(ISNUMBER($AA$464),$B$294=1),$AA$464,HLOOKUP(INDIRECT(ADDRESS(2,COLUMN())),OFFSET($BN$2,0,0,ROW()-1,60),ROW()-1,FALSE))</f>
        <v>4.5165856030000002</v>
      </c>
      <c r="AB156">
        <f ca="1">IF(AND(ISNUMBER($AB$464),$B$294=1),$AB$464,HLOOKUP(INDIRECT(ADDRESS(2,COLUMN())),OFFSET($BN$2,0,0,ROW()-1,60),ROW()-1,FALSE))</f>
        <v>4.7071660279999996</v>
      </c>
      <c r="AC156">
        <f ca="1">IF(AND(ISNUMBER($AC$464),$B$294=1),$AC$464,HLOOKUP(INDIRECT(ADDRESS(2,COLUMN())),OFFSET($BN$2,0,0,ROW()-1,60),ROW()-1,FALSE))</f>
        <v>5.7402473809999996</v>
      </c>
      <c r="AD156">
        <f ca="1">IF(AND(ISNUMBER($AD$464),$B$294=1),$AD$464,HLOOKUP(INDIRECT(ADDRESS(2,COLUMN())),OFFSET($BN$2,0,0,ROW()-1,60),ROW()-1,FALSE))</f>
        <v>4.6844539840000001</v>
      </c>
      <c r="AE156">
        <f ca="1">IF(AND(ISNUMBER($AE$464),$B$294=1),$AE$464,HLOOKUP(INDIRECT(ADDRESS(2,COLUMN())),OFFSET($BN$2,0,0,ROW()-1,60),ROW()-1,FALSE))</f>
        <v>4.8162933370000003</v>
      </c>
      <c r="AF156">
        <f ca="1">IF(AND(ISNUMBER($AF$464),$B$294=1),$AF$464,HLOOKUP(INDIRECT(ADDRESS(2,COLUMN())),OFFSET($BN$2,0,0,ROW()-1,60),ROW()-1,FALSE))</f>
        <v>4.6428831370000001</v>
      </c>
      <c r="AG156">
        <f ca="1">IF(AND(ISNUMBER($AG$464),$B$294=1),$AG$464,HLOOKUP(INDIRECT(ADDRESS(2,COLUMN())),OFFSET($BN$2,0,0,ROW()-1,60),ROW()-1,FALSE))</f>
        <v>4.9895466949999996</v>
      </c>
      <c r="AH156">
        <f ca="1">IF(AND(ISNUMBER($AH$464),$B$294=1),$AH$464,HLOOKUP(INDIRECT(ADDRESS(2,COLUMN())),OFFSET($BN$2,0,0,ROW()-1,60),ROW()-1,FALSE))</f>
        <v>5.1570626500000003</v>
      </c>
      <c r="AI156">
        <f ca="1">IF(AND(ISNUMBER($AI$464),$B$294=1),$AI$464,HLOOKUP(INDIRECT(ADDRESS(2,COLUMN())),OFFSET($BN$2,0,0,ROW()-1,60),ROW()-1,FALSE))</f>
        <v>4.3072586480000004</v>
      </c>
      <c r="AJ156">
        <f ca="1">IF(AND(ISNUMBER($AJ$464),$B$294=1),$AJ$464,HLOOKUP(INDIRECT(ADDRESS(2,COLUMN())),OFFSET($BN$2,0,0,ROW()-1,60),ROW()-1,FALSE))</f>
        <v>4.6724785850000004</v>
      </c>
      <c r="AK156">
        <f ca="1">IF(AND(ISNUMBER($AK$464),$B$294=1),$AK$464,HLOOKUP(INDIRECT(ADDRESS(2,COLUMN())),OFFSET($BN$2,0,0,ROW()-1,60),ROW()-1,FALSE))</f>
        <v>4.8413989810000002</v>
      </c>
      <c r="AL156">
        <f ca="1">IF(AND(ISNUMBER($AL$464),$B$294=1),$AL$464,HLOOKUP(INDIRECT(ADDRESS(2,COLUMN())),OFFSET($BN$2,0,0,ROW()-1,60),ROW()-1,FALSE))</f>
        <v>4.6534401479999996</v>
      </c>
      <c r="AM156">
        <f ca="1">IF(AND(ISNUMBER($AM$464),$B$294=1),$AM$464,HLOOKUP(INDIRECT(ADDRESS(2,COLUMN())),OFFSET($BN$2,0,0,ROW()-1,60),ROW()-1,FALSE))</f>
        <v>4.4932482179999997</v>
      </c>
      <c r="AN156">
        <f ca="1">IF(AND(ISNUMBER($AN$464),$B$294=1),$AN$464,HLOOKUP(INDIRECT(ADDRESS(2,COLUMN())),OFFSET($BN$2,0,0,ROW()-1,60),ROW()-1,FALSE))</f>
        <v>4.8817202540000002</v>
      </c>
      <c r="AO156">
        <f ca="1">IF(AND(ISNUMBER($AO$464),$B$294=1),$AO$464,HLOOKUP(INDIRECT(ADDRESS(2,COLUMN())),OFFSET($BN$2,0,0,ROW()-1,60),ROW()-1,FALSE))</f>
        <v>4.6956915849999996</v>
      </c>
      <c r="AP156">
        <f ca="1">IF(AND(ISNUMBER($AP$464),$B$294=1),$AP$464,HLOOKUP(INDIRECT(ADDRESS(2,COLUMN())),OFFSET($BN$2,0,0,ROW()-1,60),ROW()-1,FALSE))</f>
        <v>4.7892508469999999</v>
      </c>
      <c r="AQ156">
        <f ca="1">IF(AND(ISNUMBER($AQ$464),$B$294=1),$AQ$464,HLOOKUP(INDIRECT(ADDRESS(2,COLUMN())),OFFSET($BN$2,0,0,ROW()-1,60),ROW()-1,FALSE))</f>
        <v>4.5772670959999999</v>
      </c>
      <c r="AR156">
        <f ca="1">IF(AND(ISNUMBER($AR$464),$B$294=1),$AR$464,HLOOKUP(INDIRECT(ADDRESS(2,COLUMN())),OFFSET($BN$2,0,0,ROW()-1,60),ROW()-1,FALSE))</f>
        <v>4.5917828639999998</v>
      </c>
      <c r="AS156">
        <f ca="1">IF(AND(ISNUMBER($AS$464),$B$294=1),$AS$464,HLOOKUP(INDIRECT(ADDRESS(2,COLUMN())),OFFSET($BN$2,0,0,ROW()-1,60),ROW()-1,FALSE))</f>
        <v>4.7342223959999998</v>
      </c>
      <c r="AT156">
        <f ca="1">IF(AND(ISNUMBER($AT$464),$B$294=1),$AT$464,HLOOKUP(INDIRECT(ADDRESS(2,COLUMN())),OFFSET($BN$2,0,0,ROW()-1,60),ROW()-1,FALSE))</f>
        <v>4.6994340240000003</v>
      </c>
      <c r="AU156">
        <f ca="1">IF(AND(ISNUMBER($AU$464),$B$294=1),$AU$464,HLOOKUP(INDIRECT(ADDRESS(2,COLUMN())),OFFSET($BN$2,0,0,ROW()-1,60),ROW()-1,FALSE))</f>
        <v>4.3864719970000001</v>
      </c>
      <c r="AV156">
        <f ca="1">IF(AND(ISNUMBER($AV$464),$B$294=1),$AV$464,HLOOKUP(INDIRECT(ADDRESS(2,COLUMN())),OFFSET($BN$2,0,0,ROW()-1,60),ROW()-1,FALSE))</f>
        <v>4.5820128579999997</v>
      </c>
      <c r="AW156">
        <f ca="1">IF(AND(ISNUMBER($AW$464),$B$294=1),$AW$464,HLOOKUP(INDIRECT(ADDRESS(2,COLUMN())),OFFSET($BN$2,0,0,ROW()-1,60),ROW()-1,FALSE))</f>
        <v>4.9093898080000002</v>
      </c>
      <c r="AX156">
        <f ca="1">IF(AND(ISNUMBER($AX$464),$B$294=1),$AX$464,HLOOKUP(INDIRECT(ADDRESS(2,COLUMN())),OFFSET($BN$2,0,0,ROW()-1,60),ROW()-1,FALSE))</f>
        <v>4.1295354800000004</v>
      </c>
      <c r="AY156" t="str">
        <f ca="1">IF(AND(ISNUMBER($AY$464),$B$294=1),$AY$464,HLOOKUP(INDIRECT(ADDRESS(2,COLUMN())),OFFSET($BN$2,0,0,ROW()-1,60),ROW()-1,FALSE))</f>
        <v/>
      </c>
      <c r="AZ156">
        <f ca="1">IF(AND(ISNUMBER($AZ$464),$B$294=1),$AZ$464,HLOOKUP(INDIRECT(ADDRESS(2,COLUMN())),OFFSET($BN$2,0,0,ROW()-1,60),ROW()-1,FALSE))</f>
        <v>5.2687289259999996</v>
      </c>
      <c r="BA156">
        <f ca="1">IF(AND(ISNUMBER($BA$464),$B$294=1),$BA$464,HLOOKUP(INDIRECT(ADDRESS(2,COLUMN())),OFFSET($BN$2,0,0,ROW()-1,60),ROW()-1,FALSE))</f>
        <v>5.6146098980000003</v>
      </c>
      <c r="BB156">
        <f ca="1">IF(AND(ISNUMBER($BB$464),$B$294=1),$BB$464,HLOOKUP(INDIRECT(ADDRESS(2,COLUMN())),OFFSET($BN$2,0,0,ROW()-1,60),ROW()-1,FALSE))</f>
        <v>5.5279175829999998</v>
      </c>
      <c r="BC156" t="str">
        <f ca="1">IF(AND(ISNUMBER($BC$464),$B$294=1),$BC$464,HLOOKUP(INDIRECT(ADDRESS(2,COLUMN())),OFFSET($BN$2,0,0,ROW()-1,60),ROW()-1,FALSE))</f>
        <v/>
      </c>
      <c r="BD156">
        <f ca="1">IF(AND(ISNUMBER($BD$464),$B$294=1),$BD$464,HLOOKUP(INDIRECT(ADDRESS(2,COLUMN())),OFFSET($BN$2,0,0,ROW()-1,60),ROW()-1,FALSE))</f>
        <v>5.2285516809999999</v>
      </c>
      <c r="BE156">
        <f ca="1">IF(AND(ISNUMBER($BE$464),$B$294=1),$BE$464,HLOOKUP(INDIRECT(ADDRESS(2,COLUMN())),OFFSET($BN$2,0,0,ROW()-1,60),ROW()-1,FALSE))</f>
        <v>5.4834432499999997</v>
      </c>
      <c r="BF156">
        <f ca="1">IF(AND(ISNUMBER($BF$464),$B$294=1),$BF$464,HLOOKUP(INDIRECT(ADDRESS(2,COLUMN())),OFFSET($BN$2,0,0,ROW()-1,60),ROW()-1,FALSE))</f>
        <v>5.6214658589999997</v>
      </c>
      <c r="BG156" t="str">
        <f ca="1">IF(AND(ISNUMBER($BG$464),$B$294=1),$BG$464,HLOOKUP(INDIRECT(ADDRESS(2,COLUMN())),OFFSET($BN$2,0,0,ROW()-1,60),ROW()-1,FALSE))</f>
        <v/>
      </c>
      <c r="BH156" t="str">
        <f ca="1">IF(AND(ISNUMBER($BH$464),$B$294=1),$BH$464,HLOOKUP(INDIRECT(ADDRESS(2,COLUMN())),OFFSET($BN$2,0,0,ROW()-1,60),ROW()-1,FALSE))</f>
        <v/>
      </c>
      <c r="BI156" t="str">
        <f ca="1">IF(AND(ISNUMBER($BI$464),$B$294=1),$BI$464,HLOOKUP(INDIRECT(ADDRESS(2,COLUMN())),OFFSET($BN$2,0,0,ROW()-1,60),ROW()-1,FALSE))</f>
        <v/>
      </c>
      <c r="BJ156" t="str">
        <f ca="1">IF(AND(ISNUMBER($BJ$464),$B$294=1),$BJ$464,HLOOKUP(INDIRECT(ADDRESS(2,COLUMN())),OFFSET($BN$2,0,0,ROW()-1,60),ROW()-1,FALSE))</f>
        <v/>
      </c>
      <c r="BK156" t="str">
        <f ca="1">IF(AND(ISNUMBER($BK$464),$B$294=1),$BK$464,HLOOKUP(INDIRECT(ADDRESS(2,COLUMN())),OFFSET($BN$2,0,0,ROW()-1,60),ROW()-1,FALSE))</f>
        <v/>
      </c>
      <c r="BL156" t="str">
        <f ca="1">IF(AND(ISNUMBER($BL$464),$B$294=1),$BL$464,HLOOKUP(INDIRECT(ADDRESS(2,COLUMN())),OFFSET($BN$2,0,0,ROW()-1,60),ROW()-1,FALSE))</f>
        <v/>
      </c>
      <c r="BM156" t="str">
        <f ca="1">IF(AND(ISNUMBER($BM$464),$B$294=1),$BM$464,HLOOKUP(INDIRECT(ADDRESS(2,COLUMN())),OFFSET($BN$2,0,0,ROW()-1,60),ROW()-1,FALSE))</f>
        <v/>
      </c>
      <c r="BN156" t="str">
        <f>""</f>
        <v/>
      </c>
      <c r="BO156">
        <f>4.253584409</f>
        <v>4.2535844090000001</v>
      </c>
      <c r="BP156">
        <f>4.000286675</f>
        <v>4.0002866749999999</v>
      </c>
      <c r="BQ156">
        <f>4.424802251</f>
        <v>4.424802251</v>
      </c>
      <c r="BR156">
        <f>4.090643652</f>
        <v>4.0906436519999998</v>
      </c>
      <c r="BS156">
        <f>4.177948924</f>
        <v>4.1779489239999998</v>
      </c>
      <c r="BT156">
        <f>4.155989706</f>
        <v>4.1559897059999997</v>
      </c>
      <c r="BU156">
        <f>8.699033327</f>
        <v>8.6990333270000004</v>
      </c>
      <c r="BV156">
        <f>4.551620839</f>
        <v>4.5516208389999999</v>
      </c>
      <c r="BW156">
        <f>4.101787965</f>
        <v>4.1017879649999998</v>
      </c>
      <c r="BX156">
        <f>4.256093496</f>
        <v>4.2560934960000001</v>
      </c>
      <c r="BY156">
        <f>4.697703255</f>
        <v>4.6977032550000004</v>
      </c>
      <c r="BZ156">
        <f>4.367430819</f>
        <v>4.367430819</v>
      </c>
      <c r="CA156">
        <f>4.439864282</f>
        <v>4.4398642820000003</v>
      </c>
      <c r="CB156">
        <f>4.435408739</f>
        <v>4.4354087389999997</v>
      </c>
      <c r="CC156">
        <f>4.405110486</f>
        <v>4.4051104859999999</v>
      </c>
      <c r="CD156">
        <f>4.257917163</f>
        <v>4.2579171630000001</v>
      </c>
      <c r="CE156">
        <f>4.419592585</f>
        <v>4.4195925850000002</v>
      </c>
      <c r="CF156">
        <f>4.260519944</f>
        <v>4.2605199440000003</v>
      </c>
      <c r="CG156">
        <f>4.735026975</f>
        <v>4.7350269750000002</v>
      </c>
      <c r="CH156">
        <f>4.460624751</f>
        <v>4.4606247510000001</v>
      </c>
      <c r="CI156">
        <f>4.516585603</f>
        <v>4.5165856030000002</v>
      </c>
      <c r="CJ156">
        <f>4.707166028</f>
        <v>4.7071660279999996</v>
      </c>
      <c r="CK156">
        <f>5.740247381</f>
        <v>5.7402473809999996</v>
      </c>
      <c r="CL156">
        <f>4.684453984</f>
        <v>4.6844539840000001</v>
      </c>
      <c r="CM156">
        <f>4.816293337</f>
        <v>4.8162933370000003</v>
      </c>
      <c r="CN156">
        <f>4.642883137</f>
        <v>4.6428831370000001</v>
      </c>
      <c r="CO156">
        <f>4.989546695</f>
        <v>4.9895466949999996</v>
      </c>
      <c r="CP156">
        <f>5.15706265</f>
        <v>5.1570626500000003</v>
      </c>
      <c r="CQ156">
        <f>4.307258648</f>
        <v>4.3072586480000004</v>
      </c>
      <c r="CR156">
        <f>4.672478585</f>
        <v>4.6724785850000004</v>
      </c>
      <c r="CS156">
        <f>4.841398981</f>
        <v>4.8413989810000002</v>
      </c>
      <c r="CT156">
        <f>4.653440148</f>
        <v>4.6534401479999996</v>
      </c>
      <c r="CU156">
        <f>4.493248218</f>
        <v>4.4932482179999997</v>
      </c>
      <c r="CV156">
        <f>4.881720254</f>
        <v>4.8817202540000002</v>
      </c>
      <c r="CW156">
        <f>4.695691585</f>
        <v>4.6956915849999996</v>
      </c>
      <c r="CX156">
        <f>4.789250847</f>
        <v>4.7892508469999999</v>
      </c>
      <c r="CY156">
        <f>4.577267096</f>
        <v>4.5772670959999999</v>
      </c>
      <c r="CZ156">
        <f>4.591782864</f>
        <v>4.5917828639999998</v>
      </c>
      <c r="DA156">
        <f>4.734222396</f>
        <v>4.7342223959999998</v>
      </c>
      <c r="DB156">
        <f>4.699434024</f>
        <v>4.6994340240000003</v>
      </c>
      <c r="DC156">
        <f>4.386471997</f>
        <v>4.3864719970000001</v>
      </c>
      <c r="DD156">
        <f>4.582012858</f>
        <v>4.5820128579999997</v>
      </c>
      <c r="DE156">
        <f>4.909389808</f>
        <v>4.9093898080000002</v>
      </c>
      <c r="DF156">
        <f>4.12953548</f>
        <v>4.1295354800000004</v>
      </c>
      <c r="DG156" t="str">
        <f>""</f>
        <v/>
      </c>
      <c r="DH156">
        <f>5.268728926</f>
        <v>5.2687289259999996</v>
      </c>
      <c r="DI156">
        <f>5.614609898</f>
        <v>5.6146098980000003</v>
      </c>
      <c r="DJ156">
        <f>5.527917583</f>
        <v>5.5279175829999998</v>
      </c>
      <c r="DK156" t="str">
        <f>""</f>
        <v/>
      </c>
      <c r="DL156">
        <f>5.228551681</f>
        <v>5.2285516809999999</v>
      </c>
      <c r="DM156">
        <f>5.48344325</f>
        <v>5.4834432499999997</v>
      </c>
      <c r="DN156">
        <f>5.621465859</f>
        <v>5.6214658589999997</v>
      </c>
      <c r="DO156" t="str">
        <f>""</f>
        <v/>
      </c>
      <c r="DP156" t="str">
        <f>""</f>
        <v/>
      </c>
      <c r="DQ156" t="str">
        <f>""</f>
        <v/>
      </c>
      <c r="DR156" t="str">
        <f>""</f>
        <v/>
      </c>
      <c r="DS156" t="str">
        <f>""</f>
        <v/>
      </c>
      <c r="DT156" t="str">
        <f>""</f>
        <v/>
      </c>
      <c r="DU156" t="str">
        <f>""</f>
        <v/>
      </c>
    </row>
    <row r="157" spans="1:125">
      <c r="A157" t="str">
        <f>"    Vornado Realty Trust"</f>
        <v xml:space="preserve">    Vornado Realty Trust</v>
      </c>
      <c r="B157" t="str">
        <f>"VNO US Equity"</f>
        <v>VNO US Equity</v>
      </c>
      <c r="C157" t="str">
        <f t="shared" si="39"/>
        <v>RX902</v>
      </c>
      <c r="D157" t="str">
        <f t="shared" si="40"/>
        <v>ANN_NOI_GR_AST_NET_RTL_DEV_CTD_%</v>
      </c>
      <c r="E157" t="str">
        <f t="shared" si="41"/>
        <v>动态</v>
      </c>
      <c r="F157" t="str">
        <f ca="1">IF(AND(ISNUMBER($F$465),$B$294=1),$F$465,HLOOKUP(INDIRECT(ADDRESS(2,COLUMN())),OFFSET($BN$2,0,0,ROW()-1,60),ROW()-1,FALSE))</f>
        <v/>
      </c>
      <c r="G157">
        <f ca="1">IF(AND(ISNUMBER($G$465),$B$294=1),$G$465,HLOOKUP(INDIRECT(ADDRESS(2,COLUMN())),OFFSET($BN$2,0,0,ROW()-1,60),ROW()-1,FALSE))</f>
        <v>3.1456154120000002</v>
      </c>
      <c r="H157">
        <f ca="1">IF(AND(ISNUMBER($H$465),$B$294=1),$H$465,HLOOKUP(INDIRECT(ADDRESS(2,COLUMN())),OFFSET($BN$2,0,0,ROW()-1,60),ROW()-1,FALSE))</f>
        <v>3.3029508409999999</v>
      </c>
      <c r="I157">
        <f ca="1">IF(AND(ISNUMBER($I$465),$B$294=1),$I$465,HLOOKUP(INDIRECT(ADDRESS(2,COLUMN())),OFFSET($BN$2,0,0,ROW()-1,60),ROW()-1,FALSE))</f>
        <v>2.9854234009999998</v>
      </c>
      <c r="J157">
        <f ca="1">IF(AND(ISNUMBER($J$465),$B$294=1),$J$465,HLOOKUP(INDIRECT(ADDRESS(2,COLUMN())),OFFSET($BN$2,0,0,ROW()-1,60),ROW()-1,FALSE))</f>
        <v>2.571799994</v>
      </c>
      <c r="K157">
        <f ca="1">IF(AND(ISNUMBER($K$465),$B$294=1),$K$465,HLOOKUP(INDIRECT(ADDRESS(2,COLUMN())),OFFSET($BN$2,0,0,ROW()-1,60),ROW()-1,FALSE))</f>
        <v>2.8790031210000002</v>
      </c>
      <c r="L157">
        <f ca="1">IF(AND(ISNUMBER($L$465),$B$294=1),$L$465,HLOOKUP(INDIRECT(ADDRESS(2,COLUMN())),OFFSET($BN$2,0,0,ROW()-1,60),ROW()-1,FALSE))</f>
        <v>3.1148857099999998</v>
      </c>
      <c r="M157">
        <f ca="1">IF(AND(ISNUMBER($M$465),$B$294=1),$M$465,HLOOKUP(INDIRECT(ADDRESS(2,COLUMN())),OFFSET($BN$2,0,0,ROW()-1,60),ROW()-1,FALSE))</f>
        <v>3.0564371440000002</v>
      </c>
      <c r="N157">
        <f ca="1">IF(AND(ISNUMBER($N$465),$B$294=1),$N$465,HLOOKUP(INDIRECT(ADDRESS(2,COLUMN())),OFFSET($BN$2,0,0,ROW()-1,60),ROW()-1,FALSE))</f>
        <v>-4.6230630000000002E-3</v>
      </c>
      <c r="O157">
        <f ca="1">IF(AND(ISNUMBER($O$465),$B$294=1),$O$465,HLOOKUP(INDIRECT(ADDRESS(2,COLUMN())),OFFSET($BN$2,0,0,ROW()-1,60),ROW()-1,FALSE))</f>
        <v>3.3825701619999999</v>
      </c>
      <c r="P157">
        <f ca="1">IF(AND(ISNUMBER($P$465),$B$294=1),$P$465,HLOOKUP(INDIRECT(ADDRESS(2,COLUMN())),OFFSET($BN$2,0,0,ROW()-1,60),ROW()-1,FALSE))</f>
        <v>3.281332903</v>
      </c>
      <c r="Q157">
        <f ca="1">IF(AND(ISNUMBER($Q$465),$B$294=1),$Q$465,HLOOKUP(INDIRECT(ADDRESS(2,COLUMN())),OFFSET($BN$2,0,0,ROW()-1,60),ROW()-1,FALSE))</f>
        <v>3.3796438019999999</v>
      </c>
      <c r="R157">
        <f ca="1">IF(AND(ISNUMBER($R$465),$B$294=1),$R$465,HLOOKUP(INDIRECT(ADDRESS(2,COLUMN())),OFFSET($BN$2,0,0,ROW()-1,60),ROW()-1,FALSE))</f>
        <v>2.9803729859999999</v>
      </c>
      <c r="S157">
        <f ca="1">IF(AND(ISNUMBER($S$465),$B$294=1),$S$465,HLOOKUP(INDIRECT(ADDRESS(2,COLUMN())),OFFSET($BN$2,0,0,ROW()-1,60),ROW()-1,FALSE))</f>
        <v>2.8494696849999999</v>
      </c>
      <c r="T157">
        <f ca="1">IF(AND(ISNUMBER($T$465),$B$294=1),$T$465,HLOOKUP(INDIRECT(ADDRESS(2,COLUMN())),OFFSET($BN$2,0,0,ROW()-1,60),ROW()-1,FALSE))</f>
        <v>2.9835407209999998</v>
      </c>
      <c r="U157">
        <f ca="1">IF(AND(ISNUMBER($U$465),$B$294=1),$U$465,HLOOKUP(INDIRECT(ADDRESS(2,COLUMN())),OFFSET($BN$2,0,0,ROW()-1,60),ROW()-1,FALSE))</f>
        <v>3.140226915</v>
      </c>
      <c r="V157">
        <f ca="1">IF(AND(ISNUMBER($V$465),$B$294=1),$V$465,HLOOKUP(INDIRECT(ADDRESS(2,COLUMN())),OFFSET($BN$2,0,0,ROW()-1,60),ROW()-1,FALSE))</f>
        <v>2.4520907329999999</v>
      </c>
      <c r="W157">
        <f ca="1">IF(AND(ISNUMBER($W$465),$B$294=1),$W$465,HLOOKUP(INDIRECT(ADDRESS(2,COLUMN())),OFFSET($BN$2,0,0,ROW()-1,60),ROW()-1,FALSE))</f>
        <v>2.9890838820000001</v>
      </c>
      <c r="X157">
        <f ca="1">IF(AND(ISNUMBER($X$465),$B$294=1),$X$465,HLOOKUP(INDIRECT(ADDRESS(2,COLUMN())),OFFSET($BN$2,0,0,ROW()-1,60),ROW()-1,FALSE))</f>
        <v>3.978798861</v>
      </c>
      <c r="Y157">
        <f ca="1">IF(AND(ISNUMBER($Y$465),$B$294=1),$Y$465,HLOOKUP(INDIRECT(ADDRESS(2,COLUMN())),OFFSET($BN$2,0,0,ROW()-1,60),ROW()-1,FALSE))</f>
        <v>3.5633824299999999</v>
      </c>
      <c r="Z157">
        <f ca="1">IF(AND(ISNUMBER($Z$465),$B$294=1),$Z$465,HLOOKUP(INDIRECT(ADDRESS(2,COLUMN())),OFFSET($BN$2,0,0,ROW()-1,60),ROW()-1,FALSE))</f>
        <v>4.1187290360000004</v>
      </c>
      <c r="AA157">
        <f ca="1">IF(AND(ISNUMBER($AA$465),$B$294=1),$AA$465,HLOOKUP(INDIRECT(ADDRESS(2,COLUMN())),OFFSET($BN$2,0,0,ROW()-1,60),ROW()-1,FALSE))</f>
        <v>1.3698517880000001</v>
      </c>
      <c r="AB157">
        <f ca="1">IF(AND(ISNUMBER($AB$465),$B$294=1),$AB$465,HLOOKUP(INDIRECT(ADDRESS(2,COLUMN())),OFFSET($BN$2,0,0,ROW()-1,60),ROW()-1,FALSE))</f>
        <v>3.40281038</v>
      </c>
      <c r="AC157">
        <f ca="1">IF(AND(ISNUMBER($AC$465),$B$294=1),$AC$465,HLOOKUP(INDIRECT(ADDRESS(2,COLUMN())),OFFSET($BN$2,0,0,ROW()-1,60),ROW()-1,FALSE))</f>
        <v>3.5155336359999998</v>
      </c>
      <c r="AD157">
        <f ca="1">IF(AND(ISNUMBER($AD$465),$B$294=1),$AD$465,HLOOKUP(INDIRECT(ADDRESS(2,COLUMN())),OFFSET($BN$2,0,0,ROW()-1,60),ROW()-1,FALSE))</f>
        <v>3.109091899</v>
      </c>
      <c r="AE157">
        <f ca="1">IF(AND(ISNUMBER($AE$465),$B$294=1),$AE$465,HLOOKUP(INDIRECT(ADDRESS(2,COLUMN())),OFFSET($BN$2,0,0,ROW()-1,60),ROW()-1,FALSE))</f>
        <v>3.4480304730000002</v>
      </c>
      <c r="AF157">
        <f ca="1">IF(AND(ISNUMBER($AF$465),$B$294=1),$AF$465,HLOOKUP(INDIRECT(ADDRESS(2,COLUMN())),OFFSET($BN$2,0,0,ROW()-1,60),ROW()-1,FALSE))</f>
        <v>3.734527843</v>
      </c>
      <c r="AG157">
        <f ca="1">IF(AND(ISNUMBER($AG$465),$B$294=1),$AG$465,HLOOKUP(INDIRECT(ADDRESS(2,COLUMN())),OFFSET($BN$2,0,0,ROW()-1,60),ROW()-1,FALSE))</f>
        <v>3.9415363870000002</v>
      </c>
      <c r="AH157">
        <f ca="1">IF(AND(ISNUMBER($AH$465),$B$294=1),$AH$465,HLOOKUP(INDIRECT(ADDRESS(2,COLUMN())),OFFSET($BN$2,0,0,ROW()-1,60),ROW()-1,FALSE))</f>
        <v>3.3460551330000001</v>
      </c>
      <c r="AI157">
        <f ca="1">IF(AND(ISNUMBER($AI$465),$B$294=1),$AI$465,HLOOKUP(INDIRECT(ADDRESS(2,COLUMN())),OFFSET($BN$2,0,0,ROW()-1,60),ROW()-1,FALSE))</f>
        <v>1.954880739</v>
      </c>
      <c r="AJ157">
        <f ca="1">IF(AND(ISNUMBER($AJ$465),$B$294=1),$AJ$465,HLOOKUP(INDIRECT(ADDRESS(2,COLUMN())),OFFSET($BN$2,0,0,ROW()-1,60),ROW()-1,FALSE))</f>
        <v>3.9006918119999998</v>
      </c>
      <c r="AK157">
        <f ca="1">IF(AND(ISNUMBER($AK$465),$B$294=1),$AK$465,HLOOKUP(INDIRECT(ADDRESS(2,COLUMN())),OFFSET($BN$2,0,0,ROW()-1,60),ROW()-1,FALSE))</f>
        <v>4.2775196900000001</v>
      </c>
      <c r="AL157">
        <f ca="1">IF(AND(ISNUMBER($AL$465),$B$294=1),$AL$465,HLOOKUP(INDIRECT(ADDRESS(2,COLUMN())),OFFSET($BN$2,0,0,ROW()-1,60),ROW()-1,FALSE))</f>
        <v>3.8695244579999999</v>
      </c>
      <c r="AM157">
        <f ca="1">IF(AND(ISNUMBER($AM$465),$B$294=1),$AM$465,HLOOKUP(INDIRECT(ADDRESS(2,COLUMN())),OFFSET($BN$2,0,0,ROW()-1,60),ROW()-1,FALSE))</f>
        <v>2.9344119829999999</v>
      </c>
      <c r="AN157">
        <f ca="1">IF(AND(ISNUMBER($AN$465),$B$294=1),$AN$465,HLOOKUP(INDIRECT(ADDRESS(2,COLUMN())),OFFSET($BN$2,0,0,ROW()-1,60),ROW()-1,FALSE))</f>
        <v>3.6032694969999999</v>
      </c>
      <c r="AO157">
        <f ca="1">IF(AND(ISNUMBER($AO$465),$B$294=1),$AO$465,HLOOKUP(INDIRECT(ADDRESS(2,COLUMN())),OFFSET($BN$2,0,0,ROW()-1,60),ROW()-1,FALSE))</f>
        <v>3.6613916020000001</v>
      </c>
      <c r="AP157">
        <f ca="1">IF(AND(ISNUMBER($AP$465),$B$294=1),$AP$465,HLOOKUP(INDIRECT(ADDRESS(2,COLUMN())),OFFSET($BN$2,0,0,ROW()-1,60),ROW()-1,FALSE))</f>
        <v>3.2039251050000002</v>
      </c>
      <c r="AQ157">
        <f ca="1">IF(AND(ISNUMBER($AQ$465),$B$294=1),$AQ$465,HLOOKUP(INDIRECT(ADDRESS(2,COLUMN())),OFFSET($BN$2,0,0,ROW()-1,60),ROW()-1,FALSE))</f>
        <v>2.7574287220000002</v>
      </c>
      <c r="AR157">
        <f ca="1">IF(AND(ISNUMBER($AR$465),$B$294=1),$AR$465,HLOOKUP(INDIRECT(ADDRESS(2,COLUMN())),OFFSET($BN$2,0,0,ROW()-1,60),ROW()-1,FALSE))</f>
        <v>3.5672821410000002</v>
      </c>
      <c r="AS157">
        <f ca="1">IF(AND(ISNUMBER($AS$465),$B$294=1),$AS$465,HLOOKUP(INDIRECT(ADDRESS(2,COLUMN())),OFFSET($BN$2,0,0,ROW()-1,60),ROW()-1,FALSE))</f>
        <v>4.0228317450000004</v>
      </c>
      <c r="AT157">
        <f ca="1">IF(AND(ISNUMBER($AT$465),$B$294=1),$AT$465,HLOOKUP(INDIRECT(ADDRESS(2,COLUMN())),OFFSET($BN$2,0,0,ROW()-1,60),ROW()-1,FALSE))</f>
        <v>3.5345252199999999</v>
      </c>
      <c r="AU157">
        <f ca="1">IF(AND(ISNUMBER($AU$465),$B$294=1),$AU$465,HLOOKUP(INDIRECT(ADDRESS(2,COLUMN())),OFFSET($BN$2,0,0,ROW()-1,60),ROW()-1,FALSE))</f>
        <v>3.9209933370000001</v>
      </c>
      <c r="AV157">
        <f ca="1">IF(AND(ISNUMBER($AV$465),$B$294=1),$AV$465,HLOOKUP(INDIRECT(ADDRESS(2,COLUMN())),OFFSET($BN$2,0,0,ROW()-1,60),ROW()-1,FALSE))</f>
        <v>3.6331908639999999</v>
      </c>
      <c r="AW157">
        <f ca="1">IF(AND(ISNUMBER($AW$465),$B$294=1),$AW$465,HLOOKUP(INDIRECT(ADDRESS(2,COLUMN())),OFFSET($BN$2,0,0,ROW()-1,60),ROW()-1,FALSE))</f>
        <v>3.430992356</v>
      </c>
      <c r="AX157">
        <f ca="1">IF(AND(ISNUMBER($AX$465),$B$294=1),$AX$465,HLOOKUP(INDIRECT(ADDRESS(2,COLUMN())),OFFSET($BN$2,0,0,ROW()-1,60),ROW()-1,FALSE))</f>
        <v>3.503842498</v>
      </c>
      <c r="AY157">
        <f ca="1">IF(AND(ISNUMBER($AY$465),$B$294=1),$AY$465,HLOOKUP(INDIRECT(ADDRESS(2,COLUMN())),OFFSET($BN$2,0,0,ROW()-1,60),ROW()-1,FALSE))</f>
        <v>3.6097850729999998</v>
      </c>
      <c r="AZ157">
        <f ca="1">IF(AND(ISNUMBER($AZ$465),$B$294=1),$AZ$465,HLOOKUP(INDIRECT(ADDRESS(2,COLUMN())),OFFSET($BN$2,0,0,ROW()-1,60),ROW()-1,FALSE))</f>
        <v>4.2033483519999999</v>
      </c>
      <c r="BA157">
        <f ca="1">IF(AND(ISNUMBER($BA$465),$B$294=1),$BA$465,HLOOKUP(INDIRECT(ADDRESS(2,COLUMN())),OFFSET($BN$2,0,0,ROW()-1,60),ROW()-1,FALSE))</f>
        <v>4.6850450840000004</v>
      </c>
      <c r="BB157">
        <f ca="1">IF(AND(ISNUMBER($BB$465),$B$294=1),$BB$465,HLOOKUP(INDIRECT(ADDRESS(2,COLUMN())),OFFSET($BN$2,0,0,ROW()-1,60),ROW()-1,FALSE))</f>
        <v>4.4548782090000003</v>
      </c>
      <c r="BC157" t="str">
        <f ca="1">IF(AND(ISNUMBER($BC$465),$B$294=1),$BC$465,HLOOKUP(INDIRECT(ADDRESS(2,COLUMN())),OFFSET($BN$2,0,0,ROW()-1,60),ROW()-1,FALSE))</f>
        <v/>
      </c>
      <c r="BD157" t="str">
        <f ca="1">IF(AND(ISNUMBER($BD$465),$B$294=1),$BD$465,HLOOKUP(INDIRECT(ADDRESS(2,COLUMN())),OFFSET($BN$2,0,0,ROW()-1,60),ROW()-1,FALSE))</f>
        <v/>
      </c>
      <c r="BE157" t="str">
        <f ca="1">IF(AND(ISNUMBER($BE$465),$B$294=1),$BE$465,HLOOKUP(INDIRECT(ADDRESS(2,COLUMN())),OFFSET($BN$2,0,0,ROW()-1,60),ROW()-1,FALSE))</f>
        <v/>
      </c>
      <c r="BF157" t="str">
        <f ca="1">IF(AND(ISNUMBER($BF$465),$B$294=1),$BF$465,HLOOKUP(INDIRECT(ADDRESS(2,COLUMN())),OFFSET($BN$2,0,0,ROW()-1,60),ROW()-1,FALSE))</f>
        <v/>
      </c>
      <c r="BG157" t="str">
        <f ca="1">IF(AND(ISNUMBER($BG$465),$B$294=1),$BG$465,HLOOKUP(INDIRECT(ADDRESS(2,COLUMN())),OFFSET($BN$2,0,0,ROW()-1,60),ROW()-1,FALSE))</f>
        <v/>
      </c>
      <c r="BH157" t="str">
        <f ca="1">IF(AND(ISNUMBER($BH$465),$B$294=1),$BH$465,HLOOKUP(INDIRECT(ADDRESS(2,COLUMN())),OFFSET($BN$2,0,0,ROW()-1,60),ROW()-1,FALSE))</f>
        <v/>
      </c>
      <c r="BI157" t="str">
        <f ca="1">IF(AND(ISNUMBER($BI$465),$B$294=1),$BI$465,HLOOKUP(INDIRECT(ADDRESS(2,COLUMN())),OFFSET($BN$2,0,0,ROW()-1,60),ROW()-1,FALSE))</f>
        <v/>
      </c>
      <c r="BJ157" t="str">
        <f ca="1">IF(AND(ISNUMBER($BJ$465),$B$294=1),$BJ$465,HLOOKUP(INDIRECT(ADDRESS(2,COLUMN())),OFFSET($BN$2,0,0,ROW()-1,60),ROW()-1,FALSE))</f>
        <v/>
      </c>
      <c r="BK157" t="str">
        <f ca="1">IF(AND(ISNUMBER($BK$465),$B$294=1),$BK$465,HLOOKUP(INDIRECT(ADDRESS(2,COLUMN())),OFFSET($BN$2,0,0,ROW()-1,60),ROW()-1,FALSE))</f>
        <v/>
      </c>
      <c r="BL157" t="str">
        <f ca="1">IF(AND(ISNUMBER($BL$465),$B$294=1),$BL$465,HLOOKUP(INDIRECT(ADDRESS(2,COLUMN())),OFFSET($BN$2,0,0,ROW()-1,60),ROW()-1,FALSE))</f>
        <v/>
      </c>
      <c r="BM157" t="str">
        <f ca="1">IF(AND(ISNUMBER($BM$465),$B$294=1),$BM$465,HLOOKUP(INDIRECT(ADDRESS(2,COLUMN())),OFFSET($BN$2,0,0,ROW()-1,60),ROW()-1,FALSE))</f>
        <v/>
      </c>
      <c r="BN157" t="str">
        <f>""</f>
        <v/>
      </c>
      <c r="BO157">
        <f>3.145615412</f>
        <v>3.1456154120000002</v>
      </c>
      <c r="BP157">
        <f>3.302950841</f>
        <v>3.3029508409999999</v>
      </c>
      <c r="BQ157">
        <f>2.985423401</f>
        <v>2.9854234009999998</v>
      </c>
      <c r="BR157">
        <f>2.571799994</f>
        <v>2.571799994</v>
      </c>
      <c r="BS157">
        <f>2.879003121</f>
        <v>2.8790031210000002</v>
      </c>
      <c r="BT157">
        <f>3.11488571</f>
        <v>3.1148857099999998</v>
      </c>
      <c r="BU157">
        <f>3.056437144</f>
        <v>3.0564371440000002</v>
      </c>
      <c r="BV157">
        <f>-0.004623063</f>
        <v>-4.6230630000000002E-3</v>
      </c>
      <c r="BW157">
        <f>3.382570162</f>
        <v>3.3825701619999999</v>
      </c>
      <c r="BX157">
        <f>3.281332903</f>
        <v>3.281332903</v>
      </c>
      <c r="BY157">
        <f>3.379643802</f>
        <v>3.3796438019999999</v>
      </c>
      <c r="BZ157">
        <f>2.980372986</f>
        <v>2.9803729859999999</v>
      </c>
      <c r="CA157">
        <f>2.849469685</f>
        <v>2.8494696849999999</v>
      </c>
      <c r="CB157">
        <f>2.983540721</f>
        <v>2.9835407209999998</v>
      </c>
      <c r="CC157">
        <f>3.140226915</f>
        <v>3.140226915</v>
      </c>
      <c r="CD157">
        <f>2.452090733</f>
        <v>2.4520907329999999</v>
      </c>
      <c r="CE157">
        <f>2.989083882</f>
        <v>2.9890838820000001</v>
      </c>
      <c r="CF157">
        <f>3.978798861</f>
        <v>3.978798861</v>
      </c>
      <c r="CG157">
        <f>3.56338243</f>
        <v>3.5633824299999999</v>
      </c>
      <c r="CH157">
        <f>4.118729036</f>
        <v>4.1187290360000004</v>
      </c>
      <c r="CI157">
        <f>1.369851788</f>
        <v>1.3698517880000001</v>
      </c>
      <c r="CJ157">
        <f>3.40281038</f>
        <v>3.40281038</v>
      </c>
      <c r="CK157">
        <f>3.515533636</f>
        <v>3.5155336359999998</v>
      </c>
      <c r="CL157">
        <f>3.109091899</f>
        <v>3.109091899</v>
      </c>
      <c r="CM157">
        <f>3.448030473</f>
        <v>3.4480304730000002</v>
      </c>
      <c r="CN157">
        <f>3.734527843</f>
        <v>3.734527843</v>
      </c>
      <c r="CO157">
        <f>3.941536387</f>
        <v>3.9415363870000002</v>
      </c>
      <c r="CP157">
        <f>3.346055133</f>
        <v>3.3460551330000001</v>
      </c>
      <c r="CQ157">
        <f>1.954880739</f>
        <v>1.954880739</v>
      </c>
      <c r="CR157">
        <f>3.900691812</f>
        <v>3.9006918119999998</v>
      </c>
      <c r="CS157">
        <f>4.27751969</f>
        <v>4.2775196900000001</v>
      </c>
      <c r="CT157">
        <f>3.869524458</f>
        <v>3.8695244579999999</v>
      </c>
      <c r="CU157">
        <f>2.934411983</f>
        <v>2.9344119829999999</v>
      </c>
      <c r="CV157">
        <f>3.603269497</f>
        <v>3.6032694969999999</v>
      </c>
      <c r="CW157">
        <f>3.661391602</f>
        <v>3.6613916020000001</v>
      </c>
      <c r="CX157">
        <f>3.203925105</f>
        <v>3.2039251050000002</v>
      </c>
      <c r="CY157">
        <f>2.757428722</f>
        <v>2.7574287220000002</v>
      </c>
      <c r="CZ157">
        <f>3.567282141</f>
        <v>3.5672821410000002</v>
      </c>
      <c r="DA157">
        <f>4.022831745</f>
        <v>4.0228317450000004</v>
      </c>
      <c r="DB157">
        <f>3.53452522</f>
        <v>3.5345252199999999</v>
      </c>
      <c r="DC157">
        <f>3.920993337</f>
        <v>3.9209933370000001</v>
      </c>
      <c r="DD157">
        <f>3.633190864</f>
        <v>3.6331908639999999</v>
      </c>
      <c r="DE157">
        <f>3.430992356</f>
        <v>3.430992356</v>
      </c>
      <c r="DF157">
        <f>3.503842498</f>
        <v>3.503842498</v>
      </c>
      <c r="DG157">
        <f>3.609785073</f>
        <v>3.6097850729999998</v>
      </c>
      <c r="DH157">
        <f>4.203348352</f>
        <v>4.2033483519999999</v>
      </c>
      <c r="DI157">
        <f>4.685045084</f>
        <v>4.6850450840000004</v>
      </c>
      <c r="DJ157">
        <f>4.454878209</f>
        <v>4.4548782090000003</v>
      </c>
      <c r="DK157" t="str">
        <f>""</f>
        <v/>
      </c>
      <c r="DL157" t="str">
        <f>""</f>
        <v/>
      </c>
      <c r="DM157" t="str">
        <f>""</f>
        <v/>
      </c>
      <c r="DN157" t="str">
        <f>""</f>
        <v/>
      </c>
      <c r="DO157" t="str">
        <f>""</f>
        <v/>
      </c>
      <c r="DP157" t="str">
        <f>""</f>
        <v/>
      </c>
      <c r="DQ157" t="str">
        <f>""</f>
        <v/>
      </c>
      <c r="DR157" t="str">
        <f>""</f>
        <v/>
      </c>
      <c r="DS157" t="str">
        <f>""</f>
        <v/>
      </c>
      <c r="DT157" t="str">
        <f>""</f>
        <v/>
      </c>
      <c r="DU157" t="str">
        <f>""</f>
        <v/>
      </c>
    </row>
    <row r="158" spans="1:125">
      <c r="A158" t="str">
        <f>"EBITDA/房地产资产(%)"</f>
        <v>EBITDA/房地产资产(%)</v>
      </c>
      <c r="B158" t="str">
        <f>""</f>
        <v/>
      </c>
      <c r="E158" t="str">
        <f>"Median"</f>
        <v>Median</v>
      </c>
      <c r="F158" t="str">
        <f ca="1">IF(ISERROR(IF(MEDIAN($F$159:$F$168) = 0, "", MEDIAN($F$159:$F$168))), "", (IF(MEDIAN($F$159:$F$168) = 0, "", MEDIAN($F$159:$F$168))))</f>
        <v/>
      </c>
      <c r="G158">
        <f ca="1">IF(ISERROR(IF(MEDIAN($G$159:$G$168) = 0, "", MEDIAN($G$159:$G$168))), "", (IF(MEDIAN($G$159:$G$168) = 0, "", MEDIAN($G$159:$G$168))))</f>
        <v>1.8372028445000002</v>
      </c>
      <c r="H158">
        <f ca="1">IF(ISERROR(IF(MEDIAN($H$159:$H$168) = 0, "", MEDIAN($H$159:$H$168))), "", (IF(MEDIAN($H$159:$H$168) = 0, "", MEDIAN($H$159:$H$168))))</f>
        <v>2.1068292209999999</v>
      </c>
      <c r="I158">
        <f ca="1">IF(ISERROR(IF(MEDIAN($I$159:$I$168) = 0, "", MEDIAN($I$159:$I$168))), "", (IF(MEDIAN($I$159:$I$168) = 0, "", MEDIAN($I$159:$I$168))))</f>
        <v>1.9991494350000001</v>
      </c>
      <c r="J158">
        <f ca="1">IF(ISERROR(IF(MEDIAN($J$159:$J$168) = 0, "", MEDIAN($J$159:$J$168))), "", (IF(MEDIAN($J$159:$J$168) = 0, "", MEDIAN($J$159:$J$168))))</f>
        <v>1.9086934470000001</v>
      </c>
      <c r="K158">
        <f ca="1">IF(ISERROR(IF(MEDIAN($K$159:$K$168) = 0, "", MEDIAN($K$159:$K$168))), "", (IF(MEDIAN($K$159:$K$168) = 0, "", MEDIAN($K$159:$K$168))))</f>
        <v>1.93939906</v>
      </c>
      <c r="L158">
        <f ca="1">IF(ISERROR(IF(MEDIAN($L$159:$L$168) = 0, "", MEDIAN($L$159:$L$168))), "", (IF(MEDIAN($L$159:$L$168) = 0, "", MEDIAN($L$159:$L$168))))</f>
        <v>1.9597371269999999</v>
      </c>
      <c r="M158">
        <f ca="1">IF(ISERROR(IF(MEDIAN($M$159:$M$168) = 0, "", MEDIAN($M$159:$M$168))), "", (IF(MEDIAN($M$159:$M$168) = 0, "", MEDIAN($M$159:$M$168))))</f>
        <v>1.9338816164999999</v>
      </c>
      <c r="N158">
        <f ca="1">IF(ISERROR(IF(MEDIAN($N$159:$N$168) = 0, "", MEDIAN($N$159:$N$168))), "", (IF(MEDIAN($N$159:$N$168) = 0, "", MEDIAN($N$159:$N$168))))</f>
        <v>1.9013250185000001</v>
      </c>
      <c r="O158">
        <f ca="1">IF(ISERROR(IF(MEDIAN($O$159:$O$168) = 0, "", MEDIAN($O$159:$O$168))), "", (IF(MEDIAN($O$159:$O$168) = 0, "", MEDIAN($O$159:$O$168))))</f>
        <v>1.8271448395000001</v>
      </c>
      <c r="P158">
        <f ca="1">IF(ISERROR(IF(MEDIAN($P$159:$P$168) = 0, "", MEDIAN($P$159:$P$168))), "", (IF(MEDIAN($P$159:$P$168) = 0, "", MEDIAN($P$159:$P$168))))</f>
        <v>1.8521233795000001</v>
      </c>
      <c r="Q158">
        <f ca="1">IF(ISERROR(IF(MEDIAN($Q$159:$Q$168) = 0, "", MEDIAN($Q$159:$Q$168))), "", (IF(MEDIAN($Q$159:$Q$168) = 0, "", MEDIAN($Q$159:$Q$168))))</f>
        <v>1.9851983714999999</v>
      </c>
      <c r="R158">
        <f ca="1">IF(ISERROR(IF(MEDIAN($R$159:$R$168) = 0, "", MEDIAN($R$159:$R$168))), "", (IF(MEDIAN($R$159:$R$168) = 0, "", MEDIAN($R$159:$R$168))))</f>
        <v>1.8751722790000001</v>
      </c>
      <c r="S158">
        <f ca="1">IF(ISERROR(IF(MEDIAN($S$159:$S$168) = 0, "", MEDIAN($S$159:$S$168))), "", (IF(MEDIAN($S$159:$S$168) = 0, "", MEDIAN($S$159:$S$168))))</f>
        <v>1.9118142825</v>
      </c>
      <c r="T158">
        <f ca="1">IF(ISERROR(IF(MEDIAN($T$159:$T$168) = 0, "", MEDIAN($T$159:$T$168))), "", (IF(MEDIAN($T$159:$T$168) = 0, "", MEDIAN($T$159:$T$168))))</f>
        <v>1.9341769615</v>
      </c>
      <c r="U158">
        <f ca="1">IF(ISERROR(IF(MEDIAN($U$159:$U$168) = 0, "", MEDIAN($U$159:$U$168))), "", (IF(MEDIAN($U$159:$U$168) = 0, "", MEDIAN($U$159:$U$168))))</f>
        <v>1.9756638245</v>
      </c>
      <c r="V158">
        <f ca="1">IF(ISERROR(IF(MEDIAN($V$159:$V$168) = 0, "", MEDIAN($V$159:$V$168))), "", (IF(MEDIAN($V$159:$V$168) = 0, "", MEDIAN($V$159:$V$168))))</f>
        <v>1.8869306940000001</v>
      </c>
      <c r="W158">
        <f ca="1">IF(ISERROR(IF(MEDIAN($W$159:$W$168) = 0, "", MEDIAN($W$159:$W$168))), "", (IF(MEDIAN($W$159:$W$168) = 0, "", MEDIAN($W$159:$W$168))))</f>
        <v>1.9978285165</v>
      </c>
      <c r="X158">
        <f ca="1">IF(ISERROR(IF(MEDIAN($X$159:$X$168) = 0, "", MEDIAN($X$159:$X$168))), "", (IF(MEDIAN($X$159:$X$168) = 0, "", MEDIAN($X$159:$X$168))))</f>
        <v>2.0187738089999998</v>
      </c>
      <c r="Y158">
        <f ca="1">IF(ISERROR(IF(MEDIAN($Y$159:$Y$168) = 0, "", MEDIAN($Y$159:$Y$168))), "", (IF(MEDIAN($Y$159:$Y$168) = 0, "", MEDIAN($Y$159:$Y$168))))</f>
        <v>1.9854817245</v>
      </c>
      <c r="Z158">
        <f ca="1">IF(ISERROR(IF(MEDIAN($Z$159:$Z$168) = 0, "", MEDIAN($Z$159:$Z$168))), "", (IF(MEDIAN($Z$159:$Z$168) = 0, "", MEDIAN($Z$159:$Z$168))))</f>
        <v>1.9383110724999999</v>
      </c>
      <c r="AA158">
        <f ca="1">IF(ISERROR(IF(MEDIAN($AA$159:$AA$168) = 0, "", MEDIAN($AA$159:$AA$168))), "", (IF(MEDIAN($AA$159:$AA$168) = 0, "", MEDIAN($AA$159:$AA$168))))</f>
        <v>1.8223425295</v>
      </c>
      <c r="AB158">
        <f ca="1">IF(ISERROR(IF(MEDIAN($AB$159:$AB$168) = 0, "", MEDIAN($AB$159:$AB$168))), "", (IF(MEDIAN($AB$159:$AB$168) = 0, "", MEDIAN($AB$159:$AB$168))))</f>
        <v>2.0126185694999998</v>
      </c>
      <c r="AC158">
        <f ca="1">IF(ISERROR(IF(MEDIAN($AC$159:$AC$168) = 0, "", MEDIAN($AC$159:$AC$168))), "", (IF(MEDIAN($AC$159:$AC$168) = 0, "", MEDIAN($AC$159:$AC$168))))</f>
        <v>2.0187274195000002</v>
      </c>
      <c r="AD158">
        <f ca="1">IF(ISERROR(IF(MEDIAN($AD$159:$AD$168) = 0, "", MEDIAN($AD$159:$AD$168))), "", (IF(MEDIAN($AD$159:$AD$168) = 0, "", MEDIAN($AD$159:$AD$168))))</f>
        <v>2.0131638765000002</v>
      </c>
      <c r="AE158">
        <f ca="1">IF(ISERROR(IF(MEDIAN($AE$159:$AE$168) = 0, "", MEDIAN($AE$159:$AE$168))), "", (IF(MEDIAN($AE$159:$AE$168) = 0, "", MEDIAN($AE$159:$AE$168))))</f>
        <v>2.0580449935000003</v>
      </c>
      <c r="AF158">
        <f ca="1">IF(ISERROR(IF(MEDIAN($AF$159:$AF$168) = 0, "", MEDIAN($AF$159:$AF$168))), "", (IF(MEDIAN($AF$159:$AF$168) = 0, "", MEDIAN($AF$159:$AF$168))))</f>
        <v>2.0981079204999999</v>
      </c>
      <c r="AG158">
        <f ca="1">IF(ISERROR(IF(MEDIAN($AG$159:$AG$168) = 0, "", MEDIAN($AG$159:$AG$168))), "", (IF(MEDIAN($AG$159:$AG$168) = 0, "", MEDIAN($AG$159:$AG$168))))</f>
        <v>2.0739837364999998</v>
      </c>
      <c r="AH158">
        <f ca="1">IF(ISERROR(IF(MEDIAN($AH$159:$AH$168) = 0, "", MEDIAN($AH$159:$AH$168))), "", (IF(MEDIAN($AH$159:$AH$168) = 0, "", MEDIAN($AH$159:$AH$168))))</f>
        <v>2.0422688364999999</v>
      </c>
      <c r="AI158">
        <f ca="1">IF(ISERROR(IF(MEDIAN($AI$159:$AI$168) = 0, "", MEDIAN($AI$159:$AI$168))), "", (IF(MEDIAN($AI$159:$AI$168) = 0, "", MEDIAN($AI$159:$AI$168))))</f>
        <v>2.0435399780000001</v>
      </c>
      <c r="AJ158">
        <f ca="1">IF(ISERROR(IF(MEDIAN($AJ$159:$AJ$168) = 0, "", MEDIAN($AJ$159:$AJ$168))), "", (IF(MEDIAN($AJ$159:$AJ$168) = 0, "", MEDIAN($AJ$159:$AJ$168))))</f>
        <v>2.139553298</v>
      </c>
      <c r="AK158">
        <f ca="1">IF(ISERROR(IF(MEDIAN($AK$159:$AK$168) = 0, "", MEDIAN($AK$159:$AK$168))), "", (IF(MEDIAN($AK$159:$AK$168) = 0, "", MEDIAN($AK$159:$AK$168))))</f>
        <v>2.0833817975</v>
      </c>
      <c r="AL158">
        <f ca="1">IF(ISERROR(IF(MEDIAN($AL$159:$AL$168) = 0, "", MEDIAN($AL$159:$AL$168))), "", (IF(MEDIAN($AL$159:$AL$168) = 0, "", MEDIAN($AL$159:$AL$168))))</f>
        <v>2.1177314360000001</v>
      </c>
      <c r="AM158">
        <f ca="1">IF(ISERROR(IF(MEDIAN($AM$159:$AM$168) = 0, "", MEDIAN($AM$159:$AM$168))), "", (IF(MEDIAN($AM$159:$AM$168) = 0, "", MEDIAN($AM$159:$AM$168))))</f>
        <v>2.0624545895000002</v>
      </c>
      <c r="AN158">
        <f ca="1">IF(ISERROR(IF(MEDIAN($AN$159:$AN$168) = 0, "", MEDIAN($AN$159:$AN$168))), "", (IF(MEDIAN($AN$159:$AN$168) = 0, "", MEDIAN($AN$159:$AN$168))))</f>
        <v>2.136995867</v>
      </c>
      <c r="AO158">
        <f ca="1">IF(ISERROR(IF(MEDIAN($AO$159:$AO$168) = 0, "", MEDIAN($AO$159:$AO$168))), "", (IF(MEDIAN($AO$159:$AO$168) = 0, "", MEDIAN($AO$159:$AO$168))))</f>
        <v>2.3048712260000004</v>
      </c>
      <c r="AP158">
        <f ca="1">IF(ISERROR(IF(MEDIAN($AP$159:$AP$168) = 0, "", MEDIAN($AP$159:$AP$168))), "", (IF(MEDIAN($AP$159:$AP$168) = 0, "", MEDIAN($AP$159:$AP$168))))</f>
        <v>2.1331629594999999</v>
      </c>
      <c r="AQ158">
        <f ca="1">IF(ISERROR(IF(MEDIAN($AQ$159:$AQ$168) = 0, "", MEDIAN($AQ$159:$AQ$168))), "", (IF(MEDIAN($AQ$159:$AQ$168) = 0, "", MEDIAN($AQ$159:$AQ$168))))</f>
        <v>2.211508077</v>
      </c>
      <c r="AR158">
        <f ca="1">IF(ISERROR(IF(MEDIAN($AR$159:$AR$168) = 0, "", MEDIAN($AR$159:$AR$168))), "", (IF(MEDIAN($AR$159:$AR$168) = 0, "", MEDIAN($AR$159:$AR$168))))</f>
        <v>2.2604133219999998</v>
      </c>
      <c r="AS158">
        <f ca="1">IF(ISERROR(IF(MEDIAN($AS$159:$AS$168) = 0, "", MEDIAN($AS$159:$AS$168))), "", (IF(MEDIAN($AS$159:$AS$168) = 0, "", MEDIAN($AS$159:$AS$168))))</f>
        <v>2.178465826</v>
      </c>
      <c r="AT158">
        <f ca="1">IF(ISERROR(IF(MEDIAN($AT$159:$AT$168) = 0, "", MEDIAN($AT$159:$AT$168))), "", (IF(MEDIAN($AT$159:$AT$168) = 0, "", MEDIAN($AT$159:$AT$168))))</f>
        <v>2.2679062239999999</v>
      </c>
      <c r="AU158">
        <f ca="1">IF(ISERROR(IF(MEDIAN($AU$159:$AU$168) = 0, "", MEDIAN($AU$159:$AU$168))), "", (IF(MEDIAN($AU$159:$AU$168) = 0, "", MEDIAN($AU$159:$AU$168))))</f>
        <v>2.179358948</v>
      </c>
      <c r="AV158">
        <f ca="1">IF(ISERROR(IF(MEDIAN($AV$159:$AV$168) = 0, "", MEDIAN($AV$159:$AV$168))), "", (IF(MEDIAN($AV$159:$AV$168) = 0, "", MEDIAN($AV$159:$AV$168))))</f>
        <v>2.249989845</v>
      </c>
      <c r="AW158">
        <f ca="1">IF(ISERROR(IF(MEDIAN($AW$159:$AW$168) = 0, "", MEDIAN($AW$159:$AW$168))), "", (IF(MEDIAN($AW$159:$AW$168) = 0, "", MEDIAN($AW$159:$AW$168))))</f>
        <v>2.1909622080000002</v>
      </c>
      <c r="AX158">
        <f ca="1">IF(ISERROR(IF(MEDIAN($AX$159:$AX$168) = 0, "", MEDIAN($AX$159:$AX$168))), "", (IF(MEDIAN($AX$159:$AX$168) = 0, "", MEDIAN($AX$159:$AX$168))))</f>
        <v>2.1569596679999998</v>
      </c>
      <c r="AY158">
        <f ca="1">IF(ISERROR(IF(MEDIAN($AY$159:$AY$168) = 0, "", MEDIAN($AY$159:$AY$168))), "", (IF(MEDIAN($AY$159:$AY$168) = 0, "", MEDIAN($AY$159:$AY$168))))</f>
        <v>2.0737362770000001</v>
      </c>
      <c r="AZ158">
        <f ca="1">IF(ISERROR(IF(MEDIAN($AZ$159:$AZ$168) = 0, "", MEDIAN($AZ$159:$AZ$168))), "", (IF(MEDIAN($AZ$159:$AZ$168) = 0, "", MEDIAN($AZ$159:$AZ$168))))</f>
        <v>2.3118264040000001</v>
      </c>
      <c r="BA158">
        <f ca="1">IF(ISERROR(IF(MEDIAN($BA$159:$BA$168) = 0, "", MEDIAN($BA$159:$BA$168))), "", (IF(MEDIAN($BA$159:$BA$168) = 0, "", MEDIAN($BA$159:$BA$168))))</f>
        <v>2.2555455219999998</v>
      </c>
      <c r="BB158">
        <f ca="1">IF(ISERROR(IF(MEDIAN($BB$159:$BB$168) = 0, "", MEDIAN($BB$159:$BB$168))), "", (IF(MEDIAN($BB$159:$BB$168) = 0, "", MEDIAN($BB$159:$BB$168))))</f>
        <v>2.3474833949999998</v>
      </c>
      <c r="BC158">
        <f ca="1">IF(ISERROR(IF(MEDIAN($BC$159:$BC$168) = 0, "", MEDIAN($BC$159:$BC$168))), "", (IF(MEDIAN($BC$159:$BC$168) = 0, "", MEDIAN($BC$159:$BC$168))))</f>
        <v>1.9099813619999999</v>
      </c>
      <c r="BD158">
        <f ca="1">IF(ISERROR(IF(MEDIAN($BD$159:$BD$168) = 0, "", MEDIAN($BD$159:$BD$168))), "", (IF(MEDIAN($BD$159:$BD$168) = 0, "", MEDIAN($BD$159:$BD$168))))</f>
        <v>2.1074405760000001</v>
      </c>
      <c r="BE158">
        <f ca="1">IF(ISERROR(IF(MEDIAN($BE$159:$BE$168) = 0, "", MEDIAN($BE$159:$BE$168))), "", (IF(MEDIAN($BE$159:$BE$168) = 0, "", MEDIAN($BE$159:$BE$168))))</f>
        <v>2.3318563380000001</v>
      </c>
      <c r="BF158">
        <f ca="1">IF(ISERROR(IF(MEDIAN($BF$159:$BF$168) = 0, "", MEDIAN($BF$159:$BF$168))), "", (IF(MEDIAN($BF$159:$BF$168) = 0, "", MEDIAN($BF$159:$BF$168))))</f>
        <v>2.3969722990000002</v>
      </c>
      <c r="BG158">
        <f ca="1">IF(ISERROR(IF(MEDIAN($BG$159:$BG$168) = 0, "", MEDIAN($BG$159:$BG$168))), "", (IF(MEDIAN($BG$159:$BG$168) = 0, "", MEDIAN($BG$159:$BG$168))))</f>
        <v>2.3909595939999999</v>
      </c>
      <c r="BH158">
        <f ca="1">IF(ISERROR(IF(MEDIAN($BH$159:$BH$168) = 0, "", MEDIAN($BH$159:$BH$168))), "", (IF(MEDIAN($BH$159:$BH$168) = 0, "", MEDIAN($BH$159:$BH$168))))</f>
        <v>2.3147588379999999</v>
      </c>
      <c r="BI158">
        <f ca="1">IF(ISERROR(IF(MEDIAN($BI$159:$BI$168) = 0, "", MEDIAN($BI$159:$BI$168))), "", (IF(MEDIAN($BI$159:$BI$168) = 0, "", MEDIAN($BI$159:$BI$168))))</f>
        <v>2.5983272070000001</v>
      </c>
      <c r="BJ158">
        <f ca="1">IF(ISERROR(IF(MEDIAN($BJ$159:$BJ$168) = 0, "", MEDIAN($BJ$159:$BJ$168))), "", (IF(MEDIAN($BJ$159:$BJ$168) = 0, "", MEDIAN($BJ$159:$BJ$168))))</f>
        <v>2.4141421790000002</v>
      </c>
      <c r="BK158">
        <f ca="1">IF(ISERROR(IF(MEDIAN($BK$159:$BK$168) = 0, "", MEDIAN($BK$159:$BK$168))), "", (IF(MEDIAN($BK$159:$BK$168) = 0, "", MEDIAN($BK$159:$BK$168))))</f>
        <v>2.5194699479999998</v>
      </c>
      <c r="BL158">
        <f ca="1">IF(ISERROR(IF(MEDIAN($BL$159:$BL$168) = 0, "", MEDIAN($BL$159:$BL$168))), "", (IF(MEDIAN($BL$159:$BL$168) = 0, "", MEDIAN($BL$159:$BL$168))))</f>
        <v>2.5982838080000001</v>
      </c>
      <c r="BM158">
        <f ca="1">IF(ISERROR(IF(MEDIAN($BM$159:$BM$168) = 0, "", MEDIAN($BM$159:$BM$168))), "", (IF(MEDIAN($BM$159:$BM$168) = 0, "", MEDIAN($BM$159:$BM$168))))</f>
        <v>2.4966093570000001</v>
      </c>
      <c r="BN158" t="str">
        <f>""</f>
        <v/>
      </c>
      <c r="BO158">
        <f>1.837202844</f>
        <v>1.8372028439999999</v>
      </c>
      <c r="BP158">
        <f>2.106829221</f>
        <v>2.1068292209999999</v>
      </c>
      <c r="BQ158">
        <f>1.999149435</f>
        <v>1.9991494350000001</v>
      </c>
      <c r="BR158">
        <f>1.908693447</f>
        <v>1.9086934470000001</v>
      </c>
      <c r="BS158">
        <f>1.93939906</f>
        <v>1.93939906</v>
      </c>
      <c r="BT158">
        <f>1.959737127</f>
        <v>1.9597371269999999</v>
      </c>
      <c r="BU158">
        <f>1.933881617</f>
        <v>1.9338816169999999</v>
      </c>
      <c r="BV158">
        <f>1.901325019</f>
        <v>1.9013250189999999</v>
      </c>
      <c r="BW158">
        <f>1.82714484</f>
        <v>1.8271448400000001</v>
      </c>
      <c r="BX158">
        <f>1.85212338</f>
        <v>1.8521233800000001</v>
      </c>
      <c r="BY158">
        <f>1.985198371</f>
        <v>1.9851983710000001</v>
      </c>
      <c r="BZ158">
        <f>1.875172279</f>
        <v>1.8751722790000001</v>
      </c>
      <c r="CA158">
        <f>1.911814282</f>
        <v>1.9118142819999999</v>
      </c>
      <c r="CB158">
        <f>1.934176961</f>
        <v>1.9341769609999999</v>
      </c>
      <c r="CC158">
        <f>1.975663825</f>
        <v>1.975663825</v>
      </c>
      <c r="CD158">
        <f>1.886930694</f>
        <v>1.8869306939999999</v>
      </c>
      <c r="CE158">
        <f>1.997828517</f>
        <v>1.9978285170000001</v>
      </c>
      <c r="CF158">
        <f>2.018773809</f>
        <v>2.0187738089999998</v>
      </c>
      <c r="CG158">
        <f>1.985481725</f>
        <v>1.9854817250000001</v>
      </c>
      <c r="CH158">
        <f>1.938311073</f>
        <v>1.9383110729999999</v>
      </c>
      <c r="CI158">
        <f>1.82234253</f>
        <v>1.82234253</v>
      </c>
      <c r="CJ158">
        <f>2.012618569</f>
        <v>2.0126185689999998</v>
      </c>
      <c r="CK158">
        <f>2.018727419</f>
        <v>2.0187274190000002</v>
      </c>
      <c r="CL158">
        <f>2.013163876</f>
        <v>2.0131638760000001</v>
      </c>
      <c r="CM158">
        <f>2.058044993</f>
        <v>2.0580449930000002</v>
      </c>
      <c r="CN158">
        <f>2.098107921</f>
        <v>2.098107921</v>
      </c>
      <c r="CO158">
        <f>2.073983736</f>
        <v>2.0739837360000002</v>
      </c>
      <c r="CP158">
        <f>2.042268837</f>
        <v>2.0422688369999999</v>
      </c>
      <c r="CQ158">
        <f>2.043539978</f>
        <v>2.0435399780000001</v>
      </c>
      <c r="CR158">
        <f>2.139553298</f>
        <v>2.139553298</v>
      </c>
      <c r="CS158">
        <f>2.083381797</f>
        <v>2.0833817969999999</v>
      </c>
      <c r="CT158">
        <f>2.117731436</f>
        <v>2.1177314360000001</v>
      </c>
      <c r="CU158">
        <f>2.062454589</f>
        <v>2.0624545890000001</v>
      </c>
      <c r="CV158">
        <f>2.136995867</f>
        <v>2.136995867</v>
      </c>
      <c r="CW158">
        <f>2.304871226</f>
        <v>2.3048712259999999</v>
      </c>
      <c r="CX158">
        <f>2.133162959</f>
        <v>2.1331629589999999</v>
      </c>
      <c r="CY158">
        <f>2.211508077</f>
        <v>2.211508077</v>
      </c>
      <c r="CZ158">
        <f>2.260413322</f>
        <v>2.2604133219999998</v>
      </c>
      <c r="DA158">
        <f>2.178465826</f>
        <v>2.178465826</v>
      </c>
      <c r="DB158">
        <f>2.267906224</f>
        <v>2.2679062239999999</v>
      </c>
      <c r="DC158">
        <f>2.179358948</f>
        <v>2.179358948</v>
      </c>
      <c r="DD158">
        <f>2.249989845</f>
        <v>2.249989845</v>
      </c>
      <c r="DE158">
        <f>2.190962208</f>
        <v>2.1909622080000002</v>
      </c>
      <c r="DF158">
        <f>2.156959668</f>
        <v>2.1569596679999998</v>
      </c>
      <c r="DG158">
        <f>2.073736277</f>
        <v>2.0737362770000001</v>
      </c>
      <c r="DH158">
        <f>2.311826404</f>
        <v>2.3118264040000001</v>
      </c>
      <c r="DI158">
        <f>2.255545522</f>
        <v>2.2555455219999998</v>
      </c>
      <c r="DJ158">
        <f>2.347483395</f>
        <v>2.3474833949999998</v>
      </c>
      <c r="DK158">
        <f>1.909981362</f>
        <v>1.9099813619999999</v>
      </c>
      <c r="DL158">
        <f>2.107440576</f>
        <v>2.1074405760000001</v>
      </c>
      <c r="DM158">
        <f>2.331856338</f>
        <v>2.3318563380000001</v>
      </c>
      <c r="DN158">
        <f>2.396972299</f>
        <v>2.3969722990000002</v>
      </c>
      <c r="DO158">
        <f>2.390959594</f>
        <v>2.3909595939999999</v>
      </c>
      <c r="DP158">
        <f>2.314758838</f>
        <v>2.3147588379999999</v>
      </c>
      <c r="DQ158">
        <f>2.598327207</f>
        <v>2.5983272070000001</v>
      </c>
      <c r="DR158">
        <f>2.414142179</f>
        <v>2.4141421790000002</v>
      </c>
      <c r="DS158">
        <f>2.519469948</f>
        <v>2.5194699479999998</v>
      </c>
      <c r="DT158">
        <f>2.598283808</f>
        <v>2.5982838080000001</v>
      </c>
      <c r="DU158">
        <f>2.496609357</f>
        <v>2.4966093570000001</v>
      </c>
    </row>
    <row r="159" spans="1:125">
      <c r="A159" t="str">
        <f>"    Boston Properties Inc"</f>
        <v xml:space="preserve">    Boston Properties Inc</v>
      </c>
      <c r="B159" t="str">
        <f>"BXP US Equity"</f>
        <v>BXP US Equity</v>
      </c>
      <c r="C159" t="str">
        <f t="shared" ref="C159:C168" si="42">"RR553"</f>
        <v>RR553</v>
      </c>
      <c r="D159" t="str">
        <f t="shared" ref="D159:D168" si="43">"EBITDA_RE_ASSET"</f>
        <v>EBITDA_RE_ASSET</v>
      </c>
      <c r="E159" t="str">
        <f t="shared" ref="E159:E168" si="44">"动态"</f>
        <v>动态</v>
      </c>
      <c r="F159" t="str">
        <f ca="1">IF(AND(ISNUMBER($F$466),$B$294=1),$F$466,HLOOKUP(INDIRECT(ADDRESS(2,COLUMN())),OFFSET($BN$2,0,0,ROW()-1,60),ROW()-1,FALSE))</f>
        <v/>
      </c>
      <c r="G159">
        <f ca="1">IF(AND(ISNUMBER($G$466),$B$294=1),$G$466,HLOOKUP(INDIRECT(ADDRESS(2,COLUMN())),OFFSET($BN$2,0,0,ROW()-1,60),ROW()-1,FALSE))</f>
        <v>2.2404770310000002</v>
      </c>
      <c r="H159">
        <f ca="1">IF(AND(ISNUMBER($H$466),$B$294=1),$H$466,HLOOKUP(INDIRECT(ADDRESS(2,COLUMN())),OFFSET($BN$2,0,0,ROW()-1,60),ROW()-1,FALSE))</f>
        <v>2.271796707</v>
      </c>
      <c r="I159">
        <f ca="1">IF(AND(ISNUMBER($I$466),$B$294=1),$I$466,HLOOKUP(INDIRECT(ADDRESS(2,COLUMN())),OFFSET($BN$2,0,0,ROW()-1,60),ROW()-1,FALSE))</f>
        <v>2.2903858549999998</v>
      </c>
      <c r="J159">
        <f ca="1">IF(AND(ISNUMBER($J$466),$B$294=1),$J$466,HLOOKUP(INDIRECT(ADDRESS(2,COLUMN())),OFFSET($BN$2,0,0,ROW()-1,60),ROW()-1,FALSE))</f>
        <v>2.1643684529999998</v>
      </c>
      <c r="K159">
        <f ca="1">IF(AND(ISNUMBER($K$466),$B$294=1),$K$466,HLOOKUP(INDIRECT(ADDRESS(2,COLUMN())),OFFSET($BN$2,0,0,ROW()-1,60),ROW()-1,FALSE))</f>
        <v>2.2506162490000001</v>
      </c>
      <c r="L159">
        <f ca="1">IF(AND(ISNUMBER($L$466),$B$294=1),$L$466,HLOOKUP(INDIRECT(ADDRESS(2,COLUMN())),OFFSET($BN$2,0,0,ROW()-1,60),ROW()-1,FALSE))</f>
        <v>2.1814428640000001</v>
      </c>
      <c r="M159">
        <f ca="1">IF(AND(ISNUMBER($M$466),$B$294=1),$M$466,HLOOKUP(INDIRECT(ADDRESS(2,COLUMN())),OFFSET($BN$2,0,0,ROW()-1,60),ROW()-1,FALSE))</f>
        <v>2.3216678540000002</v>
      </c>
      <c r="N159">
        <f ca="1">IF(AND(ISNUMBER($N$466),$B$294=1),$N$466,HLOOKUP(INDIRECT(ADDRESS(2,COLUMN())),OFFSET($BN$2,0,0,ROW()-1,60),ROW()-1,FALSE))</f>
        <v>2.5928028830000001</v>
      </c>
      <c r="O159">
        <f ca="1">IF(AND(ISNUMBER($O$466),$B$294=1),$O$466,HLOOKUP(INDIRECT(ADDRESS(2,COLUMN())),OFFSET($BN$2,0,0,ROW()-1,60),ROW()-1,FALSE))</f>
        <v>2.3744107749999999</v>
      </c>
      <c r="P159">
        <f ca="1">IF(AND(ISNUMBER($P$466),$B$294=1),$P$466,HLOOKUP(INDIRECT(ADDRESS(2,COLUMN())),OFFSET($BN$2,0,0,ROW()-1,60),ROW()-1,FALSE))</f>
        <v>2.411960267</v>
      </c>
      <c r="Q159">
        <f ca="1">IF(AND(ISNUMBER($Q$466),$B$294=1),$Q$466,HLOOKUP(INDIRECT(ADDRESS(2,COLUMN())),OFFSET($BN$2,0,0,ROW()-1,60),ROW()-1,FALSE))</f>
        <v>2.3559778429999998</v>
      </c>
      <c r="R159">
        <f ca="1">IF(AND(ISNUMBER($R$466),$B$294=1),$R$466,HLOOKUP(INDIRECT(ADDRESS(2,COLUMN())),OFFSET($BN$2,0,0,ROW()-1,60),ROW()-1,FALSE))</f>
        <v>2.2853192180000002</v>
      </c>
      <c r="S159">
        <f ca="1">IF(AND(ISNUMBER($S$466),$B$294=1),$S$466,HLOOKUP(INDIRECT(ADDRESS(2,COLUMN())),OFFSET($BN$2,0,0,ROW()-1,60),ROW()-1,FALSE))</f>
        <v>2.33771423</v>
      </c>
      <c r="T159">
        <f ca="1">IF(AND(ISNUMBER($T$466),$B$294=1),$T$466,HLOOKUP(INDIRECT(ADDRESS(2,COLUMN())),OFFSET($BN$2,0,0,ROW()-1,60),ROW()-1,FALSE))</f>
        <v>2.3156862839999999</v>
      </c>
      <c r="U159">
        <f ca="1">IF(AND(ISNUMBER($U$466),$B$294=1),$U$466,HLOOKUP(INDIRECT(ADDRESS(2,COLUMN())),OFFSET($BN$2,0,0,ROW()-1,60),ROW()-1,FALSE))</f>
        <v>2.2144318080000001</v>
      </c>
      <c r="V159">
        <f ca="1">IF(AND(ISNUMBER($V$466),$B$294=1),$V$466,HLOOKUP(INDIRECT(ADDRESS(2,COLUMN())),OFFSET($BN$2,0,0,ROW()-1,60),ROW()-1,FALSE))</f>
        <v>2.0713301589999999</v>
      </c>
      <c r="W159">
        <f ca="1">IF(AND(ISNUMBER($W$466),$B$294=1),$W$466,HLOOKUP(INDIRECT(ADDRESS(2,COLUMN())),OFFSET($BN$2,0,0,ROW()-1,60),ROW()-1,FALSE))</f>
        <v>2.1958677070000001</v>
      </c>
      <c r="X159">
        <f ca="1">IF(AND(ISNUMBER($X$466),$B$294=1),$X$466,HLOOKUP(INDIRECT(ADDRESS(2,COLUMN())),OFFSET($BN$2,0,0,ROW()-1,60),ROW()-1,FALSE))</f>
        <v>2.1368372820000001</v>
      </c>
      <c r="Y159">
        <f ca="1">IF(AND(ISNUMBER($Y$466),$B$294=1),$Y$466,HLOOKUP(INDIRECT(ADDRESS(2,COLUMN())),OFFSET($BN$2,0,0,ROW()-1,60),ROW()-1,FALSE))</f>
        <v>1.896701548</v>
      </c>
      <c r="Z159">
        <f ca="1">IF(AND(ISNUMBER($Z$466),$B$294=1),$Z$466,HLOOKUP(INDIRECT(ADDRESS(2,COLUMN())),OFFSET($BN$2,0,0,ROW()-1,60),ROW()-1,FALSE))</f>
        <v>1.886993908</v>
      </c>
      <c r="AA159">
        <f ca="1">IF(AND(ISNUMBER($AA$466),$B$294=1),$AA$466,HLOOKUP(INDIRECT(ADDRESS(2,COLUMN())),OFFSET($BN$2,0,0,ROW()-1,60),ROW()-1,FALSE))</f>
        <v>2.235424745</v>
      </c>
      <c r="AB159">
        <f ca="1">IF(AND(ISNUMBER($AB$466),$B$294=1),$AB$466,HLOOKUP(INDIRECT(ADDRESS(2,COLUMN())),OFFSET($BN$2,0,0,ROW()-1,60),ROW()-1,FALSE))</f>
        <v>2.1968018169999999</v>
      </c>
      <c r="AC159">
        <f ca="1">IF(AND(ISNUMBER($AC$466),$B$294=1),$AC$466,HLOOKUP(INDIRECT(ADDRESS(2,COLUMN())),OFFSET($BN$2,0,0,ROW()-1,60),ROW()-1,FALSE))</f>
        <v>2.3168405289999998</v>
      </c>
      <c r="AD159">
        <f ca="1">IF(AND(ISNUMBER($AD$466),$B$294=1),$AD$466,HLOOKUP(INDIRECT(ADDRESS(2,COLUMN())),OFFSET($BN$2,0,0,ROW()-1,60),ROW()-1,FALSE))</f>
        <v>2.0602338260000002</v>
      </c>
      <c r="AE159">
        <f ca="1">IF(AND(ISNUMBER($AE$466),$B$294=1),$AE$466,HLOOKUP(INDIRECT(ADDRESS(2,COLUMN())),OFFSET($BN$2,0,0,ROW()-1,60),ROW()-1,FALSE))</f>
        <v>2.3145003059999998</v>
      </c>
      <c r="AF159">
        <f ca="1">IF(AND(ISNUMBER($AF$466),$B$294=1),$AF$466,HLOOKUP(INDIRECT(ADDRESS(2,COLUMN())),OFFSET($BN$2,0,0,ROW()-1,60),ROW()-1,FALSE))</f>
        <v>2.3389064039999998</v>
      </c>
      <c r="AG159">
        <f ca="1">IF(AND(ISNUMBER($AG$466),$B$294=1),$AG$466,HLOOKUP(INDIRECT(ADDRESS(2,COLUMN())),OFFSET($BN$2,0,0,ROW()-1,60),ROW()-1,FALSE))</f>
        <v>2.2752571929999998</v>
      </c>
      <c r="AH159">
        <f ca="1">IF(AND(ISNUMBER($AH$466),$B$294=1),$AH$466,HLOOKUP(INDIRECT(ADDRESS(2,COLUMN())),OFFSET($BN$2,0,0,ROW()-1,60),ROW()-1,FALSE))</f>
        <v>2.1266571769999998</v>
      </c>
      <c r="AI159">
        <f ca="1">IF(AND(ISNUMBER($AI$466),$B$294=1),$AI$466,HLOOKUP(INDIRECT(ADDRESS(2,COLUMN())),OFFSET($BN$2,0,0,ROW()-1,60),ROW()-1,FALSE))</f>
        <v>2.105299107</v>
      </c>
      <c r="AJ159">
        <f ca="1">IF(AND(ISNUMBER($AJ$466),$B$294=1),$AJ$466,HLOOKUP(INDIRECT(ADDRESS(2,COLUMN())),OFFSET($BN$2,0,0,ROW()-1,60),ROW()-1,FALSE))</f>
        <v>2.2094582549999999</v>
      </c>
      <c r="AK159">
        <f ca="1">IF(AND(ISNUMBER($AK$466),$B$294=1),$AK$466,HLOOKUP(INDIRECT(ADDRESS(2,COLUMN())),OFFSET($BN$2,0,0,ROW()-1,60),ROW()-1,FALSE))</f>
        <v>2.430926634</v>
      </c>
      <c r="AL159">
        <f ca="1">IF(AND(ISNUMBER($AL$466),$B$294=1),$AL$466,HLOOKUP(INDIRECT(ADDRESS(2,COLUMN())),OFFSET($BN$2,0,0,ROW()-1,60),ROW()-1,FALSE))</f>
        <v>2.1706877009999999</v>
      </c>
      <c r="AM159">
        <f ca="1">IF(AND(ISNUMBER($AM$466),$B$294=1),$AM$466,HLOOKUP(INDIRECT(ADDRESS(2,COLUMN())),OFFSET($BN$2,0,0,ROW()-1,60),ROW()-1,FALSE))</f>
        <v>2.2426914080000002</v>
      </c>
      <c r="AN159">
        <f ca="1">IF(AND(ISNUMBER($AN$466),$B$294=1),$AN$466,HLOOKUP(INDIRECT(ADDRESS(2,COLUMN())),OFFSET($BN$2,0,0,ROW()-1,60),ROW()-1,FALSE))</f>
        <v>2.214942964</v>
      </c>
      <c r="AO159">
        <f ca="1">IF(AND(ISNUMBER($AO$466),$B$294=1),$AO$466,HLOOKUP(INDIRECT(ADDRESS(2,COLUMN())),OFFSET($BN$2,0,0,ROW()-1,60),ROW()-1,FALSE))</f>
        <v>2.4080629400000002</v>
      </c>
      <c r="AP159">
        <f ca="1">IF(AND(ISNUMBER($AP$466),$B$294=1),$AP$466,HLOOKUP(INDIRECT(ADDRESS(2,COLUMN())),OFFSET($BN$2,0,0,ROW()-1,60),ROW()-1,FALSE))</f>
        <v>2.0405726450000001</v>
      </c>
      <c r="AQ159">
        <f ca="1">IF(AND(ISNUMBER($AQ$466),$B$294=1),$AQ$466,HLOOKUP(INDIRECT(ADDRESS(2,COLUMN())),OFFSET($BN$2,0,0,ROW()-1,60),ROW()-1,FALSE))</f>
        <v>2.4363565020000002</v>
      </c>
      <c r="AR159">
        <f ca="1">IF(AND(ISNUMBER($AR$466),$B$294=1),$AR$466,HLOOKUP(INDIRECT(ADDRESS(2,COLUMN())),OFFSET($BN$2,0,0,ROW()-1,60),ROW()-1,FALSE))</f>
        <v>2.0448742860000002</v>
      </c>
      <c r="AS159">
        <f ca="1">IF(AND(ISNUMBER($AS$466),$B$294=1),$AS$466,HLOOKUP(INDIRECT(ADDRESS(2,COLUMN())),OFFSET($BN$2,0,0,ROW()-1,60),ROW()-1,FALSE))</f>
        <v>2.3764455959999999</v>
      </c>
      <c r="AT159">
        <f ca="1">IF(AND(ISNUMBER($AT$466),$B$294=1),$AT$466,HLOOKUP(INDIRECT(ADDRESS(2,COLUMN())),OFFSET($BN$2,0,0,ROW()-1,60),ROW()-1,FALSE))</f>
        <v>2.5989966799999999</v>
      </c>
      <c r="AU159">
        <f ca="1">IF(AND(ISNUMBER($AU$466),$B$294=1),$AU$466,HLOOKUP(INDIRECT(ADDRESS(2,COLUMN())),OFFSET($BN$2,0,0,ROW()-1,60),ROW()-1,FALSE))</f>
        <v>2.7148840999999999</v>
      </c>
      <c r="AV159">
        <f ca="1">IF(AND(ISNUMBER($AV$466),$B$294=1),$AV$466,HLOOKUP(INDIRECT(ADDRESS(2,COLUMN())),OFFSET($BN$2,0,0,ROW()-1,60),ROW()-1,FALSE))</f>
        <v>2.7240329860000001</v>
      </c>
      <c r="AW159">
        <f ca="1">IF(AND(ISNUMBER($AW$466),$B$294=1),$AW$466,HLOOKUP(INDIRECT(ADDRESS(2,COLUMN())),OFFSET($BN$2,0,0,ROW()-1,60),ROW()-1,FALSE))</f>
        <v>2.8138571020000001</v>
      </c>
      <c r="AX159">
        <f ca="1">IF(AND(ISNUMBER($AX$466),$B$294=1),$AX$466,HLOOKUP(INDIRECT(ADDRESS(2,COLUMN())),OFFSET($BN$2,0,0,ROW()-1,60),ROW()-1,FALSE))</f>
        <v>2.6941072209999999</v>
      </c>
      <c r="AY159">
        <f ca="1">IF(AND(ISNUMBER($AY$466),$B$294=1),$AY$466,HLOOKUP(INDIRECT(ADDRESS(2,COLUMN())),OFFSET($BN$2,0,0,ROW()-1,60),ROW()-1,FALSE))</f>
        <v>2.7559783869999999</v>
      </c>
      <c r="AZ159">
        <f ca="1">IF(AND(ISNUMBER($AZ$466),$B$294=1),$AZ$466,HLOOKUP(INDIRECT(ADDRESS(2,COLUMN())),OFFSET($BN$2,0,0,ROW()-1,60),ROW()-1,FALSE))</f>
        <v>2.8712186129999999</v>
      </c>
      <c r="BA159">
        <f ca="1">IF(AND(ISNUMBER($BA$466),$B$294=1),$BA$466,HLOOKUP(INDIRECT(ADDRESS(2,COLUMN())),OFFSET($BN$2,0,0,ROW()-1,60),ROW()-1,FALSE))</f>
        <v>2.925873519</v>
      </c>
      <c r="BB159">
        <f ca="1">IF(AND(ISNUMBER($BB$466),$B$294=1),$BB$466,HLOOKUP(INDIRECT(ADDRESS(2,COLUMN())),OFFSET($BN$2,0,0,ROW()-1,60),ROW()-1,FALSE))</f>
        <v>2.728707741</v>
      </c>
      <c r="BC159">
        <f ca="1">IF(AND(ISNUMBER($BC$466),$B$294=1),$BC$466,HLOOKUP(INDIRECT(ADDRESS(2,COLUMN())),OFFSET($BN$2,0,0,ROW()-1,60),ROW()-1,FALSE))</f>
        <v>2.818985573</v>
      </c>
      <c r="BD159">
        <f ca="1">IF(AND(ISNUMBER($BD$466),$B$294=1),$BD$466,HLOOKUP(INDIRECT(ADDRESS(2,COLUMN())),OFFSET($BN$2,0,0,ROW()-1,60),ROW()-1,FALSE))</f>
        <v>2.7691084990000001</v>
      </c>
      <c r="BE159">
        <f ca="1">IF(AND(ISNUMBER($BE$466),$B$294=1),$BE$466,HLOOKUP(INDIRECT(ADDRESS(2,COLUMN())),OFFSET($BN$2,0,0,ROW()-1,60),ROW()-1,FALSE))</f>
        <v>2.8228090739999998</v>
      </c>
      <c r="BF159">
        <f ca="1">IF(AND(ISNUMBER($BF$466),$B$294=1),$BF$466,HLOOKUP(INDIRECT(ADDRESS(2,COLUMN())),OFFSET($BN$2,0,0,ROW()-1,60),ROW()-1,FALSE))</f>
        <v>2.6748047810000002</v>
      </c>
      <c r="BG159">
        <f ca="1">IF(AND(ISNUMBER($BG$466),$B$294=1),$BG$466,HLOOKUP(INDIRECT(ADDRESS(2,COLUMN())),OFFSET($BN$2,0,0,ROW()-1,60),ROW()-1,FALSE))</f>
        <v>2.7045820580000002</v>
      </c>
      <c r="BH159">
        <f ca="1">IF(AND(ISNUMBER($BH$466),$B$294=1),$BH$466,HLOOKUP(INDIRECT(ADDRESS(2,COLUMN())),OFFSET($BN$2,0,0,ROW()-1,60),ROW()-1,FALSE))</f>
        <v>2.7304920460000002</v>
      </c>
      <c r="BI159">
        <f ca="1">IF(AND(ISNUMBER($BI$466),$B$294=1),$BI$466,HLOOKUP(INDIRECT(ADDRESS(2,COLUMN())),OFFSET($BN$2,0,0,ROW()-1,60),ROW()-1,FALSE))</f>
        <v>2.635455426</v>
      </c>
      <c r="BJ159">
        <f ca="1">IF(AND(ISNUMBER($BJ$466),$B$294=1),$BJ$466,HLOOKUP(INDIRECT(ADDRESS(2,COLUMN())),OFFSET($BN$2,0,0,ROW()-1,60),ROW()-1,FALSE))</f>
        <v>2.557404252</v>
      </c>
      <c r="BK159">
        <f ca="1">IF(AND(ISNUMBER($BK$466),$B$294=1),$BK$466,HLOOKUP(INDIRECT(ADDRESS(2,COLUMN())),OFFSET($BN$2,0,0,ROW()-1,60),ROW()-1,FALSE))</f>
        <v>2.5824191019999998</v>
      </c>
      <c r="BL159">
        <f ca="1">IF(AND(ISNUMBER($BL$466),$B$294=1),$BL$466,HLOOKUP(INDIRECT(ADDRESS(2,COLUMN())),OFFSET($BN$2,0,0,ROW()-1,60),ROW()-1,FALSE))</f>
        <v>2.5098179150000002</v>
      </c>
      <c r="BM159">
        <f ca="1">IF(AND(ISNUMBER($BM$466),$B$294=1),$BM$466,HLOOKUP(INDIRECT(ADDRESS(2,COLUMN())),OFFSET($BN$2,0,0,ROW()-1,60),ROW()-1,FALSE))</f>
        <v>1.653879689</v>
      </c>
      <c r="BN159" t="str">
        <f>""</f>
        <v/>
      </c>
      <c r="BO159">
        <f>2.240477031</f>
        <v>2.2404770310000002</v>
      </c>
      <c r="BP159">
        <f>2.271796707</f>
        <v>2.271796707</v>
      </c>
      <c r="BQ159">
        <f>2.290385855</f>
        <v>2.2903858549999998</v>
      </c>
      <c r="BR159">
        <f>2.164368453</f>
        <v>2.1643684529999998</v>
      </c>
      <c r="BS159">
        <f>2.250616249</f>
        <v>2.2506162490000001</v>
      </c>
      <c r="BT159">
        <f>2.181442864</f>
        <v>2.1814428640000001</v>
      </c>
      <c r="BU159">
        <f>2.321667854</f>
        <v>2.3216678540000002</v>
      </c>
      <c r="BV159">
        <f>2.592802883</f>
        <v>2.5928028830000001</v>
      </c>
      <c r="BW159">
        <f>2.374410775</f>
        <v>2.3744107749999999</v>
      </c>
      <c r="BX159">
        <f>2.411960267</f>
        <v>2.411960267</v>
      </c>
      <c r="BY159">
        <f>2.355977843</f>
        <v>2.3559778429999998</v>
      </c>
      <c r="BZ159">
        <f>2.285319218</f>
        <v>2.2853192180000002</v>
      </c>
      <c r="CA159">
        <f>2.33771423</f>
        <v>2.33771423</v>
      </c>
      <c r="CB159">
        <f>2.315686284</f>
        <v>2.3156862839999999</v>
      </c>
      <c r="CC159">
        <f>2.214431808</f>
        <v>2.2144318080000001</v>
      </c>
      <c r="CD159">
        <f>2.071330159</f>
        <v>2.0713301589999999</v>
      </c>
      <c r="CE159">
        <f>2.195867707</f>
        <v>2.1958677070000001</v>
      </c>
      <c r="CF159">
        <f>2.136837282</f>
        <v>2.1368372820000001</v>
      </c>
      <c r="CG159">
        <f>1.896701548</f>
        <v>1.896701548</v>
      </c>
      <c r="CH159">
        <f>1.886993908</f>
        <v>1.886993908</v>
      </c>
      <c r="CI159">
        <f>2.235424745</f>
        <v>2.235424745</v>
      </c>
      <c r="CJ159">
        <f>2.196801817</f>
        <v>2.1968018169999999</v>
      </c>
      <c r="CK159">
        <f>2.316840529</f>
        <v>2.3168405289999998</v>
      </c>
      <c r="CL159">
        <f>2.060233826</f>
        <v>2.0602338260000002</v>
      </c>
      <c r="CM159">
        <f>2.314500306</f>
        <v>2.3145003059999998</v>
      </c>
      <c r="CN159">
        <f>2.338906404</f>
        <v>2.3389064039999998</v>
      </c>
      <c r="CO159">
        <f>2.275257193</f>
        <v>2.2752571929999998</v>
      </c>
      <c r="CP159">
        <f>2.126657177</f>
        <v>2.1266571769999998</v>
      </c>
      <c r="CQ159">
        <f>2.105299107</f>
        <v>2.105299107</v>
      </c>
      <c r="CR159">
        <f>2.209458255</f>
        <v>2.2094582549999999</v>
      </c>
      <c r="CS159">
        <f>2.430926634</f>
        <v>2.430926634</v>
      </c>
      <c r="CT159">
        <f>2.170687701</f>
        <v>2.1706877009999999</v>
      </c>
      <c r="CU159">
        <f>2.242691408</f>
        <v>2.2426914080000002</v>
      </c>
      <c r="CV159">
        <f>2.214942964</f>
        <v>2.214942964</v>
      </c>
      <c r="CW159">
        <f>2.40806294</f>
        <v>2.4080629400000002</v>
      </c>
      <c r="CX159">
        <f>2.040572645</f>
        <v>2.0405726450000001</v>
      </c>
      <c r="CY159">
        <f>2.436356502</f>
        <v>2.4363565020000002</v>
      </c>
      <c r="CZ159">
        <f>2.044874286</f>
        <v>2.0448742860000002</v>
      </c>
      <c r="DA159">
        <f>2.376445596</f>
        <v>2.3764455959999999</v>
      </c>
      <c r="DB159">
        <f>2.59899668</f>
        <v>2.5989966799999999</v>
      </c>
      <c r="DC159">
        <f>2.7148841</f>
        <v>2.7148840999999999</v>
      </c>
      <c r="DD159">
        <f>2.724032986</f>
        <v>2.7240329860000001</v>
      </c>
      <c r="DE159">
        <f>2.813857102</f>
        <v>2.8138571020000001</v>
      </c>
      <c r="DF159">
        <f>2.694107221</f>
        <v>2.6941072209999999</v>
      </c>
      <c r="DG159">
        <f>2.755978387</f>
        <v>2.7559783869999999</v>
      </c>
      <c r="DH159">
        <f>2.871218613</f>
        <v>2.8712186129999999</v>
      </c>
      <c r="DI159">
        <f>2.925873519</f>
        <v>2.925873519</v>
      </c>
      <c r="DJ159">
        <f>2.728707741</f>
        <v>2.728707741</v>
      </c>
      <c r="DK159">
        <f>2.818985573</f>
        <v>2.818985573</v>
      </c>
      <c r="DL159">
        <f>2.769108499</f>
        <v>2.7691084990000001</v>
      </c>
      <c r="DM159">
        <f>2.822809074</f>
        <v>2.8228090739999998</v>
      </c>
      <c r="DN159">
        <f>2.674804781</f>
        <v>2.6748047810000002</v>
      </c>
      <c r="DO159">
        <f>2.704582058</f>
        <v>2.7045820580000002</v>
      </c>
      <c r="DP159">
        <f>2.730492046</f>
        <v>2.7304920460000002</v>
      </c>
      <c r="DQ159">
        <f>2.635455426</f>
        <v>2.635455426</v>
      </c>
      <c r="DR159">
        <f>2.557404252</f>
        <v>2.557404252</v>
      </c>
      <c r="DS159">
        <f>2.582419102</f>
        <v>2.5824191019999998</v>
      </c>
      <c r="DT159">
        <f>2.509817915</f>
        <v>2.5098179150000002</v>
      </c>
      <c r="DU159">
        <f>1.653879689</f>
        <v>1.653879689</v>
      </c>
    </row>
    <row r="160" spans="1:125">
      <c r="A160" t="str">
        <f>"    Brandywine Realty Trust"</f>
        <v xml:space="preserve">    Brandywine Realty Trust</v>
      </c>
      <c r="B160" t="str">
        <f>"BDN US Equity"</f>
        <v>BDN US Equity</v>
      </c>
      <c r="C160" t="str">
        <f t="shared" si="42"/>
        <v>RR553</v>
      </c>
      <c r="D160" t="str">
        <f t="shared" si="43"/>
        <v>EBITDA_RE_ASSET</v>
      </c>
      <c r="E160" t="str">
        <f t="shared" si="44"/>
        <v>动态</v>
      </c>
      <c r="F160" t="str">
        <f ca="1">IF(AND(ISNUMBER($F$467),$B$294=1),$F$467,HLOOKUP(INDIRECT(ADDRESS(2,COLUMN())),OFFSET($BN$2,0,0,ROW()-1,60),ROW()-1,FALSE))</f>
        <v/>
      </c>
      <c r="G160">
        <f ca="1">IF(AND(ISNUMBER($G$467),$B$294=1),$G$467,HLOOKUP(INDIRECT(ADDRESS(2,COLUMN())),OFFSET($BN$2,0,0,ROW()-1,60),ROW()-1,FALSE))</f>
        <v>2.1547706149999999</v>
      </c>
      <c r="H160">
        <f ca="1">IF(AND(ISNUMBER($H$467),$B$294=1),$H$467,HLOOKUP(INDIRECT(ADDRESS(2,COLUMN())),OFFSET($BN$2,0,0,ROW()-1,60),ROW()-1,FALSE))</f>
        <v>2.1204479269999998</v>
      </c>
      <c r="I160">
        <f ca="1">IF(AND(ISNUMBER($I$467),$B$294=1),$I$467,HLOOKUP(INDIRECT(ADDRESS(2,COLUMN())),OFFSET($BN$2,0,0,ROW()-1,60),ROW()-1,FALSE))</f>
        <v>2.0650458810000001</v>
      </c>
      <c r="J160">
        <f ca="1">IF(AND(ISNUMBER($J$467),$B$294=1),$J$467,HLOOKUP(INDIRECT(ADDRESS(2,COLUMN())),OFFSET($BN$2,0,0,ROW()-1,60),ROW()-1,FALSE))</f>
        <v>1.9384740620000001</v>
      </c>
      <c r="K160">
        <f ca="1">IF(AND(ISNUMBER($K$467),$B$294=1),$K$467,HLOOKUP(INDIRECT(ADDRESS(2,COLUMN())),OFFSET($BN$2,0,0,ROW()-1,60),ROW()-1,FALSE))</f>
        <v>1.2755292060000001</v>
      </c>
      <c r="L160">
        <f ca="1">IF(AND(ISNUMBER($L$467),$B$294=1),$L$467,HLOOKUP(INDIRECT(ADDRESS(2,COLUMN())),OFFSET($BN$2,0,0,ROW()-1,60),ROW()-1,FALSE))</f>
        <v>2.0369410920000002</v>
      </c>
      <c r="M160">
        <f ca="1">IF(AND(ISNUMBER($M$467),$B$294=1),$M$467,HLOOKUP(INDIRECT(ADDRESS(2,COLUMN())),OFFSET($BN$2,0,0,ROW()-1,60),ROW()-1,FALSE))</f>
        <v>1.823550915</v>
      </c>
      <c r="N160">
        <f ca="1">IF(AND(ISNUMBER($N$467),$B$294=1),$N$467,HLOOKUP(INDIRECT(ADDRESS(2,COLUMN())),OFFSET($BN$2,0,0,ROW()-1,60),ROW()-1,FALSE))</f>
        <v>1.7777347509999999</v>
      </c>
      <c r="O160">
        <f ca="1">IF(AND(ISNUMBER($O$467),$B$294=1),$O$467,HLOOKUP(INDIRECT(ADDRESS(2,COLUMN())),OFFSET($BN$2,0,0,ROW()-1,60),ROW()-1,FALSE))</f>
        <v>8.1380532000000005E-2</v>
      </c>
      <c r="P160">
        <f ca="1">IF(AND(ISNUMBER($P$467),$B$294=1),$P$467,HLOOKUP(INDIRECT(ADDRESS(2,COLUMN())),OFFSET($BN$2,0,0,ROW()-1,60),ROW()-1,FALSE))</f>
        <v>2.0149948740000001</v>
      </c>
      <c r="Q160">
        <f ca="1">IF(AND(ISNUMBER($Q$467),$B$294=1),$Q$467,HLOOKUP(INDIRECT(ADDRESS(2,COLUMN())),OFFSET($BN$2,0,0,ROW()-1,60),ROW()-1,FALSE))</f>
        <v>1.9339002359999999</v>
      </c>
      <c r="R160">
        <f ca="1">IF(AND(ISNUMBER($R$467),$B$294=1),$R$467,HLOOKUP(INDIRECT(ADDRESS(2,COLUMN())),OFFSET($BN$2,0,0,ROW()-1,60),ROW()-1,FALSE))</f>
        <v>1.962999363</v>
      </c>
      <c r="S160">
        <f ca="1">IF(AND(ISNUMBER($S$467),$B$294=1),$S$467,HLOOKUP(INDIRECT(ADDRESS(2,COLUMN())),OFFSET($BN$2,0,0,ROW()-1,60),ROW()-1,FALSE))</f>
        <v>1.866075159</v>
      </c>
      <c r="T160">
        <f ca="1">IF(AND(ISNUMBER($T$467),$B$294=1),$T$467,HLOOKUP(INDIRECT(ADDRESS(2,COLUMN())),OFFSET($BN$2,0,0,ROW()-1,60),ROW()-1,FALSE))</f>
        <v>2.0561167079999998</v>
      </c>
      <c r="U160">
        <f ca="1">IF(AND(ISNUMBER($U$467),$B$294=1),$U$467,HLOOKUP(INDIRECT(ADDRESS(2,COLUMN())),OFFSET($BN$2,0,0,ROW()-1,60),ROW()-1,FALSE))</f>
        <v>2.118813711</v>
      </c>
      <c r="V160">
        <f ca="1">IF(AND(ISNUMBER($V$467),$B$294=1),$V$467,HLOOKUP(INDIRECT(ADDRESS(2,COLUMN())),OFFSET($BN$2,0,0,ROW()-1,60),ROW()-1,FALSE))</f>
        <v>1.9759498339999999</v>
      </c>
      <c r="W160">
        <f ca="1">IF(AND(ISNUMBER($W$467),$B$294=1),$W$467,HLOOKUP(INDIRECT(ADDRESS(2,COLUMN())),OFFSET($BN$2,0,0,ROW()-1,60),ROW()-1,FALSE))</f>
        <v>1.6924701230000001</v>
      </c>
      <c r="X160">
        <f ca="1">IF(AND(ISNUMBER($X$467),$B$294=1),$X$467,HLOOKUP(INDIRECT(ADDRESS(2,COLUMN())),OFFSET($BN$2,0,0,ROW()-1,60),ROW()-1,FALSE))</f>
        <v>1.984053836</v>
      </c>
      <c r="Y160">
        <f ca="1">IF(AND(ISNUMBER($Y$467),$B$294=1),$Y$467,HLOOKUP(INDIRECT(ADDRESS(2,COLUMN())),OFFSET($BN$2,0,0,ROW()-1,60),ROW()-1,FALSE))</f>
        <v>1.9451884930000001</v>
      </c>
      <c r="Z160">
        <f ca="1">IF(AND(ISNUMBER($Z$467),$B$294=1),$Z$467,HLOOKUP(INDIRECT(ADDRESS(2,COLUMN())),OFFSET($BN$2,0,0,ROW()-1,60),ROW()-1,FALSE))</f>
        <v>1.927652986</v>
      </c>
      <c r="AA160">
        <f ca="1">IF(AND(ISNUMBER($AA$467),$B$294=1),$AA$467,HLOOKUP(INDIRECT(ADDRESS(2,COLUMN())),OFFSET($BN$2,0,0,ROW()-1,60),ROW()-1,FALSE))</f>
        <v>-1.7729820540000001</v>
      </c>
      <c r="AB160">
        <f ca="1">IF(AND(ISNUMBER($AB$467),$B$294=1),$AB$467,HLOOKUP(INDIRECT(ADDRESS(2,COLUMN())),OFFSET($BN$2,0,0,ROW()-1,60),ROW()-1,FALSE))</f>
        <v>1.849927552</v>
      </c>
      <c r="AC160">
        <f ca="1">IF(AND(ISNUMBER($AC$467),$B$294=1),$AC$467,HLOOKUP(INDIRECT(ADDRESS(2,COLUMN())),OFFSET($BN$2,0,0,ROW()-1,60),ROW()-1,FALSE))</f>
        <v>1.8715138019999999</v>
      </c>
      <c r="AD160">
        <f ca="1">IF(AND(ISNUMBER($AD$467),$B$294=1),$AD$467,HLOOKUP(INDIRECT(ADDRESS(2,COLUMN())),OFFSET($BN$2,0,0,ROW()-1,60),ROW()-1,FALSE))</f>
        <v>1.878972031</v>
      </c>
      <c r="AE160">
        <f ca="1">IF(AND(ISNUMBER($AE$467),$B$294=1),$AE$467,HLOOKUP(INDIRECT(ADDRESS(2,COLUMN())),OFFSET($BN$2,0,0,ROW()-1,60),ROW()-1,FALSE))</f>
        <v>1.8596318780000001</v>
      </c>
      <c r="AF160">
        <f ca="1">IF(AND(ISNUMBER($AF$467),$B$294=1),$AF$467,HLOOKUP(INDIRECT(ADDRESS(2,COLUMN())),OFFSET($BN$2,0,0,ROW()-1,60),ROW()-1,FALSE))</f>
        <v>1.8232548669999999</v>
      </c>
      <c r="AG160">
        <f ca="1">IF(AND(ISNUMBER($AG$467),$B$294=1),$AG$467,HLOOKUP(INDIRECT(ADDRESS(2,COLUMN())),OFFSET($BN$2,0,0,ROW()-1,60),ROW()-1,FALSE))</f>
        <v>1.8558922799999999</v>
      </c>
      <c r="AH160">
        <f ca="1">IF(AND(ISNUMBER($AH$467),$B$294=1),$AH$467,HLOOKUP(INDIRECT(ADDRESS(2,COLUMN())),OFFSET($BN$2,0,0,ROW()-1,60),ROW()-1,FALSE))</f>
        <v>1.804101889</v>
      </c>
      <c r="AI160">
        <f ca="1">IF(AND(ISNUMBER($AI$467),$B$294=1),$AI$467,HLOOKUP(INDIRECT(ADDRESS(2,COLUMN())),OFFSET($BN$2,0,0,ROW()-1,60),ROW()-1,FALSE))</f>
        <v>1.850470273</v>
      </c>
      <c r="AJ160">
        <f ca="1">IF(AND(ISNUMBER($AJ$467),$B$294=1),$AJ$467,HLOOKUP(INDIRECT(ADDRESS(2,COLUMN())),OFFSET($BN$2,0,0,ROW()-1,60),ROW()-1,FALSE))</f>
        <v>1.80983128</v>
      </c>
      <c r="AK160">
        <f ca="1">IF(AND(ISNUMBER($AK$467),$B$294=1),$AK$467,HLOOKUP(INDIRECT(ADDRESS(2,COLUMN())),OFFSET($BN$2,0,0,ROW()-1,60),ROW()-1,FALSE))</f>
        <v>1.7254650309999999</v>
      </c>
      <c r="AL160">
        <f ca="1">IF(AND(ISNUMBER($AL$467),$B$294=1),$AL$467,HLOOKUP(INDIRECT(ADDRESS(2,COLUMN())),OFFSET($BN$2,0,0,ROW()-1,60),ROW()-1,FALSE))</f>
        <v>1.769769127</v>
      </c>
      <c r="AM160">
        <f ca="1">IF(AND(ISNUMBER($AM$467),$B$294=1),$AM$467,HLOOKUP(INDIRECT(ADDRESS(2,COLUMN())),OFFSET($BN$2,0,0,ROW()-1,60),ROW()-1,FALSE))</f>
        <v>1.5803387310000001</v>
      </c>
      <c r="AN160">
        <f ca="1">IF(AND(ISNUMBER($AN$467),$B$294=1),$AN$467,HLOOKUP(INDIRECT(ADDRESS(2,COLUMN())),OFFSET($BN$2,0,0,ROW()-1,60),ROW()-1,FALSE))</f>
        <v>1.78736063</v>
      </c>
      <c r="AO160">
        <f ca="1">IF(AND(ISNUMBER($AO$467),$B$294=1),$AO$467,HLOOKUP(INDIRECT(ADDRESS(2,COLUMN())),OFFSET($BN$2,0,0,ROW()-1,60),ROW()-1,FALSE))</f>
        <v>1.835836719</v>
      </c>
      <c r="AP160">
        <f ca="1">IF(AND(ISNUMBER($AP$467),$B$294=1),$AP$467,HLOOKUP(INDIRECT(ADDRESS(2,COLUMN())),OFFSET($BN$2,0,0,ROW()-1,60),ROW()-1,FALSE))</f>
        <v>1.7769040979999999</v>
      </c>
      <c r="AQ160">
        <f ca="1">IF(AND(ISNUMBER($AQ$467),$B$294=1),$AQ$467,HLOOKUP(INDIRECT(ADDRESS(2,COLUMN())),OFFSET($BN$2,0,0,ROW()-1,60),ROW()-1,FALSE))</f>
        <v>1.505808104</v>
      </c>
      <c r="AR160">
        <f ca="1">IF(AND(ISNUMBER($AR$467),$B$294=1),$AR$467,HLOOKUP(INDIRECT(ADDRESS(2,COLUMN())),OFFSET($BN$2,0,0,ROW()-1,60),ROW()-1,FALSE))</f>
        <v>1.8391563049999999</v>
      </c>
      <c r="AS160">
        <f ca="1">IF(AND(ISNUMBER($AS$467),$B$294=1),$AS$467,HLOOKUP(INDIRECT(ADDRESS(2,COLUMN())),OFFSET($BN$2,0,0,ROW()-1,60),ROW()-1,FALSE))</f>
        <v>2.0102889479999999</v>
      </c>
      <c r="AT160">
        <f ca="1">IF(AND(ISNUMBER($AT$467),$B$294=1),$AT$467,HLOOKUP(INDIRECT(ADDRESS(2,COLUMN())),OFFSET($BN$2,0,0,ROW()-1,60),ROW()-1,FALSE))</f>
        <v>1.8384648240000001</v>
      </c>
      <c r="AU160">
        <f ca="1">IF(AND(ISNUMBER($AU$467),$B$294=1),$AU$467,HLOOKUP(INDIRECT(ADDRESS(2,COLUMN())),OFFSET($BN$2,0,0,ROW()-1,60),ROW()-1,FALSE))</f>
        <v>1.8783817199999999</v>
      </c>
      <c r="AV160">
        <f ca="1">IF(AND(ISNUMBER($AV$467),$B$294=1),$AV$467,HLOOKUP(INDIRECT(ADDRESS(2,COLUMN())),OFFSET($BN$2,0,0,ROW()-1,60),ROW()-1,FALSE))</f>
        <v>1.889087234</v>
      </c>
      <c r="AW160">
        <f ca="1">IF(AND(ISNUMBER($AW$467),$B$294=1),$AW$467,HLOOKUP(INDIRECT(ADDRESS(2,COLUMN())),OFFSET($BN$2,0,0,ROW()-1,60),ROW()-1,FALSE))</f>
        <v>1.773878265</v>
      </c>
      <c r="AX160">
        <f ca="1">IF(AND(ISNUMBER($AX$467),$B$294=1),$AX$467,HLOOKUP(INDIRECT(ADDRESS(2,COLUMN())),OFFSET($BN$2,0,0,ROW()-1,60),ROW()-1,FALSE))</f>
        <v>1.971584217</v>
      </c>
      <c r="AY160">
        <f ca="1">IF(AND(ISNUMBER($AY$467),$B$294=1),$AY$467,HLOOKUP(INDIRECT(ADDRESS(2,COLUMN())),OFFSET($BN$2,0,0,ROW()-1,60),ROW()-1,FALSE))</f>
        <v>2.0299316620000001</v>
      </c>
      <c r="AZ160">
        <f ca="1">IF(AND(ISNUMBER($AZ$467),$B$294=1),$AZ$467,HLOOKUP(INDIRECT(ADDRESS(2,COLUMN())),OFFSET($BN$2,0,0,ROW()-1,60),ROW()-1,FALSE))</f>
        <v>2.0387412490000001</v>
      </c>
      <c r="BA160">
        <f ca="1">IF(AND(ISNUMBER($BA$467),$B$294=1),$BA$467,HLOOKUP(INDIRECT(ADDRESS(2,COLUMN())),OFFSET($BN$2,0,0,ROW()-1,60),ROW()-1,FALSE))</f>
        <v>1.981109185</v>
      </c>
      <c r="BB160">
        <f ca="1">IF(AND(ISNUMBER($BB$467),$B$294=1),$BB$467,HLOOKUP(INDIRECT(ADDRESS(2,COLUMN())),OFFSET($BN$2,0,0,ROW()-1,60),ROW()-1,FALSE))</f>
        <v>1.83497131</v>
      </c>
      <c r="BC160">
        <f ca="1">IF(AND(ISNUMBER($BC$467),$B$294=1),$BC$467,HLOOKUP(INDIRECT(ADDRESS(2,COLUMN())),OFFSET($BN$2,0,0,ROW()-1,60),ROW()-1,FALSE))</f>
        <v>1.042070724</v>
      </c>
      <c r="BD160">
        <f ca="1">IF(AND(ISNUMBER($BD$467),$B$294=1),$BD$467,HLOOKUP(INDIRECT(ADDRESS(2,COLUMN())),OFFSET($BN$2,0,0,ROW()-1,60),ROW()-1,FALSE))</f>
        <v>2.1074405760000001</v>
      </c>
      <c r="BE160">
        <f ca="1">IF(AND(ISNUMBER($BE$467),$B$294=1),$BE$467,HLOOKUP(INDIRECT(ADDRESS(2,COLUMN())),OFFSET($BN$2,0,0,ROW()-1,60),ROW()-1,FALSE))</f>
        <v>2.1291292450000001</v>
      </c>
      <c r="BF160">
        <f ca="1">IF(AND(ISNUMBER($BF$467),$B$294=1),$BF$467,HLOOKUP(INDIRECT(ADDRESS(2,COLUMN())),OFFSET($BN$2,0,0,ROW()-1,60),ROW()-1,FALSE))</f>
        <v>2.2312234879999999</v>
      </c>
      <c r="BG160">
        <f ca="1">IF(AND(ISNUMBER($BG$467),$B$294=1),$BG$467,HLOOKUP(INDIRECT(ADDRESS(2,COLUMN())),OFFSET($BN$2,0,0,ROW()-1,60),ROW()-1,FALSE))</f>
        <v>2.3909595939999999</v>
      </c>
      <c r="BH160">
        <f ca="1">IF(AND(ISNUMBER($BH$467),$B$294=1),$BH$467,HLOOKUP(INDIRECT(ADDRESS(2,COLUMN())),OFFSET($BN$2,0,0,ROW()-1,60),ROW()-1,FALSE))</f>
        <v>0.65888238399999999</v>
      </c>
      <c r="BI160">
        <f ca="1">IF(AND(ISNUMBER($BI$467),$B$294=1),$BI$467,HLOOKUP(INDIRECT(ADDRESS(2,COLUMN())),OFFSET($BN$2,0,0,ROW()-1,60),ROW()-1,FALSE))</f>
        <v>2.5999441230000002</v>
      </c>
      <c r="BJ160">
        <f ca="1">IF(AND(ISNUMBER($BJ$467),$B$294=1),$BJ$467,HLOOKUP(INDIRECT(ADDRESS(2,COLUMN())),OFFSET($BN$2,0,0,ROW()-1,60),ROW()-1,FALSE))</f>
        <v>2.2501438980000001</v>
      </c>
      <c r="BK160" t="str">
        <f ca="1">IF(AND(ISNUMBER($BK$467),$B$294=1),$BK$467,HLOOKUP(INDIRECT(ADDRESS(2,COLUMN())),OFFSET($BN$2,0,0,ROW()-1,60),ROW()-1,FALSE))</f>
        <v/>
      </c>
      <c r="BL160">
        <f ca="1">IF(AND(ISNUMBER($BL$467),$B$294=1),$BL$467,HLOOKUP(INDIRECT(ADDRESS(2,COLUMN())),OFFSET($BN$2,0,0,ROW()-1,60),ROW()-1,FALSE))</f>
        <v>2.5837273619999999</v>
      </c>
      <c r="BM160">
        <f ca="1">IF(AND(ISNUMBER($BM$467),$B$294=1),$BM$467,HLOOKUP(INDIRECT(ADDRESS(2,COLUMN())),OFFSET($BN$2,0,0,ROW()-1,60),ROW()-1,FALSE))</f>
        <v>2.4635791419999999</v>
      </c>
      <c r="BN160" t="str">
        <f>""</f>
        <v/>
      </c>
      <c r="BO160">
        <f>2.154770615</f>
        <v>2.1547706149999999</v>
      </c>
      <c r="BP160">
        <f>2.120447927</f>
        <v>2.1204479269999998</v>
      </c>
      <c r="BQ160">
        <f>2.065045881</f>
        <v>2.0650458810000001</v>
      </c>
      <c r="BR160">
        <f>1.938474062</f>
        <v>1.9384740620000001</v>
      </c>
      <c r="BS160">
        <f>1.275529206</f>
        <v>1.2755292060000001</v>
      </c>
      <c r="BT160">
        <f>2.036941092</f>
        <v>2.0369410920000002</v>
      </c>
      <c r="BU160">
        <f>1.823550915</f>
        <v>1.823550915</v>
      </c>
      <c r="BV160">
        <f>1.777734751</f>
        <v>1.7777347509999999</v>
      </c>
      <c r="BW160">
        <f>0.081380532</f>
        <v>8.1380532000000005E-2</v>
      </c>
      <c r="BX160">
        <f>2.014994874</f>
        <v>2.0149948740000001</v>
      </c>
      <c r="BY160">
        <f>1.933900236</f>
        <v>1.9339002359999999</v>
      </c>
      <c r="BZ160">
        <f>1.962999363</f>
        <v>1.962999363</v>
      </c>
      <c r="CA160">
        <f>1.866075159</f>
        <v>1.866075159</v>
      </c>
      <c r="CB160">
        <f>2.056116708</f>
        <v>2.0561167079999998</v>
      </c>
      <c r="CC160">
        <f>2.118813711</f>
        <v>2.118813711</v>
      </c>
      <c r="CD160">
        <f>1.975949834</f>
        <v>1.9759498339999999</v>
      </c>
      <c r="CE160">
        <f>1.692470123</f>
        <v>1.6924701230000001</v>
      </c>
      <c r="CF160">
        <f>1.984053836</f>
        <v>1.984053836</v>
      </c>
      <c r="CG160">
        <f>1.945188493</f>
        <v>1.9451884930000001</v>
      </c>
      <c r="CH160">
        <f>1.927652986</f>
        <v>1.927652986</v>
      </c>
      <c r="CI160">
        <f>-1.772982054</f>
        <v>-1.7729820540000001</v>
      </c>
      <c r="CJ160">
        <f>1.849927552</f>
        <v>1.849927552</v>
      </c>
      <c r="CK160">
        <f>1.871513802</f>
        <v>1.8715138019999999</v>
      </c>
      <c r="CL160">
        <f>1.878972031</f>
        <v>1.878972031</v>
      </c>
      <c r="CM160">
        <f>1.859631878</f>
        <v>1.8596318780000001</v>
      </c>
      <c r="CN160">
        <f>1.823254867</f>
        <v>1.8232548669999999</v>
      </c>
      <c r="CO160">
        <f>1.85589228</f>
        <v>1.8558922799999999</v>
      </c>
      <c r="CP160">
        <f>1.804101889</f>
        <v>1.804101889</v>
      </c>
      <c r="CQ160">
        <f>1.850470273</f>
        <v>1.850470273</v>
      </c>
      <c r="CR160">
        <f>1.80983128</f>
        <v>1.80983128</v>
      </c>
      <c r="CS160">
        <f>1.725465031</f>
        <v>1.7254650309999999</v>
      </c>
      <c r="CT160">
        <f>1.769769127</f>
        <v>1.769769127</v>
      </c>
      <c r="CU160">
        <f>1.580338731</f>
        <v>1.5803387310000001</v>
      </c>
      <c r="CV160">
        <f>1.78736063</f>
        <v>1.78736063</v>
      </c>
      <c r="CW160">
        <f>1.835836719</f>
        <v>1.835836719</v>
      </c>
      <c r="CX160">
        <f>1.776904098</f>
        <v>1.7769040979999999</v>
      </c>
      <c r="CY160">
        <f>1.505808104</f>
        <v>1.505808104</v>
      </c>
      <c r="CZ160">
        <f>1.839156305</f>
        <v>1.8391563049999999</v>
      </c>
      <c r="DA160">
        <f>2.010288948</f>
        <v>2.0102889479999999</v>
      </c>
      <c r="DB160">
        <f>1.838464824</f>
        <v>1.8384648240000001</v>
      </c>
      <c r="DC160">
        <f>1.87838172</f>
        <v>1.8783817199999999</v>
      </c>
      <c r="DD160">
        <f>1.889087234</f>
        <v>1.889087234</v>
      </c>
      <c r="DE160">
        <f>1.773878265</f>
        <v>1.773878265</v>
      </c>
      <c r="DF160">
        <f>1.971584217</f>
        <v>1.971584217</v>
      </c>
      <c r="DG160">
        <f>2.029931662</f>
        <v>2.0299316620000001</v>
      </c>
      <c r="DH160">
        <f>2.038741249</f>
        <v>2.0387412490000001</v>
      </c>
      <c r="DI160">
        <f>1.981109185</f>
        <v>1.981109185</v>
      </c>
      <c r="DJ160">
        <f>1.83497131</f>
        <v>1.83497131</v>
      </c>
      <c r="DK160">
        <f>1.042070724</f>
        <v>1.042070724</v>
      </c>
      <c r="DL160">
        <f>2.107440576</f>
        <v>2.1074405760000001</v>
      </c>
      <c r="DM160">
        <f>2.129129245</f>
        <v>2.1291292450000001</v>
      </c>
      <c r="DN160">
        <f>2.231223488</f>
        <v>2.2312234879999999</v>
      </c>
      <c r="DO160">
        <f>2.390959594</f>
        <v>2.3909595939999999</v>
      </c>
      <c r="DP160">
        <f>0.658882384</f>
        <v>0.65888238399999999</v>
      </c>
      <c r="DQ160">
        <f>2.599944123</f>
        <v>2.5999441230000002</v>
      </c>
      <c r="DR160">
        <f>2.250143898</f>
        <v>2.2501438980000001</v>
      </c>
      <c r="DS160" t="str">
        <f>""</f>
        <v/>
      </c>
      <c r="DT160">
        <f>2.583727362</f>
        <v>2.5837273619999999</v>
      </c>
      <c r="DU160">
        <f>2.463579142</f>
        <v>2.4635791419999999</v>
      </c>
    </row>
    <row r="161" spans="1:125">
      <c r="A161" t="str">
        <f>"    Columbia Property Trust Inc"</f>
        <v xml:space="preserve">    Columbia Property Trust Inc</v>
      </c>
      <c r="B161" t="str">
        <f>"CXP US Equity"</f>
        <v>CXP US Equity</v>
      </c>
      <c r="C161" t="str">
        <f t="shared" si="42"/>
        <v>RR553</v>
      </c>
      <c r="D161" t="str">
        <f t="shared" si="43"/>
        <v>EBITDA_RE_ASSET</v>
      </c>
      <c r="E161" t="str">
        <f t="shared" si="44"/>
        <v>动态</v>
      </c>
      <c r="F161" t="str">
        <f ca="1">IF(AND(ISNUMBER($F$468),$B$294=1),$F$468,HLOOKUP(INDIRECT(ADDRESS(2,COLUMN())),OFFSET($BN$2,0,0,ROW()-1,60),ROW()-1,FALSE))</f>
        <v/>
      </c>
      <c r="G161">
        <f ca="1">IF(AND(ISNUMBER($G$468),$B$294=1),$G$468,HLOOKUP(INDIRECT(ADDRESS(2,COLUMN())),OFFSET($BN$2,0,0,ROW()-1,60),ROW()-1,FALSE))</f>
        <v>0.96272233699999998</v>
      </c>
      <c r="H161">
        <f ca="1">IF(AND(ISNUMBER($H$468),$B$294=1),$H$468,HLOOKUP(INDIRECT(ADDRESS(2,COLUMN())),OFFSET($BN$2,0,0,ROW()-1,60),ROW()-1,FALSE))</f>
        <v>1.121034922</v>
      </c>
      <c r="I161">
        <f ca="1">IF(AND(ISNUMBER($I$468),$B$294=1),$I$468,HLOOKUP(INDIRECT(ADDRESS(2,COLUMN())),OFFSET($BN$2,0,0,ROW()-1,60),ROW()-1,FALSE))</f>
        <v>1.4220318510000001</v>
      </c>
      <c r="J161">
        <f ca="1">IF(AND(ISNUMBER($J$468),$B$294=1),$J$468,HLOOKUP(INDIRECT(ADDRESS(2,COLUMN())),OFFSET($BN$2,0,0,ROW()-1,60),ROW()-1,FALSE))</f>
        <v>1.5285250480000001</v>
      </c>
      <c r="K161">
        <f ca="1">IF(AND(ISNUMBER($K$468),$B$294=1),$K$468,HLOOKUP(INDIRECT(ADDRESS(2,COLUMN())),OFFSET($BN$2,0,0,ROW()-1,60),ROW()-1,FALSE))</f>
        <v>1.909694717</v>
      </c>
      <c r="L161">
        <f ca="1">IF(AND(ISNUMBER($L$468),$B$294=1),$L$468,HLOOKUP(INDIRECT(ADDRESS(2,COLUMN())),OFFSET($BN$2,0,0,ROW()-1,60),ROW()-1,FALSE))</f>
        <v>1.8315705980000001</v>
      </c>
      <c r="M161">
        <f ca="1">IF(AND(ISNUMBER($M$468),$B$294=1),$M$468,HLOOKUP(INDIRECT(ADDRESS(2,COLUMN())),OFFSET($BN$2,0,0,ROW()-1,60),ROW()-1,FALSE))</f>
        <v>1.9578367029999999</v>
      </c>
      <c r="N161">
        <f ca="1">IF(AND(ISNUMBER($N$468),$B$294=1),$N$468,HLOOKUP(INDIRECT(ADDRESS(2,COLUMN())),OFFSET($BN$2,0,0,ROW()-1,60),ROW()-1,FALSE))</f>
        <v>1.8156136970000001</v>
      </c>
      <c r="O161">
        <f ca="1">IF(AND(ISNUMBER($O$468),$B$294=1),$O$468,HLOOKUP(INDIRECT(ADDRESS(2,COLUMN())),OFFSET($BN$2,0,0,ROW()-1,60),ROW()-1,FALSE))</f>
        <v>1.8874415630000001</v>
      </c>
      <c r="P161">
        <f ca="1">IF(AND(ISNUMBER($P$468),$B$294=1),$P$468,HLOOKUP(INDIRECT(ADDRESS(2,COLUMN())),OFFSET($BN$2,0,0,ROW()-1,60),ROW()-1,FALSE))</f>
        <v>1.683943475</v>
      </c>
      <c r="Q161">
        <f ca="1">IF(AND(ISNUMBER($Q$468),$B$294=1),$Q$468,HLOOKUP(INDIRECT(ADDRESS(2,COLUMN())),OFFSET($BN$2,0,0,ROW()-1,60),ROW()-1,FALSE))</f>
        <v>2.1489315819999999</v>
      </c>
      <c r="R161">
        <f ca="1">IF(AND(ISNUMBER($R$468),$B$294=1),$R$468,HLOOKUP(INDIRECT(ADDRESS(2,COLUMN())),OFFSET($BN$2,0,0,ROW()-1,60),ROW()-1,FALSE))</f>
        <v>1.848618434</v>
      </c>
      <c r="S161">
        <f ca="1">IF(AND(ISNUMBER($S$468),$B$294=1),$S$468,HLOOKUP(INDIRECT(ADDRESS(2,COLUMN())),OFFSET($BN$2,0,0,ROW()-1,60),ROW()-1,FALSE))</f>
        <v>1.7447997049999999</v>
      </c>
      <c r="T161">
        <f ca="1">IF(AND(ISNUMBER($T$468),$B$294=1),$T$468,HLOOKUP(INDIRECT(ADDRESS(2,COLUMN())),OFFSET($BN$2,0,0,ROW()-1,60),ROW()-1,FALSE))</f>
        <v>1.903885611</v>
      </c>
      <c r="U161">
        <f ca="1">IF(AND(ISNUMBER($U$468),$B$294=1),$U$468,HLOOKUP(INDIRECT(ADDRESS(2,COLUMN())),OFFSET($BN$2,0,0,ROW()-1,60),ROW()-1,FALSE))</f>
        <v>1.9977544359999999</v>
      </c>
      <c r="V161">
        <f ca="1">IF(AND(ISNUMBER($V$468),$B$294=1),$V$468,HLOOKUP(INDIRECT(ADDRESS(2,COLUMN())),OFFSET($BN$2,0,0,ROW()-1,60),ROW()-1,FALSE))</f>
        <v>1.7767611910000001</v>
      </c>
      <c r="W161">
        <f ca="1">IF(AND(ISNUMBER($W$468),$B$294=1),$W$468,HLOOKUP(INDIRECT(ADDRESS(2,COLUMN())),OFFSET($BN$2,0,0,ROW()-1,60),ROW()-1,FALSE))</f>
        <v>2.1156412570000001</v>
      </c>
      <c r="X161">
        <f ca="1">IF(AND(ISNUMBER($X$468),$B$294=1),$X$468,HLOOKUP(INDIRECT(ADDRESS(2,COLUMN())),OFFSET($BN$2,0,0,ROW()-1,60),ROW()-1,FALSE))</f>
        <v>2.0534937819999999</v>
      </c>
      <c r="Y161">
        <f ca="1">IF(AND(ISNUMBER($Y$468),$B$294=1),$Y$468,HLOOKUP(INDIRECT(ADDRESS(2,COLUMN())),OFFSET($BN$2,0,0,ROW()-1,60),ROW()-1,FALSE))</f>
        <v>2.064795717</v>
      </c>
      <c r="Z161">
        <f ca="1">IF(AND(ISNUMBER($Z$468),$B$294=1),$Z$468,HLOOKUP(INDIRECT(ADDRESS(2,COLUMN())),OFFSET($BN$2,0,0,ROW()-1,60),ROW()-1,FALSE))</f>
        <v>1.1995999900000001</v>
      </c>
      <c r="AA161">
        <f ca="1">IF(AND(ISNUMBER($AA$468),$B$294=1),$AA$468,HLOOKUP(INDIRECT(ADDRESS(2,COLUMN())),OFFSET($BN$2,0,0,ROW()-1,60),ROW()-1,FALSE))</f>
        <v>1.7074635810000001</v>
      </c>
      <c r="AB161">
        <f ca="1">IF(AND(ISNUMBER($AB$468),$B$294=1),$AB$468,HLOOKUP(INDIRECT(ADDRESS(2,COLUMN())),OFFSET($BN$2,0,0,ROW()-1,60),ROW()-1,FALSE))</f>
        <v>2.0227244080000002</v>
      </c>
      <c r="AC161">
        <f ca="1">IF(AND(ISNUMBER($AC$468),$B$294=1),$AC$468,HLOOKUP(INDIRECT(ADDRESS(2,COLUMN())),OFFSET($BN$2,0,0,ROW()-1,60),ROW()-1,FALSE))</f>
        <v>1.9825920050000001</v>
      </c>
      <c r="AD161">
        <f ca="1">IF(AND(ISNUMBER($AD$468),$B$294=1),$AD$468,HLOOKUP(INDIRECT(ADDRESS(2,COLUMN())),OFFSET($BN$2,0,0,ROW()-1,60),ROW()-1,FALSE))</f>
        <v>2.0408280969999999</v>
      </c>
      <c r="AE161">
        <f ca="1">IF(AND(ISNUMBER($AE$468),$B$294=1),$AE$468,HLOOKUP(INDIRECT(ADDRESS(2,COLUMN())),OFFSET($BN$2,0,0,ROW()-1,60),ROW()-1,FALSE))</f>
        <v>1.4333253459999999</v>
      </c>
      <c r="AF161">
        <f ca="1">IF(AND(ISNUMBER($AF$468),$B$294=1),$AF$468,HLOOKUP(INDIRECT(ADDRESS(2,COLUMN())),OFFSET($BN$2,0,0,ROW()-1,60),ROW()-1,FALSE))</f>
        <v>2.1704782979999999</v>
      </c>
      <c r="AG161">
        <f ca="1">IF(AND(ISNUMBER($AG$468),$B$294=1),$AG$468,HLOOKUP(INDIRECT(ADDRESS(2,COLUMN())),OFFSET($BN$2,0,0,ROW()-1,60),ROW()-1,FALSE))</f>
        <v>2.0347221759999998</v>
      </c>
      <c r="AH161">
        <f ca="1">IF(AND(ISNUMBER($AH$468),$B$294=1),$AH$468,HLOOKUP(INDIRECT(ADDRESS(2,COLUMN())),OFFSET($BN$2,0,0,ROW()-1,60),ROW()-1,FALSE))</f>
        <v>1.718500074</v>
      </c>
      <c r="AI161">
        <f ca="1">IF(AND(ISNUMBER($AI$468),$B$294=1),$AI$468,HLOOKUP(INDIRECT(ADDRESS(2,COLUMN())),OFFSET($BN$2,0,0,ROW()-1,60),ROW()-1,FALSE))</f>
        <v>2.1407722819999999</v>
      </c>
      <c r="AJ161">
        <f ca="1">IF(AND(ISNUMBER($AJ$468),$B$294=1),$AJ$468,HLOOKUP(INDIRECT(ADDRESS(2,COLUMN())),OFFSET($BN$2,0,0,ROW()-1,60),ROW()-1,FALSE))</f>
        <v>2.1706013139999998</v>
      </c>
      <c r="AK161">
        <f ca="1">IF(AND(ISNUMBER($AK$468),$B$294=1),$AK$468,HLOOKUP(INDIRECT(ADDRESS(2,COLUMN())),OFFSET($BN$2,0,0,ROW()-1,60),ROW()-1,FALSE))</f>
        <v>1.9906716330000001</v>
      </c>
      <c r="AL161">
        <f ca="1">IF(AND(ISNUMBER($AL$468),$B$294=1),$AL$468,HLOOKUP(INDIRECT(ADDRESS(2,COLUMN())),OFFSET($BN$2,0,0,ROW()-1,60),ROW()-1,FALSE))</f>
        <v>2.0171746800000001</v>
      </c>
      <c r="AM161">
        <f ca="1">IF(AND(ISNUMBER($AM$468),$B$294=1),$AM$468,HLOOKUP(INDIRECT(ADDRESS(2,COLUMN())),OFFSET($BN$2,0,0,ROW()-1,60),ROW()-1,FALSE))</f>
        <v>2.4324837769999998</v>
      </c>
      <c r="AN161">
        <f ca="1">IF(AND(ISNUMBER($AN$468),$B$294=1),$AN$468,HLOOKUP(INDIRECT(ADDRESS(2,COLUMN())),OFFSET($BN$2,0,0,ROW()-1,60),ROW()-1,FALSE))</f>
        <v>2.05904877</v>
      </c>
      <c r="AO161">
        <f ca="1">IF(AND(ISNUMBER($AO$468),$B$294=1),$AO$468,HLOOKUP(INDIRECT(ADDRESS(2,COLUMN())),OFFSET($BN$2,0,0,ROW()-1,60),ROW()-1,FALSE))</f>
        <v>1.9827497620000001</v>
      </c>
      <c r="AP161">
        <f ca="1">IF(AND(ISNUMBER($AP$468),$B$294=1),$AP$468,HLOOKUP(INDIRECT(ADDRESS(2,COLUMN())),OFFSET($BN$2,0,0,ROW()-1,60),ROW()-1,FALSE))</f>
        <v>1.8839930499999999</v>
      </c>
      <c r="AQ161" t="str">
        <f ca="1">IF(AND(ISNUMBER($AQ$468),$B$294=1),$AQ$468,HLOOKUP(INDIRECT(ADDRESS(2,COLUMN())),OFFSET($BN$2,0,0,ROW()-1,60),ROW()-1,FALSE))</f>
        <v/>
      </c>
      <c r="AR161" t="str">
        <f ca="1">IF(AND(ISNUMBER($AR$468),$B$294=1),$AR$468,HLOOKUP(INDIRECT(ADDRESS(2,COLUMN())),OFFSET($BN$2,0,0,ROW()-1,60),ROW()-1,FALSE))</f>
        <v/>
      </c>
      <c r="AS161" t="str">
        <f ca="1">IF(AND(ISNUMBER($AS$468),$B$294=1),$AS$468,HLOOKUP(INDIRECT(ADDRESS(2,COLUMN())),OFFSET($BN$2,0,0,ROW()-1,60),ROW()-1,FALSE))</f>
        <v/>
      </c>
      <c r="AT161" t="str">
        <f ca="1">IF(AND(ISNUMBER($AT$468),$B$294=1),$AT$468,HLOOKUP(INDIRECT(ADDRESS(2,COLUMN())),OFFSET($BN$2,0,0,ROW()-1,60),ROW()-1,FALSE))</f>
        <v/>
      </c>
      <c r="AU161" t="str">
        <f ca="1">IF(AND(ISNUMBER($AU$468),$B$294=1),$AU$468,HLOOKUP(INDIRECT(ADDRESS(2,COLUMN())),OFFSET($BN$2,0,0,ROW()-1,60),ROW()-1,FALSE))</f>
        <v/>
      </c>
      <c r="AV161" t="str">
        <f ca="1">IF(AND(ISNUMBER($AV$468),$B$294=1),$AV$468,HLOOKUP(INDIRECT(ADDRESS(2,COLUMN())),OFFSET($BN$2,0,0,ROW()-1,60),ROW()-1,FALSE))</f>
        <v/>
      </c>
      <c r="AW161" t="str">
        <f ca="1">IF(AND(ISNUMBER($AW$468),$B$294=1),$AW$468,HLOOKUP(INDIRECT(ADDRESS(2,COLUMN())),OFFSET($BN$2,0,0,ROW()-1,60),ROW()-1,FALSE))</f>
        <v/>
      </c>
      <c r="AX161" t="str">
        <f ca="1">IF(AND(ISNUMBER($AX$468),$B$294=1),$AX$468,HLOOKUP(INDIRECT(ADDRESS(2,COLUMN())),OFFSET($BN$2,0,0,ROW()-1,60),ROW()-1,FALSE))</f>
        <v/>
      </c>
      <c r="AY161" t="str">
        <f ca="1">IF(AND(ISNUMBER($AY$468),$B$294=1),$AY$468,HLOOKUP(INDIRECT(ADDRESS(2,COLUMN())),OFFSET($BN$2,0,0,ROW()-1,60),ROW()-1,FALSE))</f>
        <v/>
      </c>
      <c r="AZ161" t="str">
        <f ca="1">IF(AND(ISNUMBER($AZ$468),$B$294=1),$AZ$468,HLOOKUP(INDIRECT(ADDRESS(2,COLUMN())),OFFSET($BN$2,0,0,ROW()-1,60),ROW()-1,FALSE))</f>
        <v/>
      </c>
      <c r="BA161" t="str">
        <f ca="1">IF(AND(ISNUMBER($BA$468),$B$294=1),$BA$468,HLOOKUP(INDIRECT(ADDRESS(2,COLUMN())),OFFSET($BN$2,0,0,ROW()-1,60),ROW()-1,FALSE))</f>
        <v/>
      </c>
      <c r="BB161" t="str">
        <f ca="1">IF(AND(ISNUMBER($BB$468),$B$294=1),$BB$468,HLOOKUP(INDIRECT(ADDRESS(2,COLUMN())),OFFSET($BN$2,0,0,ROW()-1,60),ROW()-1,FALSE))</f>
        <v/>
      </c>
      <c r="BC161" t="str">
        <f ca="1">IF(AND(ISNUMBER($BC$468),$B$294=1),$BC$468,HLOOKUP(INDIRECT(ADDRESS(2,COLUMN())),OFFSET($BN$2,0,0,ROW()-1,60),ROW()-1,FALSE))</f>
        <v/>
      </c>
      <c r="BD161" t="str">
        <f ca="1">IF(AND(ISNUMBER($BD$468),$B$294=1),$BD$468,HLOOKUP(INDIRECT(ADDRESS(2,COLUMN())),OFFSET($BN$2,0,0,ROW()-1,60),ROW()-1,FALSE))</f>
        <v/>
      </c>
      <c r="BE161" t="str">
        <f ca="1">IF(AND(ISNUMBER($BE$468),$B$294=1),$BE$468,HLOOKUP(INDIRECT(ADDRESS(2,COLUMN())),OFFSET($BN$2,0,0,ROW()-1,60),ROW()-1,FALSE))</f>
        <v/>
      </c>
      <c r="BF161" t="str">
        <f ca="1">IF(AND(ISNUMBER($BF$468),$B$294=1),$BF$468,HLOOKUP(INDIRECT(ADDRESS(2,COLUMN())),OFFSET($BN$2,0,0,ROW()-1,60),ROW()-1,FALSE))</f>
        <v/>
      </c>
      <c r="BG161" t="str">
        <f ca="1">IF(AND(ISNUMBER($BG$468),$B$294=1),$BG$468,HLOOKUP(INDIRECT(ADDRESS(2,COLUMN())),OFFSET($BN$2,0,0,ROW()-1,60),ROW()-1,FALSE))</f>
        <v/>
      </c>
      <c r="BH161" t="str">
        <f ca="1">IF(AND(ISNUMBER($BH$468),$B$294=1),$BH$468,HLOOKUP(INDIRECT(ADDRESS(2,COLUMN())),OFFSET($BN$2,0,0,ROW()-1,60),ROW()-1,FALSE))</f>
        <v/>
      </c>
      <c r="BI161" t="str">
        <f ca="1">IF(AND(ISNUMBER($BI$468),$B$294=1),$BI$468,HLOOKUP(INDIRECT(ADDRESS(2,COLUMN())),OFFSET($BN$2,0,0,ROW()-1,60),ROW()-1,FALSE))</f>
        <v/>
      </c>
      <c r="BJ161" t="str">
        <f ca="1">IF(AND(ISNUMBER($BJ$468),$B$294=1),$BJ$468,HLOOKUP(INDIRECT(ADDRESS(2,COLUMN())),OFFSET($BN$2,0,0,ROW()-1,60),ROW()-1,FALSE))</f>
        <v/>
      </c>
      <c r="BK161" t="str">
        <f ca="1">IF(AND(ISNUMBER($BK$468),$B$294=1),$BK$468,HLOOKUP(INDIRECT(ADDRESS(2,COLUMN())),OFFSET($BN$2,0,0,ROW()-1,60),ROW()-1,FALSE))</f>
        <v/>
      </c>
      <c r="BL161" t="str">
        <f ca="1">IF(AND(ISNUMBER($BL$468),$B$294=1),$BL$468,HLOOKUP(INDIRECT(ADDRESS(2,COLUMN())),OFFSET($BN$2,0,0,ROW()-1,60),ROW()-1,FALSE))</f>
        <v/>
      </c>
      <c r="BM161" t="str">
        <f ca="1">IF(AND(ISNUMBER($BM$468),$B$294=1),$BM$468,HLOOKUP(INDIRECT(ADDRESS(2,COLUMN())),OFFSET($BN$2,0,0,ROW()-1,60),ROW()-1,FALSE))</f>
        <v/>
      </c>
      <c r="BN161" t="str">
        <f>""</f>
        <v/>
      </c>
      <c r="BO161">
        <f>0.962722337</f>
        <v>0.96272233699999998</v>
      </c>
      <c r="BP161">
        <f>1.121034922</f>
        <v>1.121034922</v>
      </c>
      <c r="BQ161">
        <f>1.422031851</f>
        <v>1.4220318510000001</v>
      </c>
      <c r="BR161">
        <f>1.528525048</f>
        <v>1.5285250480000001</v>
      </c>
      <c r="BS161">
        <f>1.909694717</f>
        <v>1.909694717</v>
      </c>
      <c r="BT161">
        <f>1.831570598</f>
        <v>1.8315705980000001</v>
      </c>
      <c r="BU161">
        <f>1.957836703</f>
        <v>1.9578367029999999</v>
      </c>
      <c r="BV161">
        <f>1.815613697</f>
        <v>1.8156136970000001</v>
      </c>
      <c r="BW161">
        <f>1.887441563</f>
        <v>1.8874415630000001</v>
      </c>
      <c r="BX161">
        <f>1.683943475</f>
        <v>1.683943475</v>
      </c>
      <c r="BY161">
        <f>2.148931582</f>
        <v>2.1489315819999999</v>
      </c>
      <c r="BZ161">
        <f>1.848618434</f>
        <v>1.848618434</v>
      </c>
      <c r="CA161">
        <f>1.744799705</f>
        <v>1.7447997049999999</v>
      </c>
      <c r="CB161">
        <f>1.903885611</f>
        <v>1.903885611</v>
      </c>
      <c r="CC161">
        <f>1.997754436</f>
        <v>1.9977544359999999</v>
      </c>
      <c r="CD161">
        <f>1.776761191</f>
        <v>1.7767611910000001</v>
      </c>
      <c r="CE161">
        <f>2.115641257</f>
        <v>2.1156412570000001</v>
      </c>
      <c r="CF161">
        <f>2.053493782</f>
        <v>2.0534937819999999</v>
      </c>
      <c r="CG161">
        <f>2.064795717</f>
        <v>2.064795717</v>
      </c>
      <c r="CH161">
        <f>1.19959999</f>
        <v>1.1995999900000001</v>
      </c>
      <c r="CI161">
        <f>1.707463581</f>
        <v>1.7074635810000001</v>
      </c>
      <c r="CJ161">
        <f>2.022724408</f>
        <v>2.0227244080000002</v>
      </c>
      <c r="CK161">
        <f>1.982592005</f>
        <v>1.9825920050000001</v>
      </c>
      <c r="CL161">
        <f>2.040828097</f>
        <v>2.0408280969999999</v>
      </c>
      <c r="CM161">
        <f>1.433325346</f>
        <v>1.4333253459999999</v>
      </c>
      <c r="CN161">
        <f>2.170478298</f>
        <v>2.1704782979999999</v>
      </c>
      <c r="CO161">
        <f>2.034722176</f>
        <v>2.0347221759999998</v>
      </c>
      <c r="CP161">
        <f>1.718500074</f>
        <v>1.718500074</v>
      </c>
      <c r="CQ161">
        <f>2.140772282</f>
        <v>2.1407722819999999</v>
      </c>
      <c r="CR161">
        <f>2.170601314</f>
        <v>2.1706013139999998</v>
      </c>
      <c r="CS161">
        <f>1.990671633</f>
        <v>1.9906716330000001</v>
      </c>
      <c r="CT161">
        <f>2.01717468</f>
        <v>2.0171746800000001</v>
      </c>
      <c r="CU161">
        <f>2.432483777</f>
        <v>2.4324837769999998</v>
      </c>
      <c r="CV161">
        <f>2.05904877</f>
        <v>2.05904877</v>
      </c>
      <c r="CW161">
        <f>1.982749762</f>
        <v>1.9827497620000001</v>
      </c>
      <c r="CX161">
        <f>1.88399305</f>
        <v>1.8839930499999999</v>
      </c>
      <c r="CY161" t="str">
        <f>""</f>
        <v/>
      </c>
      <c r="CZ161" t="str">
        <f>""</f>
        <v/>
      </c>
      <c r="DA161" t="str">
        <f>""</f>
        <v/>
      </c>
      <c r="DB161" t="str">
        <f>""</f>
        <v/>
      </c>
      <c r="DC161" t="str">
        <f>""</f>
        <v/>
      </c>
      <c r="DD161" t="str">
        <f>""</f>
        <v/>
      </c>
      <c r="DE161" t="str">
        <f>""</f>
        <v/>
      </c>
      <c r="DF161" t="str">
        <f>""</f>
        <v/>
      </c>
      <c r="DG161" t="str">
        <f>""</f>
        <v/>
      </c>
      <c r="DH161" t="str">
        <f>""</f>
        <v/>
      </c>
      <c r="DI161" t="str">
        <f>""</f>
        <v/>
      </c>
      <c r="DJ161" t="str">
        <f>""</f>
        <v/>
      </c>
      <c r="DK161" t="str">
        <f>""</f>
        <v/>
      </c>
      <c r="DL161" t="str">
        <f>""</f>
        <v/>
      </c>
      <c r="DM161" t="str">
        <f>""</f>
        <v/>
      </c>
      <c r="DN161" t="str">
        <f>""</f>
        <v/>
      </c>
      <c r="DO161" t="str">
        <f>""</f>
        <v/>
      </c>
      <c r="DP161" t="str">
        <f>""</f>
        <v/>
      </c>
      <c r="DQ161" t="str">
        <f>""</f>
        <v/>
      </c>
      <c r="DR161" t="str">
        <f>""</f>
        <v/>
      </c>
      <c r="DS161" t="str">
        <f>""</f>
        <v/>
      </c>
      <c r="DT161" t="str">
        <f>""</f>
        <v/>
      </c>
      <c r="DU161" t="str">
        <f>""</f>
        <v/>
      </c>
    </row>
    <row r="162" spans="1:125">
      <c r="A162" t="str">
        <f>"    Corporate Office Properties Tr"</f>
        <v xml:space="preserve">    Corporate Office Properties Tr</v>
      </c>
      <c r="B162" t="str">
        <f>"OFC US Equity"</f>
        <v>OFC US Equity</v>
      </c>
      <c r="C162" t="str">
        <f t="shared" si="42"/>
        <v>RR553</v>
      </c>
      <c r="D162" t="str">
        <f t="shared" si="43"/>
        <v>EBITDA_RE_ASSET</v>
      </c>
      <c r="E162" t="str">
        <f t="shared" si="44"/>
        <v>动态</v>
      </c>
      <c r="F162" t="str">
        <f ca="1">IF(AND(ISNUMBER($F$469),$B$294=1),$F$469,HLOOKUP(INDIRECT(ADDRESS(2,COLUMN())),OFFSET($BN$2,0,0,ROW()-1,60),ROW()-1,FALSE))</f>
        <v/>
      </c>
      <c r="G162">
        <f ca="1">IF(AND(ISNUMBER($G$469),$B$294=1),$G$469,HLOOKUP(INDIRECT(ADDRESS(2,COLUMN())),OFFSET($BN$2,0,0,ROW()-1,60),ROW()-1,FALSE))</f>
        <v>1.875609372</v>
      </c>
      <c r="H162">
        <f ca="1">IF(AND(ISNUMBER($H$469),$B$294=1),$H$469,HLOOKUP(INDIRECT(ADDRESS(2,COLUMN())),OFFSET($BN$2,0,0,ROW()-1,60),ROW()-1,FALSE))</f>
        <v>2.3686313449999998</v>
      </c>
      <c r="I162">
        <f ca="1">IF(AND(ISNUMBER($I$469),$B$294=1),$I$469,HLOOKUP(INDIRECT(ADDRESS(2,COLUMN())),OFFSET($BN$2,0,0,ROW()-1,60),ROW()-1,FALSE))</f>
        <v>2.2151375959999999</v>
      </c>
      <c r="J162">
        <f ca="1">IF(AND(ISNUMBER($J$469),$B$294=1),$J$469,HLOOKUP(INDIRECT(ADDRESS(2,COLUMN())),OFFSET($BN$2,0,0,ROW()-1,60),ROW()-1,FALSE))</f>
        <v>2.2127473719999999</v>
      </c>
      <c r="K162">
        <f ca="1">IF(AND(ISNUMBER($K$469),$B$294=1),$K$469,HLOOKUP(INDIRECT(ADDRESS(2,COLUMN())),OFFSET($BN$2,0,0,ROW()-1,60),ROW()-1,FALSE))</f>
        <v>2.2873526499999999</v>
      </c>
      <c r="L162">
        <f ca="1">IF(AND(ISNUMBER($L$469),$B$294=1),$L$469,HLOOKUP(INDIRECT(ADDRESS(2,COLUMN())),OFFSET($BN$2,0,0,ROW()-1,60),ROW()-1,FALSE))</f>
        <v>1.4424410270000001</v>
      </c>
      <c r="M162">
        <f ca="1">IF(AND(ISNUMBER($M$469),$B$294=1),$M$469,HLOOKUP(INDIRECT(ADDRESS(2,COLUMN())),OFFSET($BN$2,0,0,ROW()-1,60),ROW()-1,FALSE))</f>
        <v>0.212983642</v>
      </c>
      <c r="N162">
        <f ca="1">IF(AND(ISNUMBER($N$469),$B$294=1),$N$469,HLOOKUP(INDIRECT(ADDRESS(2,COLUMN())),OFFSET($BN$2,0,0,ROW()-1,60),ROW()-1,FALSE))</f>
        <v>2.0001335600000001</v>
      </c>
      <c r="O162">
        <f ca="1">IF(AND(ISNUMBER($O$469),$B$294=1),$O$469,HLOOKUP(INDIRECT(ADDRESS(2,COLUMN())),OFFSET($BN$2,0,0,ROW()-1,60),ROW()-1,FALSE))</f>
        <v>1.698306858</v>
      </c>
      <c r="P162">
        <f ca="1">IF(AND(ISNUMBER($P$469),$B$294=1),$P$469,HLOOKUP(INDIRECT(ADDRESS(2,COLUMN())),OFFSET($BN$2,0,0,ROW()-1,60),ROW()-1,FALSE))</f>
        <v>2.120504242</v>
      </c>
      <c r="Q162">
        <f ca="1">IF(AND(ISNUMBER($Q$469),$B$294=1),$Q$469,HLOOKUP(INDIRECT(ADDRESS(2,COLUMN())),OFFSET($BN$2,0,0,ROW()-1,60),ROW()-1,FALSE))</f>
        <v>2.0996841000000002</v>
      </c>
      <c r="R162">
        <f ca="1">IF(AND(ISNUMBER($R$469),$B$294=1),$R$469,HLOOKUP(INDIRECT(ADDRESS(2,COLUMN())),OFFSET($BN$2,0,0,ROW()-1,60),ROW()-1,FALSE))</f>
        <v>1.8550379020000001</v>
      </c>
      <c r="S162">
        <f ca="1">IF(AND(ISNUMBER($S$469),$B$294=1),$S$469,HLOOKUP(INDIRECT(ADDRESS(2,COLUMN())),OFFSET($BN$2,0,0,ROW()-1,60),ROW()-1,FALSE))</f>
        <v>2.0934425339999998</v>
      </c>
      <c r="T162">
        <f ca="1">IF(AND(ISNUMBER($T$469),$B$294=1),$T$469,HLOOKUP(INDIRECT(ADDRESS(2,COLUMN())),OFFSET($BN$2,0,0,ROW()-1,60),ROW()-1,FALSE))</f>
        <v>2.084951008</v>
      </c>
      <c r="U162">
        <f ca="1">IF(AND(ISNUMBER($U$469),$B$294=1),$U$469,HLOOKUP(INDIRECT(ADDRESS(2,COLUMN())),OFFSET($BN$2,0,0,ROW()-1,60),ROW()-1,FALSE))</f>
        <v>1.9535732130000001</v>
      </c>
      <c r="V162">
        <f ca="1">IF(AND(ISNUMBER($V$469),$B$294=1),$V$469,HLOOKUP(INDIRECT(ADDRESS(2,COLUMN())),OFFSET($BN$2,0,0,ROW()-1,60),ROW()-1,FALSE))</f>
        <v>2.1493021830000001</v>
      </c>
      <c r="W162">
        <f ca="1">IF(AND(ISNUMBER($W$469),$B$294=1),$W$469,HLOOKUP(INDIRECT(ADDRESS(2,COLUMN())),OFFSET($BN$2,0,0,ROW()-1,60),ROW()-1,FALSE))</f>
        <v>2.0738568040000001</v>
      </c>
      <c r="X162">
        <f ca="1">IF(AND(ISNUMBER($X$469),$B$294=1),$X$469,HLOOKUP(INDIRECT(ADDRESS(2,COLUMN())),OFFSET($BN$2,0,0,ROW()-1,60),ROW()-1,FALSE))</f>
        <v>1.863880687</v>
      </c>
      <c r="Y162">
        <f ca="1">IF(AND(ISNUMBER($Y$469),$B$294=1),$Y$469,HLOOKUP(INDIRECT(ADDRESS(2,COLUMN())),OFFSET($BN$2,0,0,ROW()-1,60),ROW()-1,FALSE))</f>
        <v>2.0814467479999998</v>
      </c>
      <c r="Z162">
        <f ca="1">IF(AND(ISNUMBER($Z$469),$B$294=1),$Z$469,HLOOKUP(INDIRECT(ADDRESS(2,COLUMN())),OFFSET($BN$2,0,0,ROW()-1,60),ROW()-1,FALSE))</f>
        <v>1.948969159</v>
      </c>
      <c r="AA162">
        <f ca="1">IF(AND(ISNUMBER($AA$469),$B$294=1),$AA$469,HLOOKUP(INDIRECT(ADDRESS(2,COLUMN())),OFFSET($BN$2,0,0,ROW()-1,60),ROW()-1,FALSE))</f>
        <v>1.887824591</v>
      </c>
      <c r="AB162">
        <f ca="1">IF(AND(ISNUMBER($AB$469),$B$294=1),$AB$469,HLOOKUP(INDIRECT(ADDRESS(2,COLUMN())),OFFSET($BN$2,0,0,ROW()-1,60),ROW()-1,FALSE))</f>
        <v>0.70042270399999995</v>
      </c>
      <c r="AC162">
        <f ca="1">IF(AND(ISNUMBER($AC$469),$B$294=1),$AC$469,HLOOKUP(INDIRECT(ADDRESS(2,COLUMN())),OFFSET($BN$2,0,0,ROW()-1,60),ROW()-1,FALSE))</f>
        <v>1.9481584750000001</v>
      </c>
      <c r="AD162">
        <f ca="1">IF(AND(ISNUMBER($AD$469),$B$294=1),$AD$469,HLOOKUP(INDIRECT(ADDRESS(2,COLUMN())),OFFSET($BN$2,0,0,ROW()-1,60),ROW()-1,FALSE))</f>
        <v>1.985499656</v>
      </c>
      <c r="AE162">
        <f ca="1">IF(AND(ISNUMBER($AE$469),$B$294=1),$AE$469,HLOOKUP(INDIRECT(ADDRESS(2,COLUMN())),OFFSET($BN$2,0,0,ROW()-1,60),ROW()-1,FALSE))</f>
        <v>0.70970901200000003</v>
      </c>
      <c r="AF162">
        <f ca="1">IF(AND(ISNUMBER($AF$469),$B$294=1),$AF$469,HLOOKUP(INDIRECT(ADDRESS(2,COLUMN())),OFFSET($BN$2,0,0,ROW()-1,60),ROW()-1,FALSE))</f>
        <v>1.854568336</v>
      </c>
      <c r="AG162">
        <f ca="1">IF(AND(ISNUMBER($AG$469),$B$294=1),$AG$469,HLOOKUP(INDIRECT(ADDRESS(2,COLUMN())),OFFSET($BN$2,0,0,ROW()-1,60),ROW()-1,FALSE))</f>
        <v>1.3362469729999999</v>
      </c>
      <c r="AH162">
        <f ca="1">IF(AND(ISNUMBER($AH$469),$B$294=1),$AH$469,HLOOKUP(INDIRECT(ADDRESS(2,COLUMN())),OFFSET($BN$2,0,0,ROW()-1,60),ROW()-1,FALSE))</f>
        <v>1.0854564920000001</v>
      </c>
      <c r="AI162">
        <f ca="1">IF(AND(ISNUMBER($AI$469),$B$294=1),$AI$469,HLOOKUP(INDIRECT(ADDRESS(2,COLUMN())),OFFSET($BN$2,0,0,ROW()-1,60),ROW()-1,FALSE))</f>
        <v>1.9975010559999999</v>
      </c>
      <c r="AJ162">
        <f ca="1">IF(AND(ISNUMBER($AJ$469),$B$294=1),$AJ$469,HLOOKUP(INDIRECT(ADDRESS(2,COLUMN())),OFFSET($BN$2,0,0,ROW()-1,60),ROW()-1,FALSE))</f>
        <v>1.828852097</v>
      </c>
      <c r="AK162">
        <f ca="1">IF(AND(ISNUMBER($AK$469),$B$294=1),$AK$469,HLOOKUP(INDIRECT(ADDRESS(2,COLUMN())),OFFSET($BN$2,0,0,ROW()-1,60),ROW()-1,FALSE))</f>
        <v>2.0188697449999999</v>
      </c>
      <c r="AL162">
        <f ca="1">IF(AND(ISNUMBER($AL$469),$B$294=1),$AL$469,HLOOKUP(INDIRECT(ADDRESS(2,COLUMN())),OFFSET($BN$2,0,0,ROW()-1,60),ROW()-1,FALSE))</f>
        <v>1.9465494189999999</v>
      </c>
      <c r="AM162">
        <f ca="1">IF(AND(ISNUMBER($AM$469),$B$294=1),$AM$469,HLOOKUP(INDIRECT(ADDRESS(2,COLUMN())),OFFSET($BN$2,0,0,ROW()-1,60),ROW()-1,FALSE))</f>
        <v>1.0970329050000001</v>
      </c>
      <c r="AN162">
        <f ca="1">IF(AND(ISNUMBER($AN$469),$B$294=1),$AN$469,HLOOKUP(INDIRECT(ADDRESS(2,COLUMN())),OFFSET($BN$2,0,0,ROW()-1,60),ROW()-1,FALSE))</f>
        <v>3.090242398</v>
      </c>
      <c r="AO162">
        <f ca="1">IF(AND(ISNUMBER($AO$469),$B$294=1),$AO$469,HLOOKUP(INDIRECT(ADDRESS(2,COLUMN())),OFFSET($BN$2,0,0,ROW()-1,60),ROW()-1,FALSE))</f>
        <v>2.2626111720000002</v>
      </c>
      <c r="AP162">
        <f ca="1">IF(AND(ISNUMBER($AP$469),$B$294=1),$AP$469,HLOOKUP(INDIRECT(ADDRESS(2,COLUMN())),OFFSET($BN$2,0,0,ROW()-1,60),ROW()-1,FALSE))</f>
        <v>2.2522150540000001</v>
      </c>
      <c r="AQ162">
        <f ca="1">IF(AND(ISNUMBER($AQ$469),$B$294=1),$AQ$469,HLOOKUP(INDIRECT(ADDRESS(2,COLUMN())),OFFSET($BN$2,0,0,ROW()-1,60),ROW()-1,FALSE))</f>
        <v>2.211508077</v>
      </c>
      <c r="AR162">
        <f ca="1">IF(AND(ISNUMBER($AR$469),$B$294=1),$AR$469,HLOOKUP(INDIRECT(ADDRESS(2,COLUMN())),OFFSET($BN$2,0,0,ROW()-1,60),ROW()-1,FALSE))</f>
        <v>2.2604133219999998</v>
      </c>
      <c r="AS162">
        <f ca="1">IF(AND(ISNUMBER($AS$469),$B$294=1),$AS$469,HLOOKUP(INDIRECT(ADDRESS(2,COLUMN())),OFFSET($BN$2,0,0,ROW()-1,60),ROW()-1,FALSE))</f>
        <v>2.178465826</v>
      </c>
      <c r="AT162">
        <f ca="1">IF(AND(ISNUMBER($AT$469),$B$294=1),$AT$469,HLOOKUP(INDIRECT(ADDRESS(2,COLUMN())),OFFSET($BN$2,0,0,ROW()-1,60),ROW()-1,FALSE))</f>
        <v>2.1806754779999999</v>
      </c>
      <c r="AU162">
        <f ca="1">IF(AND(ISNUMBER($AU$469),$B$294=1),$AU$469,HLOOKUP(INDIRECT(ADDRESS(2,COLUMN())),OFFSET($BN$2,0,0,ROW()-1,60),ROW()-1,FALSE))</f>
        <v>2.179358948</v>
      </c>
      <c r="AV162">
        <f ca="1">IF(AND(ISNUMBER($AV$469),$B$294=1),$AV$469,HLOOKUP(INDIRECT(ADDRESS(2,COLUMN())),OFFSET($BN$2,0,0,ROW()-1,60),ROW()-1,FALSE))</f>
        <v>2.249989845</v>
      </c>
      <c r="AW162">
        <f ca="1">IF(AND(ISNUMBER($AW$469),$B$294=1),$AW$469,HLOOKUP(INDIRECT(ADDRESS(2,COLUMN())),OFFSET($BN$2,0,0,ROW()-1,60),ROW()-1,FALSE))</f>
        <v>2.2594712060000002</v>
      </c>
      <c r="AX162">
        <f ca="1">IF(AND(ISNUMBER($AX$469),$B$294=1),$AX$469,HLOOKUP(INDIRECT(ADDRESS(2,COLUMN())),OFFSET($BN$2,0,0,ROW()-1,60),ROW()-1,FALSE))</f>
        <v>2.1569596679999998</v>
      </c>
      <c r="AY162">
        <f ca="1">IF(AND(ISNUMBER($AY$469),$B$294=1),$AY$469,HLOOKUP(INDIRECT(ADDRESS(2,COLUMN())),OFFSET($BN$2,0,0,ROW()-1,60),ROW()-1,FALSE))</f>
        <v>2.244151735</v>
      </c>
      <c r="AZ162">
        <f ca="1">IF(AND(ISNUMBER($AZ$469),$B$294=1),$AZ$469,HLOOKUP(INDIRECT(ADDRESS(2,COLUMN())),OFFSET($BN$2,0,0,ROW()-1,60),ROW()-1,FALSE))</f>
        <v>2.364339567</v>
      </c>
      <c r="BA162">
        <f ca="1">IF(AND(ISNUMBER($BA$469),$B$294=1),$BA$469,HLOOKUP(INDIRECT(ADDRESS(2,COLUMN())),OFFSET($BN$2,0,0,ROW()-1,60),ROW()-1,FALSE))</f>
        <v>2.2555455219999998</v>
      </c>
      <c r="BB162">
        <f ca="1">IF(AND(ISNUMBER($BB$469),$B$294=1),$BB$469,HLOOKUP(INDIRECT(ADDRESS(2,COLUMN())),OFFSET($BN$2,0,0,ROW()-1,60),ROW()-1,FALSE))</f>
        <v>2.384674892</v>
      </c>
      <c r="BC162">
        <f ca="1">IF(AND(ISNUMBER($BC$469),$B$294=1),$BC$469,HLOOKUP(INDIRECT(ADDRESS(2,COLUMN())),OFFSET($BN$2,0,0,ROW()-1,60),ROW()-1,FALSE))</f>
        <v>2.2207969259999998</v>
      </c>
      <c r="BD162">
        <f ca="1">IF(AND(ISNUMBER($BD$469),$B$294=1),$BD$469,HLOOKUP(INDIRECT(ADDRESS(2,COLUMN())),OFFSET($BN$2,0,0,ROW()-1,60),ROW()-1,FALSE))</f>
        <v>2.3726523049999999</v>
      </c>
      <c r="BE162">
        <f ca="1">IF(AND(ISNUMBER($BE$469),$B$294=1),$BE$469,HLOOKUP(INDIRECT(ADDRESS(2,COLUMN())),OFFSET($BN$2,0,0,ROW()-1,60),ROW()-1,FALSE))</f>
        <v>2.3318563380000001</v>
      </c>
      <c r="BF162">
        <f ca="1">IF(AND(ISNUMBER($BF$469),$B$294=1),$BF$469,HLOOKUP(INDIRECT(ADDRESS(2,COLUMN())),OFFSET($BN$2,0,0,ROW()-1,60),ROW()-1,FALSE))</f>
        <v>2.3980864149999999</v>
      </c>
      <c r="BG162">
        <f ca="1">IF(AND(ISNUMBER($BG$469),$B$294=1),$BG$469,HLOOKUP(INDIRECT(ADDRESS(2,COLUMN())),OFFSET($BN$2,0,0,ROW()-1,60),ROW()-1,FALSE))</f>
        <v>2.4530304460000001</v>
      </c>
      <c r="BH162">
        <f ca="1">IF(AND(ISNUMBER($BH$469),$B$294=1),$BH$469,HLOOKUP(INDIRECT(ADDRESS(2,COLUMN())),OFFSET($BN$2,0,0,ROW()-1,60),ROW()-1,FALSE))</f>
        <v>2.3147588379999999</v>
      </c>
      <c r="BI162">
        <f ca="1">IF(AND(ISNUMBER($BI$469),$B$294=1),$BI$469,HLOOKUP(INDIRECT(ADDRESS(2,COLUMN())),OFFSET($BN$2,0,0,ROW()-1,60),ROW()-1,FALSE))</f>
        <v>2.7779176360000002</v>
      </c>
      <c r="BJ162">
        <f ca="1">IF(AND(ISNUMBER($BJ$469),$B$294=1),$BJ$469,HLOOKUP(INDIRECT(ADDRESS(2,COLUMN())),OFFSET($BN$2,0,0,ROW()-1,60),ROW()-1,FALSE))</f>
        <v>2.501435753</v>
      </c>
      <c r="BK162">
        <f ca="1">IF(AND(ISNUMBER($BK$469),$B$294=1),$BK$469,HLOOKUP(INDIRECT(ADDRESS(2,COLUMN())),OFFSET($BN$2,0,0,ROW()-1,60),ROW()-1,FALSE))</f>
        <v>2.5194699479999998</v>
      </c>
      <c r="BL162">
        <f ca="1">IF(AND(ISNUMBER($BL$469),$B$294=1),$BL$469,HLOOKUP(INDIRECT(ADDRESS(2,COLUMN())),OFFSET($BN$2,0,0,ROW()-1,60),ROW()-1,FALSE))</f>
        <v>2.6110463030000002</v>
      </c>
      <c r="BM162">
        <f ca="1">IF(AND(ISNUMBER($BM$469),$B$294=1),$BM$469,HLOOKUP(INDIRECT(ADDRESS(2,COLUMN())),OFFSET($BN$2,0,0,ROW()-1,60),ROW()-1,FALSE))</f>
        <v>2.4643786159999999</v>
      </c>
      <c r="BN162" t="str">
        <f>""</f>
        <v/>
      </c>
      <c r="BO162">
        <f>1.875609372</f>
        <v>1.875609372</v>
      </c>
      <c r="BP162">
        <f>2.368631345</f>
        <v>2.3686313449999998</v>
      </c>
      <c r="BQ162">
        <f>2.215137596</f>
        <v>2.2151375959999999</v>
      </c>
      <c r="BR162">
        <f>2.212747372</f>
        <v>2.2127473719999999</v>
      </c>
      <c r="BS162">
        <f>2.28735265</f>
        <v>2.2873526499999999</v>
      </c>
      <c r="BT162">
        <f>1.442441027</f>
        <v>1.4424410270000001</v>
      </c>
      <c r="BU162">
        <f>0.212983642</f>
        <v>0.212983642</v>
      </c>
      <c r="BV162">
        <f>2.00013356</f>
        <v>2.0001335600000001</v>
      </c>
      <c r="BW162">
        <f>1.698306858</f>
        <v>1.698306858</v>
      </c>
      <c r="BX162">
        <f>2.120504242</f>
        <v>2.120504242</v>
      </c>
      <c r="BY162">
        <f>2.0996841</f>
        <v>2.0996841000000002</v>
      </c>
      <c r="BZ162">
        <f>1.855037902</f>
        <v>1.8550379020000001</v>
      </c>
      <c r="CA162">
        <f>2.093442534</f>
        <v>2.0934425339999998</v>
      </c>
      <c r="CB162">
        <f>2.084951008</f>
        <v>2.084951008</v>
      </c>
      <c r="CC162">
        <f>1.953573213</f>
        <v>1.9535732130000001</v>
      </c>
      <c r="CD162">
        <f>2.149302183</f>
        <v>2.1493021830000001</v>
      </c>
      <c r="CE162">
        <f>2.073856804</f>
        <v>2.0738568040000001</v>
      </c>
      <c r="CF162">
        <f>1.863880687</f>
        <v>1.863880687</v>
      </c>
      <c r="CG162">
        <f>2.081446748</f>
        <v>2.0814467479999998</v>
      </c>
      <c r="CH162">
        <f>1.948969159</f>
        <v>1.948969159</v>
      </c>
      <c r="CI162">
        <f>1.887824591</f>
        <v>1.887824591</v>
      </c>
      <c r="CJ162">
        <f>0.700422704</f>
        <v>0.70042270399999995</v>
      </c>
      <c r="CK162">
        <f>1.948158475</f>
        <v>1.9481584750000001</v>
      </c>
      <c r="CL162">
        <f>1.985499656</f>
        <v>1.985499656</v>
      </c>
      <c r="CM162">
        <f>0.709709012</f>
        <v>0.70970901200000003</v>
      </c>
      <c r="CN162">
        <f>1.854568336</f>
        <v>1.854568336</v>
      </c>
      <c r="CO162">
        <f>1.336246973</f>
        <v>1.3362469729999999</v>
      </c>
      <c r="CP162">
        <f>1.085456492</f>
        <v>1.0854564920000001</v>
      </c>
      <c r="CQ162">
        <f>1.997501056</f>
        <v>1.9975010559999999</v>
      </c>
      <c r="CR162">
        <f>1.828852097</f>
        <v>1.828852097</v>
      </c>
      <c r="CS162">
        <f>2.018869745</f>
        <v>2.0188697449999999</v>
      </c>
      <c r="CT162">
        <f>1.946549419</f>
        <v>1.9465494189999999</v>
      </c>
      <c r="CU162">
        <f>1.097032905</f>
        <v>1.0970329050000001</v>
      </c>
      <c r="CV162">
        <f>3.090242398</f>
        <v>3.090242398</v>
      </c>
      <c r="CW162">
        <f>2.262611172</f>
        <v>2.2626111720000002</v>
      </c>
      <c r="CX162">
        <f>2.252215054</f>
        <v>2.2522150540000001</v>
      </c>
      <c r="CY162">
        <f>2.211508077</f>
        <v>2.211508077</v>
      </c>
      <c r="CZ162">
        <f>2.260413322</f>
        <v>2.2604133219999998</v>
      </c>
      <c r="DA162">
        <f>2.178465826</f>
        <v>2.178465826</v>
      </c>
      <c r="DB162">
        <f>2.180675478</f>
        <v>2.1806754779999999</v>
      </c>
      <c r="DC162">
        <f>2.179358948</f>
        <v>2.179358948</v>
      </c>
      <c r="DD162">
        <f>2.249989845</f>
        <v>2.249989845</v>
      </c>
      <c r="DE162">
        <f>2.259471206</f>
        <v>2.2594712060000002</v>
      </c>
      <c r="DF162">
        <f>2.156959668</f>
        <v>2.1569596679999998</v>
      </c>
      <c r="DG162">
        <f>2.244151735</f>
        <v>2.244151735</v>
      </c>
      <c r="DH162">
        <f>2.364339567</f>
        <v>2.364339567</v>
      </c>
      <c r="DI162">
        <f>2.255545522</f>
        <v>2.2555455219999998</v>
      </c>
      <c r="DJ162">
        <f>2.384674892</f>
        <v>2.384674892</v>
      </c>
      <c r="DK162">
        <f>2.220796926</f>
        <v>2.2207969259999998</v>
      </c>
      <c r="DL162">
        <f>2.372652305</f>
        <v>2.3726523049999999</v>
      </c>
      <c r="DM162">
        <f>2.331856338</f>
        <v>2.3318563380000001</v>
      </c>
      <c r="DN162">
        <f>2.398086415</f>
        <v>2.3980864149999999</v>
      </c>
      <c r="DO162">
        <f>2.453030446</f>
        <v>2.4530304460000001</v>
      </c>
      <c r="DP162">
        <f>2.314758838</f>
        <v>2.3147588379999999</v>
      </c>
      <c r="DQ162">
        <f>2.777917636</f>
        <v>2.7779176360000002</v>
      </c>
      <c r="DR162">
        <f>2.501435753</f>
        <v>2.501435753</v>
      </c>
      <c r="DS162">
        <f>2.519469948</f>
        <v>2.5194699479999998</v>
      </c>
      <c r="DT162">
        <f>2.611046303</f>
        <v>2.6110463030000002</v>
      </c>
      <c r="DU162">
        <f>2.464378616</f>
        <v>2.4643786159999999</v>
      </c>
    </row>
    <row r="163" spans="1:125">
      <c r="A163" t="str">
        <f>"    Highwoods Properties Inc"</f>
        <v xml:space="preserve">    Highwoods Properties Inc</v>
      </c>
      <c r="B163" t="str">
        <f>"HIW US Equity"</f>
        <v>HIW US Equity</v>
      </c>
      <c r="C163" t="str">
        <f t="shared" si="42"/>
        <v>RR553</v>
      </c>
      <c r="D163" t="str">
        <f t="shared" si="43"/>
        <v>EBITDA_RE_ASSET</v>
      </c>
      <c r="E163" t="str">
        <f t="shared" si="44"/>
        <v>动态</v>
      </c>
      <c r="F163" t="str">
        <f ca="1">IF(AND(ISNUMBER($F$470),$B$294=1),$F$470,HLOOKUP(INDIRECT(ADDRESS(2,COLUMN())),OFFSET($BN$2,0,0,ROW()-1,60),ROW()-1,FALSE))</f>
        <v/>
      </c>
      <c r="G163">
        <f ca="1">IF(AND(ISNUMBER($G$470),$B$294=1),$G$470,HLOOKUP(INDIRECT(ADDRESS(2,COLUMN())),OFFSET($BN$2,0,0,ROW()-1,60),ROW()-1,FALSE))</f>
        <v>2.611572346</v>
      </c>
      <c r="H163">
        <f ca="1">IF(AND(ISNUMBER($H$470),$B$294=1),$H$470,HLOOKUP(INDIRECT(ADDRESS(2,COLUMN())),OFFSET($BN$2,0,0,ROW()-1,60),ROW()-1,FALSE))</f>
        <v>2.6649740259999999</v>
      </c>
      <c r="I163">
        <f ca="1">IF(AND(ISNUMBER($I$470),$B$294=1),$I$470,HLOOKUP(INDIRECT(ADDRESS(2,COLUMN())),OFFSET($BN$2,0,0,ROW()-1,60),ROW()-1,FALSE))</f>
        <v>2.6775732219999999</v>
      </c>
      <c r="J163">
        <f ca="1">IF(AND(ISNUMBER($J$470),$B$294=1),$J$470,HLOOKUP(INDIRECT(ADDRESS(2,COLUMN())),OFFSET($BN$2,0,0,ROW()-1,60),ROW()-1,FALSE))</f>
        <v>2.4707525690000001</v>
      </c>
      <c r="K163">
        <f ca="1">IF(AND(ISNUMBER($K$470),$B$294=1),$K$470,HLOOKUP(INDIRECT(ADDRESS(2,COLUMN())),OFFSET($BN$2,0,0,ROW()-1,60),ROW()-1,FALSE))</f>
        <v>2.512207546</v>
      </c>
      <c r="L163">
        <f ca="1">IF(AND(ISNUMBER($L$470),$B$294=1),$L$470,HLOOKUP(INDIRECT(ADDRESS(2,COLUMN())),OFFSET($BN$2,0,0,ROW()-1,60),ROW()-1,FALSE))</f>
        <v>2.4508727659999998</v>
      </c>
      <c r="M163">
        <f ca="1">IF(AND(ISNUMBER($M$470),$B$294=1),$M$470,HLOOKUP(INDIRECT(ADDRESS(2,COLUMN())),OFFSET($BN$2,0,0,ROW()-1,60),ROW()-1,FALSE))</f>
        <v>2.6235504540000001</v>
      </c>
      <c r="N163">
        <f ca="1">IF(AND(ISNUMBER($N$470),$B$294=1),$N$470,HLOOKUP(INDIRECT(ADDRESS(2,COLUMN())),OFFSET($BN$2,0,0,ROW()-1,60),ROW()-1,FALSE))</f>
        <v>2.526157032</v>
      </c>
      <c r="O163">
        <f ca="1">IF(AND(ISNUMBER($O$470),$B$294=1),$O$470,HLOOKUP(INDIRECT(ADDRESS(2,COLUMN())),OFFSET($BN$2,0,0,ROW()-1,60),ROW()-1,FALSE))</f>
        <v>2.442955601</v>
      </c>
      <c r="P163">
        <f ca="1">IF(AND(ISNUMBER($P$470),$B$294=1),$P$470,HLOOKUP(INDIRECT(ADDRESS(2,COLUMN())),OFFSET($BN$2,0,0,ROW()-1,60),ROW()-1,FALSE))</f>
        <v>2.397011397</v>
      </c>
      <c r="Q163">
        <f ca="1">IF(AND(ISNUMBER($Q$470),$B$294=1),$Q$470,HLOOKUP(INDIRECT(ADDRESS(2,COLUMN())),OFFSET($BN$2,0,0,ROW()-1,60),ROW()-1,FALSE))</f>
        <v>2.5411559829999999</v>
      </c>
      <c r="R163">
        <f ca="1">IF(AND(ISNUMBER($R$470),$B$294=1),$R$470,HLOOKUP(INDIRECT(ADDRESS(2,COLUMN())),OFFSET($BN$2,0,0,ROW()-1,60),ROW()-1,FALSE))</f>
        <v>2.4960212249999998</v>
      </c>
      <c r="S163">
        <f ca="1">IF(AND(ISNUMBER($S$470),$B$294=1),$S$470,HLOOKUP(INDIRECT(ADDRESS(2,COLUMN())),OFFSET($BN$2,0,0,ROW()-1,60),ROW()-1,FALSE))</f>
        <v>2.3642720449999999</v>
      </c>
      <c r="T163">
        <f ca="1">IF(AND(ISNUMBER($T$470),$B$294=1),$T$470,HLOOKUP(INDIRECT(ADDRESS(2,COLUMN())),OFFSET($BN$2,0,0,ROW()-1,60),ROW()-1,FALSE))</f>
        <v>2.5463388980000001</v>
      </c>
      <c r="U163">
        <f ca="1">IF(AND(ISNUMBER($U$470),$B$294=1),$U$470,HLOOKUP(INDIRECT(ADDRESS(2,COLUMN())),OFFSET($BN$2,0,0,ROW()-1,60),ROW()-1,FALSE))</f>
        <v>2.573772613</v>
      </c>
      <c r="V163">
        <f ca="1">IF(AND(ISNUMBER($V$470),$B$294=1),$V$470,HLOOKUP(INDIRECT(ADDRESS(2,COLUMN())),OFFSET($BN$2,0,0,ROW()-1,60),ROW()-1,FALSE))</f>
        <v>2.4090958630000001</v>
      </c>
      <c r="W163">
        <f ca="1">IF(AND(ISNUMBER($W$470),$B$294=1),$W$470,HLOOKUP(INDIRECT(ADDRESS(2,COLUMN())),OFFSET($BN$2,0,0,ROW()-1,60),ROW()-1,FALSE))</f>
        <v>2.5132312830000001</v>
      </c>
      <c r="X163">
        <f ca="1">IF(AND(ISNUMBER($X$470),$B$294=1),$X$470,HLOOKUP(INDIRECT(ADDRESS(2,COLUMN())),OFFSET($BN$2,0,0,ROW()-1,60),ROW()-1,FALSE))</f>
        <v>2.4290163630000001</v>
      </c>
      <c r="Y163">
        <f ca="1">IF(AND(ISNUMBER($Y$470),$B$294=1),$Y$470,HLOOKUP(INDIRECT(ADDRESS(2,COLUMN())),OFFSET($BN$2,0,0,ROW()-1,60),ROW()-1,FALSE))</f>
        <v>2.5067598640000002</v>
      </c>
      <c r="Z163">
        <f ca="1">IF(AND(ISNUMBER($Z$470),$B$294=1),$Z$470,HLOOKUP(INDIRECT(ADDRESS(2,COLUMN())),OFFSET($BN$2,0,0,ROW()-1,60),ROW()-1,FALSE))</f>
        <v>2.4905207950000001</v>
      </c>
      <c r="AA163">
        <f ca="1">IF(AND(ISNUMBER($AA$470),$B$294=1),$AA$470,HLOOKUP(INDIRECT(ADDRESS(2,COLUMN())),OFFSET($BN$2,0,0,ROW()-1,60),ROW()-1,FALSE))</f>
        <v>2.4602098020000001</v>
      </c>
      <c r="AB163">
        <f ca="1">IF(AND(ISNUMBER($AB$470),$B$294=1),$AB$470,HLOOKUP(INDIRECT(ADDRESS(2,COLUMN())),OFFSET($BN$2,0,0,ROW()-1,60),ROW()-1,FALSE))</f>
        <v>2.4311653259999999</v>
      </c>
      <c r="AC163">
        <f ca="1">IF(AND(ISNUMBER($AC$470),$B$294=1),$AC$470,HLOOKUP(INDIRECT(ADDRESS(2,COLUMN())),OFFSET($BN$2,0,0,ROW()-1,60),ROW()-1,FALSE))</f>
        <v>2.6164388390000002</v>
      </c>
      <c r="AD163">
        <f ca="1">IF(AND(ISNUMBER($AD$470),$B$294=1),$AD$470,HLOOKUP(INDIRECT(ADDRESS(2,COLUMN())),OFFSET($BN$2,0,0,ROW()-1,60),ROW()-1,FALSE))</f>
        <v>2.5635703460000001</v>
      </c>
      <c r="AE163">
        <f ca="1">IF(AND(ISNUMBER($AE$470),$B$294=1),$AE$470,HLOOKUP(INDIRECT(ADDRESS(2,COLUMN())),OFFSET($BN$2,0,0,ROW()-1,60),ROW()-1,FALSE))</f>
        <v>2.5324435379999999</v>
      </c>
      <c r="AF163">
        <f ca="1">IF(AND(ISNUMBER($AF$470),$B$294=1),$AF$470,HLOOKUP(INDIRECT(ADDRESS(2,COLUMN())),OFFSET($BN$2,0,0,ROW()-1,60),ROW()-1,FALSE))</f>
        <v>2.1088847099999999</v>
      </c>
      <c r="AG163">
        <f ca="1">IF(AND(ISNUMBER($AG$470),$B$294=1),$AG$470,HLOOKUP(INDIRECT(ADDRESS(2,COLUMN())),OFFSET($BN$2,0,0,ROW()-1,60),ROW()-1,FALSE))</f>
        <v>2.5745806679999999</v>
      </c>
      <c r="AH163">
        <f ca="1">IF(AND(ISNUMBER($AH$470),$B$294=1),$AH$470,HLOOKUP(INDIRECT(ADDRESS(2,COLUMN())),OFFSET($BN$2,0,0,ROW()-1,60),ROW()-1,FALSE))</f>
        <v>2.542922431</v>
      </c>
      <c r="AI163">
        <f ca="1">IF(AND(ISNUMBER($AI$470),$B$294=1),$AI$470,HLOOKUP(INDIRECT(ADDRESS(2,COLUMN())),OFFSET($BN$2,0,0,ROW()-1,60),ROW()-1,FALSE))</f>
        <v>1.686934698</v>
      </c>
      <c r="AJ163">
        <f ca="1">IF(AND(ISNUMBER($AJ$470),$B$294=1),$AJ$470,HLOOKUP(INDIRECT(ADDRESS(2,COLUMN())),OFFSET($BN$2,0,0,ROW()-1,60),ROW()-1,FALSE))</f>
        <v>2.4241184589999998</v>
      </c>
      <c r="AK163">
        <f ca="1">IF(AND(ISNUMBER($AK$470),$B$294=1),$AK$470,HLOOKUP(INDIRECT(ADDRESS(2,COLUMN())),OFFSET($BN$2,0,0,ROW()-1,60),ROW()-1,FALSE))</f>
        <v>2.6676746360000001</v>
      </c>
      <c r="AL163">
        <f ca="1">IF(AND(ISNUMBER($AL$470),$B$294=1),$AL$470,HLOOKUP(INDIRECT(ADDRESS(2,COLUMN())),OFFSET($BN$2,0,0,ROW()-1,60),ROW()-1,FALSE))</f>
        <v>2.4949508090000001</v>
      </c>
      <c r="AM163">
        <f ca="1">IF(AND(ISNUMBER($AM$470),$B$294=1),$AM$470,HLOOKUP(INDIRECT(ADDRESS(2,COLUMN())),OFFSET($BN$2,0,0,ROW()-1,60),ROW()-1,FALSE))</f>
        <v>1.8822177710000001</v>
      </c>
      <c r="AN163">
        <f ca="1">IF(AND(ISNUMBER($AN$470),$B$294=1),$AN$470,HLOOKUP(INDIRECT(ADDRESS(2,COLUMN())),OFFSET($BN$2,0,0,ROW()-1,60),ROW()-1,FALSE))</f>
        <v>2.3253631220000002</v>
      </c>
      <c r="AO163">
        <f ca="1">IF(AND(ISNUMBER($AO$470),$B$294=1),$AO$470,HLOOKUP(INDIRECT(ADDRESS(2,COLUMN())),OFFSET($BN$2,0,0,ROW()-1,60),ROW()-1,FALSE))</f>
        <v>2.3471312800000002</v>
      </c>
      <c r="AP163">
        <f ca="1">IF(AND(ISNUMBER($AP$470),$B$294=1),$AP$470,HLOOKUP(INDIRECT(ADDRESS(2,COLUMN())),OFFSET($BN$2,0,0,ROW()-1,60),ROW()-1,FALSE))</f>
        <v>2.4047777670000001</v>
      </c>
      <c r="AQ163">
        <f ca="1">IF(AND(ISNUMBER($AQ$470),$B$294=1),$AQ$470,HLOOKUP(INDIRECT(ADDRESS(2,COLUMN())),OFFSET($BN$2,0,0,ROW()-1,60),ROW()-1,FALSE))</f>
        <v>2.0648185290000001</v>
      </c>
      <c r="AR163">
        <f ca="1">IF(AND(ISNUMBER($AR$470),$B$294=1),$AR$470,HLOOKUP(INDIRECT(ADDRESS(2,COLUMN())),OFFSET($BN$2,0,0,ROW()-1,60),ROW()-1,FALSE))</f>
        <v>2.3218274729999999</v>
      </c>
      <c r="AS163">
        <f ca="1">IF(AND(ISNUMBER($AS$470),$B$294=1),$AS$470,HLOOKUP(INDIRECT(ADDRESS(2,COLUMN())),OFFSET($BN$2,0,0,ROW()-1,60),ROW()-1,FALSE))</f>
        <v>2.105181741</v>
      </c>
      <c r="AT163">
        <f ca="1">IF(AND(ISNUMBER($AT$470),$B$294=1),$AT$470,HLOOKUP(INDIRECT(ADDRESS(2,COLUMN())),OFFSET($BN$2,0,0,ROW()-1,60),ROW()-1,FALSE))</f>
        <v>2.2679062239999999</v>
      </c>
      <c r="AU163">
        <f ca="1">IF(AND(ISNUMBER($AU$470),$B$294=1),$AU$470,HLOOKUP(INDIRECT(ADDRESS(2,COLUMN())),OFFSET($BN$2,0,0,ROW()-1,60),ROW()-1,FALSE))</f>
        <v>2.2438737770000001</v>
      </c>
      <c r="AV163">
        <f ca="1">IF(AND(ISNUMBER($AV$470),$B$294=1),$AV$470,HLOOKUP(INDIRECT(ADDRESS(2,COLUMN())),OFFSET($BN$2,0,0,ROW()-1,60),ROW()-1,FALSE))</f>
        <v>2.208898026</v>
      </c>
      <c r="AW163">
        <f ca="1">IF(AND(ISNUMBER($AW$470),$B$294=1),$AW$470,HLOOKUP(INDIRECT(ADDRESS(2,COLUMN())),OFFSET($BN$2,0,0,ROW()-1,60),ROW()-1,FALSE))</f>
        <v>2.0854482769999998</v>
      </c>
      <c r="AX163">
        <f ca="1">IF(AND(ISNUMBER($AX$470),$B$294=1),$AX$470,HLOOKUP(INDIRECT(ADDRESS(2,COLUMN())),OFFSET($BN$2,0,0,ROW()-1,60),ROW()-1,FALSE))</f>
        <v>2.1552842239999999</v>
      </c>
      <c r="AY163">
        <f ca="1">IF(AND(ISNUMBER($AY$470),$B$294=1),$AY$470,HLOOKUP(INDIRECT(ADDRESS(2,COLUMN())),OFFSET($BN$2,0,0,ROW()-1,60),ROW()-1,FALSE))</f>
        <v>1.3807314070000001</v>
      </c>
      <c r="AZ163">
        <f ca="1">IF(AND(ISNUMBER($AZ$470),$B$294=1),$AZ$470,HLOOKUP(INDIRECT(ADDRESS(2,COLUMN())),OFFSET($BN$2,0,0,ROW()-1,60),ROW()-1,FALSE))</f>
        <v>2.260124276</v>
      </c>
      <c r="BA163">
        <f ca="1">IF(AND(ISNUMBER($BA$470),$B$294=1),$BA$470,HLOOKUP(INDIRECT(ADDRESS(2,COLUMN())),OFFSET($BN$2,0,0,ROW()-1,60),ROW()-1,FALSE))</f>
        <v>2.2439854939999999</v>
      </c>
      <c r="BB163">
        <f ca="1">IF(AND(ISNUMBER($BB$470),$B$294=1),$BB$470,HLOOKUP(INDIRECT(ADDRESS(2,COLUMN())),OFFSET($BN$2,0,0,ROW()-1,60),ROW()-1,FALSE))</f>
        <v>2.2966439269999999</v>
      </c>
      <c r="BC163">
        <f ca="1">IF(AND(ISNUMBER($BC$470),$B$294=1),$BC$470,HLOOKUP(INDIRECT(ADDRESS(2,COLUMN())),OFFSET($BN$2,0,0,ROW()-1,60),ROW()-1,FALSE))</f>
        <v>1.470910894</v>
      </c>
      <c r="BD163">
        <f ca="1">IF(AND(ISNUMBER($BD$470),$B$294=1),$BD$470,HLOOKUP(INDIRECT(ADDRESS(2,COLUMN())),OFFSET($BN$2,0,0,ROW()-1,60),ROW()-1,FALSE))</f>
        <v>2.1975375289999999</v>
      </c>
      <c r="BE163">
        <f ca="1">IF(AND(ISNUMBER($BE$470),$B$294=1),$BE$470,HLOOKUP(INDIRECT(ADDRESS(2,COLUMN())),OFFSET($BN$2,0,0,ROW()-1,60),ROW()-1,FALSE))</f>
        <v>2.1898880109999999</v>
      </c>
      <c r="BF163">
        <f ca="1">IF(AND(ISNUMBER($BF$470),$B$294=1),$BF$470,HLOOKUP(INDIRECT(ADDRESS(2,COLUMN())),OFFSET($BN$2,0,0,ROW()-1,60),ROW()-1,FALSE))</f>
        <v>2.2193131880000001</v>
      </c>
      <c r="BG163">
        <f ca="1">IF(AND(ISNUMBER($BG$470),$B$294=1),$BG$470,HLOOKUP(INDIRECT(ADDRESS(2,COLUMN())),OFFSET($BN$2,0,0,ROW()-1,60),ROW()-1,FALSE))</f>
        <v>1.2713027880000001</v>
      </c>
      <c r="BH163">
        <f ca="1">IF(AND(ISNUMBER($BH$470),$B$294=1),$BH$470,HLOOKUP(INDIRECT(ADDRESS(2,COLUMN())),OFFSET($BN$2,0,0,ROW()-1,60),ROW()-1,FALSE))</f>
        <v>1.9245092800000001</v>
      </c>
      <c r="BI163">
        <f ca="1">IF(AND(ISNUMBER($BI$470),$B$294=1),$BI$470,HLOOKUP(INDIRECT(ADDRESS(2,COLUMN())),OFFSET($BN$2,0,0,ROW()-1,60),ROW()-1,FALSE))</f>
        <v>2.1302474880000002</v>
      </c>
      <c r="BJ163">
        <f ca="1">IF(AND(ISNUMBER($BJ$470),$B$294=1),$BJ$470,HLOOKUP(INDIRECT(ADDRESS(2,COLUMN())),OFFSET($BN$2,0,0,ROW()-1,60),ROW()-1,FALSE))</f>
        <v>2.0438576249999998</v>
      </c>
      <c r="BK163" t="str">
        <f ca="1">IF(AND(ISNUMBER($BK$470),$B$294=1),$BK$470,HLOOKUP(INDIRECT(ADDRESS(2,COLUMN())),OFFSET($BN$2,0,0,ROW()-1,60),ROW()-1,FALSE))</f>
        <v/>
      </c>
      <c r="BL163">
        <f ca="1">IF(AND(ISNUMBER($BL$470),$B$294=1),$BL$470,HLOOKUP(INDIRECT(ADDRESS(2,COLUMN())),OFFSET($BN$2,0,0,ROW()-1,60),ROW()-1,FALSE))</f>
        <v>5.0125242720000003</v>
      </c>
      <c r="BM163">
        <f ca="1">IF(AND(ISNUMBER($BM$470),$B$294=1),$BM$470,HLOOKUP(INDIRECT(ADDRESS(2,COLUMN())),OFFSET($BN$2,0,0,ROW()-1,60),ROW()-1,FALSE))</f>
        <v>2.4966093570000001</v>
      </c>
      <c r="BN163" t="str">
        <f>""</f>
        <v/>
      </c>
      <c r="BO163">
        <f>2.611572346</f>
        <v>2.611572346</v>
      </c>
      <c r="BP163">
        <f>2.664974026</f>
        <v>2.6649740259999999</v>
      </c>
      <c r="BQ163">
        <f>2.677573222</f>
        <v>2.6775732219999999</v>
      </c>
      <c r="BR163">
        <f>2.470752569</f>
        <v>2.4707525690000001</v>
      </c>
      <c r="BS163">
        <f>2.512207546</f>
        <v>2.512207546</v>
      </c>
      <c r="BT163">
        <f>2.450872766</f>
        <v>2.4508727659999998</v>
      </c>
      <c r="BU163">
        <f>2.623550454</f>
        <v>2.6235504540000001</v>
      </c>
      <c r="BV163">
        <f>2.526157032</f>
        <v>2.526157032</v>
      </c>
      <c r="BW163">
        <f>2.442955601</f>
        <v>2.442955601</v>
      </c>
      <c r="BX163">
        <f>2.397011397</f>
        <v>2.397011397</v>
      </c>
      <c r="BY163">
        <f>2.541155983</f>
        <v>2.5411559829999999</v>
      </c>
      <c r="BZ163">
        <f>2.496021225</f>
        <v>2.4960212249999998</v>
      </c>
      <c r="CA163">
        <f>2.364272045</f>
        <v>2.3642720449999999</v>
      </c>
      <c r="CB163">
        <f>2.546338898</f>
        <v>2.5463388980000001</v>
      </c>
      <c r="CC163">
        <f>2.573772613</f>
        <v>2.573772613</v>
      </c>
      <c r="CD163">
        <f>2.409095863</f>
        <v>2.4090958630000001</v>
      </c>
      <c r="CE163">
        <f>2.513231283</f>
        <v>2.5132312830000001</v>
      </c>
      <c r="CF163">
        <f>2.429016363</f>
        <v>2.4290163630000001</v>
      </c>
      <c r="CG163">
        <f>2.506759864</f>
        <v>2.5067598640000002</v>
      </c>
      <c r="CH163">
        <f>2.490520795</f>
        <v>2.4905207950000001</v>
      </c>
      <c r="CI163">
        <f>2.460209802</f>
        <v>2.4602098020000001</v>
      </c>
      <c r="CJ163">
        <f>2.431165326</f>
        <v>2.4311653259999999</v>
      </c>
      <c r="CK163">
        <f>2.616438839</f>
        <v>2.6164388390000002</v>
      </c>
      <c r="CL163">
        <f>2.563570346</f>
        <v>2.5635703460000001</v>
      </c>
      <c r="CM163">
        <f>2.532443538</f>
        <v>2.5324435379999999</v>
      </c>
      <c r="CN163">
        <f>2.10888471</f>
        <v>2.1088847099999999</v>
      </c>
      <c r="CO163">
        <f>2.574580668</f>
        <v>2.5745806679999999</v>
      </c>
      <c r="CP163">
        <f>2.542922431</f>
        <v>2.542922431</v>
      </c>
      <c r="CQ163">
        <f>1.686934698</f>
        <v>1.686934698</v>
      </c>
      <c r="CR163">
        <f>2.424118459</f>
        <v>2.4241184589999998</v>
      </c>
      <c r="CS163">
        <f>2.667674636</f>
        <v>2.6676746360000001</v>
      </c>
      <c r="CT163">
        <f>2.494950809</f>
        <v>2.4949508090000001</v>
      </c>
      <c r="CU163">
        <f>1.882217771</f>
        <v>1.8822177710000001</v>
      </c>
      <c r="CV163">
        <f>2.325363122</f>
        <v>2.3253631220000002</v>
      </c>
      <c r="CW163">
        <f>2.34713128</f>
        <v>2.3471312800000002</v>
      </c>
      <c r="CX163">
        <f>2.404777767</f>
        <v>2.4047777670000001</v>
      </c>
      <c r="CY163">
        <f>2.064818529</f>
        <v>2.0648185290000001</v>
      </c>
      <c r="CZ163">
        <f>2.321827473</f>
        <v>2.3218274729999999</v>
      </c>
      <c r="DA163">
        <f>2.105181741</f>
        <v>2.105181741</v>
      </c>
      <c r="DB163">
        <f>2.267906224</f>
        <v>2.2679062239999999</v>
      </c>
      <c r="DC163">
        <f>2.243873777</f>
        <v>2.2438737770000001</v>
      </c>
      <c r="DD163">
        <f>2.208898026</f>
        <v>2.208898026</v>
      </c>
      <c r="DE163">
        <f>2.085448277</f>
        <v>2.0854482769999998</v>
      </c>
      <c r="DF163">
        <f>2.155284224</f>
        <v>2.1552842239999999</v>
      </c>
      <c r="DG163">
        <f>1.380731407</f>
        <v>1.3807314070000001</v>
      </c>
      <c r="DH163">
        <f>2.260124276</f>
        <v>2.260124276</v>
      </c>
      <c r="DI163">
        <f>2.243985494</f>
        <v>2.2439854939999999</v>
      </c>
      <c r="DJ163">
        <f>2.296643927</f>
        <v>2.2966439269999999</v>
      </c>
      <c r="DK163">
        <f>1.470910894</f>
        <v>1.470910894</v>
      </c>
      <c r="DL163">
        <f>2.197537529</f>
        <v>2.1975375289999999</v>
      </c>
      <c r="DM163">
        <f>2.189888011</f>
        <v>2.1898880109999999</v>
      </c>
      <c r="DN163">
        <f>2.219313188</f>
        <v>2.2193131880000001</v>
      </c>
      <c r="DO163">
        <f>1.271302788</f>
        <v>1.2713027880000001</v>
      </c>
      <c r="DP163">
        <f>1.92450928</f>
        <v>1.9245092800000001</v>
      </c>
      <c r="DQ163">
        <f>2.130247488</f>
        <v>2.1302474880000002</v>
      </c>
      <c r="DR163">
        <f>2.043857625</f>
        <v>2.0438576249999998</v>
      </c>
      <c r="DS163" t="str">
        <f>""</f>
        <v/>
      </c>
      <c r="DT163">
        <f>5.012524272</f>
        <v>5.0125242720000003</v>
      </c>
      <c r="DU163">
        <f>2.496609357</f>
        <v>2.4966093570000001</v>
      </c>
    </row>
    <row r="164" spans="1:125">
      <c r="A164" t="str">
        <f>"    Kilroy Realty Corp"</f>
        <v xml:space="preserve">    Kilroy Realty Corp</v>
      </c>
      <c r="B164" t="str">
        <f>"KRC US Equity"</f>
        <v>KRC US Equity</v>
      </c>
      <c r="C164" t="str">
        <f t="shared" si="42"/>
        <v>RR553</v>
      </c>
      <c r="D164" t="str">
        <f t="shared" si="43"/>
        <v>EBITDA_RE_ASSET</v>
      </c>
      <c r="E164" t="str">
        <f t="shared" si="44"/>
        <v>动态</v>
      </c>
      <c r="F164" t="str">
        <f ca="1">IF(AND(ISNUMBER($F$471),$B$294=1),$F$471,HLOOKUP(INDIRECT(ADDRESS(2,COLUMN())),OFFSET($BN$2,0,0,ROW()-1,60),ROW()-1,FALSE))</f>
        <v/>
      </c>
      <c r="G164">
        <f ca="1">IF(AND(ISNUMBER($G$471),$B$294=1),$G$471,HLOOKUP(INDIRECT(ADDRESS(2,COLUMN())),OFFSET($BN$2,0,0,ROW()-1,60),ROW()-1,FALSE))</f>
        <v>1.7987963170000001</v>
      </c>
      <c r="H164">
        <f ca="1">IF(AND(ISNUMBER($H$471),$B$294=1),$H$471,HLOOKUP(INDIRECT(ADDRESS(2,COLUMN())),OFFSET($BN$2,0,0,ROW()-1,60),ROW()-1,FALSE))</f>
        <v>1.908874212</v>
      </c>
      <c r="I164">
        <f ca="1">IF(AND(ISNUMBER($I$471),$B$294=1),$I$471,HLOOKUP(INDIRECT(ADDRESS(2,COLUMN())),OFFSET($BN$2,0,0,ROW()-1,60),ROW()-1,FALSE))</f>
        <v>1.8948890359999999</v>
      </c>
      <c r="J164">
        <f ca="1">IF(AND(ISNUMBER($J$471),$B$294=1),$J$471,HLOOKUP(INDIRECT(ADDRESS(2,COLUMN())),OFFSET($BN$2,0,0,ROW()-1,60),ROW()-1,FALSE))</f>
        <v>1.8789128319999999</v>
      </c>
      <c r="K164">
        <f ca="1">IF(AND(ISNUMBER($K$471),$B$294=1),$K$471,HLOOKUP(INDIRECT(ADDRESS(2,COLUMN())),OFFSET($BN$2,0,0,ROW()-1,60),ROW()-1,FALSE))</f>
        <v>1.793139254</v>
      </c>
      <c r="L164">
        <f ca="1">IF(AND(ISNUMBER($L$471),$B$294=1),$L$471,HLOOKUP(INDIRECT(ADDRESS(2,COLUMN())),OFFSET($BN$2,0,0,ROW()-1,60),ROW()-1,FALSE))</f>
        <v>1.971492842</v>
      </c>
      <c r="M164">
        <f ca="1">IF(AND(ISNUMBER($M$471),$B$294=1),$M$471,HLOOKUP(INDIRECT(ADDRESS(2,COLUMN())),OFFSET($BN$2,0,0,ROW()-1,60),ROW()-1,FALSE))</f>
        <v>1.847879402</v>
      </c>
      <c r="N164">
        <f ca="1">IF(AND(ISNUMBER($N$471),$B$294=1),$N$471,HLOOKUP(INDIRECT(ADDRESS(2,COLUMN())),OFFSET($BN$2,0,0,ROW()-1,60),ROW()-1,FALSE))</f>
        <v>1.7225255340000001</v>
      </c>
      <c r="O164">
        <f ca="1">IF(AND(ISNUMBER($O$471),$B$294=1),$O$471,HLOOKUP(INDIRECT(ADDRESS(2,COLUMN())),OFFSET($BN$2,0,0,ROW()-1,60),ROW()-1,FALSE))</f>
        <v>1.766848116</v>
      </c>
      <c r="P164">
        <f ca="1">IF(AND(ISNUMBER($P$471),$B$294=1),$P$471,HLOOKUP(INDIRECT(ADDRESS(2,COLUMN())),OFFSET($BN$2,0,0,ROW()-1,60),ROW()-1,FALSE))</f>
        <v>1.701694934</v>
      </c>
      <c r="Q164">
        <f ca="1">IF(AND(ISNUMBER($Q$471),$B$294=1),$Q$471,HLOOKUP(INDIRECT(ADDRESS(2,COLUMN())),OFFSET($BN$2,0,0,ROW()-1,60),ROW()-1,FALSE))</f>
        <v>1.814905228</v>
      </c>
      <c r="R164">
        <f ca="1">IF(AND(ISNUMBER($R$471),$B$294=1),$R$471,HLOOKUP(INDIRECT(ADDRESS(2,COLUMN())),OFFSET($BN$2,0,0,ROW()-1,60),ROW()-1,FALSE))</f>
        <v>1.873290694</v>
      </c>
      <c r="S164">
        <f ca="1">IF(AND(ISNUMBER($S$471),$B$294=1),$S$471,HLOOKUP(INDIRECT(ADDRESS(2,COLUMN())),OFFSET($BN$2,0,0,ROW()-1,60),ROW()-1,FALSE))</f>
        <v>1.7807872309999999</v>
      </c>
      <c r="T164">
        <f ca="1">IF(AND(ISNUMBER($T$471),$B$294=1),$T$471,HLOOKUP(INDIRECT(ADDRESS(2,COLUMN())),OFFSET($BN$2,0,0,ROW()-1,60),ROW()-1,FALSE))</f>
        <v>1.671105394</v>
      </c>
      <c r="U164">
        <f ca="1">IF(AND(ISNUMBER($U$471),$B$294=1),$U$471,HLOOKUP(INDIRECT(ADDRESS(2,COLUMN())),OFFSET($BN$2,0,0,ROW()-1,60),ROW()-1,FALSE))</f>
        <v>1.659351238</v>
      </c>
      <c r="V164">
        <f ca="1">IF(AND(ISNUMBER($V$471),$B$294=1),$V$471,HLOOKUP(INDIRECT(ADDRESS(2,COLUMN())),OFFSET($BN$2,0,0,ROW()-1,60),ROW()-1,FALSE))</f>
        <v>1.689849438</v>
      </c>
      <c r="W164">
        <f ca="1">IF(AND(ISNUMBER($W$471),$B$294=1),$W$471,HLOOKUP(INDIRECT(ADDRESS(2,COLUMN())),OFFSET($BN$2,0,0,ROW()-1,60),ROW()-1,FALSE))</f>
        <v>1.65268028</v>
      </c>
      <c r="X164">
        <f ca="1">IF(AND(ISNUMBER($X$471),$B$294=1),$X$471,HLOOKUP(INDIRECT(ADDRESS(2,COLUMN())),OFFSET($BN$2,0,0,ROW()-1,60),ROW()-1,FALSE))</f>
        <v>1.7009100880000001</v>
      </c>
      <c r="Y164">
        <f ca="1">IF(AND(ISNUMBER($Y$471),$B$294=1),$Y$471,HLOOKUP(INDIRECT(ADDRESS(2,COLUMN())),OFFSET($BN$2,0,0,ROW()-1,60),ROW()-1,FALSE))</f>
        <v>1.7827822760000001</v>
      </c>
      <c r="Z164">
        <f ca="1">IF(AND(ISNUMBER($Z$471),$B$294=1),$Z$471,HLOOKUP(INDIRECT(ADDRESS(2,COLUMN())),OFFSET($BN$2,0,0,ROW()-1,60),ROW()-1,FALSE))</f>
        <v>1.670109085</v>
      </c>
      <c r="AA164">
        <f ca="1">IF(AND(ISNUMBER($AA$471),$B$294=1),$AA$471,HLOOKUP(INDIRECT(ADDRESS(2,COLUMN())),OFFSET($BN$2,0,0,ROW()-1,60),ROW()-1,FALSE))</f>
        <v>2.6681636709999998</v>
      </c>
      <c r="AB164">
        <f ca="1">IF(AND(ISNUMBER($AB$471),$B$294=1),$AB$471,HLOOKUP(INDIRECT(ADDRESS(2,COLUMN())),OFFSET($BN$2,0,0,ROW()-1,60),ROW()-1,FALSE))</f>
        <v>1.8050835350000001</v>
      </c>
      <c r="AC164">
        <f ca="1">IF(AND(ISNUMBER($AC$471),$B$294=1),$AC$471,HLOOKUP(INDIRECT(ADDRESS(2,COLUMN())),OFFSET($BN$2,0,0,ROW()-1,60),ROW()-1,FALSE))</f>
        <v>1.840277618</v>
      </c>
      <c r="AD164">
        <f ca="1">IF(AND(ISNUMBER($AD$471),$B$294=1),$AD$471,HLOOKUP(INDIRECT(ADDRESS(2,COLUMN())),OFFSET($BN$2,0,0,ROW()-1,60),ROW()-1,FALSE))</f>
        <v>1.8965239599999999</v>
      </c>
      <c r="AE164">
        <f ca="1">IF(AND(ISNUMBER($AE$471),$B$294=1),$AE$471,HLOOKUP(INDIRECT(ADDRESS(2,COLUMN())),OFFSET($BN$2,0,0,ROW()-1,60),ROW()-1,FALSE))</f>
        <v>2.0917568200000001</v>
      </c>
      <c r="AF164">
        <f ca="1">IF(AND(ISNUMBER($AF$471),$B$294=1),$AF$471,HLOOKUP(INDIRECT(ADDRESS(2,COLUMN())),OFFSET($BN$2,0,0,ROW()-1,60),ROW()-1,FALSE))</f>
        <v>1.9235104940000001</v>
      </c>
      <c r="AG164">
        <f ca="1">IF(AND(ISNUMBER($AG$471),$B$294=1),$AG$471,HLOOKUP(INDIRECT(ADDRESS(2,COLUMN())),OFFSET($BN$2,0,0,ROW()-1,60),ROW()-1,FALSE))</f>
        <v>1.9415535289999999</v>
      </c>
      <c r="AH164">
        <f ca="1">IF(AND(ISNUMBER($AH$471),$B$294=1),$AH$471,HLOOKUP(INDIRECT(ADDRESS(2,COLUMN())),OFFSET($BN$2,0,0,ROW()-1,60),ROW()-1,FALSE))</f>
        <v>2.0352447960000002</v>
      </c>
      <c r="AI164">
        <f ca="1">IF(AND(ISNUMBER($AI$471),$B$294=1),$AI$471,HLOOKUP(INDIRECT(ADDRESS(2,COLUMN())),OFFSET($BN$2,0,0,ROW()-1,60),ROW()-1,FALSE))</f>
        <v>2.8031686320000002</v>
      </c>
      <c r="AJ164">
        <f ca="1">IF(AND(ISNUMBER($AJ$471),$B$294=1),$AJ$471,HLOOKUP(INDIRECT(ADDRESS(2,COLUMN())),OFFSET($BN$2,0,0,ROW()-1,60),ROW()-1,FALSE))</f>
        <v>1.224394983</v>
      </c>
      <c r="AK164">
        <f ca="1">IF(AND(ISNUMBER($AK$471),$B$294=1),$AK$471,HLOOKUP(INDIRECT(ADDRESS(2,COLUMN())),OFFSET($BN$2,0,0,ROW()-1,60),ROW()-1,FALSE))</f>
        <v>1.909726263</v>
      </c>
      <c r="AL164">
        <f ca="1">IF(AND(ISNUMBER($AL$471),$B$294=1),$AL$471,HLOOKUP(INDIRECT(ADDRESS(2,COLUMN())),OFFSET($BN$2,0,0,ROW()-1,60),ROW()-1,FALSE))</f>
        <v>2.1462065930000001</v>
      </c>
      <c r="AM164">
        <f ca="1">IF(AND(ISNUMBER($AM$471),$B$294=1),$AM$471,HLOOKUP(INDIRECT(ADDRESS(2,COLUMN())),OFFSET($BN$2,0,0,ROW()-1,60),ROW()-1,FALSE))</f>
        <v>2.71645783</v>
      </c>
      <c r="AN164">
        <f ca="1">IF(AND(ISNUMBER($AN$471),$B$294=1),$AN$471,HLOOKUP(INDIRECT(ADDRESS(2,COLUMN())),OFFSET($BN$2,0,0,ROW()-1,60),ROW()-1,FALSE))</f>
        <v>2.2579661190000002</v>
      </c>
      <c r="AO164">
        <f ca="1">IF(AND(ISNUMBER($AO$471),$B$294=1),$AO$471,HLOOKUP(INDIRECT(ADDRESS(2,COLUMN())),OFFSET($BN$2,0,0,ROW()-1,60),ROW()-1,FALSE))</f>
        <v>2.37076741</v>
      </c>
      <c r="AP164">
        <f ca="1">IF(AND(ISNUMBER($AP$471),$B$294=1),$AP$471,HLOOKUP(INDIRECT(ADDRESS(2,COLUMN())),OFFSET($BN$2,0,0,ROW()-1,60),ROW()-1,FALSE))</f>
        <v>2.3232347120000001</v>
      </c>
      <c r="AQ164">
        <f ca="1">IF(AND(ISNUMBER($AQ$471),$B$294=1),$AQ$471,HLOOKUP(INDIRECT(ADDRESS(2,COLUMN())),OFFSET($BN$2,0,0,ROW()-1,60),ROW()-1,FALSE))</f>
        <v>2.4048307499999999</v>
      </c>
      <c r="AR164">
        <f ca="1">IF(AND(ISNUMBER($AR$471),$B$294=1),$AR$471,HLOOKUP(INDIRECT(ADDRESS(2,COLUMN())),OFFSET($BN$2,0,0,ROW()-1,60),ROW()-1,FALSE))</f>
        <v>2.6627228039999999</v>
      </c>
      <c r="AS164">
        <f ca="1">IF(AND(ISNUMBER($AS$471),$B$294=1),$AS$471,HLOOKUP(INDIRECT(ADDRESS(2,COLUMN())),OFFSET($BN$2,0,0,ROW()-1,60),ROW()-1,FALSE))</f>
        <v>2.2509915249999999</v>
      </c>
      <c r="AT164">
        <f ca="1">IF(AND(ISNUMBER($AT$471),$B$294=1),$AT$471,HLOOKUP(INDIRECT(ADDRESS(2,COLUMN())),OFFSET($BN$2,0,0,ROW()-1,60),ROW()-1,FALSE))</f>
        <v>2.4393153249999999</v>
      </c>
      <c r="AU164">
        <f ca="1">IF(AND(ISNUMBER($AU$471),$B$294=1),$AU$471,HLOOKUP(INDIRECT(ADDRESS(2,COLUMN())),OFFSET($BN$2,0,0,ROW()-1,60),ROW()-1,FALSE))</f>
        <v>1.5133164960000001</v>
      </c>
      <c r="AV164">
        <f ca="1">IF(AND(ISNUMBER($AV$471),$B$294=1),$AV$471,HLOOKUP(INDIRECT(ADDRESS(2,COLUMN())),OFFSET($BN$2,0,0,ROW()-1,60),ROW()-1,FALSE))</f>
        <v>2.3512145690000001</v>
      </c>
      <c r="AW164">
        <f ca="1">IF(AND(ISNUMBER($AW$471),$B$294=1),$AW$471,HLOOKUP(INDIRECT(ADDRESS(2,COLUMN())),OFFSET($BN$2,0,0,ROW()-1,60),ROW()-1,FALSE))</f>
        <v>2.316356055</v>
      </c>
      <c r="AX164">
        <f ca="1">IF(AND(ISNUMBER($AX$471),$B$294=1),$AX$471,HLOOKUP(INDIRECT(ADDRESS(2,COLUMN())),OFFSET($BN$2,0,0,ROW()-1,60),ROW()-1,FALSE))</f>
        <v>2.4150420320000001</v>
      </c>
      <c r="AY164">
        <f ca="1">IF(AND(ISNUMBER($AY$471),$B$294=1),$AY$471,HLOOKUP(INDIRECT(ADDRESS(2,COLUMN())),OFFSET($BN$2,0,0,ROW()-1,60),ROW()-1,FALSE))</f>
        <v>2.1140892569999998</v>
      </c>
      <c r="AZ164">
        <f ca="1">IF(AND(ISNUMBER($AZ$471),$B$294=1),$AZ$471,HLOOKUP(INDIRECT(ADDRESS(2,COLUMN())),OFFSET($BN$2,0,0,ROW()-1,60),ROW()-1,FALSE))</f>
        <v>2.5464286010000001</v>
      </c>
      <c r="BA164">
        <f ca="1">IF(AND(ISNUMBER($BA$471),$B$294=1),$BA$471,HLOOKUP(INDIRECT(ADDRESS(2,COLUMN())),OFFSET($BN$2,0,0,ROW()-1,60),ROW()-1,FALSE))</f>
        <v>2.7191537339999998</v>
      </c>
      <c r="BB164">
        <f ca="1">IF(AND(ISNUMBER($BB$471),$B$294=1),$BB$471,HLOOKUP(INDIRECT(ADDRESS(2,COLUMN())),OFFSET($BN$2,0,0,ROW()-1,60),ROW()-1,FALSE))</f>
        <v>2.7613191650000002</v>
      </c>
      <c r="BC164">
        <f ca="1">IF(AND(ISNUMBER($BC$471),$B$294=1),$BC$471,HLOOKUP(INDIRECT(ADDRESS(2,COLUMN())),OFFSET($BN$2,0,0,ROW()-1,60),ROW()-1,FALSE))</f>
        <v>1.2694798549999999</v>
      </c>
      <c r="BD164">
        <f ca="1">IF(AND(ISNUMBER($BD$471),$B$294=1),$BD$471,HLOOKUP(INDIRECT(ADDRESS(2,COLUMN())),OFFSET($BN$2,0,0,ROW()-1,60),ROW()-1,FALSE))</f>
        <v>1.695263918</v>
      </c>
      <c r="BE164">
        <f ca="1">IF(AND(ISNUMBER($BE$471),$B$294=1),$BE$471,HLOOKUP(INDIRECT(ADDRESS(2,COLUMN())),OFFSET($BN$2,0,0,ROW()-1,60),ROW()-1,FALSE))</f>
        <v>1.9653517760000001</v>
      </c>
      <c r="BF164">
        <f ca="1">IF(AND(ISNUMBER($BF$471),$B$294=1),$BF$471,HLOOKUP(INDIRECT(ADDRESS(2,COLUMN())),OFFSET($BN$2,0,0,ROW()-1,60),ROW()-1,FALSE))</f>
        <v>2.699827709</v>
      </c>
      <c r="BG164">
        <f ca="1">IF(AND(ISNUMBER($BG$471),$B$294=1),$BG$471,HLOOKUP(INDIRECT(ADDRESS(2,COLUMN())),OFFSET($BN$2,0,0,ROW()-1,60),ROW()-1,FALSE))</f>
        <v>2.198809319</v>
      </c>
      <c r="BH164">
        <f ca="1">IF(AND(ISNUMBER($BH$471),$B$294=1),$BH$471,HLOOKUP(INDIRECT(ADDRESS(2,COLUMN())),OFFSET($BN$2,0,0,ROW()-1,60),ROW()-1,FALSE))</f>
        <v>2.4971691539999998</v>
      </c>
      <c r="BI164">
        <f ca="1">IF(AND(ISNUMBER($BI$471),$B$294=1),$BI$471,HLOOKUP(INDIRECT(ADDRESS(2,COLUMN())),OFFSET($BN$2,0,0,ROW()-1,60),ROW()-1,FALSE))</f>
        <v>2.5983272070000001</v>
      </c>
      <c r="BJ164">
        <f ca="1">IF(AND(ISNUMBER($BJ$471),$B$294=1),$BJ$471,HLOOKUP(INDIRECT(ADDRESS(2,COLUMN())),OFFSET($BN$2,0,0,ROW()-1,60),ROW()-1,FALSE))</f>
        <v>2.4141421790000002</v>
      </c>
      <c r="BK164">
        <f ca="1">IF(AND(ISNUMBER($BK$471),$B$294=1),$BK$471,HLOOKUP(INDIRECT(ADDRESS(2,COLUMN())),OFFSET($BN$2,0,0,ROW()-1,60),ROW()-1,FALSE))</f>
        <v>2.358792164</v>
      </c>
      <c r="BL164">
        <f ca="1">IF(AND(ISNUMBER($BL$471),$B$294=1),$BL$471,HLOOKUP(INDIRECT(ADDRESS(2,COLUMN())),OFFSET($BN$2,0,0,ROW()-1,60),ROW()-1,FALSE))</f>
        <v>3.5260049480000002</v>
      </c>
      <c r="BM164">
        <f ca="1">IF(AND(ISNUMBER($BM$471),$B$294=1),$BM$471,HLOOKUP(INDIRECT(ADDRESS(2,COLUMN())),OFFSET($BN$2,0,0,ROW()-1,60),ROW()-1,FALSE))</f>
        <v>2.5230731020000001</v>
      </c>
      <c r="BN164" t="str">
        <f>""</f>
        <v/>
      </c>
      <c r="BO164">
        <f>1.798796317</f>
        <v>1.7987963170000001</v>
      </c>
      <c r="BP164">
        <f>1.908874212</f>
        <v>1.908874212</v>
      </c>
      <c r="BQ164">
        <f>1.894889036</f>
        <v>1.8948890359999999</v>
      </c>
      <c r="BR164">
        <f>1.878912832</f>
        <v>1.8789128319999999</v>
      </c>
      <c r="BS164">
        <f>1.793139254</f>
        <v>1.793139254</v>
      </c>
      <c r="BT164">
        <f>1.971492842</f>
        <v>1.971492842</v>
      </c>
      <c r="BU164">
        <f>1.847879402</f>
        <v>1.847879402</v>
      </c>
      <c r="BV164">
        <f>1.722525534</f>
        <v>1.7225255340000001</v>
      </c>
      <c r="BW164">
        <f>1.766848116</f>
        <v>1.766848116</v>
      </c>
      <c r="BX164">
        <f>1.701694934</f>
        <v>1.701694934</v>
      </c>
      <c r="BY164">
        <f>1.814905228</f>
        <v>1.814905228</v>
      </c>
      <c r="BZ164">
        <f>1.873290694</f>
        <v>1.873290694</v>
      </c>
      <c r="CA164">
        <f>1.780787231</f>
        <v>1.7807872309999999</v>
      </c>
      <c r="CB164">
        <f>1.671105394</f>
        <v>1.671105394</v>
      </c>
      <c r="CC164">
        <f>1.659351238</f>
        <v>1.659351238</v>
      </c>
      <c r="CD164">
        <f>1.689849438</f>
        <v>1.689849438</v>
      </c>
      <c r="CE164">
        <f>1.65268028</f>
        <v>1.65268028</v>
      </c>
      <c r="CF164">
        <f>1.700910088</f>
        <v>1.7009100880000001</v>
      </c>
      <c r="CG164">
        <f>1.782782276</f>
        <v>1.7827822760000001</v>
      </c>
      <c r="CH164">
        <f>1.670109085</f>
        <v>1.670109085</v>
      </c>
      <c r="CI164">
        <f>2.668163671</f>
        <v>2.6681636709999998</v>
      </c>
      <c r="CJ164">
        <f>1.805083535</f>
        <v>1.8050835350000001</v>
      </c>
      <c r="CK164">
        <f>1.840277618</f>
        <v>1.840277618</v>
      </c>
      <c r="CL164">
        <f>1.89652396</f>
        <v>1.8965239599999999</v>
      </c>
      <c r="CM164">
        <f>2.09175682</f>
        <v>2.0917568200000001</v>
      </c>
      <c r="CN164">
        <f>1.923510494</f>
        <v>1.9235104940000001</v>
      </c>
      <c r="CO164">
        <f>1.941553529</f>
        <v>1.9415535289999999</v>
      </c>
      <c r="CP164">
        <f>2.035244796</f>
        <v>2.0352447960000002</v>
      </c>
      <c r="CQ164">
        <f>2.803168632</f>
        <v>2.8031686320000002</v>
      </c>
      <c r="CR164">
        <f>1.224394983</f>
        <v>1.224394983</v>
      </c>
      <c r="CS164">
        <f>1.909726263</f>
        <v>1.909726263</v>
      </c>
      <c r="CT164">
        <f>2.146206593</f>
        <v>2.1462065930000001</v>
      </c>
      <c r="CU164">
        <f>2.71645783</f>
        <v>2.71645783</v>
      </c>
      <c r="CV164">
        <f>2.257966119</f>
        <v>2.2579661190000002</v>
      </c>
      <c r="CW164">
        <f>2.37076741</f>
        <v>2.37076741</v>
      </c>
      <c r="CX164">
        <f>2.323234712</f>
        <v>2.3232347120000001</v>
      </c>
      <c r="CY164">
        <f>2.40483075</f>
        <v>2.4048307499999999</v>
      </c>
      <c r="CZ164">
        <f>2.662722804</f>
        <v>2.6627228039999999</v>
      </c>
      <c r="DA164">
        <f>2.250991525</f>
        <v>2.2509915249999999</v>
      </c>
      <c r="DB164">
        <f>2.439315325</f>
        <v>2.4393153249999999</v>
      </c>
      <c r="DC164">
        <f>1.513316496</f>
        <v>1.5133164960000001</v>
      </c>
      <c r="DD164">
        <f>2.351214569</f>
        <v>2.3512145690000001</v>
      </c>
      <c r="DE164">
        <f>2.316356055</f>
        <v>2.316356055</v>
      </c>
      <c r="DF164">
        <f>2.415042032</f>
        <v>2.4150420320000001</v>
      </c>
      <c r="DG164">
        <f>2.114089257</f>
        <v>2.1140892569999998</v>
      </c>
      <c r="DH164">
        <f>2.546428601</f>
        <v>2.5464286010000001</v>
      </c>
      <c r="DI164">
        <f>2.719153734</f>
        <v>2.7191537339999998</v>
      </c>
      <c r="DJ164">
        <f>2.761319165</f>
        <v>2.7613191650000002</v>
      </c>
      <c r="DK164">
        <f>1.269479855</f>
        <v>1.2694798549999999</v>
      </c>
      <c r="DL164">
        <f>1.695263918</f>
        <v>1.695263918</v>
      </c>
      <c r="DM164">
        <f>1.965351776</f>
        <v>1.9653517760000001</v>
      </c>
      <c r="DN164">
        <f>2.699827709</f>
        <v>2.699827709</v>
      </c>
      <c r="DO164">
        <f>2.198809319</f>
        <v>2.198809319</v>
      </c>
      <c r="DP164">
        <f>2.497169154</f>
        <v>2.4971691539999998</v>
      </c>
      <c r="DQ164">
        <f>2.598327207</f>
        <v>2.5983272070000001</v>
      </c>
      <c r="DR164">
        <f>2.414142179</f>
        <v>2.4141421790000002</v>
      </c>
      <c r="DS164">
        <f>2.358792164</f>
        <v>2.358792164</v>
      </c>
      <c r="DT164">
        <f>3.526004948</f>
        <v>3.5260049480000002</v>
      </c>
      <c r="DU164">
        <f>2.523073102</f>
        <v>2.5230731020000001</v>
      </c>
    </row>
    <row r="165" spans="1:125">
      <c r="A165" t="str">
        <f>"    Mack-Cali Realty Corp"</f>
        <v xml:space="preserve">    Mack-Cali Realty Corp</v>
      </c>
      <c r="B165" t="str">
        <f>"CLI US Equity"</f>
        <v>CLI US Equity</v>
      </c>
      <c r="C165" t="str">
        <f t="shared" si="42"/>
        <v>RR553</v>
      </c>
      <c r="D165" t="str">
        <f t="shared" si="43"/>
        <v>EBITDA_RE_ASSET</v>
      </c>
      <c r="E165" t="str">
        <f t="shared" si="44"/>
        <v>动态</v>
      </c>
      <c r="F165" t="str">
        <f ca="1">IF(AND(ISNUMBER($F$472),$B$294=1),$F$472,HLOOKUP(INDIRECT(ADDRESS(2,COLUMN())),OFFSET($BN$2,0,0,ROW()-1,60),ROW()-1,FALSE))</f>
        <v/>
      </c>
      <c r="G165">
        <f ca="1">IF(AND(ISNUMBER($G$472),$B$294=1),$G$472,HLOOKUP(INDIRECT(ADDRESS(2,COLUMN())),OFFSET($BN$2,0,0,ROW()-1,60),ROW()-1,FALSE))</f>
        <v>1.5803052500000001</v>
      </c>
      <c r="H165">
        <f ca="1">IF(AND(ISNUMBER($H$472),$B$294=1),$H$472,HLOOKUP(INDIRECT(ADDRESS(2,COLUMN())),OFFSET($BN$2,0,0,ROW()-1,60),ROW()-1,FALSE))</f>
        <v>1.8778028849999999</v>
      </c>
      <c r="I165">
        <f ca="1">IF(AND(ISNUMBER($I$472),$B$294=1),$I$472,HLOOKUP(INDIRECT(ADDRESS(2,COLUMN())),OFFSET($BN$2,0,0,ROW()-1,60),ROW()-1,FALSE))</f>
        <v>1.864428261</v>
      </c>
      <c r="J165">
        <f ca="1">IF(AND(ISNUMBER($J$472),$B$294=1),$J$472,HLOOKUP(INDIRECT(ADDRESS(2,COLUMN())),OFFSET($BN$2,0,0,ROW()-1,60),ROW()-1,FALSE))</f>
        <v>1.692776864</v>
      </c>
      <c r="K165">
        <f ca="1">IF(AND(ISNUMBER($K$472),$B$294=1),$K$472,HLOOKUP(INDIRECT(ADDRESS(2,COLUMN())),OFFSET($BN$2,0,0,ROW()-1,60),ROW()-1,FALSE))</f>
        <v>1.9543472500000001</v>
      </c>
      <c r="L165">
        <f ca="1">IF(AND(ISNUMBER($L$472),$B$294=1),$L$472,HLOOKUP(INDIRECT(ADDRESS(2,COLUMN())),OFFSET($BN$2,0,0,ROW()-1,60),ROW()-1,FALSE))</f>
        <v>1.9479814120000001</v>
      </c>
      <c r="M165">
        <f ca="1">IF(AND(ISNUMBER($M$472),$B$294=1),$M$472,HLOOKUP(INDIRECT(ADDRESS(2,COLUMN())),OFFSET($BN$2,0,0,ROW()-1,60),ROW()-1,FALSE))</f>
        <v>1.9099265299999999</v>
      </c>
      <c r="N165">
        <f ca="1">IF(AND(ISNUMBER($N$472),$B$294=1),$N$472,HLOOKUP(INDIRECT(ADDRESS(2,COLUMN())),OFFSET($BN$2,0,0,ROW()-1,60),ROW()-1,FALSE))</f>
        <v>1.9232067100000001</v>
      </c>
      <c r="O165">
        <f ca="1">IF(AND(ISNUMBER($O$472),$B$294=1),$O$472,HLOOKUP(INDIRECT(ADDRESS(2,COLUMN())),OFFSET($BN$2,0,0,ROW()-1,60),ROW()-1,FALSE))</f>
        <v>0.88581627200000002</v>
      </c>
      <c r="P165">
        <f ca="1">IF(AND(ISNUMBER($P$472),$B$294=1),$P$472,HLOOKUP(INDIRECT(ADDRESS(2,COLUMN())),OFFSET($BN$2,0,0,ROW()-1,60),ROW()-1,FALSE))</f>
        <v>-2.6542782030000001</v>
      </c>
      <c r="Q165">
        <f ca="1">IF(AND(ISNUMBER($Q$472),$B$294=1),$Q$472,HLOOKUP(INDIRECT(ADDRESS(2,COLUMN())),OFFSET($BN$2,0,0,ROW()-1,60),ROW()-1,FALSE))</f>
        <v>1.8811540010000001</v>
      </c>
      <c r="R165">
        <f ca="1">IF(AND(ISNUMBER($R$472),$B$294=1),$R$472,HLOOKUP(INDIRECT(ADDRESS(2,COLUMN())),OFFSET($BN$2,0,0,ROW()-1,60),ROW()-1,FALSE))</f>
        <v>1.7971268499999999</v>
      </c>
      <c r="S165">
        <f ca="1">IF(AND(ISNUMBER($S$472),$B$294=1),$S$472,HLOOKUP(INDIRECT(ADDRESS(2,COLUMN())),OFFSET($BN$2,0,0,ROW()-1,60),ROW()-1,FALSE))</f>
        <v>1.532702668</v>
      </c>
      <c r="T165">
        <f ca="1">IF(AND(ISNUMBER($T$472),$B$294=1),$T$472,HLOOKUP(INDIRECT(ADDRESS(2,COLUMN())),OFFSET($BN$2,0,0,ROW()-1,60),ROW()-1,FALSE))</f>
        <v>1.7564011719999999</v>
      </c>
      <c r="U165">
        <f ca="1">IF(AND(ISNUMBER($U$472),$B$294=1),$U$472,HLOOKUP(INDIRECT(ADDRESS(2,COLUMN())),OFFSET($BN$2,0,0,ROW()-1,60),ROW()-1,FALSE))</f>
        <v>2.0846424309999998</v>
      </c>
      <c r="V165">
        <f ca="1">IF(AND(ISNUMBER($V$472),$B$294=1),$V$472,HLOOKUP(INDIRECT(ADDRESS(2,COLUMN())),OFFSET($BN$2,0,0,ROW()-1,60),ROW()-1,FALSE))</f>
        <v>1.504904647</v>
      </c>
      <c r="W165">
        <f ca="1">IF(AND(ISNUMBER($W$472),$B$294=1),$W$472,HLOOKUP(INDIRECT(ADDRESS(2,COLUMN())),OFFSET($BN$2,0,0,ROW()-1,60),ROW()-1,FALSE))</f>
        <v>0.27012276499999999</v>
      </c>
      <c r="X165">
        <f ca="1">IF(AND(ISNUMBER($X$472),$B$294=1),$X$472,HLOOKUP(INDIRECT(ADDRESS(2,COLUMN())),OFFSET($BN$2,0,0,ROW()-1,60),ROW()-1,FALSE))</f>
        <v>0.80952634300000004</v>
      </c>
      <c r="Y165">
        <f ca="1">IF(AND(ISNUMBER($Y$472),$B$294=1),$Y$472,HLOOKUP(INDIRECT(ADDRESS(2,COLUMN())),OFFSET($BN$2,0,0,ROW()-1,60),ROW()-1,FALSE))</f>
        <v>2.1862311019999998</v>
      </c>
      <c r="Z165">
        <f ca="1">IF(AND(ISNUMBER($Z$472),$B$294=1),$Z$472,HLOOKUP(INDIRECT(ADDRESS(2,COLUMN())),OFFSET($BN$2,0,0,ROW()-1,60),ROW()-1,FALSE))</f>
        <v>2.068762762</v>
      </c>
      <c r="AA165">
        <f ca="1">IF(AND(ISNUMBER($AA$472),$B$294=1),$AA$472,HLOOKUP(INDIRECT(ADDRESS(2,COLUMN())),OFFSET($BN$2,0,0,ROW()-1,60),ROW()-1,FALSE))</f>
        <v>1.786380697</v>
      </c>
      <c r="AB165">
        <f ca="1">IF(AND(ISNUMBER($AB$472),$B$294=1),$AB$472,HLOOKUP(INDIRECT(ADDRESS(2,COLUMN())),OFFSET($BN$2,0,0,ROW()-1,60),ROW()-1,FALSE))</f>
        <v>2.221751088</v>
      </c>
      <c r="AC165">
        <f ca="1">IF(AND(ISNUMBER($AC$472),$B$294=1),$AC$472,HLOOKUP(INDIRECT(ADDRESS(2,COLUMN())),OFFSET($BN$2,0,0,ROW()-1,60),ROW()-1,FALSE))</f>
        <v>2.3825452550000001</v>
      </c>
      <c r="AD165">
        <f ca="1">IF(AND(ISNUMBER($AD$472),$B$294=1),$AD$472,HLOOKUP(INDIRECT(ADDRESS(2,COLUMN())),OFFSET($BN$2,0,0,ROW()-1,60),ROW()-1,FALSE))</f>
        <v>2.5843254550000001</v>
      </c>
      <c r="AE165">
        <f ca="1">IF(AND(ISNUMBER($AE$472),$B$294=1),$AE$472,HLOOKUP(INDIRECT(ADDRESS(2,COLUMN())),OFFSET($BN$2,0,0,ROW()-1,60),ROW()-1,FALSE))</f>
        <v>2.5213561549999999</v>
      </c>
      <c r="AF165">
        <f ca="1">IF(AND(ISNUMBER($AF$472),$B$294=1),$AF$472,HLOOKUP(INDIRECT(ADDRESS(2,COLUMN())),OFFSET($BN$2,0,0,ROW()-1,60),ROW()-1,FALSE))</f>
        <v>2.6915359190000001</v>
      </c>
      <c r="AG165">
        <f ca="1">IF(AND(ISNUMBER($AG$472),$B$294=1),$AG$472,HLOOKUP(INDIRECT(ADDRESS(2,COLUMN())),OFFSET($BN$2,0,0,ROW()-1,60),ROW()-1,FALSE))</f>
        <v>2.5112369760000002</v>
      </c>
      <c r="AH165">
        <f ca="1">IF(AND(ISNUMBER($AH$472),$B$294=1),$AH$472,HLOOKUP(INDIRECT(ADDRESS(2,COLUMN())),OFFSET($BN$2,0,0,ROW()-1,60),ROW()-1,FALSE))</f>
        <v>2.4576335789999999</v>
      </c>
      <c r="AI165">
        <f ca="1">IF(AND(ISNUMBER($AI$472),$B$294=1),$AI$472,HLOOKUP(INDIRECT(ADDRESS(2,COLUMN())),OFFSET($BN$2,0,0,ROW()-1,60),ROW()-1,FALSE))</f>
        <v>2.3420708440000002</v>
      </c>
      <c r="AJ165">
        <f ca="1">IF(AND(ISNUMBER($AJ$472),$B$294=1),$AJ$472,HLOOKUP(INDIRECT(ADDRESS(2,COLUMN())),OFFSET($BN$2,0,0,ROW()-1,60),ROW()-1,FALSE))</f>
        <v>2.5067605770000001</v>
      </c>
      <c r="AK165">
        <f ca="1">IF(AND(ISNUMBER($AK$472),$B$294=1),$AK$472,HLOOKUP(INDIRECT(ADDRESS(2,COLUMN())),OFFSET($BN$2,0,0,ROW()-1,60),ROW()-1,FALSE))</f>
        <v>2.5429776450000001</v>
      </c>
      <c r="AL165">
        <f ca="1">IF(AND(ISNUMBER($AL$472),$B$294=1),$AL$472,HLOOKUP(INDIRECT(ADDRESS(2,COLUMN())),OFFSET($BN$2,0,0,ROW()-1,60),ROW()-1,FALSE))</f>
        <v>2.59778989</v>
      </c>
      <c r="AM165">
        <f ca="1">IF(AND(ISNUMBER($AM$472),$B$294=1),$AM$472,HLOOKUP(INDIRECT(ADDRESS(2,COLUMN())),OFFSET($BN$2,0,0,ROW()-1,60),ROW()-1,FALSE))</f>
        <v>2.6482150779999998</v>
      </c>
      <c r="AN165">
        <f ca="1">IF(AND(ISNUMBER($AN$472),$B$294=1),$AN$472,HLOOKUP(INDIRECT(ADDRESS(2,COLUMN())),OFFSET($BN$2,0,0,ROW()-1,60),ROW()-1,FALSE))</f>
        <v>2.6128401459999999</v>
      </c>
      <c r="AO165">
        <f ca="1">IF(AND(ISNUMBER($AO$472),$B$294=1),$AO$472,HLOOKUP(INDIRECT(ADDRESS(2,COLUMN())),OFFSET($BN$2,0,0,ROW()-1,60),ROW()-1,FALSE))</f>
        <v>2.5796384890000001</v>
      </c>
      <c r="AP165">
        <f ca="1">IF(AND(ISNUMBER($AP$472),$B$294=1),$AP$472,HLOOKUP(INDIRECT(ADDRESS(2,COLUMN())),OFFSET($BN$2,0,0,ROW()-1,60),ROW()-1,FALSE))</f>
        <v>2.454367644</v>
      </c>
      <c r="AQ165">
        <f ca="1">IF(AND(ISNUMBER($AQ$472),$B$294=1),$AQ$472,HLOOKUP(INDIRECT(ADDRESS(2,COLUMN())),OFFSET($BN$2,0,0,ROW()-1,60),ROW()-1,FALSE))</f>
        <v>2.6463395150000002</v>
      </c>
      <c r="AR165">
        <f ca="1">IF(AND(ISNUMBER($AR$472),$B$294=1),$AR$472,HLOOKUP(INDIRECT(ADDRESS(2,COLUMN())),OFFSET($BN$2,0,0,ROW()-1,60),ROW()-1,FALSE))</f>
        <v>2.6276230329999999</v>
      </c>
      <c r="AS165">
        <f ca="1">IF(AND(ISNUMBER($AS$472),$B$294=1),$AS$472,HLOOKUP(INDIRECT(ADDRESS(2,COLUMN())),OFFSET($BN$2,0,0,ROW()-1,60),ROW()-1,FALSE))</f>
        <v>2.4107346139999999</v>
      </c>
      <c r="AT165">
        <f ca="1">IF(AND(ISNUMBER($AT$472),$B$294=1),$AT$472,HLOOKUP(INDIRECT(ADDRESS(2,COLUMN())),OFFSET($BN$2,0,0,ROW()-1,60),ROW()-1,FALSE))</f>
        <v>2.3959602759999998</v>
      </c>
      <c r="AU165">
        <f ca="1">IF(AND(ISNUMBER($AU$472),$B$294=1),$AU$472,HLOOKUP(INDIRECT(ADDRESS(2,COLUMN())),OFFSET($BN$2,0,0,ROW()-1,60),ROW()-1,FALSE))</f>
        <v>2.3547884090000002</v>
      </c>
      <c r="AV165">
        <f ca="1">IF(AND(ISNUMBER($AV$472),$B$294=1),$AV$472,HLOOKUP(INDIRECT(ADDRESS(2,COLUMN())),OFFSET($BN$2,0,0,ROW()-1,60),ROW()-1,FALSE))</f>
        <v>2.5520064589999998</v>
      </c>
      <c r="AW165">
        <f ca="1">IF(AND(ISNUMBER($AW$472),$B$294=1),$AW$472,HLOOKUP(INDIRECT(ADDRESS(2,COLUMN())),OFFSET($BN$2,0,0,ROW()-1,60),ROW()-1,FALSE))</f>
        <v>2.4113236680000001</v>
      </c>
      <c r="AX165">
        <f ca="1">IF(AND(ISNUMBER($AX$472),$B$294=1),$AX$472,HLOOKUP(INDIRECT(ADDRESS(2,COLUMN())),OFFSET($BN$2,0,0,ROW()-1,60),ROW()-1,FALSE))</f>
        <v>2.5054420249999998</v>
      </c>
      <c r="AY165">
        <f ca="1">IF(AND(ISNUMBER($AY$472),$B$294=1),$AY$472,HLOOKUP(INDIRECT(ADDRESS(2,COLUMN())),OFFSET($BN$2,0,0,ROW()-1,60),ROW()-1,FALSE))</f>
        <v>2.5384706239999999</v>
      </c>
      <c r="AZ165">
        <f ca="1">IF(AND(ISNUMBER($AZ$472),$B$294=1),$AZ$472,HLOOKUP(INDIRECT(ADDRESS(2,COLUMN())),OFFSET($BN$2,0,0,ROW()-1,60),ROW()-1,FALSE))</f>
        <v>2.358445863</v>
      </c>
      <c r="BA165">
        <f ca="1">IF(AND(ISNUMBER($BA$472),$B$294=1),$BA$472,HLOOKUP(INDIRECT(ADDRESS(2,COLUMN())),OFFSET($BN$2,0,0,ROW()-1,60),ROW()-1,FALSE))</f>
        <v>2.4354694870000002</v>
      </c>
      <c r="BB165">
        <f ca="1">IF(AND(ISNUMBER($BB$472),$B$294=1),$BB$472,HLOOKUP(INDIRECT(ADDRESS(2,COLUMN())),OFFSET($BN$2,0,0,ROW()-1,60),ROW()-1,FALSE))</f>
        <v>2.3474833949999998</v>
      </c>
      <c r="BC165">
        <f ca="1">IF(AND(ISNUMBER($BC$472),$B$294=1),$BC$472,HLOOKUP(INDIRECT(ADDRESS(2,COLUMN())),OFFSET($BN$2,0,0,ROW()-1,60),ROW()-1,FALSE))</f>
        <v>2.2515538080000002</v>
      </c>
      <c r="BD165">
        <f ca="1">IF(AND(ISNUMBER($BD$472),$B$294=1),$BD$472,HLOOKUP(INDIRECT(ADDRESS(2,COLUMN())),OFFSET($BN$2,0,0,ROW()-1,60),ROW()-1,FALSE))</f>
        <v>2.4698504209999999</v>
      </c>
      <c r="BE165">
        <f ca="1">IF(AND(ISNUMBER($BE$472),$B$294=1),$BE$472,HLOOKUP(INDIRECT(ADDRESS(2,COLUMN())),OFFSET($BN$2,0,0,ROW()-1,60),ROW()-1,FALSE))</f>
        <v>2.6352446889999999</v>
      </c>
      <c r="BF165">
        <f ca="1">IF(AND(ISNUMBER($BF$472),$B$294=1),$BF$472,HLOOKUP(INDIRECT(ADDRESS(2,COLUMN())),OFFSET($BN$2,0,0,ROW()-1,60),ROW()-1,FALSE))</f>
        <v>2.3969722990000002</v>
      </c>
      <c r="BG165">
        <f ca="1">IF(AND(ISNUMBER($BG$472),$B$294=1),$BG$472,HLOOKUP(INDIRECT(ADDRESS(2,COLUMN())),OFFSET($BN$2,0,0,ROW()-1,60),ROW()-1,FALSE))</f>
        <v>2.5083900290000001</v>
      </c>
      <c r="BH165">
        <f ca="1">IF(AND(ISNUMBER($BH$472),$B$294=1),$BH$472,HLOOKUP(INDIRECT(ADDRESS(2,COLUMN())),OFFSET($BN$2,0,0,ROW()-1,60),ROW()-1,FALSE))</f>
        <v>2.7528134899999999</v>
      </c>
      <c r="BI165">
        <f ca="1">IF(AND(ISNUMBER($BI$472),$B$294=1),$BI$472,HLOOKUP(INDIRECT(ADDRESS(2,COLUMN())),OFFSET($BN$2,0,0,ROW()-1,60),ROW()-1,FALSE))</f>
        <v>2.5616236030000001</v>
      </c>
      <c r="BJ165">
        <f ca="1">IF(AND(ISNUMBER($BJ$472),$B$294=1),$BJ$472,HLOOKUP(INDIRECT(ADDRESS(2,COLUMN())),OFFSET($BN$2,0,0,ROW()-1,60),ROW()-1,FALSE))</f>
        <v>2.6240711320000001</v>
      </c>
      <c r="BK165">
        <f ca="1">IF(AND(ISNUMBER($BK$472),$B$294=1),$BK$472,HLOOKUP(INDIRECT(ADDRESS(2,COLUMN())),OFFSET($BN$2,0,0,ROW()-1,60),ROW()-1,FALSE))</f>
        <v>2.61109335</v>
      </c>
      <c r="BL165">
        <f ca="1">IF(AND(ISNUMBER($BL$472),$B$294=1),$BL$472,HLOOKUP(INDIRECT(ADDRESS(2,COLUMN())),OFFSET($BN$2,0,0,ROW()-1,60),ROW()-1,FALSE))</f>
        <v>2.6415998100000002</v>
      </c>
      <c r="BM165">
        <f ca="1">IF(AND(ISNUMBER($BM$472),$B$294=1),$BM$472,HLOOKUP(INDIRECT(ADDRESS(2,COLUMN())),OFFSET($BN$2,0,0,ROW()-1,60),ROW()-1,FALSE))</f>
        <v>2.639870867</v>
      </c>
      <c r="BN165" t="str">
        <f>""</f>
        <v/>
      </c>
      <c r="BO165">
        <f>1.58030525</f>
        <v>1.5803052500000001</v>
      </c>
      <c r="BP165">
        <f>1.877802885</f>
        <v>1.8778028849999999</v>
      </c>
      <c r="BQ165">
        <f>1.864428261</f>
        <v>1.864428261</v>
      </c>
      <c r="BR165">
        <f>1.692776864</f>
        <v>1.692776864</v>
      </c>
      <c r="BS165">
        <f>1.95434725</f>
        <v>1.9543472500000001</v>
      </c>
      <c r="BT165">
        <f>1.947981412</f>
        <v>1.9479814120000001</v>
      </c>
      <c r="BU165">
        <f>1.90992653</f>
        <v>1.9099265299999999</v>
      </c>
      <c r="BV165">
        <f>1.92320671</f>
        <v>1.9232067100000001</v>
      </c>
      <c r="BW165">
        <f>0.885816272</f>
        <v>0.88581627200000002</v>
      </c>
      <c r="BX165">
        <f>-2.654278203</f>
        <v>-2.6542782030000001</v>
      </c>
      <c r="BY165">
        <f>1.881154001</f>
        <v>1.8811540010000001</v>
      </c>
      <c r="BZ165">
        <f>1.79712685</f>
        <v>1.7971268499999999</v>
      </c>
      <c r="CA165">
        <f>1.532702668</f>
        <v>1.532702668</v>
      </c>
      <c r="CB165">
        <f>1.756401172</f>
        <v>1.7564011719999999</v>
      </c>
      <c r="CC165">
        <f>2.084642431</f>
        <v>2.0846424309999998</v>
      </c>
      <c r="CD165">
        <f>1.504904647</f>
        <v>1.504904647</v>
      </c>
      <c r="CE165">
        <f>0.270122765</f>
        <v>0.27012276499999999</v>
      </c>
      <c r="CF165">
        <f>0.809526343</f>
        <v>0.80952634300000004</v>
      </c>
      <c r="CG165">
        <f>2.186231102</f>
        <v>2.1862311019999998</v>
      </c>
      <c r="CH165">
        <f>2.068762762</f>
        <v>2.068762762</v>
      </c>
      <c r="CI165">
        <f>1.786380697</f>
        <v>1.786380697</v>
      </c>
      <c r="CJ165">
        <f>2.221751088</f>
        <v>2.221751088</v>
      </c>
      <c r="CK165">
        <f>2.382545255</f>
        <v>2.3825452550000001</v>
      </c>
      <c r="CL165">
        <f>2.584325455</f>
        <v>2.5843254550000001</v>
      </c>
      <c r="CM165">
        <f>2.521356155</f>
        <v>2.5213561549999999</v>
      </c>
      <c r="CN165">
        <f>2.691535919</f>
        <v>2.6915359190000001</v>
      </c>
      <c r="CO165">
        <f>2.511236976</f>
        <v>2.5112369760000002</v>
      </c>
      <c r="CP165">
        <f>2.457633579</f>
        <v>2.4576335789999999</v>
      </c>
      <c r="CQ165">
        <f>2.342070844</f>
        <v>2.3420708440000002</v>
      </c>
      <c r="CR165">
        <f>2.506760577</f>
        <v>2.5067605770000001</v>
      </c>
      <c r="CS165">
        <f>2.542977645</f>
        <v>2.5429776450000001</v>
      </c>
      <c r="CT165">
        <f>2.59778989</f>
        <v>2.59778989</v>
      </c>
      <c r="CU165">
        <f>2.648215078</f>
        <v>2.6482150779999998</v>
      </c>
      <c r="CV165">
        <f>2.612840146</f>
        <v>2.6128401459999999</v>
      </c>
      <c r="CW165">
        <f>2.579638489</f>
        <v>2.5796384890000001</v>
      </c>
      <c r="CX165">
        <f>2.454367644</f>
        <v>2.454367644</v>
      </c>
      <c r="CY165">
        <f>2.646339515</f>
        <v>2.6463395150000002</v>
      </c>
      <c r="CZ165">
        <f>2.627623033</f>
        <v>2.6276230329999999</v>
      </c>
      <c r="DA165">
        <f>2.410734614</f>
        <v>2.4107346139999999</v>
      </c>
      <c r="DB165">
        <f>2.395960276</f>
        <v>2.3959602759999998</v>
      </c>
      <c r="DC165">
        <f>2.354788409</f>
        <v>2.3547884090000002</v>
      </c>
      <c r="DD165">
        <f>2.552006459</f>
        <v>2.5520064589999998</v>
      </c>
      <c r="DE165">
        <f>2.411323668</f>
        <v>2.4113236680000001</v>
      </c>
      <c r="DF165">
        <f>2.505442025</f>
        <v>2.5054420249999998</v>
      </c>
      <c r="DG165">
        <f>2.538470624</f>
        <v>2.5384706239999999</v>
      </c>
      <c r="DH165">
        <f>2.358445863</f>
        <v>2.358445863</v>
      </c>
      <c r="DI165">
        <f>2.435469487</f>
        <v>2.4354694870000002</v>
      </c>
      <c r="DJ165">
        <f>2.347483395</f>
        <v>2.3474833949999998</v>
      </c>
      <c r="DK165">
        <f>2.251553808</f>
        <v>2.2515538080000002</v>
      </c>
      <c r="DL165">
        <f>2.469850421</f>
        <v>2.4698504209999999</v>
      </c>
      <c r="DM165">
        <f>2.635244689</f>
        <v>2.6352446889999999</v>
      </c>
      <c r="DN165">
        <f>2.396972299</f>
        <v>2.3969722990000002</v>
      </c>
      <c r="DO165">
        <f>2.508390029</f>
        <v>2.5083900290000001</v>
      </c>
      <c r="DP165">
        <f>2.75281349</f>
        <v>2.7528134899999999</v>
      </c>
      <c r="DQ165">
        <f>2.561623603</f>
        <v>2.5616236030000001</v>
      </c>
      <c r="DR165">
        <f>2.624071132</f>
        <v>2.6240711320000001</v>
      </c>
      <c r="DS165">
        <f>2.61109335</f>
        <v>2.61109335</v>
      </c>
      <c r="DT165">
        <f>2.64159981</f>
        <v>2.6415998100000002</v>
      </c>
      <c r="DU165">
        <f>2.639870867</f>
        <v>2.639870867</v>
      </c>
    </row>
    <row r="166" spans="1:125">
      <c r="A166" t="str">
        <f>"    Piedmont Office Realty Trust I"</f>
        <v xml:space="preserve">    Piedmont Office Realty Trust I</v>
      </c>
      <c r="B166" t="str">
        <f>"PDM US Equity"</f>
        <v>PDM US Equity</v>
      </c>
      <c r="C166" t="str">
        <f t="shared" si="42"/>
        <v>RR553</v>
      </c>
      <c r="D166" t="str">
        <f t="shared" si="43"/>
        <v>EBITDA_RE_ASSET</v>
      </c>
      <c r="E166" t="str">
        <f t="shared" si="44"/>
        <v>动态</v>
      </c>
      <c r="F166" t="str">
        <f ca="1">IF(AND(ISNUMBER($F$473),$B$294=1),$F$473,HLOOKUP(INDIRECT(ADDRESS(2,COLUMN())),OFFSET($BN$2,0,0,ROW()-1,60),ROW()-1,FALSE))</f>
        <v/>
      </c>
      <c r="G166">
        <f ca="1">IF(AND(ISNUMBER($G$473),$B$294=1),$G$473,HLOOKUP(INDIRECT(ADDRESS(2,COLUMN())),OFFSET($BN$2,0,0,ROW()-1,60),ROW()-1,FALSE))</f>
        <v>0.89889556699999995</v>
      </c>
      <c r="H166">
        <f ca="1">IF(AND(ISNUMBER($H$473),$B$294=1),$H$473,HLOOKUP(INDIRECT(ADDRESS(2,COLUMN())),OFFSET($BN$2,0,0,ROW()-1,60),ROW()-1,FALSE))</f>
        <v>2.2965531690000001</v>
      </c>
      <c r="I166">
        <f ca="1">IF(AND(ISNUMBER($I$473),$B$294=1),$I$473,HLOOKUP(INDIRECT(ADDRESS(2,COLUMN())),OFFSET($BN$2,0,0,ROW()-1,60),ROW()-1,FALSE))</f>
        <v>2.3422344060000002</v>
      </c>
      <c r="J166">
        <f ca="1">IF(AND(ISNUMBER($J$473),$B$294=1),$J$473,HLOOKUP(INDIRECT(ADDRESS(2,COLUMN())),OFFSET($BN$2,0,0,ROW()-1,60),ROW()-1,FALSE))</f>
        <v>2.3163593900000001</v>
      </c>
      <c r="K166">
        <f ca="1">IF(AND(ISNUMBER($K$473),$B$294=1),$K$473,HLOOKUP(INDIRECT(ADDRESS(2,COLUMN())),OFFSET($BN$2,0,0,ROW()-1,60),ROW()-1,FALSE))</f>
        <v>2.2109949640000002</v>
      </c>
      <c r="L166">
        <f ca="1">IF(AND(ISNUMBER($L$473),$B$294=1),$L$473,HLOOKUP(INDIRECT(ADDRESS(2,COLUMN())),OFFSET($BN$2,0,0,ROW()-1,60),ROW()-1,FALSE))</f>
        <v>1.4810033819999999</v>
      </c>
      <c r="M166">
        <f ca="1">IF(AND(ISNUMBER($M$473),$B$294=1),$M$473,HLOOKUP(INDIRECT(ADDRESS(2,COLUMN())),OFFSET($BN$2,0,0,ROW()-1,60),ROW()-1,FALSE))</f>
        <v>1.7963288479999999</v>
      </c>
      <c r="N166">
        <f ca="1">IF(AND(ISNUMBER($N$473),$B$294=1),$N$473,HLOOKUP(INDIRECT(ADDRESS(2,COLUMN())),OFFSET($BN$2,0,0,ROW()-1,60),ROW()-1,FALSE))</f>
        <v>2.099368659</v>
      </c>
      <c r="O166">
        <f ca="1">IF(AND(ISNUMBER($O$473),$B$294=1),$O$473,HLOOKUP(INDIRECT(ADDRESS(2,COLUMN())),OFFSET($BN$2,0,0,ROW()-1,60),ROW()-1,FALSE))</f>
        <v>2.1041614360000001</v>
      </c>
      <c r="P166">
        <f ca="1">IF(AND(ISNUMBER($P$473),$B$294=1),$P$473,HLOOKUP(INDIRECT(ADDRESS(2,COLUMN())),OFFSET($BN$2,0,0,ROW()-1,60),ROW()-1,FALSE))</f>
        <v>1.1274209550000001</v>
      </c>
      <c r="Q166">
        <f ca="1">IF(AND(ISNUMBER($Q$473),$B$294=1),$Q$473,HLOOKUP(INDIRECT(ADDRESS(2,COLUMN())),OFFSET($BN$2,0,0,ROW()-1,60),ROW()-1,FALSE))</f>
        <v>1.8010226330000001</v>
      </c>
      <c r="R166">
        <f ca="1">IF(AND(ISNUMBER($R$473),$B$294=1),$R$473,HLOOKUP(INDIRECT(ADDRESS(2,COLUMN())),OFFSET($BN$2,0,0,ROW()-1,60),ROW()-1,FALSE))</f>
        <v>1.9648405309999999</v>
      </c>
      <c r="S166">
        <f ca="1">IF(AND(ISNUMBER($S$473),$B$294=1),$S$473,HLOOKUP(INDIRECT(ADDRESS(2,COLUMN())),OFFSET($BN$2,0,0,ROW()-1,60),ROW()-1,FALSE))</f>
        <v>1.9575534059999999</v>
      </c>
      <c r="T166">
        <f ca="1">IF(AND(ISNUMBER($T$473),$B$294=1),$T$473,HLOOKUP(INDIRECT(ADDRESS(2,COLUMN())),OFFSET($BN$2,0,0,ROW()-1,60),ROW()-1,FALSE))</f>
        <v>1.9644683119999999</v>
      </c>
      <c r="U166">
        <f ca="1">IF(AND(ISNUMBER($U$473),$B$294=1),$U$473,HLOOKUP(INDIRECT(ADDRESS(2,COLUMN())),OFFSET($BN$2,0,0,ROW()-1,60),ROW()-1,FALSE))</f>
        <v>1.8951652450000001</v>
      </c>
      <c r="V166">
        <f ca="1">IF(AND(ISNUMBER($V$473),$B$294=1),$V$473,HLOOKUP(INDIRECT(ADDRESS(2,COLUMN())),OFFSET($BN$2,0,0,ROW()-1,60),ROW()-1,FALSE))</f>
        <v>1.895807848</v>
      </c>
      <c r="W166">
        <f ca="1">IF(AND(ISNUMBER($W$473),$B$294=1),$W$473,HLOOKUP(INDIRECT(ADDRESS(2,COLUMN())),OFFSET($BN$2,0,0,ROW()-1,60),ROW()-1,FALSE))</f>
        <v>2.016909584</v>
      </c>
      <c r="X166">
        <f ca="1">IF(AND(ISNUMBER($X$473),$B$294=1),$X$473,HLOOKUP(INDIRECT(ADDRESS(2,COLUMN())),OFFSET($BN$2,0,0,ROW()-1,60),ROW()-1,FALSE))</f>
        <v>2.0743839469999998</v>
      </c>
      <c r="Y166">
        <f ca="1">IF(AND(ISNUMBER($Y$473),$B$294=1),$Y$473,HLOOKUP(INDIRECT(ADDRESS(2,COLUMN())),OFFSET($BN$2,0,0,ROW()-1,60),ROW()-1,FALSE))</f>
        <v>1.9586579369999999</v>
      </c>
      <c r="Z166">
        <f ca="1">IF(AND(ISNUMBER($Z$473),$B$294=1),$Z$473,HLOOKUP(INDIRECT(ADDRESS(2,COLUMN())),OFFSET($BN$2,0,0,ROW()-1,60),ROW()-1,FALSE))</f>
        <v>1.997395544</v>
      </c>
      <c r="AA166">
        <f ca="1">IF(AND(ISNUMBER($AA$473),$B$294=1),$AA$473,HLOOKUP(INDIRECT(ADDRESS(2,COLUMN())),OFFSET($BN$2,0,0,ROW()-1,60),ROW()-1,FALSE))</f>
        <v>1.8583043619999999</v>
      </c>
      <c r="AB166">
        <f ca="1">IF(AND(ISNUMBER($AB$473),$B$294=1),$AB$473,HLOOKUP(INDIRECT(ADDRESS(2,COLUMN())),OFFSET($BN$2,0,0,ROW()-1,60),ROW()-1,FALSE))</f>
        <v>2.8356111749999999</v>
      </c>
      <c r="AC166">
        <f ca="1">IF(AND(ISNUMBER($AC$473),$B$294=1),$AC$473,HLOOKUP(INDIRECT(ADDRESS(2,COLUMN())),OFFSET($BN$2,0,0,ROW()-1,60),ROW()-1,FALSE))</f>
        <v>2.6926021630000001</v>
      </c>
      <c r="AD166">
        <f ca="1">IF(AND(ISNUMBER($AD$473),$B$294=1),$AD$473,HLOOKUP(INDIRECT(ADDRESS(2,COLUMN())),OFFSET($BN$2,0,0,ROW()-1,60),ROW()-1,FALSE))</f>
        <v>2.6610898500000002</v>
      </c>
      <c r="AE166">
        <f ca="1">IF(AND(ISNUMBER($AE$473),$B$294=1),$AE$473,HLOOKUP(INDIRECT(ADDRESS(2,COLUMN())),OFFSET($BN$2,0,0,ROW()-1,60),ROW()-1,FALSE))</f>
        <v>2.024333167</v>
      </c>
      <c r="AF166">
        <f ca="1">IF(AND(ISNUMBER($AF$473),$B$294=1),$AF$473,HLOOKUP(INDIRECT(ADDRESS(2,COLUMN())),OFFSET($BN$2,0,0,ROW()-1,60),ROW()-1,FALSE))</f>
        <v>2.5780670620000001</v>
      </c>
      <c r="AG166">
        <f ca="1">IF(AND(ISNUMBER($AG$473),$B$294=1),$AG$473,HLOOKUP(INDIRECT(ADDRESS(2,COLUMN())),OFFSET($BN$2,0,0,ROW()-1,60),ROW()-1,FALSE))</f>
        <v>2.5693702869999999</v>
      </c>
      <c r="AH166">
        <f ca="1">IF(AND(ISNUMBER($AH$473),$B$294=1),$AH$473,HLOOKUP(INDIRECT(ADDRESS(2,COLUMN())),OFFSET($BN$2,0,0,ROW()-1,60),ROW()-1,FALSE))</f>
        <v>2.5947628200000001</v>
      </c>
      <c r="AI166">
        <f ca="1">IF(AND(ISNUMBER($AI$473),$B$294=1),$AI$473,HLOOKUP(INDIRECT(ADDRESS(2,COLUMN())),OFFSET($BN$2,0,0,ROW()-1,60),ROW()-1,FALSE))</f>
        <v>2.0895788999999998</v>
      </c>
      <c r="AJ166">
        <f ca="1">IF(AND(ISNUMBER($AJ$473),$B$294=1),$AJ$473,HLOOKUP(INDIRECT(ADDRESS(2,COLUMN())),OFFSET($BN$2,0,0,ROW()-1,60),ROW()-1,FALSE))</f>
        <v>2.3982152189999999</v>
      </c>
      <c r="AK166">
        <f ca="1">IF(AND(ISNUMBER($AK$473),$B$294=1),$AK$473,HLOOKUP(INDIRECT(ADDRESS(2,COLUMN())),OFFSET($BN$2,0,0,ROW()-1,60),ROW()-1,FALSE))</f>
        <v>2.6876794780000002</v>
      </c>
      <c r="AL166">
        <f ca="1">IF(AND(ISNUMBER($AL$473),$B$294=1),$AL$473,HLOOKUP(INDIRECT(ADDRESS(2,COLUMN())),OFFSET($BN$2,0,0,ROW()-1,60),ROW()-1,FALSE))</f>
        <v>2.7756273949999999</v>
      </c>
      <c r="AM166">
        <f ca="1">IF(AND(ISNUMBER($AM$473),$B$294=1),$AM$473,HLOOKUP(INDIRECT(ADDRESS(2,COLUMN())),OFFSET($BN$2,0,0,ROW()-1,60),ROW()-1,FALSE))</f>
        <v>2.2755817939999998</v>
      </c>
      <c r="AN166">
        <f ca="1">IF(AND(ISNUMBER($AN$473),$B$294=1),$AN$473,HLOOKUP(INDIRECT(ADDRESS(2,COLUMN())),OFFSET($BN$2,0,0,ROW()-1,60),ROW()-1,FALSE))</f>
        <v>1.616677296</v>
      </c>
      <c r="AO166">
        <f ca="1">IF(AND(ISNUMBER($AO$473),$B$294=1),$AO$473,HLOOKUP(INDIRECT(ADDRESS(2,COLUMN())),OFFSET($BN$2,0,0,ROW()-1,60),ROW()-1,FALSE))</f>
        <v>2.6675410980000001</v>
      </c>
      <c r="AP166">
        <f ca="1">IF(AND(ISNUMBER($AP$473),$B$294=1),$AP$473,HLOOKUP(INDIRECT(ADDRESS(2,COLUMN())),OFFSET($BN$2,0,0,ROW()-1,60),ROW()-1,FALSE))</f>
        <v>2.2257532740000001</v>
      </c>
      <c r="AQ166">
        <f ca="1">IF(AND(ISNUMBER($AQ$473),$B$294=1),$AQ$473,HLOOKUP(INDIRECT(ADDRESS(2,COLUMN())),OFFSET($BN$2,0,0,ROW()-1,60),ROW()-1,FALSE))</f>
        <v>2.3290168869999999</v>
      </c>
      <c r="AR166">
        <f ca="1">IF(AND(ISNUMBER($AR$473),$B$294=1),$AR$473,HLOOKUP(INDIRECT(ADDRESS(2,COLUMN())),OFFSET($BN$2,0,0,ROW()-1,60),ROW()-1,FALSE))</f>
        <v>2.4272533379999999</v>
      </c>
      <c r="AS166">
        <f ca="1">IF(AND(ISNUMBER($AS$473),$B$294=1),$AS$473,HLOOKUP(INDIRECT(ADDRESS(2,COLUMN())),OFFSET($BN$2,0,0,ROW()-1,60),ROW()-1,FALSE))</f>
        <v>2.5939288939999998</v>
      </c>
      <c r="AT166">
        <f ca="1">IF(AND(ISNUMBER($AT$473),$B$294=1),$AT$473,HLOOKUP(INDIRECT(ADDRESS(2,COLUMN())),OFFSET($BN$2,0,0,ROW()-1,60),ROW()-1,FALSE))</f>
        <v>2.4608392430000001</v>
      </c>
      <c r="AU166">
        <f ca="1">IF(AND(ISNUMBER($AU$473),$B$294=1),$AU$473,HLOOKUP(INDIRECT(ADDRESS(2,COLUMN())),OFFSET($BN$2,0,0,ROW()-1,60),ROW()-1,FALSE))</f>
        <v>2.343054183</v>
      </c>
      <c r="AV166">
        <f ca="1">IF(AND(ISNUMBER($AV$473),$B$294=1),$AV$473,HLOOKUP(INDIRECT(ADDRESS(2,COLUMN())),OFFSET($BN$2,0,0,ROW()-1,60),ROW()-1,FALSE))</f>
        <v>2.3001273270000002</v>
      </c>
      <c r="AW166">
        <f ca="1">IF(AND(ISNUMBER($AW$473),$B$294=1),$AW$473,HLOOKUP(INDIRECT(ADDRESS(2,COLUMN())),OFFSET($BN$2,0,0,ROW()-1,60),ROW()-1,FALSE))</f>
        <v>2.1909622080000002</v>
      </c>
      <c r="AX166">
        <f ca="1">IF(AND(ISNUMBER($AX$473),$B$294=1),$AX$473,HLOOKUP(INDIRECT(ADDRESS(2,COLUMN())),OFFSET($BN$2,0,0,ROW()-1,60),ROW()-1,FALSE))</f>
        <v>2.1990972320000002</v>
      </c>
      <c r="AY166">
        <f ca="1">IF(AND(ISNUMBER($AY$473),$B$294=1),$AY$473,HLOOKUP(INDIRECT(ADDRESS(2,COLUMN())),OFFSET($BN$2,0,0,ROW()-1,60),ROW()-1,FALSE))</f>
        <v>2.0179403159999998</v>
      </c>
      <c r="AZ166">
        <f ca="1">IF(AND(ISNUMBER($AZ$473),$B$294=1),$AZ$473,HLOOKUP(INDIRECT(ADDRESS(2,COLUMN())),OFFSET($BN$2,0,0,ROW()-1,60),ROW()-1,FALSE))</f>
        <v>2.3118264040000001</v>
      </c>
      <c r="BA166">
        <f ca="1">IF(AND(ISNUMBER($BA$473),$B$294=1),$BA$473,HLOOKUP(INDIRECT(ADDRESS(2,COLUMN())),OFFSET($BN$2,0,0,ROW()-1,60),ROW()-1,FALSE))</f>
        <v>2.0895459509999998</v>
      </c>
      <c r="BB166">
        <f ca="1">IF(AND(ISNUMBER($BB$473),$B$294=1),$BB$473,HLOOKUP(INDIRECT(ADDRESS(2,COLUMN())),OFFSET($BN$2,0,0,ROW()-1,60),ROW()-1,FALSE))</f>
        <v>2.1449602369999998</v>
      </c>
      <c r="BC166">
        <f ca="1">IF(AND(ISNUMBER($BC$473),$B$294=1),$BC$473,HLOOKUP(INDIRECT(ADDRESS(2,COLUMN())),OFFSET($BN$2,0,0,ROW()-1,60),ROW()-1,FALSE))</f>
        <v>1.9099813619999999</v>
      </c>
      <c r="BD166">
        <f ca="1">IF(AND(ISNUMBER($BD$473),$B$294=1),$BD$473,HLOOKUP(INDIRECT(ADDRESS(2,COLUMN())),OFFSET($BN$2,0,0,ROW()-1,60),ROW()-1,FALSE))</f>
        <v>2.0531207330000001</v>
      </c>
      <c r="BE166">
        <f ca="1">IF(AND(ISNUMBER($BE$473),$B$294=1),$BE$473,HLOOKUP(INDIRECT(ADDRESS(2,COLUMN())),OFFSET($BN$2,0,0,ROW()-1,60),ROW()-1,FALSE))</f>
        <v>2.6456633030000001</v>
      </c>
      <c r="BF166">
        <f ca="1">IF(AND(ISNUMBER($BF$473),$B$294=1),$BF$473,HLOOKUP(INDIRECT(ADDRESS(2,COLUMN())),OFFSET($BN$2,0,0,ROW()-1,60),ROW()-1,FALSE))</f>
        <v>1.673159399</v>
      </c>
      <c r="BG166">
        <f ca="1">IF(AND(ISNUMBER($BG$473),$B$294=1),$BG$473,HLOOKUP(INDIRECT(ADDRESS(2,COLUMN())),OFFSET($BN$2,0,0,ROW()-1,60),ROW()-1,FALSE))</f>
        <v>2.1287233059999999</v>
      </c>
      <c r="BH166">
        <f ca="1">IF(AND(ISNUMBER($BH$473),$B$294=1),$BH$473,HLOOKUP(INDIRECT(ADDRESS(2,COLUMN())),OFFSET($BN$2,0,0,ROW()-1,60),ROW()-1,FALSE))</f>
        <v>1.6522127470000001</v>
      </c>
      <c r="BI166">
        <f ca="1">IF(AND(ISNUMBER($BI$473),$B$294=1),$BI$473,HLOOKUP(INDIRECT(ADDRESS(2,COLUMN())),OFFSET($BN$2,0,0,ROW()-1,60),ROW()-1,FALSE))</f>
        <v>2.4249081549999998</v>
      </c>
      <c r="BJ166">
        <f ca="1">IF(AND(ISNUMBER($BJ$473),$B$294=1),$BJ$473,HLOOKUP(INDIRECT(ADDRESS(2,COLUMN())),OFFSET($BN$2,0,0,ROW()-1,60),ROW()-1,FALSE))</f>
        <v>1.8430498749999999</v>
      </c>
      <c r="BK166">
        <f ca="1">IF(AND(ISNUMBER($BK$473),$B$294=1),$BK$473,HLOOKUP(INDIRECT(ADDRESS(2,COLUMN())),OFFSET($BN$2,0,0,ROW()-1,60),ROW()-1,FALSE))</f>
        <v>1.607942151</v>
      </c>
      <c r="BL166">
        <f ca="1">IF(AND(ISNUMBER($BL$473),$B$294=1),$BL$473,HLOOKUP(INDIRECT(ADDRESS(2,COLUMN())),OFFSET($BN$2,0,0,ROW()-1,60),ROW()-1,FALSE))</f>
        <v>1.920359642</v>
      </c>
      <c r="BM166">
        <f ca="1">IF(AND(ISNUMBER($BM$473),$B$294=1),$BM$473,HLOOKUP(INDIRECT(ADDRESS(2,COLUMN())),OFFSET($BN$2,0,0,ROW()-1,60),ROW()-1,FALSE))</f>
        <v>1.879761249</v>
      </c>
      <c r="BN166" t="str">
        <f>""</f>
        <v/>
      </c>
      <c r="BO166">
        <f>0.898895567</f>
        <v>0.89889556699999995</v>
      </c>
      <c r="BP166">
        <f>2.296553169</f>
        <v>2.2965531690000001</v>
      </c>
      <c r="BQ166">
        <f>2.342234406</f>
        <v>2.3422344060000002</v>
      </c>
      <c r="BR166">
        <f>2.31635939</f>
        <v>2.3163593900000001</v>
      </c>
      <c r="BS166">
        <f>2.210994964</f>
        <v>2.2109949640000002</v>
      </c>
      <c r="BT166">
        <f>1.481003382</f>
        <v>1.4810033819999999</v>
      </c>
      <c r="BU166">
        <f>1.796328848</f>
        <v>1.7963288479999999</v>
      </c>
      <c r="BV166">
        <f>2.099368659</f>
        <v>2.099368659</v>
      </c>
      <c r="BW166">
        <f>2.104161436</f>
        <v>2.1041614360000001</v>
      </c>
      <c r="BX166">
        <f>1.127420955</f>
        <v>1.1274209550000001</v>
      </c>
      <c r="BY166">
        <f>1.801022633</f>
        <v>1.8010226330000001</v>
      </c>
      <c r="BZ166">
        <f>1.964840531</f>
        <v>1.9648405309999999</v>
      </c>
      <c r="CA166">
        <f>1.957553406</f>
        <v>1.9575534059999999</v>
      </c>
      <c r="CB166">
        <f>1.964468312</f>
        <v>1.9644683119999999</v>
      </c>
      <c r="CC166">
        <f>1.895165245</f>
        <v>1.8951652450000001</v>
      </c>
      <c r="CD166">
        <f>1.895807848</f>
        <v>1.895807848</v>
      </c>
      <c r="CE166">
        <f>2.016909584</f>
        <v>2.016909584</v>
      </c>
      <c r="CF166">
        <f>2.074383947</f>
        <v>2.0743839469999998</v>
      </c>
      <c r="CG166">
        <f>1.958657937</f>
        <v>1.9586579369999999</v>
      </c>
      <c r="CH166">
        <f>1.997395544</f>
        <v>1.997395544</v>
      </c>
      <c r="CI166">
        <f>1.858304362</f>
        <v>1.8583043619999999</v>
      </c>
      <c r="CJ166">
        <f>2.835611175</f>
        <v>2.8356111749999999</v>
      </c>
      <c r="CK166">
        <f>2.692602163</f>
        <v>2.6926021630000001</v>
      </c>
      <c r="CL166">
        <f>2.66108985</f>
        <v>2.6610898500000002</v>
      </c>
      <c r="CM166">
        <f>2.024333167</f>
        <v>2.024333167</v>
      </c>
      <c r="CN166">
        <f>2.578067062</f>
        <v>2.5780670620000001</v>
      </c>
      <c r="CO166">
        <f>2.569370287</f>
        <v>2.5693702869999999</v>
      </c>
      <c r="CP166">
        <f>2.59476282</f>
        <v>2.5947628200000001</v>
      </c>
      <c r="CQ166">
        <f>2.0895789</f>
        <v>2.0895788999999998</v>
      </c>
      <c r="CR166">
        <f>2.398215219</f>
        <v>2.3982152189999999</v>
      </c>
      <c r="CS166">
        <f>2.687679478</f>
        <v>2.6876794780000002</v>
      </c>
      <c r="CT166">
        <f>2.775627395</f>
        <v>2.7756273949999999</v>
      </c>
      <c r="CU166">
        <f>2.275581794</f>
        <v>2.2755817939999998</v>
      </c>
      <c r="CV166">
        <f>1.616677296</f>
        <v>1.616677296</v>
      </c>
      <c r="CW166">
        <f>2.667541098</f>
        <v>2.6675410980000001</v>
      </c>
      <c r="CX166">
        <f>2.225753274</f>
        <v>2.2257532740000001</v>
      </c>
      <c r="CY166">
        <f>2.329016887</f>
        <v>2.3290168869999999</v>
      </c>
      <c r="CZ166">
        <f>2.427253338</f>
        <v>2.4272533379999999</v>
      </c>
      <c r="DA166">
        <f>2.593928894</f>
        <v>2.5939288939999998</v>
      </c>
      <c r="DB166">
        <f>2.460839243</f>
        <v>2.4608392430000001</v>
      </c>
      <c r="DC166">
        <f>2.343054183</f>
        <v>2.343054183</v>
      </c>
      <c r="DD166">
        <f>2.300127327</f>
        <v>2.3001273270000002</v>
      </c>
      <c r="DE166">
        <f>2.190962208</f>
        <v>2.1909622080000002</v>
      </c>
      <c r="DF166">
        <f>2.199097232</f>
        <v>2.1990972320000002</v>
      </c>
      <c r="DG166">
        <f>2.017940316</f>
        <v>2.0179403159999998</v>
      </c>
      <c r="DH166">
        <f>2.311826404</f>
        <v>2.3118264040000001</v>
      </c>
      <c r="DI166">
        <f>2.089545951</f>
        <v>2.0895459509999998</v>
      </c>
      <c r="DJ166">
        <f>2.144960237</f>
        <v>2.1449602369999998</v>
      </c>
      <c r="DK166">
        <f>1.909981362</f>
        <v>1.9099813619999999</v>
      </c>
      <c r="DL166">
        <f>2.053120733</f>
        <v>2.0531207330000001</v>
      </c>
      <c r="DM166">
        <f>2.645663303</f>
        <v>2.6456633030000001</v>
      </c>
      <c r="DN166">
        <f>1.673159399</f>
        <v>1.673159399</v>
      </c>
      <c r="DO166">
        <f>2.128723306</f>
        <v>2.1287233059999999</v>
      </c>
      <c r="DP166">
        <f>1.652212747</f>
        <v>1.6522127470000001</v>
      </c>
      <c r="DQ166">
        <f>2.424908155</f>
        <v>2.4249081549999998</v>
      </c>
      <c r="DR166">
        <f>1.843049875</f>
        <v>1.8430498749999999</v>
      </c>
      <c r="DS166">
        <f>1.607942151</f>
        <v>1.607942151</v>
      </c>
      <c r="DT166">
        <f>1.920359642</f>
        <v>1.920359642</v>
      </c>
      <c r="DU166">
        <f>1.879761249</f>
        <v>1.879761249</v>
      </c>
    </row>
    <row r="167" spans="1:125">
      <c r="A167" t="str">
        <f>"    SL Green Realty Corp"</f>
        <v xml:space="preserve">    SL Green Realty Corp</v>
      </c>
      <c r="B167" t="str">
        <f>"SLG US Equity"</f>
        <v>SLG US Equity</v>
      </c>
      <c r="C167" t="str">
        <f t="shared" si="42"/>
        <v>RR553</v>
      </c>
      <c r="D167" t="str">
        <f t="shared" si="43"/>
        <v>EBITDA_RE_ASSET</v>
      </c>
      <c r="E167" t="str">
        <f t="shared" si="44"/>
        <v>动态</v>
      </c>
      <c r="F167" t="str">
        <f ca="1">IF(AND(ISNUMBER($F$474),$B$294=1),$F$474,HLOOKUP(INDIRECT(ADDRESS(2,COLUMN())),OFFSET($BN$2,0,0,ROW()-1,60),ROW()-1,FALSE))</f>
        <v/>
      </c>
      <c r="G167">
        <f ca="1">IF(AND(ISNUMBER($G$474),$B$294=1),$G$474,HLOOKUP(INDIRECT(ADDRESS(2,COLUMN())),OFFSET($BN$2,0,0,ROW()-1,60),ROW()-1,FALSE))</f>
        <v>1.6245208360000001</v>
      </c>
      <c r="H167">
        <f ca="1">IF(AND(ISNUMBER($H$474),$B$294=1),$H$474,HLOOKUP(INDIRECT(ADDRESS(2,COLUMN())),OFFSET($BN$2,0,0,ROW()-1,60),ROW()-1,FALSE))</f>
        <v>1.5277613430000001</v>
      </c>
      <c r="I167">
        <f ca="1">IF(AND(ISNUMBER($I$474),$B$294=1),$I$474,HLOOKUP(INDIRECT(ADDRESS(2,COLUMN())),OFFSET($BN$2,0,0,ROW()-1,60),ROW()-1,FALSE))</f>
        <v>1.729878056</v>
      </c>
      <c r="J167">
        <f ca="1">IF(AND(ISNUMBER($J$474),$B$294=1),$J$474,HLOOKUP(INDIRECT(ADDRESS(2,COLUMN())),OFFSET($BN$2,0,0,ROW()-1,60),ROW()-1,FALSE))</f>
        <v>1.5421023250000001</v>
      </c>
      <c r="K167">
        <f ca="1">IF(AND(ISNUMBER($K$474),$B$294=1),$K$474,HLOOKUP(INDIRECT(ADDRESS(2,COLUMN())),OFFSET($BN$2,0,0,ROW()-1,60),ROW()-1,FALSE))</f>
        <v>1.4557895949999999</v>
      </c>
      <c r="L167">
        <f ca="1">IF(AND(ISNUMBER($L$474),$B$294=1),$L$474,HLOOKUP(INDIRECT(ADDRESS(2,COLUMN())),OFFSET($BN$2,0,0,ROW()-1,60),ROW()-1,FALSE))</f>
        <v>1.758911924</v>
      </c>
      <c r="M167">
        <f ca="1">IF(AND(ISNUMBER($M$474),$B$294=1),$M$474,HLOOKUP(INDIRECT(ADDRESS(2,COLUMN())),OFFSET($BN$2,0,0,ROW()-1,60),ROW()-1,FALSE))</f>
        <v>2.9642523449999998</v>
      </c>
      <c r="N167">
        <f ca="1">IF(AND(ISNUMBER($N$474),$B$294=1),$N$474,HLOOKUP(INDIRECT(ADDRESS(2,COLUMN())),OFFSET($BN$2,0,0,ROW()-1,60),ROW()-1,FALSE))</f>
        <v>1.8794433269999999</v>
      </c>
      <c r="O167">
        <f ca="1">IF(AND(ISNUMBER($O$474),$B$294=1),$O$474,HLOOKUP(INDIRECT(ADDRESS(2,COLUMN())),OFFSET($BN$2,0,0,ROW()-1,60),ROW()-1,FALSE))</f>
        <v>1.5136463040000001</v>
      </c>
      <c r="P167">
        <f ca="1">IF(AND(ISNUMBER($P$474),$B$294=1),$P$474,HLOOKUP(INDIRECT(ADDRESS(2,COLUMN())),OFFSET($BN$2,0,0,ROW()-1,60),ROW()-1,FALSE))</f>
        <v>1.5410962029999999</v>
      </c>
      <c r="Q167">
        <f ca="1">IF(AND(ISNUMBER($Q$474),$B$294=1),$Q$474,HLOOKUP(INDIRECT(ADDRESS(2,COLUMN())),OFFSET($BN$2,0,0,ROW()-1,60),ROW()-1,FALSE))</f>
        <v>1.7569775059999999</v>
      </c>
      <c r="R167">
        <f ca="1">IF(AND(ISNUMBER($R$474),$B$294=1),$R$474,HLOOKUP(INDIRECT(ADDRESS(2,COLUMN())),OFFSET($BN$2,0,0,ROW()-1,60),ROW()-1,FALSE))</f>
        <v>1.5922864839999999</v>
      </c>
      <c r="S167">
        <f ca="1">IF(AND(ISNUMBER($S$474),$B$294=1),$S$474,HLOOKUP(INDIRECT(ADDRESS(2,COLUMN())),OFFSET($BN$2,0,0,ROW()-1,60),ROW()-1,FALSE))</f>
        <v>1.567759481</v>
      </c>
      <c r="T167">
        <f ca="1">IF(AND(ISNUMBER($T$474),$B$294=1),$T$474,HLOOKUP(INDIRECT(ADDRESS(2,COLUMN())),OFFSET($BN$2,0,0,ROW()-1,60),ROW()-1,FALSE))</f>
        <v>1.6282449429999999</v>
      </c>
      <c r="U167">
        <f ca="1">IF(AND(ISNUMBER($U$474),$B$294=1),$U$474,HLOOKUP(INDIRECT(ADDRESS(2,COLUMN())),OFFSET($BN$2,0,0,ROW()-1,60),ROW()-1,FALSE))</f>
        <v>1.6100049890000001</v>
      </c>
      <c r="V167">
        <f ca="1">IF(AND(ISNUMBER($V$474),$B$294=1),$V$474,HLOOKUP(INDIRECT(ADDRESS(2,COLUMN())),OFFSET($BN$2,0,0,ROW()-1,60),ROW()-1,FALSE))</f>
        <v>1.6252316440000001</v>
      </c>
      <c r="W167">
        <f ca="1">IF(AND(ISNUMBER($W$474),$B$294=1),$W$474,HLOOKUP(INDIRECT(ADDRESS(2,COLUMN())),OFFSET($BN$2,0,0,ROW()-1,60),ROW()-1,FALSE))</f>
        <v>1.52273109</v>
      </c>
      <c r="X167">
        <f ca="1">IF(AND(ISNUMBER($X$474),$B$294=1),$X$474,HLOOKUP(INDIRECT(ADDRESS(2,COLUMN())),OFFSET($BN$2,0,0,ROW()-1,60),ROW()-1,FALSE))</f>
        <v>1.5384873729999999</v>
      </c>
      <c r="Y167">
        <f ca="1">IF(AND(ISNUMBER($Y$474),$B$294=1),$Y$474,HLOOKUP(INDIRECT(ADDRESS(2,COLUMN())),OFFSET($BN$2,0,0,ROW()-1,60),ROW()-1,FALSE))</f>
        <v>1.6734297849999999</v>
      </c>
      <c r="Z167">
        <f ca="1">IF(AND(ISNUMBER($Z$474),$B$294=1),$Z$474,HLOOKUP(INDIRECT(ADDRESS(2,COLUMN())),OFFSET($BN$2,0,0,ROW()-1,60),ROW()-1,FALSE))</f>
        <v>1.6603120520000001</v>
      </c>
      <c r="AA167">
        <f ca="1">IF(AND(ISNUMBER($AA$474),$B$294=1),$AA$474,HLOOKUP(INDIRECT(ADDRESS(2,COLUMN())),OFFSET($BN$2,0,0,ROW()-1,60),ROW()-1,FALSE))</f>
        <v>1.571606128</v>
      </c>
      <c r="AB167">
        <f ca="1">IF(AND(ISNUMBER($AB$474),$B$294=1),$AB$474,HLOOKUP(INDIRECT(ADDRESS(2,COLUMN())),OFFSET($BN$2,0,0,ROW()-1,60),ROW()-1,FALSE))</f>
        <v>1.5767592269999999</v>
      </c>
      <c r="AC167">
        <f ca="1">IF(AND(ISNUMBER($AC$474),$B$294=1),$AC$474,HLOOKUP(INDIRECT(ADDRESS(2,COLUMN())),OFFSET($BN$2,0,0,ROW()-1,60),ROW()-1,FALSE))</f>
        <v>1.6212966390000001</v>
      </c>
      <c r="AD167">
        <f ca="1">IF(AND(ISNUMBER($AD$474),$B$294=1),$AD$474,HLOOKUP(INDIRECT(ADDRESS(2,COLUMN())),OFFSET($BN$2,0,0,ROW()-1,60),ROW()-1,FALSE))</f>
        <v>1.541080553</v>
      </c>
      <c r="AE167">
        <f ca="1">IF(AND(ISNUMBER($AE$474),$B$294=1),$AE$474,HLOOKUP(INDIRECT(ADDRESS(2,COLUMN())),OFFSET($BN$2,0,0,ROW()-1,60),ROW()-1,FALSE))</f>
        <v>1.5003419140000001</v>
      </c>
      <c r="AF167">
        <f ca="1">IF(AND(ISNUMBER($AF$474),$B$294=1),$AF$474,HLOOKUP(INDIRECT(ADDRESS(2,COLUMN())),OFFSET($BN$2,0,0,ROW()-1,60),ROW()-1,FALSE))</f>
        <v>1.477434001</v>
      </c>
      <c r="AG167">
        <f ca="1">IF(AND(ISNUMBER($AG$474),$B$294=1),$AG$474,HLOOKUP(INDIRECT(ADDRESS(2,COLUMN())),OFFSET($BN$2,0,0,ROW()-1,60),ROW()-1,FALSE))</f>
        <v>1.4656907189999999</v>
      </c>
      <c r="AH167">
        <f ca="1">IF(AND(ISNUMBER($AH$474),$B$294=1),$AH$474,HLOOKUP(INDIRECT(ADDRESS(2,COLUMN())),OFFSET($BN$2,0,0,ROW()-1,60),ROW()-1,FALSE))</f>
        <v>2.0492928770000001</v>
      </c>
      <c r="AI167">
        <f ca="1">IF(AND(ISNUMBER($AI$474),$B$294=1),$AI$474,HLOOKUP(INDIRECT(ADDRESS(2,COLUMN())),OFFSET($BN$2,0,0,ROW()-1,60),ROW()-1,FALSE))</f>
        <v>1.518146996</v>
      </c>
      <c r="AJ167">
        <f ca="1">IF(AND(ISNUMBER($AJ$474),$B$294=1),$AJ$474,HLOOKUP(INDIRECT(ADDRESS(2,COLUMN())),OFFSET($BN$2,0,0,ROW()-1,60),ROW()-1,FALSE))</f>
        <v>2.1085052819999999</v>
      </c>
      <c r="AK167">
        <f ca="1">IF(AND(ISNUMBER($AK$474),$B$294=1),$AK$474,HLOOKUP(INDIRECT(ADDRESS(2,COLUMN())),OFFSET($BN$2,0,0,ROW()-1,60),ROW()-1,FALSE))</f>
        <v>1.4195816459999999</v>
      </c>
      <c r="AL167">
        <f ca="1">IF(AND(ISNUMBER($AL$474),$B$294=1),$AL$474,HLOOKUP(INDIRECT(ADDRESS(2,COLUMN())),OFFSET($BN$2,0,0,ROW()-1,60),ROW()-1,FALSE))</f>
        <v>1.3552124480000001</v>
      </c>
      <c r="AM167">
        <f ca="1">IF(AND(ISNUMBER($AM$474),$B$294=1),$AM$474,HLOOKUP(INDIRECT(ADDRESS(2,COLUMN())),OFFSET($BN$2,0,0,ROW()-1,60),ROW()-1,FALSE))</f>
        <v>1.1135196329999999</v>
      </c>
      <c r="AN167">
        <f ca="1">IF(AND(ISNUMBER($AN$474),$B$294=1),$AN$474,HLOOKUP(INDIRECT(ADDRESS(2,COLUMN())),OFFSET($BN$2,0,0,ROW()-1,60),ROW()-1,FALSE))</f>
        <v>1.295581622</v>
      </c>
      <c r="AO167">
        <f ca="1">IF(AND(ISNUMBER($AO$474),$B$294=1),$AO$474,HLOOKUP(INDIRECT(ADDRESS(2,COLUMN())),OFFSET($BN$2,0,0,ROW()-1,60),ROW()-1,FALSE))</f>
        <v>1.020428675</v>
      </c>
      <c r="AP167">
        <f ca="1">IF(AND(ISNUMBER($AP$474),$B$294=1),$AP$474,HLOOKUP(INDIRECT(ADDRESS(2,COLUMN())),OFFSET($BN$2,0,0,ROW()-1,60),ROW()-1,FALSE))</f>
        <v>0.91613250999999996</v>
      </c>
      <c r="AQ167">
        <f ca="1">IF(AND(ISNUMBER($AQ$474),$B$294=1),$AQ$474,HLOOKUP(INDIRECT(ADDRESS(2,COLUMN())),OFFSET($BN$2,0,0,ROW()-1,60),ROW()-1,FALSE))</f>
        <v>0.40629218</v>
      </c>
      <c r="AR167">
        <f ca="1">IF(AND(ISNUMBER($AR$474),$B$294=1),$AR$474,HLOOKUP(INDIRECT(ADDRESS(2,COLUMN())),OFFSET($BN$2,0,0,ROW()-1,60),ROW()-1,FALSE))</f>
        <v>1.44449641</v>
      </c>
      <c r="AS167">
        <f ca="1">IF(AND(ISNUMBER($AS$474),$B$294=1),$AS$474,HLOOKUP(INDIRECT(ADDRESS(2,COLUMN())),OFFSET($BN$2,0,0,ROW()-1,60),ROW()-1,FALSE))</f>
        <v>1.640493142</v>
      </c>
      <c r="AT167">
        <f ca="1">IF(AND(ISNUMBER($AT$474),$B$294=1),$AT$474,HLOOKUP(INDIRECT(ADDRESS(2,COLUMN())),OFFSET($BN$2,0,0,ROW()-1,60),ROW()-1,FALSE))</f>
        <v>1.3219150820000001</v>
      </c>
      <c r="AU167">
        <f ca="1">IF(AND(ISNUMBER($AU$474),$B$294=1),$AU$474,HLOOKUP(INDIRECT(ADDRESS(2,COLUMN())),OFFSET($BN$2,0,0,ROW()-1,60),ROW()-1,FALSE))</f>
        <v>1.3256553310000001</v>
      </c>
      <c r="AV167">
        <f ca="1">IF(AND(ISNUMBER($AV$474),$B$294=1),$AV$474,HLOOKUP(INDIRECT(ADDRESS(2,COLUMN())),OFFSET($BN$2,0,0,ROW()-1,60),ROW()-1,FALSE))</f>
        <v>1.3585946090000001</v>
      </c>
      <c r="AW167">
        <f ca="1">IF(AND(ISNUMBER($AW$474),$B$294=1),$AW$474,HLOOKUP(INDIRECT(ADDRESS(2,COLUMN())),OFFSET($BN$2,0,0,ROW()-1,60),ROW()-1,FALSE))</f>
        <v>1.6427175759999999</v>
      </c>
      <c r="AX167">
        <f ca="1">IF(AND(ISNUMBER($AX$474),$B$294=1),$AX$474,HLOOKUP(INDIRECT(ADDRESS(2,COLUMN())),OFFSET($BN$2,0,0,ROW()-1,60),ROW()-1,FALSE))</f>
        <v>2.073117232</v>
      </c>
      <c r="AY167">
        <f ca="1">IF(AND(ISNUMBER($AY$474),$B$294=1),$AY$474,HLOOKUP(INDIRECT(ADDRESS(2,COLUMN())),OFFSET($BN$2,0,0,ROW()-1,60),ROW()-1,FALSE))</f>
        <v>1.97045268</v>
      </c>
      <c r="AZ167">
        <f ca="1">IF(AND(ISNUMBER($AZ$474),$B$294=1),$AZ$474,HLOOKUP(INDIRECT(ADDRESS(2,COLUMN())),OFFSET($BN$2,0,0,ROW()-1,60),ROW()-1,FALSE))</f>
        <v>1.9069291989999999</v>
      </c>
      <c r="BA167">
        <f ca="1">IF(AND(ISNUMBER($BA$474),$B$294=1),$BA$474,HLOOKUP(INDIRECT(ADDRESS(2,COLUMN())),OFFSET($BN$2,0,0,ROW()-1,60),ROW()-1,FALSE))</f>
        <v>1.8901884499999999</v>
      </c>
      <c r="BB167">
        <f ca="1">IF(AND(ISNUMBER($BB$474),$B$294=1),$BB$474,HLOOKUP(INDIRECT(ADDRESS(2,COLUMN())),OFFSET($BN$2,0,0,ROW()-1,60),ROW()-1,FALSE))</f>
        <v>1.7388559939999999</v>
      </c>
      <c r="BC167">
        <f ca="1">IF(AND(ISNUMBER($BC$474),$B$294=1),$BC$474,HLOOKUP(INDIRECT(ADDRESS(2,COLUMN())),OFFSET($BN$2,0,0,ROW()-1,60),ROW()-1,FALSE))</f>
        <v>1.7552390790000001</v>
      </c>
      <c r="BD167">
        <f ca="1">IF(AND(ISNUMBER($BD$474),$B$294=1),$BD$474,HLOOKUP(INDIRECT(ADDRESS(2,COLUMN())),OFFSET($BN$2,0,0,ROW()-1,60),ROW()-1,FALSE))</f>
        <v>1.9212682619999999</v>
      </c>
      <c r="BE167">
        <f ca="1">IF(AND(ISNUMBER($BE$474),$B$294=1),$BE$474,HLOOKUP(INDIRECT(ADDRESS(2,COLUMN())),OFFSET($BN$2,0,0,ROW()-1,60),ROW()-1,FALSE))</f>
        <v>1.668505159</v>
      </c>
      <c r="BF167">
        <f ca="1">IF(AND(ISNUMBER($BF$474),$B$294=1),$BF$474,HLOOKUP(INDIRECT(ADDRESS(2,COLUMN())),OFFSET($BN$2,0,0,ROW()-1,60),ROW()-1,FALSE))</f>
        <v>1.9021121009999999</v>
      </c>
      <c r="BG167">
        <f ca="1">IF(AND(ISNUMBER($BG$474),$B$294=1),$BG$474,HLOOKUP(INDIRECT(ADDRESS(2,COLUMN())),OFFSET($BN$2,0,0,ROW()-1,60),ROW()-1,FALSE))</f>
        <v>1.597317552</v>
      </c>
      <c r="BH167">
        <f ca="1">IF(AND(ISNUMBER($BH$474),$B$294=1),$BH$474,HLOOKUP(INDIRECT(ADDRESS(2,COLUMN())),OFFSET($BN$2,0,0,ROW()-1,60),ROW()-1,FALSE))</f>
        <v>1.733131545</v>
      </c>
      <c r="BI167">
        <f ca="1">IF(AND(ISNUMBER($BI$474),$B$294=1),$BI$474,HLOOKUP(INDIRECT(ADDRESS(2,COLUMN())),OFFSET($BN$2,0,0,ROW()-1,60),ROW()-1,FALSE))</f>
        <v>2.4017654240000001</v>
      </c>
      <c r="BJ167">
        <f ca="1">IF(AND(ISNUMBER($BJ$474),$B$294=1),$BJ$474,HLOOKUP(INDIRECT(ADDRESS(2,COLUMN())),OFFSET($BN$2,0,0,ROW()-1,60),ROW()-1,FALSE))</f>
        <v>2.0378919710000001</v>
      </c>
      <c r="BK167">
        <f ca="1">IF(AND(ISNUMBER($BK$474),$B$294=1),$BK$474,HLOOKUP(INDIRECT(ADDRESS(2,COLUMN())),OFFSET($BN$2,0,0,ROW()-1,60),ROW()-1,FALSE))</f>
        <v>1.9909782490000001</v>
      </c>
      <c r="BL167">
        <f ca="1">IF(AND(ISNUMBER($BL$474),$B$294=1),$BL$474,HLOOKUP(INDIRECT(ADDRESS(2,COLUMN())),OFFSET($BN$2,0,0,ROW()-1,60),ROW()-1,FALSE))</f>
        <v>2.5982838080000001</v>
      </c>
      <c r="BM167">
        <f ca="1">IF(AND(ISNUMBER($BM$474),$B$294=1),$BM$474,HLOOKUP(INDIRECT(ADDRESS(2,COLUMN())),OFFSET($BN$2,0,0,ROW()-1,60),ROW()-1,FALSE))</f>
        <v>2.5190144989999999</v>
      </c>
      <c r="BN167" t="str">
        <f>""</f>
        <v/>
      </c>
      <c r="BO167">
        <f>1.624520836</f>
        <v>1.6245208360000001</v>
      </c>
      <c r="BP167">
        <f>1.527761343</f>
        <v>1.5277613430000001</v>
      </c>
      <c r="BQ167">
        <f>1.729878056</f>
        <v>1.729878056</v>
      </c>
      <c r="BR167">
        <f>1.542102325</f>
        <v>1.5421023250000001</v>
      </c>
      <c r="BS167">
        <f>1.455789595</f>
        <v>1.4557895949999999</v>
      </c>
      <c r="BT167">
        <f>1.758911924</f>
        <v>1.758911924</v>
      </c>
      <c r="BU167">
        <f>2.964252345</f>
        <v>2.9642523449999998</v>
      </c>
      <c r="BV167">
        <f>1.879443327</f>
        <v>1.8794433269999999</v>
      </c>
      <c r="BW167">
        <f>1.513646304</f>
        <v>1.5136463040000001</v>
      </c>
      <c r="BX167">
        <f>1.541096203</f>
        <v>1.5410962029999999</v>
      </c>
      <c r="BY167">
        <f>1.756977506</f>
        <v>1.7569775059999999</v>
      </c>
      <c r="BZ167">
        <f>1.592286484</f>
        <v>1.5922864839999999</v>
      </c>
      <c r="CA167">
        <f>1.567759481</f>
        <v>1.567759481</v>
      </c>
      <c r="CB167">
        <f>1.628244943</f>
        <v>1.6282449429999999</v>
      </c>
      <c r="CC167">
        <f>1.610004989</f>
        <v>1.6100049890000001</v>
      </c>
      <c r="CD167">
        <f>1.625231644</f>
        <v>1.6252316440000001</v>
      </c>
      <c r="CE167">
        <f>1.52273109</f>
        <v>1.52273109</v>
      </c>
      <c r="CF167">
        <f>1.538487373</f>
        <v>1.5384873729999999</v>
      </c>
      <c r="CG167">
        <f>1.673429785</f>
        <v>1.6734297849999999</v>
      </c>
      <c r="CH167">
        <f>1.660312052</f>
        <v>1.6603120520000001</v>
      </c>
      <c r="CI167">
        <f>1.571606128</f>
        <v>1.571606128</v>
      </c>
      <c r="CJ167">
        <f>1.576759227</f>
        <v>1.5767592269999999</v>
      </c>
      <c r="CK167">
        <f>1.621296639</f>
        <v>1.6212966390000001</v>
      </c>
      <c r="CL167">
        <f>1.541080553</f>
        <v>1.541080553</v>
      </c>
      <c r="CM167">
        <f>1.500341914</f>
        <v>1.5003419140000001</v>
      </c>
      <c r="CN167">
        <f>1.477434001</f>
        <v>1.477434001</v>
      </c>
      <c r="CO167">
        <f>1.465690719</f>
        <v>1.4656907189999999</v>
      </c>
      <c r="CP167">
        <f>2.049292877</f>
        <v>2.0492928770000001</v>
      </c>
      <c r="CQ167">
        <f>1.518146996</f>
        <v>1.518146996</v>
      </c>
      <c r="CR167">
        <f>2.108505282</f>
        <v>2.1085052819999999</v>
      </c>
      <c r="CS167">
        <f>1.419581646</f>
        <v>1.4195816459999999</v>
      </c>
      <c r="CT167">
        <f>1.355212448</f>
        <v>1.3552124480000001</v>
      </c>
      <c r="CU167">
        <f>1.113519633</f>
        <v>1.1135196329999999</v>
      </c>
      <c r="CV167">
        <f>1.295581622</f>
        <v>1.295581622</v>
      </c>
      <c r="CW167">
        <f>1.020428675</f>
        <v>1.020428675</v>
      </c>
      <c r="CX167">
        <f>0.91613251</f>
        <v>0.91613250999999996</v>
      </c>
      <c r="CY167">
        <f>0.40629218</f>
        <v>0.40629218</v>
      </c>
      <c r="CZ167">
        <f>1.44449641</f>
        <v>1.44449641</v>
      </c>
      <c r="DA167">
        <f>1.640493142</f>
        <v>1.640493142</v>
      </c>
      <c r="DB167">
        <f>1.321915082</f>
        <v>1.3219150820000001</v>
      </c>
      <c r="DC167">
        <f>1.325655331</f>
        <v>1.3256553310000001</v>
      </c>
      <c r="DD167">
        <f>1.358594609</f>
        <v>1.3585946090000001</v>
      </c>
      <c r="DE167">
        <f>1.642717576</f>
        <v>1.6427175759999999</v>
      </c>
      <c r="DF167">
        <f>2.073117232</f>
        <v>2.073117232</v>
      </c>
      <c r="DG167">
        <f>1.97045268</f>
        <v>1.97045268</v>
      </c>
      <c r="DH167">
        <f>1.906929199</f>
        <v>1.9069291989999999</v>
      </c>
      <c r="DI167">
        <f>1.89018845</f>
        <v>1.8901884499999999</v>
      </c>
      <c r="DJ167">
        <f>1.738855994</f>
        <v>1.7388559939999999</v>
      </c>
      <c r="DK167">
        <f>1.755239079</f>
        <v>1.7552390790000001</v>
      </c>
      <c r="DL167">
        <f>1.921268262</f>
        <v>1.9212682619999999</v>
      </c>
      <c r="DM167">
        <f>1.668505159</f>
        <v>1.668505159</v>
      </c>
      <c r="DN167">
        <f>1.902112101</f>
        <v>1.9021121009999999</v>
      </c>
      <c r="DO167">
        <f>1.597317552</f>
        <v>1.597317552</v>
      </c>
      <c r="DP167">
        <f>1.733131545</f>
        <v>1.733131545</v>
      </c>
      <c r="DQ167">
        <f>2.401765424</f>
        <v>2.4017654240000001</v>
      </c>
      <c r="DR167">
        <f>2.037891971</f>
        <v>2.0378919710000001</v>
      </c>
      <c r="DS167">
        <f>1.990978249</f>
        <v>1.9909782490000001</v>
      </c>
      <c r="DT167">
        <f>2.598283808</f>
        <v>2.5982838080000001</v>
      </c>
      <c r="DU167">
        <f>2.519014499</f>
        <v>2.5190144989999999</v>
      </c>
    </row>
    <row r="168" spans="1:125">
      <c r="A168" t="str">
        <f>"    Vornado Realty Trust"</f>
        <v xml:space="preserve">    Vornado Realty Trust</v>
      </c>
      <c r="B168" t="str">
        <f>"VNO US Equity"</f>
        <v>VNO US Equity</v>
      </c>
      <c r="C168" t="str">
        <f t="shared" si="42"/>
        <v>RR553</v>
      </c>
      <c r="D168" t="str">
        <f t="shared" si="43"/>
        <v>EBITDA_RE_ASSET</v>
      </c>
      <c r="E168" t="str">
        <f t="shared" si="44"/>
        <v>动态</v>
      </c>
      <c r="F168" t="str">
        <f ca="1">IF(AND(ISNUMBER($F$475),$B$294=1),$F$475,HLOOKUP(INDIRECT(ADDRESS(2,COLUMN())),OFFSET($BN$2,0,0,ROW()-1,60),ROW()-1,FALSE))</f>
        <v/>
      </c>
      <c r="G168">
        <f ca="1">IF(AND(ISNUMBER($G$475),$B$294=1),$G$475,HLOOKUP(INDIRECT(ADDRESS(2,COLUMN())),OFFSET($BN$2,0,0,ROW()-1,60),ROW()-1,FALSE))</f>
        <v>2.0920043800000001</v>
      </c>
      <c r="H168">
        <f ca="1">IF(AND(ISNUMBER($H$475),$B$294=1),$H$475,HLOOKUP(INDIRECT(ADDRESS(2,COLUMN())),OFFSET($BN$2,0,0,ROW()-1,60),ROW()-1,FALSE))</f>
        <v>2.093210515</v>
      </c>
      <c r="I168">
        <f ca="1">IF(AND(ISNUMBER($I$475),$B$294=1),$I$475,HLOOKUP(INDIRECT(ADDRESS(2,COLUMN())),OFFSET($BN$2,0,0,ROW()-1,60),ROW()-1,FALSE))</f>
        <v>1.9332529890000001</v>
      </c>
      <c r="J168">
        <f ca="1">IF(AND(ISNUMBER($J$475),$B$294=1),$J$475,HLOOKUP(INDIRECT(ADDRESS(2,COLUMN())),OFFSET($BN$2,0,0,ROW()-1,60),ROW()-1,FALSE))</f>
        <v>1.7870669219999999</v>
      </c>
      <c r="K168">
        <f ca="1">IF(AND(ISNUMBER($K$475),$B$294=1),$K$475,HLOOKUP(INDIRECT(ADDRESS(2,COLUMN())),OFFSET($BN$2,0,0,ROW()-1,60),ROW()-1,FALSE))</f>
        <v>1.92445087</v>
      </c>
      <c r="L168">
        <f ca="1">IF(AND(ISNUMBER($L$475),$B$294=1),$L$475,HLOOKUP(INDIRECT(ADDRESS(2,COLUMN())),OFFSET($BN$2,0,0,ROW()-1,60),ROW()-1,FALSE))</f>
        <v>1.982208991</v>
      </c>
      <c r="M168">
        <f ca="1">IF(AND(ISNUMBER($M$475),$B$294=1),$M$475,HLOOKUP(INDIRECT(ADDRESS(2,COLUMN())),OFFSET($BN$2,0,0,ROW()-1,60),ROW()-1,FALSE))</f>
        <v>1.9920735430000001</v>
      </c>
      <c r="N168">
        <f ca="1">IF(AND(ISNUMBER($N$475),$B$294=1),$N$475,HLOOKUP(INDIRECT(ADDRESS(2,COLUMN())),OFFSET($BN$2,0,0,ROW()-1,60),ROW()-1,FALSE))</f>
        <v>0.82323882999999998</v>
      </c>
      <c r="O168">
        <f ca="1">IF(AND(ISNUMBER($O$475),$B$294=1),$O$475,HLOOKUP(INDIRECT(ADDRESS(2,COLUMN())),OFFSET($BN$2,0,0,ROW()-1,60),ROW()-1,FALSE))</f>
        <v>1.9743264389999999</v>
      </c>
      <c r="P168">
        <f ca="1">IF(AND(ISNUMBER($P$475),$B$294=1),$P$475,HLOOKUP(INDIRECT(ADDRESS(2,COLUMN())),OFFSET($BN$2,0,0,ROW()-1,60),ROW()-1,FALSE))</f>
        <v>2.0025518249999998</v>
      </c>
      <c r="Q168">
        <f ca="1">IF(AND(ISNUMBER($Q$475),$B$294=1),$Q$475,HLOOKUP(INDIRECT(ADDRESS(2,COLUMN())),OFFSET($BN$2,0,0,ROW()-1,60),ROW()-1,FALSE))</f>
        <v>2.0364965069999998</v>
      </c>
      <c r="R168">
        <f ca="1">IF(AND(ISNUMBER($R$475),$B$294=1),$R$475,HLOOKUP(INDIRECT(ADDRESS(2,COLUMN())),OFFSET($BN$2,0,0,ROW()-1,60),ROW()-1,FALSE))</f>
        <v>1.8770538640000001</v>
      </c>
      <c r="S168">
        <f ca="1">IF(AND(ISNUMBER($S$475),$B$294=1),$S$475,HLOOKUP(INDIRECT(ADDRESS(2,COLUMN())),OFFSET($BN$2,0,0,ROW()-1,60),ROW()-1,FALSE))</f>
        <v>2.137886215</v>
      </c>
      <c r="T168">
        <f ca="1">IF(AND(ISNUMBER($T$475),$B$294=1),$T$475,HLOOKUP(INDIRECT(ADDRESS(2,COLUMN())),OFFSET($BN$2,0,0,ROW()-1,60),ROW()-1,FALSE))</f>
        <v>1.897167965</v>
      </c>
      <c r="U168">
        <f ca="1">IF(AND(ISNUMBER($U$475),$B$294=1),$U$475,HLOOKUP(INDIRECT(ADDRESS(2,COLUMN())),OFFSET($BN$2,0,0,ROW()-1,60),ROW()-1,FALSE))</f>
        <v>1.8766353650000001</v>
      </c>
      <c r="V168">
        <f ca="1">IF(AND(ISNUMBER($V$475),$B$294=1),$V$475,HLOOKUP(INDIRECT(ADDRESS(2,COLUMN())),OFFSET($BN$2,0,0,ROW()-1,60),ROW()-1,FALSE))</f>
        <v>1.87805354</v>
      </c>
      <c r="W168">
        <f ca="1">IF(AND(ISNUMBER($W$475),$B$294=1),$W$475,HLOOKUP(INDIRECT(ADDRESS(2,COLUMN())),OFFSET($BN$2,0,0,ROW()-1,60),ROW()-1,FALSE))</f>
        <v>1.9787474490000001</v>
      </c>
      <c r="X168">
        <f ca="1">IF(AND(ISNUMBER($X$475),$B$294=1),$X$475,HLOOKUP(INDIRECT(ADDRESS(2,COLUMN())),OFFSET($BN$2,0,0,ROW()-1,60),ROW()-1,FALSE))</f>
        <v>2.1828071850000001</v>
      </c>
      <c r="Y168">
        <f ca="1">IF(AND(ISNUMBER($Y$475),$B$294=1),$Y$475,HLOOKUP(INDIRECT(ADDRESS(2,COLUMN())),OFFSET($BN$2,0,0,ROW()-1,60),ROW()-1,FALSE))</f>
        <v>2.0123055120000002</v>
      </c>
      <c r="Z168">
        <f ca="1">IF(AND(ISNUMBER($Z$475),$B$294=1),$Z$475,HLOOKUP(INDIRECT(ADDRESS(2,COLUMN())),OFFSET($BN$2,0,0,ROW()-1,60),ROW()-1,FALSE))</f>
        <v>2.3333427050000002</v>
      </c>
      <c r="AA168">
        <f ca="1">IF(AND(ISNUMBER($AA$475),$B$294=1),$AA$475,HLOOKUP(INDIRECT(ADDRESS(2,COLUMN())),OFFSET($BN$2,0,0,ROW()-1,60),ROW()-1,FALSE))</f>
        <v>1.1849070820000001</v>
      </c>
      <c r="AB168">
        <f ca="1">IF(AND(ISNUMBER($AB$475),$B$294=1),$AB$475,HLOOKUP(INDIRECT(ADDRESS(2,COLUMN())),OFFSET($BN$2,0,0,ROW()-1,60),ROW()-1,FALSE))</f>
        <v>2.0025127309999999</v>
      </c>
      <c r="AC168">
        <f ca="1">IF(AND(ISNUMBER($AC$475),$B$294=1),$AC$475,HLOOKUP(INDIRECT(ADDRESS(2,COLUMN())),OFFSET($BN$2,0,0,ROW()-1,60),ROW()-1,FALSE))</f>
        <v>2.0548628340000001</v>
      </c>
      <c r="AD168">
        <f ca="1">IF(AND(ISNUMBER($AD$475),$B$294=1),$AD$475,HLOOKUP(INDIRECT(ADDRESS(2,COLUMN())),OFFSET($BN$2,0,0,ROW()-1,60),ROW()-1,FALSE))</f>
        <v>1.9026650679999999</v>
      </c>
      <c r="AE168">
        <f ca="1">IF(AND(ISNUMBER($AE$475),$B$294=1),$AE$475,HLOOKUP(INDIRECT(ADDRESS(2,COLUMN())),OFFSET($BN$2,0,0,ROW()-1,60),ROW()-1,FALSE))</f>
        <v>2.2580128909999999</v>
      </c>
      <c r="AF168">
        <f ca="1">IF(AND(ISNUMBER($AF$475),$B$294=1),$AF$475,HLOOKUP(INDIRECT(ADDRESS(2,COLUMN())),OFFSET($BN$2,0,0,ROW()-1,60),ROW()-1,FALSE))</f>
        <v>2.087331131</v>
      </c>
      <c r="AG168">
        <f ca="1">IF(AND(ISNUMBER($AG$475),$B$294=1),$AG$475,HLOOKUP(INDIRECT(ADDRESS(2,COLUMN())),OFFSET($BN$2,0,0,ROW()-1,60),ROW()-1,FALSE))</f>
        <v>2.1132452970000002</v>
      </c>
      <c r="AH168">
        <f ca="1">IF(AND(ISNUMBER($AH$475),$B$294=1),$AH$475,HLOOKUP(INDIRECT(ADDRESS(2,COLUMN())),OFFSET($BN$2,0,0,ROW()-1,60),ROW()-1,FALSE))</f>
        <v>1.8945162230000001</v>
      </c>
      <c r="AI168">
        <f ca="1">IF(AND(ISNUMBER($AI$475),$B$294=1),$AI$475,HLOOKUP(INDIRECT(ADDRESS(2,COLUMN())),OFFSET($BN$2,0,0,ROW()-1,60),ROW()-1,FALSE))</f>
        <v>1.2991880099999999</v>
      </c>
      <c r="AJ168">
        <f ca="1">IF(AND(ISNUMBER($AJ$475),$B$294=1),$AJ$475,HLOOKUP(INDIRECT(ADDRESS(2,COLUMN())),OFFSET($BN$2,0,0,ROW()-1,60),ROW()-1,FALSE))</f>
        <v>2.0604633030000001</v>
      </c>
      <c r="AK168">
        <f ca="1">IF(AND(ISNUMBER($AK$475),$B$294=1),$AK$475,HLOOKUP(INDIRECT(ADDRESS(2,COLUMN())),OFFSET($BN$2,0,0,ROW()-1,60),ROW()-1,FALSE))</f>
        <v>2.14789385</v>
      </c>
      <c r="AL168">
        <f ca="1">IF(AND(ISNUMBER($AL$475),$B$294=1),$AL$475,HLOOKUP(INDIRECT(ADDRESS(2,COLUMN())),OFFSET($BN$2,0,0,ROW()-1,60),ROW()-1,FALSE))</f>
        <v>2.0892562790000002</v>
      </c>
      <c r="AM168">
        <f ca="1">IF(AND(ISNUMBER($AM$475),$B$294=1),$AM$475,HLOOKUP(INDIRECT(ADDRESS(2,COLUMN())),OFFSET($BN$2,0,0,ROW()-1,60),ROW()-1,FALSE))</f>
        <v>1.8273277429999999</v>
      </c>
      <c r="AN168">
        <f ca="1">IF(AND(ISNUMBER($AN$475),$B$294=1),$AN$475,HLOOKUP(INDIRECT(ADDRESS(2,COLUMN())),OFFSET($BN$2,0,0,ROW()-1,60),ROW()-1,FALSE))</f>
        <v>1.9808976410000001</v>
      </c>
      <c r="AO168">
        <f ca="1">IF(AND(ISNUMBER($AO$475),$B$294=1),$AO$475,HLOOKUP(INDIRECT(ADDRESS(2,COLUMN())),OFFSET($BN$2,0,0,ROW()-1,60),ROW()-1,FALSE))</f>
        <v>1.9697398880000001</v>
      </c>
      <c r="AP168">
        <f ca="1">IF(AND(ISNUMBER($AP$475),$B$294=1),$AP$475,HLOOKUP(INDIRECT(ADDRESS(2,COLUMN())),OFFSET($BN$2,0,0,ROW()-1,60),ROW()-1,FALSE))</f>
        <v>1.7647377200000001</v>
      </c>
      <c r="AQ168">
        <f ca="1">IF(AND(ISNUMBER($AQ$475),$B$294=1),$AQ$475,HLOOKUP(INDIRECT(ADDRESS(2,COLUMN())),OFFSET($BN$2,0,0,ROW()-1,60),ROW()-1,FALSE))</f>
        <v>2.048324434</v>
      </c>
      <c r="AR168">
        <f ca="1">IF(AND(ISNUMBER($AR$475),$B$294=1),$AR$475,HLOOKUP(INDIRECT(ADDRESS(2,COLUMN())),OFFSET($BN$2,0,0,ROW()-1,60),ROW()-1,FALSE))</f>
        <v>1.914637103</v>
      </c>
      <c r="AS168">
        <f ca="1">IF(AND(ISNUMBER($AS$475),$B$294=1),$AS$475,HLOOKUP(INDIRECT(ADDRESS(2,COLUMN())),OFFSET($BN$2,0,0,ROW()-1,60),ROW()-1,FALSE))</f>
        <v>1.9989397849999999</v>
      </c>
      <c r="AT168">
        <f ca="1">IF(AND(ISNUMBER($AT$475),$B$294=1),$AT$475,HLOOKUP(INDIRECT(ADDRESS(2,COLUMN())),OFFSET($BN$2,0,0,ROW()-1,60),ROW()-1,FALSE))</f>
        <v>1.957914562</v>
      </c>
      <c r="AU168">
        <f ca="1">IF(AND(ISNUMBER($AU$475),$B$294=1),$AU$475,HLOOKUP(INDIRECT(ADDRESS(2,COLUMN())),OFFSET($BN$2,0,0,ROW()-1,60),ROW()-1,FALSE))</f>
        <v>2.0795161439999998</v>
      </c>
      <c r="AV168">
        <f ca="1">IF(AND(ISNUMBER($AV$475),$B$294=1),$AV$475,HLOOKUP(INDIRECT(ADDRESS(2,COLUMN())),OFFSET($BN$2,0,0,ROW()-1,60),ROW()-1,FALSE))</f>
        <v>1.7830885940000001</v>
      </c>
      <c r="AW168">
        <f ca="1">IF(AND(ISNUMBER($AW$475),$B$294=1),$AW$475,HLOOKUP(INDIRECT(ADDRESS(2,COLUMN())),OFFSET($BN$2,0,0,ROW()-1,60),ROW()-1,FALSE))</f>
        <v>1.7047280170000001</v>
      </c>
      <c r="AX168">
        <f ca="1">IF(AND(ISNUMBER($AX$475),$B$294=1),$AX$475,HLOOKUP(INDIRECT(ADDRESS(2,COLUMN())),OFFSET($BN$2,0,0,ROW()-1,60),ROW()-1,FALSE))</f>
        <v>1.893721644</v>
      </c>
      <c r="AY168">
        <f ca="1">IF(AND(ISNUMBER($AY$475),$B$294=1),$AY$475,HLOOKUP(INDIRECT(ADDRESS(2,COLUMN())),OFFSET($BN$2,0,0,ROW()-1,60),ROW()-1,FALSE))</f>
        <v>2.0737362770000001</v>
      </c>
      <c r="AZ168">
        <f ca="1">IF(AND(ISNUMBER($AZ$475),$B$294=1),$AZ$475,HLOOKUP(INDIRECT(ADDRESS(2,COLUMN())),OFFSET($BN$2,0,0,ROW()-1,60),ROW()-1,FALSE))</f>
        <v>2.1414825080000002</v>
      </c>
      <c r="BA168">
        <f ca="1">IF(AND(ISNUMBER($BA$475),$B$294=1),$BA$475,HLOOKUP(INDIRECT(ADDRESS(2,COLUMN())),OFFSET($BN$2,0,0,ROW()-1,60),ROW()-1,FALSE))</f>
        <v>2.3761893789999999</v>
      </c>
      <c r="BB168">
        <f ca="1">IF(AND(ISNUMBER($BB$475),$B$294=1),$BB$475,HLOOKUP(INDIRECT(ADDRESS(2,COLUMN())),OFFSET($BN$2,0,0,ROW()-1,60),ROW()-1,FALSE))</f>
        <v>2.423735642</v>
      </c>
      <c r="BC168">
        <f ca="1">IF(AND(ISNUMBER($BC$475),$B$294=1),$BC$475,HLOOKUP(INDIRECT(ADDRESS(2,COLUMN())),OFFSET($BN$2,0,0,ROW()-1,60),ROW()-1,FALSE))</f>
        <v>2.7011345969999998</v>
      </c>
      <c r="BD168">
        <f ca="1">IF(AND(ISNUMBER($BD$475),$B$294=1),$BD$475,HLOOKUP(INDIRECT(ADDRESS(2,COLUMN())),OFFSET($BN$2,0,0,ROW()-1,60),ROW()-1,FALSE))</f>
        <v>2.0040672439999998</v>
      </c>
      <c r="BE168">
        <f ca="1">IF(AND(ISNUMBER($BE$475),$B$294=1),$BE$475,HLOOKUP(INDIRECT(ADDRESS(2,COLUMN())),OFFSET($BN$2,0,0,ROW()-1,60),ROW()-1,FALSE))</f>
        <v>2.6819923760000002</v>
      </c>
      <c r="BF168">
        <f ca="1">IF(AND(ISNUMBER($BF$475),$B$294=1),$BF$475,HLOOKUP(INDIRECT(ADDRESS(2,COLUMN())),OFFSET($BN$2,0,0,ROW()-1,60),ROW()-1,FALSE))</f>
        <v>2.7841686879999998</v>
      </c>
      <c r="BG168">
        <f ca="1">IF(AND(ISNUMBER($BG$475),$B$294=1),$BG$475,HLOOKUP(INDIRECT(ADDRESS(2,COLUMN())),OFFSET($BN$2,0,0,ROW()-1,60),ROW()-1,FALSE))</f>
        <v>4.0654633349999996</v>
      </c>
      <c r="BH168">
        <f ca="1">IF(AND(ISNUMBER($BH$475),$B$294=1),$BH$475,HLOOKUP(INDIRECT(ADDRESS(2,COLUMN())),OFFSET($BN$2,0,0,ROW()-1,60),ROW()-1,FALSE))</f>
        <v>2.7920765529999998</v>
      </c>
      <c r="BI168">
        <f ca="1">IF(AND(ISNUMBER($BI$475),$B$294=1),$BI$475,HLOOKUP(INDIRECT(ADDRESS(2,COLUMN())),OFFSET($BN$2,0,0,ROW()-1,60),ROW()-1,FALSE))</f>
        <v>2.9347510529999998</v>
      </c>
      <c r="BJ168">
        <f ca="1">IF(AND(ISNUMBER($BJ$475),$B$294=1),$BJ$475,HLOOKUP(INDIRECT(ADDRESS(2,COLUMN())),OFFSET($BN$2,0,0,ROW()-1,60),ROW()-1,FALSE))</f>
        <v>2.7445925519999999</v>
      </c>
      <c r="BK168">
        <f ca="1">IF(AND(ISNUMBER($BK$475),$B$294=1),$BK$475,HLOOKUP(INDIRECT(ADDRESS(2,COLUMN())),OFFSET($BN$2,0,0,ROW()-1,60),ROW()-1,FALSE))</f>
        <v>2.654898234</v>
      </c>
      <c r="BL168">
        <f ca="1">IF(AND(ISNUMBER($BL$475),$B$294=1),$BL$475,HLOOKUP(INDIRECT(ADDRESS(2,COLUMN())),OFFSET($BN$2,0,0,ROW()-1,60),ROW()-1,FALSE))</f>
        <v>2.5570570419999998</v>
      </c>
      <c r="BM168">
        <f ca="1">IF(AND(ISNUMBER($BM$475),$B$294=1),$BM$475,HLOOKUP(INDIRECT(ADDRESS(2,COLUMN())),OFFSET($BN$2,0,0,ROW()-1,60),ROW()-1,FALSE))</f>
        <v>2.663701901</v>
      </c>
      <c r="BN168" t="str">
        <f>""</f>
        <v/>
      </c>
      <c r="BO168">
        <f>2.09200438</f>
        <v>2.0920043800000001</v>
      </c>
      <c r="BP168">
        <f>2.093210515</f>
        <v>2.093210515</v>
      </c>
      <c r="BQ168">
        <f>1.933252989</f>
        <v>1.9332529890000001</v>
      </c>
      <c r="BR168">
        <f>1.787066922</f>
        <v>1.7870669219999999</v>
      </c>
      <c r="BS168">
        <f>1.92445087</f>
        <v>1.92445087</v>
      </c>
      <c r="BT168">
        <f>1.982208991</f>
        <v>1.982208991</v>
      </c>
      <c r="BU168">
        <f>1.992073543</f>
        <v>1.9920735430000001</v>
      </c>
      <c r="BV168">
        <f>0.82323883</f>
        <v>0.82323882999999998</v>
      </c>
      <c r="BW168">
        <f>1.974326439</f>
        <v>1.9743264389999999</v>
      </c>
      <c r="BX168">
        <f>2.002551825</f>
        <v>2.0025518249999998</v>
      </c>
      <c r="BY168">
        <f>2.036496507</f>
        <v>2.0364965069999998</v>
      </c>
      <c r="BZ168">
        <f>1.877053864</f>
        <v>1.8770538640000001</v>
      </c>
      <c r="CA168">
        <f>2.137886215</f>
        <v>2.137886215</v>
      </c>
      <c r="CB168">
        <f>1.897167965</f>
        <v>1.897167965</v>
      </c>
      <c r="CC168">
        <f>1.876635365</f>
        <v>1.8766353650000001</v>
      </c>
      <c r="CD168">
        <f>1.87805354</f>
        <v>1.87805354</v>
      </c>
      <c r="CE168">
        <f>1.978747449</f>
        <v>1.9787474490000001</v>
      </c>
      <c r="CF168">
        <f>2.182807185</f>
        <v>2.1828071850000001</v>
      </c>
      <c r="CG168">
        <f>2.012305512</f>
        <v>2.0123055120000002</v>
      </c>
      <c r="CH168">
        <f>2.333342705</f>
        <v>2.3333427050000002</v>
      </c>
      <c r="CI168">
        <f>1.184907082</f>
        <v>1.1849070820000001</v>
      </c>
      <c r="CJ168">
        <f>2.002512731</f>
        <v>2.0025127309999999</v>
      </c>
      <c r="CK168">
        <f>2.054862834</f>
        <v>2.0548628340000001</v>
      </c>
      <c r="CL168">
        <f>1.902665068</f>
        <v>1.9026650679999999</v>
      </c>
      <c r="CM168">
        <f>2.258012891</f>
        <v>2.2580128909999999</v>
      </c>
      <c r="CN168">
        <f>2.087331131</f>
        <v>2.087331131</v>
      </c>
      <c r="CO168">
        <f>2.113245297</f>
        <v>2.1132452970000002</v>
      </c>
      <c r="CP168">
        <f>1.894516223</f>
        <v>1.8945162230000001</v>
      </c>
      <c r="CQ168">
        <f>1.29918801</f>
        <v>1.2991880099999999</v>
      </c>
      <c r="CR168">
        <f>2.060463303</f>
        <v>2.0604633030000001</v>
      </c>
      <c r="CS168">
        <f>2.14789385</f>
        <v>2.14789385</v>
      </c>
      <c r="CT168">
        <f>2.089256279</f>
        <v>2.0892562790000002</v>
      </c>
      <c r="CU168">
        <f>1.827327743</f>
        <v>1.8273277429999999</v>
      </c>
      <c r="CV168">
        <f>1.980897641</f>
        <v>1.9808976410000001</v>
      </c>
      <c r="CW168">
        <f>1.969739888</f>
        <v>1.9697398880000001</v>
      </c>
      <c r="CX168">
        <f>1.76473772</f>
        <v>1.7647377200000001</v>
      </c>
      <c r="CY168">
        <f>2.048324434</f>
        <v>2.048324434</v>
      </c>
      <c r="CZ168">
        <f>1.914637103</f>
        <v>1.914637103</v>
      </c>
      <c r="DA168">
        <f>1.998939785</f>
        <v>1.9989397849999999</v>
      </c>
      <c r="DB168">
        <f>1.957914562</f>
        <v>1.957914562</v>
      </c>
      <c r="DC168">
        <f>2.079516144</f>
        <v>2.0795161439999998</v>
      </c>
      <c r="DD168">
        <f>1.783088594</f>
        <v>1.7830885940000001</v>
      </c>
      <c r="DE168">
        <f>1.704728017</f>
        <v>1.7047280170000001</v>
      </c>
      <c r="DF168">
        <f>1.893721644</f>
        <v>1.893721644</v>
      </c>
      <c r="DG168">
        <f>2.073736277</f>
        <v>2.0737362770000001</v>
      </c>
      <c r="DH168">
        <f>2.141482508</f>
        <v>2.1414825080000002</v>
      </c>
      <c r="DI168">
        <f>2.376189379</f>
        <v>2.3761893789999999</v>
      </c>
      <c r="DJ168">
        <f>2.423735642</f>
        <v>2.423735642</v>
      </c>
      <c r="DK168">
        <f>2.701134597</f>
        <v>2.7011345969999998</v>
      </c>
      <c r="DL168">
        <f>2.004067244</f>
        <v>2.0040672439999998</v>
      </c>
      <c r="DM168">
        <f>2.681992376</f>
        <v>2.6819923760000002</v>
      </c>
      <c r="DN168">
        <f>2.784168688</f>
        <v>2.7841686879999998</v>
      </c>
      <c r="DO168">
        <f>4.065463335</f>
        <v>4.0654633349999996</v>
      </c>
      <c r="DP168">
        <f>2.792076553</f>
        <v>2.7920765529999998</v>
      </c>
      <c r="DQ168">
        <f>2.934751053</f>
        <v>2.9347510529999998</v>
      </c>
      <c r="DR168">
        <f>2.744592552</f>
        <v>2.7445925519999999</v>
      </c>
      <c r="DS168">
        <f>2.654898234</f>
        <v>2.654898234</v>
      </c>
      <c r="DT168">
        <f>2.557057042</f>
        <v>2.5570570419999998</v>
      </c>
      <c r="DU168">
        <f>2.663701901</f>
        <v>2.663701901</v>
      </c>
    </row>
    <row r="169" spans="1:125">
      <c r="A169" t="str">
        <f>"FFO/资产(%)"</f>
        <v>FFO/资产(%)</v>
      </c>
      <c r="B169" t="str">
        <f>""</f>
        <v/>
      </c>
      <c r="E169" t="str">
        <f>"Median"</f>
        <v>Median</v>
      </c>
      <c r="F169" t="str">
        <f ca="1">IF(ISERROR(IF(MEDIAN($F$170:$F$179) = 0, "", MEDIAN($F$170:$F$179))), "", (IF(MEDIAN($F$170:$F$179) = 0, "", MEDIAN($F$170:$F$179))))</f>
        <v/>
      </c>
      <c r="G169">
        <f ca="1">IF(ISERROR(IF(MEDIAN($G$170:$G$179) = 0, "", MEDIAN($G$170:$G$179))), "", (IF(MEDIAN($G$170:$G$179) = 0, "", MEDIAN($G$170:$G$179))))</f>
        <v>5.7082722740000005</v>
      </c>
      <c r="H169">
        <f ca="1">IF(ISERROR(IF(MEDIAN($H$170:$H$179) = 0, "", MEDIAN($H$170:$H$179))), "", (IF(MEDIAN($H$170:$H$179) = 0, "", MEDIAN($H$170:$H$179))))</f>
        <v>6.3348725784999997</v>
      </c>
      <c r="I169">
        <f ca="1">IF(ISERROR(IF(MEDIAN($I$170:$I$179) = 0, "", MEDIAN($I$170:$I$179))), "", (IF(MEDIAN($I$170:$I$179) = 0, "", MEDIAN($I$170:$I$179))))</f>
        <v>6.1312701655000001</v>
      </c>
      <c r="J169">
        <f ca="1">IF(ISERROR(IF(MEDIAN($J$170:$J$179) = 0, "", MEDIAN($J$170:$J$179))), "", (IF(MEDIAN($J$170:$J$179) = 0, "", MEDIAN($J$170:$J$179))))</f>
        <v>5.9533133564999998</v>
      </c>
      <c r="K169">
        <f ca="1">IF(ISERROR(IF(MEDIAN($K$170:$K$179) = 0, "", MEDIAN($K$170:$K$179))), "", (IF(MEDIAN($K$170:$K$179) = 0, "", MEDIAN($K$170:$K$179))))</f>
        <v>5.6274478600000002</v>
      </c>
      <c r="L169">
        <f ca="1">IF(ISERROR(IF(MEDIAN($L$170:$L$179) = 0, "", MEDIAN($L$170:$L$179))), "", (IF(MEDIAN($L$170:$L$179) = 0, "", MEDIAN($L$170:$L$179))))</f>
        <v>5.7270232624999995</v>
      </c>
      <c r="M169">
        <f ca="1">IF(ISERROR(IF(MEDIAN($M$170:$M$179) = 0, "", MEDIAN($M$170:$M$179))), "", (IF(MEDIAN($M$170:$M$179) = 0, "", MEDIAN($M$170:$M$179))))</f>
        <v>5.8571591659999998</v>
      </c>
      <c r="N169">
        <f ca="1">IF(ISERROR(IF(MEDIAN($N$170:$N$179) = 0, "", MEDIAN($N$170:$N$179))), "", (IF(MEDIAN($N$170:$N$179) = 0, "", MEDIAN($N$170:$N$179))))</f>
        <v>5.7512983865000002</v>
      </c>
      <c r="O169">
        <f ca="1">IF(ISERROR(IF(MEDIAN($O$170:$O$179) = 0, "", MEDIAN($O$170:$O$179))), "", (IF(MEDIAN($O$170:$O$179) = 0, "", MEDIAN($O$170:$O$179))))</f>
        <v>6.2244284959999998</v>
      </c>
      <c r="P169">
        <f ca="1">IF(ISERROR(IF(MEDIAN($P$170:$P$179) = 0, "", MEDIAN($P$170:$P$179))), "", (IF(MEDIAN($P$170:$P$179) = 0, "", MEDIAN($P$170:$P$179))))</f>
        <v>6.0785179424999995</v>
      </c>
      <c r="Q169">
        <f ca="1">IF(ISERROR(IF(MEDIAN($Q$170:$Q$179) = 0, "", MEDIAN($Q$170:$Q$179))), "", (IF(MEDIAN($Q$170:$Q$179) = 0, "", MEDIAN($Q$170:$Q$179))))</f>
        <v>5.8257631854999996</v>
      </c>
      <c r="R169">
        <f ca="1">IF(ISERROR(IF(MEDIAN($R$170:$R$179) = 0, "", MEDIAN($R$170:$R$179))), "", (IF(MEDIAN($R$170:$R$179) = 0, "", MEDIAN($R$170:$R$179))))</f>
        <v>5.7408328009999998</v>
      </c>
      <c r="S169">
        <f ca="1">IF(ISERROR(IF(MEDIAN($S$170:$S$179) = 0, "", MEDIAN($S$170:$S$179))), "", (IF(MEDIAN($S$170:$S$179) = 0, "", MEDIAN($S$170:$S$179))))</f>
        <v>5.4162271579999999</v>
      </c>
      <c r="T169">
        <f ca="1">IF(ISERROR(IF(MEDIAN($T$170:$T$179) = 0, "", MEDIAN($T$170:$T$179))), "", (IF(MEDIAN($T$170:$T$179) = 0, "", MEDIAN($T$170:$T$179))))</f>
        <v>5.4062321430000004</v>
      </c>
      <c r="U169">
        <f ca="1">IF(ISERROR(IF(MEDIAN($U$170:$U$179) = 0, "", MEDIAN($U$170:$U$179))), "", (IF(MEDIAN($U$170:$U$179) = 0, "", MEDIAN($U$170:$U$179))))</f>
        <v>5.363020262</v>
      </c>
      <c r="V169">
        <f ca="1">IF(ISERROR(IF(MEDIAN($V$170:$V$179) = 0, "", MEDIAN($V$170:$V$179))), "", (IF(MEDIAN($V$170:$V$179) = 0, "", MEDIAN($V$170:$V$179))))</f>
        <v>5.3028204905000003</v>
      </c>
      <c r="W169">
        <f ca="1">IF(ISERROR(IF(MEDIAN($W$170:$W$179) = 0, "", MEDIAN($W$170:$W$179))), "", (IF(MEDIAN($W$170:$W$179) = 0, "", MEDIAN($W$170:$W$179))))</f>
        <v>5.5703075499999999</v>
      </c>
      <c r="X169">
        <f ca="1">IF(ISERROR(IF(MEDIAN($X$170:$X$179) = 0, "", MEDIAN($X$170:$X$179))), "", (IF(MEDIAN($X$170:$X$179) = 0, "", MEDIAN($X$170:$X$179))))</f>
        <v>5.2687109110000003</v>
      </c>
      <c r="Y169">
        <f ca="1">IF(ISERROR(IF(MEDIAN($Y$170:$Y$179) = 0, "", MEDIAN($Y$170:$Y$179))), "", (IF(MEDIAN($Y$170:$Y$179) = 0, "", MEDIAN($Y$170:$Y$179))))</f>
        <v>5.1039505275000003</v>
      </c>
      <c r="Z169">
        <f ca="1">IF(ISERROR(IF(MEDIAN($Z$170:$Z$179) = 0, "", MEDIAN($Z$170:$Z$179))), "", (IF(MEDIAN($Z$170:$Z$179) = 0, "", MEDIAN($Z$170:$Z$179))))</f>
        <v>5.2458716299999999</v>
      </c>
      <c r="AA169">
        <f ca="1">IF(ISERROR(IF(MEDIAN($AA$170:$AA$179) = 0, "", MEDIAN($AA$170:$AA$179))), "", (IF(MEDIAN($AA$170:$AA$179) = 0, "", MEDIAN($AA$170:$AA$179))))</f>
        <v>5.5043413789999995</v>
      </c>
      <c r="AB169">
        <f ca="1">IF(ISERROR(IF(MEDIAN($AB$170:$AB$179) = 0, "", MEDIAN($AB$170:$AB$179))), "", (IF(MEDIAN($AB$170:$AB$179) = 0, "", MEDIAN($AB$170:$AB$179))))</f>
        <v>6.2544286915000002</v>
      </c>
      <c r="AC169">
        <f ca="1">IF(ISERROR(IF(MEDIAN($AC$170:$AC$179) = 0, "", MEDIAN($AC$170:$AC$179))), "", (IF(MEDIAN($AC$170:$AC$179) = 0, "", MEDIAN($AC$170:$AC$179))))</f>
        <v>6.1283060384999999</v>
      </c>
      <c r="AD169">
        <f ca="1">IF(ISERROR(IF(MEDIAN($AD$170:$AD$179) = 0, "", MEDIAN($AD$170:$AD$179))), "", (IF(MEDIAN($AD$170:$AD$179) = 0, "", MEDIAN($AD$170:$AD$179))))</f>
        <v>6.2221781184999996</v>
      </c>
      <c r="AE169">
        <f ca="1">IF(ISERROR(IF(MEDIAN($AE$170:$AE$179) = 0, "", MEDIAN($AE$170:$AE$179))), "", (IF(MEDIAN($AE$170:$AE$179) = 0, "", MEDIAN($AE$170:$AE$179))))</f>
        <v>6.5581587710000004</v>
      </c>
      <c r="AF169">
        <f ca="1">IF(ISERROR(IF(MEDIAN($AF$170:$AF$179) = 0, "", MEDIAN($AF$170:$AF$179))), "", (IF(MEDIAN($AF$170:$AF$179) = 0, "", MEDIAN($AF$170:$AF$179))))</f>
        <v>6.1571627850000006</v>
      </c>
      <c r="AG169">
        <f ca="1">IF(ISERROR(IF(MEDIAN($AG$170:$AG$179) = 0, "", MEDIAN($AG$170:$AG$179))), "", (IF(MEDIAN($AG$170:$AG$179) = 0, "", MEDIAN($AG$170:$AG$179))))</f>
        <v>5.8547110599999996</v>
      </c>
      <c r="AH169">
        <f ca="1">IF(ISERROR(IF(MEDIAN($AH$170:$AH$179) = 0, "", MEDIAN($AH$170:$AH$179))), "", (IF(MEDIAN($AH$170:$AH$179) = 0, "", MEDIAN($AH$170:$AH$179))))</f>
        <v>5.674605519</v>
      </c>
      <c r="AI169">
        <f ca="1">IF(ISERROR(IF(MEDIAN($AI$170:$AI$179) = 0, "", MEDIAN($AI$170:$AI$179))), "", (IF(MEDIAN($AI$170:$AI$179) = 0, "", MEDIAN($AI$170:$AI$179))))</f>
        <v>5.7823444634999994</v>
      </c>
      <c r="AJ169">
        <f ca="1">IF(ISERROR(IF(MEDIAN($AJ$170:$AJ$179) = 0, "", MEDIAN($AJ$170:$AJ$179))), "", (IF(MEDIAN($AJ$170:$AJ$179) = 0, "", MEDIAN($AJ$170:$AJ$179))))</f>
        <v>5.2920304939999996</v>
      </c>
      <c r="AK169">
        <f ca="1">IF(ISERROR(IF(MEDIAN($AK$170:$AK$179) = 0, "", MEDIAN($AK$170:$AK$179))), "", (IF(MEDIAN($AK$170:$AK$179) = 0, "", MEDIAN($AK$170:$AK$179))))</f>
        <v>5.3463640960000003</v>
      </c>
      <c r="AL169">
        <f ca="1">IF(ISERROR(IF(MEDIAN($AL$170:$AL$179) = 0, "", MEDIAN($AL$170:$AL$179))), "", (IF(MEDIAN($AL$170:$AL$179) = 0, "", MEDIAN($AL$170:$AL$179))))</f>
        <v>5.3494692170000002</v>
      </c>
      <c r="AM169">
        <f ca="1">IF(ISERROR(IF(MEDIAN($AM$170:$AM$179) = 0, "", MEDIAN($AM$170:$AM$179))), "", (IF(MEDIAN($AM$170:$AM$179) = 0, "", MEDIAN($AM$170:$AM$179))))</f>
        <v>5.5257826799999998</v>
      </c>
      <c r="AN169">
        <f ca="1">IF(ISERROR(IF(MEDIAN($AN$170:$AN$179) = 0, "", MEDIAN($AN$170:$AN$179))), "", (IF(MEDIAN($AN$170:$AN$179) = 0, "", MEDIAN($AN$170:$AN$179))))</f>
        <v>5.8100362460000001</v>
      </c>
      <c r="AO169">
        <f ca="1">IF(ISERROR(IF(MEDIAN($AO$170:$AO$179) = 0, "", MEDIAN($AO$170:$AO$179))), "", (IF(MEDIAN($AO$170:$AO$179) = 0, "", MEDIAN($AO$170:$AO$179))))</f>
        <v>5.7504058669999996</v>
      </c>
      <c r="AP169">
        <f ca="1">IF(ISERROR(IF(MEDIAN($AP$170:$AP$179) = 0, "", MEDIAN($AP$170:$AP$179))), "", (IF(MEDIAN($AP$170:$AP$179) = 0, "", MEDIAN($AP$170:$AP$179))))</f>
        <v>5.4529098100000004</v>
      </c>
      <c r="AQ169">
        <f ca="1">IF(ISERROR(IF(MEDIAN($AQ$170:$AQ$179) = 0, "", MEDIAN($AQ$170:$AQ$179))), "", (IF(MEDIAN($AQ$170:$AQ$179) = 0, "", MEDIAN($AQ$170:$AQ$179))))</f>
        <v>5.3253465999999996</v>
      </c>
      <c r="AR169">
        <f ca="1">IF(ISERROR(IF(MEDIAN($AR$170:$AR$179) = 0, "", MEDIAN($AR$170:$AR$179))), "", (IF(MEDIAN($AR$170:$AR$179) = 0, "", MEDIAN($AR$170:$AR$179))))</f>
        <v>6.257717242</v>
      </c>
      <c r="AS169">
        <f ca="1">IF(ISERROR(IF(MEDIAN($AS$170:$AS$179) = 0, "", MEDIAN($AS$170:$AS$179))), "", (IF(MEDIAN($AS$170:$AS$179) = 0, "", MEDIAN($AS$170:$AS$179))))</f>
        <v>6.0515803569999997</v>
      </c>
      <c r="AT169">
        <f ca="1">IF(ISERROR(IF(MEDIAN($AT$170:$AT$179) = 0, "", MEDIAN($AT$170:$AT$179))), "", (IF(MEDIAN($AT$170:$AT$179) = 0, "", MEDIAN($AT$170:$AT$179))))</f>
        <v>6.2164056639999998</v>
      </c>
      <c r="AU169">
        <f ca="1">IF(ISERROR(IF(MEDIAN($AU$170:$AU$179) = 0, "", MEDIAN($AU$170:$AU$179))), "", (IF(MEDIAN($AU$170:$AU$179) = 0, "", MEDIAN($AU$170:$AU$179))))</f>
        <v>6.2683736210000003</v>
      </c>
      <c r="AV169">
        <f ca="1">IF(ISERROR(IF(MEDIAN($AV$170:$AV$179) = 0, "", MEDIAN($AV$170:$AV$179))), "", (IF(MEDIAN($AV$170:$AV$179) = 0, "", MEDIAN($AV$170:$AV$179))))</f>
        <v>6.3736962080000001</v>
      </c>
      <c r="AW169">
        <f ca="1">IF(ISERROR(IF(MEDIAN($AW$170:$AW$179) = 0, "", MEDIAN($AW$170:$AW$179))), "", (IF(MEDIAN($AW$170:$AW$179) = 0, "", MEDIAN($AW$170:$AW$179))))</f>
        <v>6.3319096090000002</v>
      </c>
      <c r="AX169">
        <f ca="1">IF(ISERROR(IF(MEDIAN($AX$170:$AX$179) = 0, "", MEDIAN($AX$170:$AX$179))), "", (IF(MEDIAN($AX$170:$AX$179) = 0, "", MEDIAN($AX$170:$AX$179))))</f>
        <v>6.6357926950000001</v>
      </c>
      <c r="AY169">
        <f ca="1">IF(ISERROR(IF(MEDIAN($AY$170:$AY$179) = 0, "", MEDIAN($AY$170:$AY$179))), "", (IF(MEDIAN($AY$170:$AY$179) = 0, "", MEDIAN($AY$170:$AY$179))))</f>
        <v>6.695941296</v>
      </c>
      <c r="AZ169">
        <f ca="1">IF(ISERROR(IF(MEDIAN($AZ$170:$AZ$179) = 0, "", MEDIAN($AZ$170:$AZ$179))), "", (IF(MEDIAN($AZ$170:$AZ$179) = 0, "", MEDIAN($AZ$170:$AZ$179))))</f>
        <v>6.5932342879999997</v>
      </c>
      <c r="BA169">
        <f ca="1">IF(ISERROR(IF(MEDIAN($BA$170:$BA$179) = 0, "", MEDIAN($BA$170:$BA$179))), "", (IF(MEDIAN($BA$170:$BA$179) = 0, "", MEDIAN($BA$170:$BA$179))))</f>
        <v>6.5304601289999997</v>
      </c>
      <c r="BB169">
        <f ca="1">IF(ISERROR(IF(MEDIAN($BB$170:$BB$179) = 0, "", MEDIAN($BB$170:$BB$179))), "", (IF(MEDIAN($BB$170:$BB$179) = 0, "", MEDIAN($BB$170:$BB$179))))</f>
        <v>6.6396665319999997</v>
      </c>
      <c r="BC169">
        <f ca="1">IF(ISERROR(IF(MEDIAN($BC$170:$BC$179) = 0, "", MEDIAN($BC$170:$BC$179))), "", (IF(MEDIAN($BC$170:$BC$179) = 0, "", MEDIAN($BC$170:$BC$179))))</f>
        <v>6.9752077430000003</v>
      </c>
      <c r="BD169">
        <f ca="1">IF(ISERROR(IF(MEDIAN($BD$170:$BD$179) = 0, "", MEDIAN($BD$170:$BD$179))), "", (IF(MEDIAN($BD$170:$BD$179) = 0, "", MEDIAN($BD$170:$BD$179))))</f>
        <v>5.8758352489999996</v>
      </c>
      <c r="BE169">
        <f ca="1">IF(ISERROR(IF(MEDIAN($BE$170:$BE$179) = 0, "", MEDIAN($BE$170:$BE$179))), "", (IF(MEDIAN($BE$170:$BE$179) = 0, "", MEDIAN($BE$170:$BE$179))))</f>
        <v>6.7063461970000002</v>
      </c>
      <c r="BF169">
        <f ca="1">IF(ISERROR(IF(MEDIAN($BF$170:$BF$179) = 0, "", MEDIAN($BF$170:$BF$179))), "", (IF(MEDIAN($BF$170:$BF$179) = 0, "", MEDIAN($BF$170:$BF$179))))</f>
        <v>6.6875218009999999</v>
      </c>
      <c r="BG169">
        <f ca="1">IF(ISERROR(IF(MEDIAN($BG$170:$BG$179) = 0, "", MEDIAN($BG$170:$BG$179))), "", (IF(MEDIAN($BG$170:$BG$179) = 0, "", MEDIAN($BG$170:$BG$179))))</f>
        <v>7.2397652309999998</v>
      </c>
      <c r="BH169">
        <f ca="1">IF(ISERROR(IF(MEDIAN($BH$170:$BH$179) = 0, "", MEDIAN($BH$170:$BH$179))), "", (IF(MEDIAN($BH$170:$BH$179) = 0, "", MEDIAN($BH$170:$BH$179))))</f>
        <v>6.1420760669999996</v>
      </c>
      <c r="BI169">
        <f ca="1">IF(ISERROR(IF(MEDIAN($BI$170:$BI$179) = 0, "", MEDIAN($BI$170:$BI$179))), "", (IF(MEDIAN($BI$170:$BI$179) = 0, "", MEDIAN($BI$170:$BI$179))))</f>
        <v>6.5327859310000003</v>
      </c>
      <c r="BJ169">
        <f ca="1">IF(ISERROR(IF(MEDIAN($BJ$170:$BJ$179) = 0, "", MEDIAN($BJ$170:$BJ$179))), "", (IF(MEDIAN($BJ$170:$BJ$179) = 0, "", MEDIAN($BJ$170:$BJ$179))))</f>
        <v>6.4413779199999999</v>
      </c>
      <c r="BK169">
        <f ca="1">IF(ISERROR(IF(MEDIAN($BK$170:$BK$179) = 0, "", MEDIAN($BK$170:$BK$179))), "", (IF(MEDIAN($BK$170:$BK$179) = 0, "", MEDIAN($BK$170:$BK$179))))</f>
        <v>6.6037505789999997</v>
      </c>
      <c r="BL169">
        <f ca="1">IF(ISERROR(IF(MEDIAN($BL$170:$BL$179) = 0, "", MEDIAN($BL$170:$BL$179))), "", (IF(MEDIAN($BL$170:$BL$179) = 0, "", MEDIAN($BL$170:$BL$179))))</f>
        <v>6.6344826599999998</v>
      </c>
      <c r="BM169">
        <f ca="1">IF(ISERROR(IF(MEDIAN($BM$170:$BM$179) = 0, "", MEDIAN($BM$170:$BM$179))), "", (IF(MEDIAN($BM$170:$BM$179) = 0, "", MEDIAN($BM$170:$BM$179))))</f>
        <v>6.0729576290000002</v>
      </c>
      <c r="BN169" t="str">
        <f>""</f>
        <v/>
      </c>
      <c r="BO169">
        <f>5.708272274</f>
        <v>5.7082722739999996</v>
      </c>
      <c r="BP169">
        <f>6.334872578</f>
        <v>6.3348725779999997</v>
      </c>
      <c r="BQ169">
        <f>6.131270165</f>
        <v>6.1312701650000001</v>
      </c>
      <c r="BR169">
        <f>5.953313356</f>
        <v>5.9533133559999998</v>
      </c>
      <c r="BS169">
        <f>5.62744786</f>
        <v>5.6274478600000002</v>
      </c>
      <c r="BT169">
        <f>5.727023263</f>
        <v>5.7270232630000004</v>
      </c>
      <c r="BU169">
        <f>5.857159166</f>
        <v>5.8571591659999998</v>
      </c>
      <c r="BV169">
        <f>5.751298387</f>
        <v>5.7512983870000003</v>
      </c>
      <c r="BW169">
        <f>6.224428496</f>
        <v>6.2244284959999998</v>
      </c>
      <c r="BX169">
        <f>6.078517942</f>
        <v>6.0785179420000004</v>
      </c>
      <c r="BY169">
        <f>5.825763185</f>
        <v>5.8257631849999996</v>
      </c>
      <c r="BZ169">
        <f>5.740832801</f>
        <v>5.7408328009999998</v>
      </c>
      <c r="CA169">
        <f>5.416227158</f>
        <v>5.4162271579999999</v>
      </c>
      <c r="CB169">
        <f>5.406232143</f>
        <v>5.4062321430000004</v>
      </c>
      <c r="CC169">
        <f>5.363020262</f>
        <v>5.363020262</v>
      </c>
      <c r="CD169">
        <f>5.302820491</f>
        <v>5.3028204910000003</v>
      </c>
      <c r="CE169">
        <f>5.57030755</f>
        <v>5.5703075499999999</v>
      </c>
      <c r="CF169">
        <f>5.268710911</f>
        <v>5.2687109110000003</v>
      </c>
      <c r="CG169">
        <f>5.103950527</f>
        <v>5.1039505270000003</v>
      </c>
      <c r="CH169">
        <f>5.24587163</f>
        <v>5.2458716299999999</v>
      </c>
      <c r="CI169">
        <f>5.504341379</f>
        <v>5.5043413790000004</v>
      </c>
      <c r="CJ169">
        <f>6.254428691</f>
        <v>6.2544286910000002</v>
      </c>
      <c r="CK169">
        <f>6.128306038</f>
        <v>6.1283060379999998</v>
      </c>
      <c r="CL169">
        <f>6.222178119</f>
        <v>6.2221781189999996</v>
      </c>
      <c r="CM169">
        <f>6.558158771</f>
        <v>6.5581587710000004</v>
      </c>
      <c r="CN169">
        <f>6.157162785</f>
        <v>6.1571627849999997</v>
      </c>
      <c r="CO169">
        <f>5.85471106</f>
        <v>5.8547110599999996</v>
      </c>
      <c r="CP169">
        <f>5.674605519</f>
        <v>5.674605519</v>
      </c>
      <c r="CQ169">
        <f>5.782344464</f>
        <v>5.7823444640000004</v>
      </c>
      <c r="CR169">
        <f>5.292030494</f>
        <v>5.2920304939999996</v>
      </c>
      <c r="CS169">
        <f>5.346364096</f>
        <v>5.3463640960000003</v>
      </c>
      <c r="CT169">
        <f>5.349469217</f>
        <v>5.3494692170000002</v>
      </c>
      <c r="CU169">
        <f>5.52578268</f>
        <v>5.5257826799999998</v>
      </c>
      <c r="CV169">
        <f>5.810036246</f>
        <v>5.8100362460000001</v>
      </c>
      <c r="CW169">
        <f>5.750405867</f>
        <v>5.7504058669999996</v>
      </c>
      <c r="CX169">
        <f>5.45290981</f>
        <v>5.4529098100000004</v>
      </c>
      <c r="CY169">
        <f>5.3253466</f>
        <v>5.3253465999999996</v>
      </c>
      <c r="CZ169">
        <f>6.257717242</f>
        <v>6.257717242</v>
      </c>
      <c r="DA169">
        <f>6.051580357</f>
        <v>6.0515803569999997</v>
      </c>
      <c r="DB169">
        <f>6.216405664</f>
        <v>6.2164056639999998</v>
      </c>
      <c r="DC169">
        <f>6.268373621</f>
        <v>6.2683736210000003</v>
      </c>
      <c r="DD169">
        <f>6.373696208</f>
        <v>6.3736962080000001</v>
      </c>
      <c r="DE169">
        <f>6.331909609</f>
        <v>6.3319096090000002</v>
      </c>
      <c r="DF169">
        <f>6.635792695</f>
        <v>6.6357926950000001</v>
      </c>
      <c r="DG169">
        <f>6.695941296</f>
        <v>6.695941296</v>
      </c>
      <c r="DH169">
        <f>6.593234288</f>
        <v>6.5932342879999997</v>
      </c>
      <c r="DI169">
        <f>6.530460129</f>
        <v>6.5304601289999997</v>
      </c>
      <c r="DJ169">
        <f>6.639666532</f>
        <v>6.6396665319999997</v>
      </c>
      <c r="DK169">
        <f>6.975207743</f>
        <v>6.9752077430000003</v>
      </c>
      <c r="DL169">
        <f>5.875835249</f>
        <v>5.8758352489999996</v>
      </c>
      <c r="DM169">
        <f>6.706346197</f>
        <v>6.7063461970000002</v>
      </c>
      <c r="DN169">
        <f>6.687521801</f>
        <v>6.6875218009999999</v>
      </c>
      <c r="DO169">
        <f>7.239765231</f>
        <v>7.2397652309999998</v>
      </c>
      <c r="DP169">
        <f>6.142076067</f>
        <v>6.1420760669999996</v>
      </c>
      <c r="DQ169">
        <f>6.532785931</f>
        <v>6.5327859310000003</v>
      </c>
      <c r="DR169">
        <f>6.44137792</f>
        <v>6.4413779199999999</v>
      </c>
      <c r="DS169">
        <f>6.603750579</f>
        <v>6.6037505789999997</v>
      </c>
      <c r="DT169">
        <f>6.63448266</f>
        <v>6.6344826599999998</v>
      </c>
      <c r="DU169">
        <f>6.072957629</f>
        <v>6.0729576290000002</v>
      </c>
    </row>
    <row r="170" spans="1:125">
      <c r="A170" t="str">
        <f>"    Boston Properties Inc"</f>
        <v xml:space="preserve">    Boston Properties Inc</v>
      </c>
      <c r="B170" t="str">
        <f>"BXP US Equity"</f>
        <v>BXP US Equity</v>
      </c>
      <c r="C170" t="str">
        <f t="shared" ref="C170:C179" si="45">"RR554"</f>
        <v>RR554</v>
      </c>
      <c r="D170" t="str">
        <f t="shared" ref="D170:D179" si="46">"FFO_RE_ASSET"</f>
        <v>FFO_RE_ASSET</v>
      </c>
      <c r="E170" t="str">
        <f t="shared" ref="E170:E179" si="47">"动态"</f>
        <v>动态</v>
      </c>
      <c r="F170" t="str">
        <f ca="1">IF(AND(ISNUMBER($F$476),$B$294=1),$F$476,HLOOKUP(INDIRECT(ADDRESS(2,COLUMN())),OFFSET($BN$2,0,0,ROW()-1,60),ROW()-1,FALSE))</f>
        <v/>
      </c>
      <c r="G170">
        <f ca="1">IF(AND(ISNUMBER($G$476),$B$294=1),$G$476,HLOOKUP(INDIRECT(ADDRESS(2,COLUMN())),OFFSET($BN$2,0,0,ROW()-1,60),ROW()-1,FALSE))</f>
        <v>5.6724302499999997</v>
      </c>
      <c r="H170">
        <f ca="1">IF(AND(ISNUMBER($H$476),$B$294=1),$H$476,HLOOKUP(INDIRECT(ADDRESS(2,COLUMN())),OFFSET($BN$2,0,0,ROW()-1,60),ROW()-1,FALSE))</f>
        <v>5.7594340620000004</v>
      </c>
      <c r="I170">
        <f ca="1">IF(AND(ISNUMBER($I$476),$B$294=1),$I$476,HLOOKUP(INDIRECT(ADDRESS(2,COLUMN())),OFFSET($BN$2,0,0,ROW()-1,60),ROW()-1,FALSE))</f>
        <v>5.7053550729999998</v>
      </c>
      <c r="J170">
        <f ca="1">IF(AND(ISNUMBER($J$476),$B$294=1),$J$476,HLOOKUP(INDIRECT(ADDRESS(2,COLUMN())),OFFSET($BN$2,0,0,ROW()-1,60),ROW()-1,FALSE))</f>
        <v>5.5396826790000002</v>
      </c>
      <c r="K170">
        <f ca="1">IF(AND(ISNUMBER($K$476),$B$294=1),$K$476,HLOOKUP(INDIRECT(ADDRESS(2,COLUMN())),OFFSET($BN$2,0,0,ROW()-1,60),ROW()-1,FALSE))</f>
        <v>5.7107654529999996</v>
      </c>
      <c r="L170">
        <f ca="1">IF(AND(ISNUMBER($L$476),$B$294=1),$L$476,HLOOKUP(INDIRECT(ADDRESS(2,COLUMN())),OFFSET($BN$2,0,0,ROW()-1,60),ROW()-1,FALSE))</f>
        <v>5.4909341009999997</v>
      </c>
      <c r="M170">
        <f ca="1">IF(AND(ISNUMBER($M$476),$B$294=1),$M$476,HLOOKUP(INDIRECT(ADDRESS(2,COLUMN())),OFFSET($BN$2,0,0,ROW()-1,60),ROW()-1,FALSE))</f>
        <v>5.5690203460000003</v>
      </c>
      <c r="N170">
        <f ca="1">IF(AND(ISNUMBER($N$476),$B$294=1),$N$476,HLOOKUP(INDIRECT(ADDRESS(2,COLUMN())),OFFSET($BN$2,0,0,ROW()-1,60),ROW()-1,FALSE))</f>
        <v>5.5358727759999997</v>
      </c>
      <c r="O170">
        <f ca="1">IF(AND(ISNUMBER($O$476),$B$294=1),$O$476,HLOOKUP(INDIRECT(ADDRESS(2,COLUMN())),OFFSET($BN$2,0,0,ROW()-1,60),ROW()-1,FALSE))</f>
        <v>5.2014455340000003</v>
      </c>
      <c r="P170">
        <f ca="1">IF(AND(ISNUMBER($P$476),$B$294=1),$P$476,HLOOKUP(INDIRECT(ADDRESS(2,COLUMN())),OFFSET($BN$2,0,0,ROW()-1,60),ROW()-1,FALSE))</f>
        <v>5.1459139030000003</v>
      </c>
      <c r="Q170">
        <f ca="1">IF(AND(ISNUMBER($Q$476),$B$294=1),$Q$476,HLOOKUP(INDIRECT(ADDRESS(2,COLUMN())),OFFSET($BN$2,0,0,ROW()-1,60),ROW()-1,FALSE))</f>
        <v>5.1777764060000004</v>
      </c>
      <c r="R170">
        <f ca="1">IF(AND(ISNUMBER($R$476),$B$294=1),$R$476,HLOOKUP(INDIRECT(ADDRESS(2,COLUMN())),OFFSET($BN$2,0,0,ROW()-1,60),ROW()-1,FALSE))</f>
        <v>5.1888556579999996</v>
      </c>
      <c r="S170">
        <f ca="1">IF(AND(ISNUMBER($S$476),$B$294=1),$S$476,HLOOKUP(INDIRECT(ADDRESS(2,COLUMN())),OFFSET($BN$2,0,0,ROW()-1,60),ROW()-1,FALSE))</f>
        <v>5.0719690980000003</v>
      </c>
      <c r="T170">
        <f ca="1">IF(AND(ISNUMBER($T$476),$B$294=1),$T$476,HLOOKUP(INDIRECT(ADDRESS(2,COLUMN())),OFFSET($BN$2,0,0,ROW()-1,60),ROW()-1,FALSE))</f>
        <v>5.07064161</v>
      </c>
      <c r="U170">
        <f ca="1">IF(AND(ISNUMBER($U$476),$B$294=1),$U$476,HLOOKUP(INDIRECT(ADDRESS(2,COLUMN())),OFFSET($BN$2,0,0,ROW()-1,60),ROW()-1,FALSE))</f>
        <v>4.9074672149999996</v>
      </c>
      <c r="V170">
        <f ca="1">IF(AND(ISNUMBER($V$476),$B$294=1),$V$476,HLOOKUP(INDIRECT(ADDRESS(2,COLUMN())),OFFSET($BN$2,0,0,ROW()-1,60),ROW()-1,FALSE))</f>
        <v>5.30742139</v>
      </c>
      <c r="W170">
        <f ca="1">IF(AND(ISNUMBER($W$476),$B$294=1),$W$476,HLOOKUP(INDIRECT(ADDRESS(2,COLUMN())),OFFSET($BN$2,0,0,ROW()-1,60),ROW()-1,FALSE))</f>
        <v>5.2081256419999997</v>
      </c>
      <c r="X170">
        <f ca="1">IF(AND(ISNUMBER($X$476),$B$294=1),$X$476,HLOOKUP(INDIRECT(ADDRESS(2,COLUMN())),OFFSET($BN$2,0,0,ROW()-1,60),ROW()-1,FALSE))</f>
        <v>5.2492915910000004</v>
      </c>
      <c r="Y170">
        <f ca="1">IF(AND(ISNUMBER($Y$476),$B$294=1),$Y$476,HLOOKUP(INDIRECT(ADDRESS(2,COLUMN())),OFFSET($BN$2,0,0,ROW()-1,60),ROW()-1,FALSE))</f>
        <v>5.1200104059999996</v>
      </c>
      <c r="Z170">
        <f ca="1">IF(AND(ISNUMBER($Z$476),$B$294=1),$Z$476,HLOOKUP(INDIRECT(ADDRESS(2,COLUMN())),OFFSET($BN$2,0,0,ROW()-1,60),ROW()-1,FALSE))</f>
        <v>5.7657939230000004</v>
      </c>
      <c r="AA170">
        <f ca="1">IF(AND(ISNUMBER($AA$476),$B$294=1),$AA$476,HLOOKUP(INDIRECT(ADDRESS(2,COLUMN())),OFFSET($BN$2,0,0,ROW()-1,60),ROW()-1,FALSE))</f>
        <v>6.028434979</v>
      </c>
      <c r="AB170">
        <f ca="1">IF(AND(ISNUMBER($AB$476),$B$294=1),$AB$476,HLOOKUP(INDIRECT(ADDRESS(2,COLUMN())),OFFSET($BN$2,0,0,ROW()-1,60),ROW()-1,FALSE))</f>
        <v>6.0270669330000004</v>
      </c>
      <c r="AC170">
        <f ca="1">IF(AND(ISNUMBER($AC$476),$B$294=1),$AC$476,HLOOKUP(INDIRECT(ADDRESS(2,COLUMN())),OFFSET($BN$2,0,0,ROW()-1,60),ROW()-1,FALSE))</f>
        <v>6.2022636440000003</v>
      </c>
      <c r="AD170">
        <f ca="1">IF(AND(ISNUMBER($AD$476),$B$294=1),$AD$476,HLOOKUP(INDIRECT(ADDRESS(2,COLUMN())),OFFSET($BN$2,0,0,ROW()-1,60),ROW()-1,FALSE))</f>
        <v>5.9995752729999996</v>
      </c>
      <c r="AE170">
        <f ca="1">IF(AND(ISNUMBER($AE$476),$B$294=1),$AE$476,HLOOKUP(INDIRECT(ADDRESS(2,COLUMN())),OFFSET($BN$2,0,0,ROW()-1,60),ROW()-1,FALSE))</f>
        <v>6.1369615270000004</v>
      </c>
      <c r="AF170">
        <f ca="1">IF(AND(ISNUMBER($AF$476),$B$294=1),$AF$476,HLOOKUP(INDIRECT(ADDRESS(2,COLUMN())),OFFSET($BN$2,0,0,ROW()-1,60),ROW()-1,FALSE))</f>
        <v>5.5812596020000003</v>
      </c>
      <c r="AG170">
        <f ca="1">IF(AND(ISNUMBER($AG$476),$B$294=1),$AG$476,HLOOKUP(INDIRECT(ADDRESS(2,COLUMN())),OFFSET($BN$2,0,0,ROW()-1,60),ROW()-1,FALSE))</f>
        <v>5.3239671690000003</v>
      </c>
      <c r="AH170">
        <f ca="1">IF(AND(ISNUMBER($AH$476),$B$294=1),$AH$476,HLOOKUP(INDIRECT(ADDRESS(2,COLUMN())),OFFSET($BN$2,0,0,ROW()-1,60),ROW()-1,FALSE))</f>
        <v>5.112962402</v>
      </c>
      <c r="AI170">
        <f ca="1">IF(AND(ISNUMBER($AI$476),$B$294=1),$AI$476,HLOOKUP(INDIRECT(ADDRESS(2,COLUMN())),OFFSET($BN$2,0,0,ROW()-1,60),ROW()-1,FALSE))</f>
        <v>5.0718314109999998</v>
      </c>
      <c r="AJ170">
        <f ca="1">IF(AND(ISNUMBER($AJ$476),$B$294=1),$AJ$476,HLOOKUP(INDIRECT(ADDRESS(2,COLUMN())),OFFSET($BN$2,0,0,ROW()-1,60),ROW()-1,FALSE))</f>
        <v>5.8425453989999996</v>
      </c>
      <c r="AK170">
        <f ca="1">IF(AND(ISNUMBER($AK$476),$B$294=1),$AK$476,HLOOKUP(INDIRECT(ADDRESS(2,COLUMN())),OFFSET($BN$2,0,0,ROW()-1,60),ROW()-1,FALSE))</f>
        <v>6.0363720430000001</v>
      </c>
      <c r="AL170">
        <f ca="1">IF(AND(ISNUMBER($AL$476),$B$294=1),$AL$476,HLOOKUP(INDIRECT(ADDRESS(2,COLUMN())),OFFSET($BN$2,0,0,ROW()-1,60),ROW()-1,FALSE))</f>
        <v>6.1669816309999996</v>
      </c>
      <c r="AM170">
        <f ca="1">IF(AND(ISNUMBER($AM$476),$B$294=1),$AM$476,HLOOKUP(INDIRECT(ADDRESS(2,COLUMN())),OFFSET($BN$2,0,0,ROW()-1,60),ROW()-1,FALSE))</f>
        <v>6.057045488</v>
      </c>
      <c r="AN170">
        <f ca="1">IF(AND(ISNUMBER($AN$476),$B$294=1),$AN$476,HLOOKUP(INDIRECT(ADDRESS(2,COLUMN())),OFFSET($BN$2,0,0,ROW()-1,60),ROW()-1,FALSE))</f>
        <v>4.5694496630000003</v>
      </c>
      <c r="AO170">
        <f ca="1">IF(AND(ISNUMBER($AO$476),$B$294=1),$AO$476,HLOOKUP(INDIRECT(ADDRESS(2,COLUMN())),OFFSET($BN$2,0,0,ROW()-1,60),ROW()-1,FALSE))</f>
        <v>4.6757211129999998</v>
      </c>
      <c r="AP170">
        <f ca="1">IF(AND(ISNUMBER($AP$476),$B$294=1),$AP$476,HLOOKUP(INDIRECT(ADDRESS(2,COLUMN())),OFFSET($BN$2,0,0,ROW()-1,60),ROW()-1,FALSE))</f>
        <v>4.8489655479999998</v>
      </c>
      <c r="AQ170">
        <f ca="1">IF(AND(ISNUMBER($AQ$476),$B$294=1),$AQ$476,HLOOKUP(INDIRECT(ADDRESS(2,COLUMN())),OFFSET($BN$2,0,0,ROW()-1,60),ROW()-1,FALSE))</f>
        <v>5.0488528490000002</v>
      </c>
      <c r="AR170">
        <f ca="1">IF(AND(ISNUMBER($AR$476),$B$294=1),$AR$476,HLOOKUP(INDIRECT(ADDRESS(2,COLUMN())),OFFSET($BN$2,0,0,ROW()-1,60),ROW()-1,FALSE))</f>
        <v>6.9990592249999999</v>
      </c>
      <c r="AS170">
        <f ca="1">IF(AND(ISNUMBER($AS$476),$B$294=1),$AS$476,HLOOKUP(INDIRECT(ADDRESS(2,COLUMN())),OFFSET($BN$2,0,0,ROW()-1,60),ROW()-1,FALSE))</f>
        <v>7.2613865180000001</v>
      </c>
      <c r="AT170">
        <f ca="1">IF(AND(ISNUMBER($AT$476),$B$294=1),$AT$476,HLOOKUP(INDIRECT(ADDRESS(2,COLUMN())),OFFSET($BN$2,0,0,ROW()-1,60),ROW()-1,FALSE))</f>
        <v>7.6054932160000002</v>
      </c>
      <c r="AU170">
        <f ca="1">IF(AND(ISNUMBER($AU$476),$B$294=1),$AU$476,HLOOKUP(INDIRECT(ADDRESS(2,COLUMN())),OFFSET($BN$2,0,0,ROW()-1,60),ROW()-1,FALSE))</f>
        <v>7.7053508769999999</v>
      </c>
      <c r="AV170">
        <f ca="1">IF(AND(ISNUMBER($AV$476),$B$294=1),$AV$476,HLOOKUP(INDIRECT(ADDRESS(2,COLUMN())),OFFSET($BN$2,0,0,ROW()-1,60),ROW()-1,FALSE))</f>
        <v>7.9231452830000002</v>
      </c>
      <c r="AW170">
        <f ca="1">IF(AND(ISNUMBER($AW$476),$B$294=1),$AW$476,HLOOKUP(INDIRECT(ADDRESS(2,COLUMN())),OFFSET($BN$2,0,0,ROW()-1,60),ROW()-1,FALSE))</f>
        <v>8.0635010749999996</v>
      </c>
      <c r="AX170">
        <f ca="1">IF(AND(ISNUMBER($AX$476),$B$294=1),$AX$476,HLOOKUP(INDIRECT(ADDRESS(2,COLUMN())),OFFSET($BN$2,0,0,ROW()-1,60),ROW()-1,FALSE))</f>
        <v>7.4446760740000002</v>
      </c>
      <c r="AY170">
        <f ca="1">IF(AND(ISNUMBER($AY$476),$B$294=1),$AY$476,HLOOKUP(INDIRECT(ADDRESS(2,COLUMN())),OFFSET($BN$2,0,0,ROW()-1,60),ROW()-1,FALSE))</f>
        <v>7.3208941589999998</v>
      </c>
      <c r="AZ170">
        <f ca="1">IF(AND(ISNUMBER($AZ$476),$B$294=1),$AZ$476,HLOOKUP(INDIRECT(ADDRESS(2,COLUMN())),OFFSET($BN$2,0,0,ROW()-1,60),ROW()-1,FALSE))</f>
        <v>6.5932342879999997</v>
      </c>
      <c r="BA170">
        <f ca="1">IF(AND(ISNUMBER($BA$476),$B$294=1),$BA$476,HLOOKUP(INDIRECT(ADDRESS(2,COLUMN())),OFFSET($BN$2,0,0,ROW()-1,60),ROW()-1,FALSE))</f>
        <v>6.5304601289999997</v>
      </c>
      <c r="BB170">
        <f ca="1">IF(AND(ISNUMBER($BB$476),$B$294=1),$BB$476,HLOOKUP(INDIRECT(ADDRESS(2,COLUMN())),OFFSET($BN$2,0,0,ROW()-1,60),ROW()-1,FALSE))</f>
        <v>4.7707442169999998</v>
      </c>
      <c r="BC170">
        <f ca="1">IF(AND(ISNUMBER($BC$476),$B$294=1),$BC$476,HLOOKUP(INDIRECT(ADDRESS(2,COLUMN())),OFFSET($BN$2,0,0,ROW()-1,60),ROW()-1,FALSE))</f>
        <v>4.7461166910000001</v>
      </c>
      <c r="BD170">
        <f ca="1">IF(AND(ISNUMBER($BD$476),$B$294=1),$BD$476,HLOOKUP(INDIRECT(ADDRESS(2,COLUMN())),OFFSET($BN$2,0,0,ROW()-1,60),ROW()-1,FALSE))</f>
        <v>4.9235113449999997</v>
      </c>
      <c r="BE170">
        <f ca="1">IF(AND(ISNUMBER($BE$476),$B$294=1),$BE$476,HLOOKUP(INDIRECT(ADDRESS(2,COLUMN())),OFFSET($BN$2,0,0,ROW()-1,60),ROW()-1,FALSE))</f>
        <v>4.59787838</v>
      </c>
      <c r="BF170">
        <f ca="1">IF(AND(ISNUMBER($BF$476),$B$294=1),$BF$476,HLOOKUP(INDIRECT(ADDRESS(2,COLUMN())),OFFSET($BN$2,0,0,ROW()-1,60),ROW()-1,FALSE))</f>
        <v>6.0481787599999999</v>
      </c>
      <c r="BG170">
        <f ca="1">IF(AND(ISNUMBER($BG$476),$B$294=1),$BG$476,HLOOKUP(INDIRECT(ADDRESS(2,COLUMN())),OFFSET($BN$2,0,0,ROW()-1,60),ROW()-1,FALSE))</f>
        <v>5.6390091389999997</v>
      </c>
      <c r="BH170">
        <f ca="1">IF(AND(ISNUMBER($BH$476),$B$294=1),$BH$476,HLOOKUP(INDIRECT(ADDRESS(2,COLUMN())),OFFSET($BN$2,0,0,ROW()-1,60),ROW()-1,FALSE))</f>
        <v>5.545981426</v>
      </c>
      <c r="BI170">
        <f ca="1">IF(AND(ISNUMBER($BI$476),$B$294=1),$BI$476,HLOOKUP(INDIRECT(ADDRESS(2,COLUMN())),OFFSET($BN$2,0,0,ROW()-1,60),ROW()-1,FALSE))</f>
        <v>5.3406494799999997</v>
      </c>
      <c r="BJ170">
        <f ca="1">IF(AND(ISNUMBER($BJ$476),$B$294=1),$BJ$476,HLOOKUP(INDIRECT(ADDRESS(2,COLUMN())),OFFSET($BN$2,0,0,ROW()-1,60),ROW()-1,FALSE))</f>
        <v>3.930751544</v>
      </c>
      <c r="BK170">
        <f ca="1">IF(AND(ISNUMBER($BK$476),$B$294=1),$BK$476,HLOOKUP(INDIRECT(ADDRESS(2,COLUMN())),OFFSET($BN$2,0,0,ROW()-1,60),ROW()-1,FALSE))</f>
        <v>3.8619515980000001</v>
      </c>
      <c r="BL170">
        <f ca="1">IF(AND(ISNUMBER($BL$476),$B$294=1),$BL$476,HLOOKUP(INDIRECT(ADDRESS(2,COLUMN())),OFFSET($BN$2,0,0,ROW()-1,60),ROW()-1,FALSE))</f>
        <v>3.9628937830000002</v>
      </c>
      <c r="BM170">
        <f ca="1">IF(AND(ISNUMBER($BM$476),$B$294=1),$BM$476,HLOOKUP(INDIRECT(ADDRESS(2,COLUMN())),OFFSET($BN$2,0,0,ROW()-1,60),ROW()-1,FALSE))</f>
        <v>4.3144750399999996</v>
      </c>
      <c r="BN170" t="str">
        <f>""</f>
        <v/>
      </c>
      <c r="BO170">
        <f>5.67243025</f>
        <v>5.6724302499999997</v>
      </c>
      <c r="BP170">
        <f>5.759434062</f>
        <v>5.7594340620000004</v>
      </c>
      <c r="BQ170">
        <f>5.705355073</f>
        <v>5.7053550729999998</v>
      </c>
      <c r="BR170">
        <f>5.539682679</f>
        <v>5.5396826790000002</v>
      </c>
      <c r="BS170">
        <f>5.710765453</f>
        <v>5.7107654529999996</v>
      </c>
      <c r="BT170">
        <f>5.490934101</f>
        <v>5.4909341009999997</v>
      </c>
      <c r="BU170">
        <f>5.569020346</f>
        <v>5.5690203460000003</v>
      </c>
      <c r="BV170">
        <f>5.535872776</f>
        <v>5.5358727759999997</v>
      </c>
      <c r="BW170">
        <f>5.201445534</f>
        <v>5.2014455340000003</v>
      </c>
      <c r="BX170">
        <f>5.145913903</f>
        <v>5.1459139030000003</v>
      </c>
      <c r="BY170">
        <f>5.177776406</f>
        <v>5.1777764060000004</v>
      </c>
      <c r="BZ170">
        <f>5.188855658</f>
        <v>5.1888556579999996</v>
      </c>
      <c r="CA170">
        <f>5.071969098</f>
        <v>5.0719690980000003</v>
      </c>
      <c r="CB170">
        <f>5.07064161</f>
        <v>5.07064161</v>
      </c>
      <c r="CC170">
        <f>4.907467215</f>
        <v>4.9074672149999996</v>
      </c>
      <c r="CD170">
        <f>5.30742139</f>
        <v>5.30742139</v>
      </c>
      <c r="CE170">
        <f>5.208125642</f>
        <v>5.2081256419999997</v>
      </c>
      <c r="CF170">
        <f>5.249291591</f>
        <v>5.2492915910000004</v>
      </c>
      <c r="CG170">
        <f>5.120010406</f>
        <v>5.1200104059999996</v>
      </c>
      <c r="CH170">
        <f>5.765793923</f>
        <v>5.7657939230000004</v>
      </c>
      <c r="CI170">
        <f>6.028434979</f>
        <v>6.028434979</v>
      </c>
      <c r="CJ170">
        <f>6.027066933</f>
        <v>6.0270669330000004</v>
      </c>
      <c r="CK170">
        <f>6.202263644</f>
        <v>6.2022636440000003</v>
      </c>
      <c r="CL170">
        <f>5.999575273</f>
        <v>5.9995752729999996</v>
      </c>
      <c r="CM170">
        <f>6.136961527</f>
        <v>6.1369615270000004</v>
      </c>
      <c r="CN170">
        <f>5.581259602</f>
        <v>5.5812596020000003</v>
      </c>
      <c r="CO170">
        <f>5.323967169</f>
        <v>5.3239671690000003</v>
      </c>
      <c r="CP170">
        <f>5.112962402</f>
        <v>5.112962402</v>
      </c>
      <c r="CQ170">
        <f>5.071831411</f>
        <v>5.0718314109999998</v>
      </c>
      <c r="CR170">
        <f>5.842545399</f>
        <v>5.8425453989999996</v>
      </c>
      <c r="CS170">
        <f>6.036372043</f>
        <v>6.0363720430000001</v>
      </c>
      <c r="CT170">
        <f>6.166981631</f>
        <v>6.1669816309999996</v>
      </c>
      <c r="CU170">
        <f>6.057045488</f>
        <v>6.057045488</v>
      </c>
      <c r="CV170">
        <f>4.569449663</f>
        <v>4.5694496630000003</v>
      </c>
      <c r="CW170">
        <f>4.675721113</f>
        <v>4.6757211129999998</v>
      </c>
      <c r="CX170">
        <f>4.848965548</f>
        <v>4.8489655479999998</v>
      </c>
      <c r="CY170">
        <f>5.048852849</f>
        <v>5.0488528490000002</v>
      </c>
      <c r="CZ170">
        <f>6.999059225</f>
        <v>6.9990592249999999</v>
      </c>
      <c r="DA170">
        <f>7.261386518</f>
        <v>7.2613865180000001</v>
      </c>
      <c r="DB170">
        <f>7.605493216</f>
        <v>7.6054932160000002</v>
      </c>
      <c r="DC170">
        <f>7.705350877</f>
        <v>7.7053508769999999</v>
      </c>
      <c r="DD170">
        <f>7.923145283</f>
        <v>7.9231452830000002</v>
      </c>
      <c r="DE170">
        <f>8.063501075</f>
        <v>8.0635010749999996</v>
      </c>
      <c r="DF170">
        <f>7.444676074</f>
        <v>7.4446760740000002</v>
      </c>
      <c r="DG170">
        <f>7.320894159</f>
        <v>7.3208941589999998</v>
      </c>
      <c r="DH170">
        <f>6.593234288</f>
        <v>6.5932342879999997</v>
      </c>
      <c r="DI170">
        <f>6.530460129</f>
        <v>6.5304601289999997</v>
      </c>
      <c r="DJ170">
        <f>4.770744217</f>
        <v>4.7707442169999998</v>
      </c>
      <c r="DK170">
        <f>4.746116691</f>
        <v>4.7461166910000001</v>
      </c>
      <c r="DL170">
        <f>4.923511345</f>
        <v>4.9235113449999997</v>
      </c>
      <c r="DM170">
        <f>4.59787838</f>
        <v>4.59787838</v>
      </c>
      <c r="DN170">
        <f>6.04817876</f>
        <v>6.0481787599999999</v>
      </c>
      <c r="DO170">
        <f>5.639009139</f>
        <v>5.6390091389999997</v>
      </c>
      <c r="DP170">
        <f>5.545981426</f>
        <v>5.545981426</v>
      </c>
      <c r="DQ170">
        <f>5.34064948</f>
        <v>5.3406494799999997</v>
      </c>
      <c r="DR170">
        <f>3.930751544</f>
        <v>3.930751544</v>
      </c>
      <c r="DS170">
        <f>3.861951598</f>
        <v>3.8619515980000001</v>
      </c>
      <c r="DT170">
        <f>3.962893783</f>
        <v>3.9628937830000002</v>
      </c>
      <c r="DU170">
        <f>4.31447504</f>
        <v>4.3144750399999996</v>
      </c>
    </row>
    <row r="171" spans="1:125">
      <c r="A171" t="str">
        <f>"    Brandywine Realty Trust"</f>
        <v xml:space="preserve">    Brandywine Realty Trust</v>
      </c>
      <c r="B171" t="str">
        <f>"BDN US Equity"</f>
        <v>BDN US Equity</v>
      </c>
      <c r="C171" t="str">
        <f t="shared" si="45"/>
        <v>RR554</v>
      </c>
      <c r="D171" t="str">
        <f t="shared" si="46"/>
        <v>FFO_RE_ASSET</v>
      </c>
      <c r="E171" t="str">
        <f t="shared" si="47"/>
        <v>动态</v>
      </c>
      <c r="F171" t="str">
        <f ca="1">IF(AND(ISNUMBER($F$477),$B$294=1),$F$477,HLOOKUP(INDIRECT(ADDRESS(2,COLUMN())),OFFSET($BN$2,0,0,ROW()-1,60),ROW()-1,FALSE))</f>
        <v/>
      </c>
      <c r="G171">
        <f ca="1">IF(AND(ISNUMBER($G$477),$B$294=1),$G$477,HLOOKUP(INDIRECT(ADDRESS(2,COLUMN())),OFFSET($BN$2,0,0,ROW()-1,60),ROW()-1,FALSE))</f>
        <v>6.7270051310000003</v>
      </c>
      <c r="H171">
        <f ca="1">IF(AND(ISNUMBER($H$477),$B$294=1),$H$477,HLOOKUP(INDIRECT(ADDRESS(2,COLUMN())),OFFSET($BN$2,0,0,ROW()-1,60),ROW()-1,FALSE))</f>
        <v>6.9403474699999999</v>
      </c>
      <c r="I171">
        <f ca="1">IF(AND(ISNUMBER($I$477),$B$294=1),$I$477,HLOOKUP(INDIRECT(ADDRESS(2,COLUMN())),OFFSET($BN$2,0,0,ROW()-1,60),ROW()-1,FALSE))</f>
        <v>6.8095588060000001</v>
      </c>
      <c r="J171">
        <f ca="1">IF(AND(ISNUMBER($J$477),$B$294=1),$J$477,HLOOKUP(INDIRECT(ADDRESS(2,COLUMN())),OFFSET($BN$2,0,0,ROW()-1,60),ROW()-1,FALSE))</f>
        <v>6.7396244479999998</v>
      </c>
      <c r="K171">
        <f ca="1">IF(AND(ISNUMBER($K$477),$B$294=1),$K$477,HLOOKUP(INDIRECT(ADDRESS(2,COLUMN())),OFFSET($BN$2,0,0,ROW()-1,60),ROW()-1,FALSE))</f>
        <v>4.8190097190000003</v>
      </c>
      <c r="L171">
        <f ca="1">IF(AND(ISNUMBER($L$477),$B$294=1),$L$477,HLOOKUP(INDIRECT(ADDRESS(2,COLUMN())),OFFSET($BN$2,0,0,ROW()-1,60),ROW()-1,FALSE))</f>
        <v>4.5246893960000003</v>
      </c>
      <c r="M171">
        <f ca="1">IF(AND(ISNUMBER($M$477),$B$294=1),$M$477,HLOOKUP(INDIRECT(ADDRESS(2,COLUMN())),OFFSET($BN$2,0,0,ROW()-1,60),ROW()-1,FALSE))</f>
        <v>4.9912976320000002</v>
      </c>
      <c r="N171">
        <f ca="1">IF(AND(ISNUMBER($N$477),$B$294=1),$N$477,HLOOKUP(INDIRECT(ADDRESS(2,COLUMN())),OFFSET($BN$2,0,0,ROW()-1,60),ROW()-1,FALSE))</f>
        <v>5.1146667350000001</v>
      </c>
      <c r="O171">
        <f ca="1">IF(AND(ISNUMBER($O$477),$B$294=1),$O$477,HLOOKUP(INDIRECT(ADDRESS(2,COLUMN())),OFFSET($BN$2,0,0,ROW()-1,60),ROW()-1,FALSE))</f>
        <v>6.8980675170000003</v>
      </c>
      <c r="P171">
        <f ca="1">IF(AND(ISNUMBER($P$477),$B$294=1),$P$477,HLOOKUP(INDIRECT(ADDRESS(2,COLUMN())),OFFSET($BN$2,0,0,ROW()-1,60),ROW()-1,FALSE))</f>
        <v>6.0791933269999996</v>
      </c>
      <c r="Q171">
        <f ca="1">IF(AND(ISNUMBER($Q$477),$B$294=1),$Q$477,HLOOKUP(INDIRECT(ADDRESS(2,COLUMN())),OFFSET($BN$2,0,0,ROW()-1,60),ROW()-1,FALSE))</f>
        <v>5.6782630220000003</v>
      </c>
      <c r="R171">
        <f ca="1">IF(AND(ISNUMBER($R$477),$B$294=1),$R$477,HLOOKUP(INDIRECT(ADDRESS(2,COLUMN())),OFFSET($BN$2,0,0,ROW()-1,60),ROW()-1,FALSE))</f>
        <v>5.8081399339999997</v>
      </c>
      <c r="S171">
        <f ca="1">IF(AND(ISNUMBER($S$477),$B$294=1),$S$477,HLOOKUP(INDIRECT(ADDRESS(2,COLUMN())),OFFSET($BN$2,0,0,ROW()-1,60),ROW()-1,FALSE))</f>
        <v>5.5847098539999998</v>
      </c>
      <c r="T171">
        <f ca="1">IF(AND(ISNUMBER($T$477),$B$294=1),$T$477,HLOOKUP(INDIRECT(ADDRESS(2,COLUMN())),OFFSET($BN$2,0,0,ROW()-1,60),ROW()-1,FALSE))</f>
        <v>5.5538629579999998</v>
      </c>
      <c r="U171">
        <f ca="1">IF(AND(ISNUMBER($U$477),$B$294=1),$U$477,HLOOKUP(INDIRECT(ADDRESS(2,COLUMN())),OFFSET($BN$2,0,0,ROW()-1,60),ROW()-1,FALSE))</f>
        <v>5.5417824089999996</v>
      </c>
      <c r="V171">
        <f ca="1">IF(AND(ISNUMBER($V$477),$B$294=1),$V$477,HLOOKUP(INDIRECT(ADDRESS(2,COLUMN())),OFFSET($BN$2,0,0,ROW()-1,60),ROW()-1,FALSE))</f>
        <v>5.2982195909999996</v>
      </c>
      <c r="W171">
        <f ca="1">IF(AND(ISNUMBER($W$477),$B$294=1),$W$477,HLOOKUP(INDIRECT(ADDRESS(2,COLUMN())),OFFSET($BN$2,0,0,ROW()-1,60),ROW()-1,FALSE))</f>
        <v>5.1738451860000003</v>
      </c>
      <c r="X171">
        <f ca="1">IF(AND(ISNUMBER($X$477),$B$294=1),$X$477,HLOOKUP(INDIRECT(ADDRESS(2,COLUMN())),OFFSET($BN$2,0,0,ROW()-1,60),ROW()-1,FALSE))</f>
        <v>4.6115564710000001</v>
      </c>
      <c r="Y171">
        <f ca="1">IF(AND(ISNUMBER($Y$477),$B$294=1),$Y$477,HLOOKUP(INDIRECT(ADDRESS(2,COLUMN())),OFFSET($BN$2,0,0,ROW()-1,60),ROW()-1,FALSE))</f>
        <v>4.4861241100000004</v>
      </c>
      <c r="Z171">
        <f ca="1">IF(AND(ISNUMBER($Z$477),$B$294=1),$Z$477,HLOOKUP(INDIRECT(ADDRESS(2,COLUMN())),OFFSET($BN$2,0,0,ROW()-1,60),ROW()-1,FALSE))</f>
        <v>4.334009</v>
      </c>
      <c r="AA171">
        <f ca="1">IF(AND(ISNUMBER($AA$477),$B$294=1),$AA$477,HLOOKUP(INDIRECT(ADDRESS(2,COLUMN())),OFFSET($BN$2,0,0,ROW()-1,60),ROW()-1,FALSE))</f>
        <v>4.1203597299999997</v>
      </c>
      <c r="AB171">
        <f ca="1">IF(AND(ISNUMBER($AB$477),$B$294=1),$AB$477,HLOOKUP(INDIRECT(ADDRESS(2,COLUMN())),OFFSET($BN$2,0,0,ROW()-1,60),ROW()-1,FALSE))</f>
        <v>4.7214102349999996</v>
      </c>
      <c r="AC171">
        <f ca="1">IF(AND(ISNUMBER($AC$477),$B$294=1),$AC$477,HLOOKUP(INDIRECT(ADDRESS(2,COLUMN())),OFFSET($BN$2,0,0,ROW()-1,60),ROW()-1,FALSE))</f>
        <v>4.8010594810000002</v>
      </c>
      <c r="AD171">
        <f ca="1">IF(AND(ISNUMBER($AD$477),$B$294=1),$AD$477,HLOOKUP(INDIRECT(ADDRESS(2,COLUMN())),OFFSET($BN$2,0,0,ROW()-1,60),ROW()-1,FALSE))</f>
        <v>4.8250158970000001</v>
      </c>
      <c r="AE171">
        <f ca="1">IF(AND(ISNUMBER($AE$477),$B$294=1),$AE$477,HLOOKUP(INDIRECT(ADDRESS(2,COLUMN())),OFFSET($BN$2,0,0,ROW()-1,60),ROW()-1,FALSE))</f>
        <v>4.8158461240000001</v>
      </c>
      <c r="AF171">
        <f ca="1">IF(AND(ISNUMBER($AF$477),$B$294=1),$AF$477,HLOOKUP(INDIRECT(ADDRESS(2,COLUMN())),OFFSET($BN$2,0,0,ROW()-1,60),ROW()-1,FALSE))</f>
        <v>4.7479113689999997</v>
      </c>
      <c r="AG171">
        <f ca="1">IF(AND(ISNUMBER($AG$477),$B$294=1),$AG$477,HLOOKUP(INDIRECT(ADDRESS(2,COLUMN())),OFFSET($BN$2,0,0,ROW()-1,60),ROW()-1,FALSE))</f>
        <v>4.440218174</v>
      </c>
      <c r="AH171">
        <f ca="1">IF(AND(ISNUMBER($AH$477),$B$294=1),$AH$477,HLOOKUP(INDIRECT(ADDRESS(2,COLUMN())),OFFSET($BN$2,0,0,ROW()-1,60),ROW()-1,FALSE))</f>
        <v>4.4189989260000004</v>
      </c>
      <c r="AI171">
        <f ca="1">IF(AND(ISNUMBER($AI$477),$B$294=1),$AI$477,HLOOKUP(INDIRECT(ADDRESS(2,COLUMN())),OFFSET($BN$2,0,0,ROW()-1,60),ROW()-1,FALSE))</f>
        <v>4.3470261040000002</v>
      </c>
      <c r="AJ171">
        <f ca="1">IF(AND(ISNUMBER($AJ$477),$B$294=1),$AJ$477,HLOOKUP(INDIRECT(ADDRESS(2,COLUMN())),OFFSET($BN$2,0,0,ROW()-1,60),ROW()-1,FALSE))</f>
        <v>4.297207416</v>
      </c>
      <c r="AK171">
        <f ca="1">IF(AND(ISNUMBER($AK$477),$B$294=1),$AK$477,HLOOKUP(INDIRECT(ADDRESS(2,COLUMN())),OFFSET($BN$2,0,0,ROW()-1,60),ROW()-1,FALSE))</f>
        <v>4.5932133320000004</v>
      </c>
      <c r="AL171">
        <f ca="1">IF(AND(ISNUMBER($AL$477),$B$294=1),$AL$477,HLOOKUP(INDIRECT(ADDRESS(2,COLUMN())),OFFSET($BN$2,0,0,ROW()-1,60),ROW()-1,FALSE))</f>
        <v>4.8933734019999999</v>
      </c>
      <c r="AM171">
        <f ca="1">IF(AND(ISNUMBER($AM$477),$B$294=1),$AM$477,HLOOKUP(INDIRECT(ADDRESS(2,COLUMN())),OFFSET($BN$2,0,0,ROW()-1,60),ROW()-1,FALSE))</f>
        <v>4.9871188999999996</v>
      </c>
      <c r="AN171">
        <f ca="1">IF(AND(ISNUMBER($AN$477),$B$294=1),$AN$477,HLOOKUP(INDIRECT(ADDRESS(2,COLUMN())),OFFSET($BN$2,0,0,ROW()-1,60),ROW()-1,FALSE))</f>
        <v>5.2482822980000003</v>
      </c>
      <c r="AO171">
        <f ca="1">IF(AND(ISNUMBER($AO$477),$B$294=1),$AO$477,HLOOKUP(INDIRECT(ADDRESS(2,COLUMN())),OFFSET($BN$2,0,0,ROW()-1,60),ROW()-1,FALSE))</f>
        <v>5.0614740930000002</v>
      </c>
      <c r="AP171">
        <f ca="1">IF(AND(ISNUMBER($AP$477),$B$294=1),$AP$477,HLOOKUP(INDIRECT(ADDRESS(2,COLUMN())),OFFSET($BN$2,0,0,ROW()-1,60),ROW()-1,FALSE))</f>
        <v>4.6400832510000001</v>
      </c>
      <c r="AQ171">
        <f ca="1">IF(AND(ISNUMBER($AQ$477),$B$294=1),$AQ$477,HLOOKUP(INDIRECT(ADDRESS(2,COLUMN())),OFFSET($BN$2,0,0,ROW()-1,60),ROW()-1,FALSE))</f>
        <v>4.8553049509999999</v>
      </c>
      <c r="AR171">
        <f ca="1">IF(AND(ISNUMBER($AR$477),$B$294=1),$AR$477,HLOOKUP(INDIRECT(ADDRESS(2,COLUMN())),OFFSET($BN$2,0,0,ROW()-1,60),ROW()-1,FALSE))</f>
        <v>4.7498999990000002</v>
      </c>
      <c r="AS171">
        <f ca="1">IF(AND(ISNUMBER($AS$477),$B$294=1),$AS$477,HLOOKUP(INDIRECT(ADDRESS(2,COLUMN())),OFFSET($BN$2,0,0,ROW()-1,60),ROW()-1,FALSE))</f>
        <v>5.0109171879999996</v>
      </c>
      <c r="AT171">
        <f ca="1">IF(AND(ISNUMBER($AT$477),$B$294=1),$AT$477,HLOOKUP(INDIRECT(ADDRESS(2,COLUMN())),OFFSET($BN$2,0,0,ROW()-1,60),ROW()-1,FALSE))</f>
        <v>5.0152167829999996</v>
      </c>
      <c r="AU171">
        <f ca="1">IF(AND(ISNUMBER($AU$477),$B$294=1),$AU$477,HLOOKUP(INDIRECT(ADDRESS(2,COLUMN())),OFFSET($BN$2,0,0,ROW()-1,60),ROW()-1,FALSE))</f>
        <v>4.8866874500000002</v>
      </c>
      <c r="AV171">
        <f ca="1">IF(AND(ISNUMBER($AV$477),$B$294=1),$AV$477,HLOOKUP(INDIRECT(ADDRESS(2,COLUMN())),OFFSET($BN$2,0,0,ROW()-1,60),ROW()-1,FALSE))</f>
        <v>4.8836176370000004</v>
      </c>
      <c r="AW171">
        <f ca="1">IF(AND(ISNUMBER($AW$477),$B$294=1),$AW$477,HLOOKUP(INDIRECT(ADDRESS(2,COLUMN())),OFFSET($BN$2,0,0,ROW()-1,60),ROW()-1,FALSE))</f>
        <v>5.0553590970000002</v>
      </c>
      <c r="AX171">
        <f ca="1">IF(AND(ISNUMBER($AX$477),$B$294=1),$AX$477,HLOOKUP(INDIRECT(ADDRESS(2,COLUMN())),OFFSET($BN$2,0,0,ROW()-1,60),ROW()-1,FALSE))</f>
        <v>5.0442949639999997</v>
      </c>
      <c r="AY171">
        <f ca="1">IF(AND(ISNUMBER($AY$477),$B$294=1),$AY$477,HLOOKUP(INDIRECT(ADDRESS(2,COLUMN())),OFFSET($BN$2,0,0,ROW()-1,60),ROW()-1,FALSE))</f>
        <v>6.3748750359999997</v>
      </c>
      <c r="AZ171">
        <f ca="1">IF(AND(ISNUMBER($AZ$477),$B$294=1),$AZ$477,HLOOKUP(INDIRECT(ADDRESS(2,COLUMN())),OFFSET($BN$2,0,0,ROW()-1,60),ROW()-1,FALSE))</f>
        <v>6.3361100759999998</v>
      </c>
      <c r="BA171">
        <f ca="1">IF(AND(ISNUMBER($BA$477),$B$294=1),$BA$477,HLOOKUP(INDIRECT(ADDRESS(2,COLUMN())),OFFSET($BN$2,0,0,ROW()-1,60),ROW()-1,FALSE))</f>
        <v>5.7417904110000002</v>
      </c>
      <c r="BB171">
        <f ca="1">IF(AND(ISNUMBER($BB$477),$B$294=1),$BB$477,HLOOKUP(INDIRECT(ADDRESS(2,COLUMN())),OFFSET($BN$2,0,0,ROW()-1,60),ROW()-1,FALSE))</f>
        <v>5.1715786430000001</v>
      </c>
      <c r="BC171">
        <f ca="1">IF(AND(ISNUMBER($BC$477),$B$294=1),$BC$477,HLOOKUP(INDIRECT(ADDRESS(2,COLUMN())),OFFSET($BN$2,0,0,ROW()-1,60),ROW()-1,FALSE))</f>
        <v>6.7608299079999998</v>
      </c>
      <c r="BD171">
        <f ca="1">IF(AND(ISNUMBER($BD$477),$B$294=1),$BD$477,HLOOKUP(INDIRECT(ADDRESS(2,COLUMN())),OFFSET($BN$2,0,0,ROW()-1,60),ROW()-1,FALSE))</f>
        <v>5.8758352489999996</v>
      </c>
      <c r="BE171">
        <f ca="1">IF(AND(ISNUMBER($BE$477),$B$294=1),$BE$477,HLOOKUP(INDIRECT(ADDRESS(2,COLUMN())),OFFSET($BN$2,0,0,ROW()-1,60),ROW()-1,FALSE))</f>
        <v>6.7063461970000002</v>
      </c>
      <c r="BF171">
        <f ca="1">IF(AND(ISNUMBER($BF$477),$B$294=1),$BF$477,HLOOKUP(INDIRECT(ADDRESS(2,COLUMN())),OFFSET($BN$2,0,0,ROW()-1,60),ROW()-1,FALSE))</f>
        <v>6.6875218009999999</v>
      </c>
      <c r="BG171" t="str">
        <f ca="1">IF(AND(ISNUMBER($BG$477),$B$294=1),$BG$477,HLOOKUP(INDIRECT(ADDRESS(2,COLUMN())),OFFSET($BN$2,0,0,ROW()-1,60),ROW()-1,FALSE))</f>
        <v/>
      </c>
      <c r="BH171">
        <f ca="1">IF(AND(ISNUMBER($BH$477),$B$294=1),$BH$477,HLOOKUP(INDIRECT(ADDRESS(2,COLUMN())),OFFSET($BN$2,0,0,ROW()-1,60),ROW()-1,FALSE))</f>
        <v>5.5269457229999999</v>
      </c>
      <c r="BI171">
        <f ca="1">IF(AND(ISNUMBER($BI$477),$B$294=1),$BI$477,HLOOKUP(INDIRECT(ADDRESS(2,COLUMN())),OFFSET($BN$2,0,0,ROW()-1,60),ROW()-1,FALSE))</f>
        <v>6.5327859310000003</v>
      </c>
      <c r="BJ171">
        <f ca="1">IF(AND(ISNUMBER($BJ$477),$B$294=1),$BJ$477,HLOOKUP(INDIRECT(ADDRESS(2,COLUMN())),OFFSET($BN$2,0,0,ROW()-1,60),ROW()-1,FALSE))</f>
        <v>6.4413779199999999</v>
      </c>
      <c r="BK171" t="str">
        <f ca="1">IF(AND(ISNUMBER($BK$477),$B$294=1),$BK$477,HLOOKUP(INDIRECT(ADDRESS(2,COLUMN())),OFFSET($BN$2,0,0,ROW()-1,60),ROW()-1,FALSE))</f>
        <v/>
      </c>
      <c r="BL171">
        <f ca="1">IF(AND(ISNUMBER($BL$477),$B$294=1),$BL$477,HLOOKUP(INDIRECT(ADDRESS(2,COLUMN())),OFFSET($BN$2,0,0,ROW()-1,60),ROW()-1,FALSE))</f>
        <v>7.1944233180000001</v>
      </c>
      <c r="BM171">
        <f ca="1">IF(AND(ISNUMBER($BM$477),$B$294=1),$BM$477,HLOOKUP(INDIRECT(ADDRESS(2,COLUMN())),OFFSET($BN$2,0,0,ROW()-1,60),ROW()-1,FALSE))</f>
        <v>3.3577581620000001</v>
      </c>
      <c r="BN171" t="str">
        <f>""</f>
        <v/>
      </c>
      <c r="BO171">
        <f>6.727005131</f>
        <v>6.7270051310000003</v>
      </c>
      <c r="BP171">
        <f>6.94034747</f>
        <v>6.9403474699999999</v>
      </c>
      <c r="BQ171">
        <f>6.809558806</f>
        <v>6.8095588060000001</v>
      </c>
      <c r="BR171">
        <f>6.739624448</f>
        <v>6.7396244479999998</v>
      </c>
      <c r="BS171">
        <f>4.819009719</f>
        <v>4.8190097190000003</v>
      </c>
      <c r="BT171">
        <f>4.524689396</f>
        <v>4.5246893960000003</v>
      </c>
      <c r="BU171">
        <f>4.991297632</f>
        <v>4.9912976320000002</v>
      </c>
      <c r="BV171">
        <f>5.114666735</f>
        <v>5.1146667350000001</v>
      </c>
      <c r="BW171">
        <f>6.898067517</f>
        <v>6.8980675170000003</v>
      </c>
      <c r="BX171">
        <f>6.079193327</f>
        <v>6.0791933269999996</v>
      </c>
      <c r="BY171">
        <f>5.678263022</f>
        <v>5.6782630220000003</v>
      </c>
      <c r="BZ171">
        <f>5.808139934</f>
        <v>5.8081399339999997</v>
      </c>
      <c r="CA171">
        <f>5.584709854</f>
        <v>5.5847098539999998</v>
      </c>
      <c r="CB171">
        <f>5.553862958</f>
        <v>5.5538629579999998</v>
      </c>
      <c r="CC171">
        <f>5.541782409</f>
        <v>5.5417824089999996</v>
      </c>
      <c r="CD171">
        <f>5.298219591</f>
        <v>5.2982195909999996</v>
      </c>
      <c r="CE171">
        <f>5.173845186</f>
        <v>5.1738451860000003</v>
      </c>
      <c r="CF171">
        <f>4.611556471</f>
        <v>4.6115564710000001</v>
      </c>
      <c r="CG171">
        <f>4.48612411</f>
        <v>4.4861241100000004</v>
      </c>
      <c r="CH171">
        <f>4.334009</f>
        <v>4.334009</v>
      </c>
      <c r="CI171">
        <f>4.12035973</f>
        <v>4.1203597299999997</v>
      </c>
      <c r="CJ171">
        <f>4.721410235</f>
        <v>4.7214102349999996</v>
      </c>
      <c r="CK171">
        <f>4.801059481</f>
        <v>4.8010594810000002</v>
      </c>
      <c r="CL171">
        <f>4.825015897</f>
        <v>4.8250158970000001</v>
      </c>
      <c r="CM171">
        <f>4.815846124</f>
        <v>4.8158461240000001</v>
      </c>
      <c r="CN171">
        <f>4.747911369</f>
        <v>4.7479113689999997</v>
      </c>
      <c r="CO171">
        <f>4.440218174</f>
        <v>4.440218174</v>
      </c>
      <c r="CP171">
        <f>4.418998926</f>
        <v>4.4189989260000004</v>
      </c>
      <c r="CQ171">
        <f>4.347026104</f>
        <v>4.3470261040000002</v>
      </c>
      <c r="CR171">
        <f>4.297207416</f>
        <v>4.297207416</v>
      </c>
      <c r="CS171">
        <f>4.593213332</f>
        <v>4.5932133320000004</v>
      </c>
      <c r="CT171">
        <f>4.893373402</f>
        <v>4.8933734019999999</v>
      </c>
      <c r="CU171">
        <f>4.9871189</f>
        <v>4.9871188999999996</v>
      </c>
      <c r="CV171">
        <f>5.248282298</f>
        <v>5.2482822980000003</v>
      </c>
      <c r="CW171">
        <f>5.061474093</f>
        <v>5.0614740930000002</v>
      </c>
      <c r="CX171">
        <f>4.640083251</f>
        <v>4.6400832510000001</v>
      </c>
      <c r="CY171">
        <f>4.855304951</f>
        <v>4.8553049509999999</v>
      </c>
      <c r="CZ171">
        <f>4.749899999</f>
        <v>4.7498999990000002</v>
      </c>
      <c r="DA171">
        <f>5.010917188</f>
        <v>5.0109171879999996</v>
      </c>
      <c r="DB171">
        <f>5.015216783</f>
        <v>5.0152167829999996</v>
      </c>
      <c r="DC171">
        <f>4.88668745</f>
        <v>4.8866874500000002</v>
      </c>
      <c r="DD171">
        <f>4.883617637</f>
        <v>4.8836176370000004</v>
      </c>
      <c r="DE171">
        <f>5.055359097</f>
        <v>5.0553590970000002</v>
      </c>
      <c r="DF171">
        <f>5.044294964</f>
        <v>5.0442949639999997</v>
      </c>
      <c r="DG171">
        <f>6.374875036</f>
        <v>6.3748750359999997</v>
      </c>
      <c r="DH171">
        <f>6.336110076</f>
        <v>6.3361100759999998</v>
      </c>
      <c r="DI171">
        <f>5.741790411</f>
        <v>5.7417904110000002</v>
      </c>
      <c r="DJ171">
        <f>5.171578643</f>
        <v>5.1715786430000001</v>
      </c>
      <c r="DK171">
        <f>6.760829908</f>
        <v>6.7608299079999998</v>
      </c>
      <c r="DL171">
        <f>5.875835249</f>
        <v>5.8758352489999996</v>
      </c>
      <c r="DM171">
        <f>6.706346197</f>
        <v>6.7063461970000002</v>
      </c>
      <c r="DN171">
        <f>6.687521801</f>
        <v>6.6875218009999999</v>
      </c>
      <c r="DO171" t="str">
        <f>""</f>
        <v/>
      </c>
      <c r="DP171">
        <f>5.526945723</f>
        <v>5.5269457229999999</v>
      </c>
      <c r="DQ171">
        <f>6.532785931</f>
        <v>6.5327859310000003</v>
      </c>
      <c r="DR171">
        <f>6.44137792</f>
        <v>6.4413779199999999</v>
      </c>
      <c r="DS171" t="str">
        <f>""</f>
        <v/>
      </c>
      <c r="DT171">
        <f>7.194423318</f>
        <v>7.1944233180000001</v>
      </c>
      <c r="DU171">
        <f>3.357758162</f>
        <v>3.3577581620000001</v>
      </c>
    </row>
    <row r="172" spans="1:125">
      <c r="A172" t="str">
        <f>"    Columbia Property Trust Inc"</f>
        <v xml:space="preserve">    Columbia Property Trust Inc</v>
      </c>
      <c r="B172" t="str">
        <f>"CXP US Equity"</f>
        <v>CXP US Equity</v>
      </c>
      <c r="C172" t="str">
        <f t="shared" si="45"/>
        <v>RR554</v>
      </c>
      <c r="D172" t="str">
        <f t="shared" si="46"/>
        <v>FFO_RE_ASSET</v>
      </c>
      <c r="E172" t="str">
        <f t="shared" si="47"/>
        <v>动态</v>
      </c>
      <c r="F172" t="str">
        <f ca="1">IF(AND(ISNUMBER($F$478),$B$294=1),$F$478,HLOOKUP(INDIRECT(ADDRESS(2,COLUMN())),OFFSET($BN$2,0,0,ROW()-1,60),ROW()-1,FALSE))</f>
        <v/>
      </c>
      <c r="G172">
        <f ca="1">IF(AND(ISNUMBER($G$478),$B$294=1),$G$478,HLOOKUP(INDIRECT(ADDRESS(2,COLUMN())),OFFSET($BN$2,0,0,ROW()-1,60),ROW()-1,FALSE))</f>
        <v>3.8945434209999998</v>
      </c>
      <c r="H172">
        <f ca="1">IF(AND(ISNUMBER($H$478),$B$294=1),$H$478,HLOOKUP(INDIRECT(ADDRESS(2,COLUMN())),OFFSET($BN$2,0,0,ROW()-1,60),ROW()-1,FALSE))</f>
        <v>4.5018748659999996</v>
      </c>
      <c r="I172">
        <f ca="1">IF(AND(ISNUMBER($I$478),$B$294=1),$I$478,HLOOKUP(INDIRECT(ADDRESS(2,COLUMN())),OFFSET($BN$2,0,0,ROW()-1,60),ROW()-1,FALSE))</f>
        <v>4.1086206010000001</v>
      </c>
      <c r="J172">
        <f ca="1">IF(AND(ISNUMBER($J$478),$B$294=1),$J$478,HLOOKUP(INDIRECT(ADDRESS(2,COLUMN())),OFFSET($BN$2,0,0,ROW()-1,60),ROW()-1,FALSE))</f>
        <v>4.8661920360000002</v>
      </c>
      <c r="K172">
        <f ca="1">IF(AND(ISNUMBER($K$478),$B$294=1),$K$478,HLOOKUP(INDIRECT(ADDRESS(2,COLUMN())),OFFSET($BN$2,0,0,ROW()-1,60),ROW()-1,FALSE))</f>
        <v>5.3305828039999996</v>
      </c>
      <c r="L172">
        <f ca="1">IF(AND(ISNUMBER($L$478),$B$294=1),$L$478,HLOOKUP(INDIRECT(ADDRESS(2,COLUMN())),OFFSET($BN$2,0,0,ROW()-1,60),ROW()-1,FALSE))</f>
        <v>5.1725129540000001</v>
      </c>
      <c r="M172">
        <f ca="1">IF(AND(ISNUMBER($M$478),$B$294=1),$M$478,HLOOKUP(INDIRECT(ADDRESS(2,COLUMN())),OFFSET($BN$2,0,0,ROW()-1,60),ROW()-1,FALSE))</f>
        <v>5.8689289709999999</v>
      </c>
      <c r="N172">
        <f ca="1">IF(AND(ISNUMBER($N$478),$B$294=1),$N$478,HLOOKUP(INDIRECT(ADDRESS(2,COLUMN())),OFFSET($BN$2,0,0,ROW()-1,60),ROW()-1,FALSE))</f>
        <v>5.74150559</v>
      </c>
      <c r="O172">
        <f ca="1">IF(AND(ISNUMBER($O$478),$B$294=1),$O$478,HLOOKUP(INDIRECT(ADDRESS(2,COLUMN())),OFFSET($BN$2,0,0,ROW()-1,60),ROW()-1,FALSE))</f>
        <v>6.1997696400000004</v>
      </c>
      <c r="P172">
        <f ca="1">IF(AND(ISNUMBER($P$478),$B$294=1),$P$478,HLOOKUP(INDIRECT(ADDRESS(2,COLUMN())),OFFSET($BN$2,0,0,ROW()-1,60),ROW()-1,FALSE))</f>
        <v>5.8730613619999996</v>
      </c>
      <c r="Q172">
        <f ca="1">IF(AND(ISNUMBER($Q$478),$B$294=1),$Q$478,HLOOKUP(INDIRECT(ADDRESS(2,COLUMN())),OFFSET($BN$2,0,0,ROW()-1,60),ROW()-1,FALSE))</f>
        <v>6.3547640860000003</v>
      </c>
      <c r="R172">
        <f ca="1">IF(AND(ISNUMBER($R$478),$B$294=1),$R$478,HLOOKUP(INDIRECT(ADDRESS(2,COLUMN())),OFFSET($BN$2,0,0,ROW()-1,60),ROW()-1,FALSE))</f>
        <v>6.0215682270000004</v>
      </c>
      <c r="S172">
        <f ca="1">IF(AND(ISNUMBER($S$478),$B$294=1),$S$478,HLOOKUP(INDIRECT(ADDRESS(2,COLUMN())),OFFSET($BN$2,0,0,ROW()-1,60),ROW()-1,FALSE))</f>
        <v>6.401718571</v>
      </c>
      <c r="T172">
        <f ca="1">IF(AND(ISNUMBER($T$478),$B$294=1),$T$478,HLOOKUP(INDIRECT(ADDRESS(2,COLUMN())),OFFSET($BN$2,0,0,ROW()-1,60),ROW()-1,FALSE))</f>
        <v>5.9834685939999996</v>
      </c>
      <c r="U172">
        <f ca="1">IF(AND(ISNUMBER($U$478),$B$294=1),$U$478,HLOOKUP(INDIRECT(ADDRESS(2,COLUMN())),OFFSET($BN$2,0,0,ROW()-1,60),ROW()-1,FALSE))</f>
        <v>6.3784122710000002</v>
      </c>
      <c r="V172">
        <f ca="1">IF(AND(ISNUMBER($V$478),$B$294=1),$V$478,HLOOKUP(INDIRECT(ADDRESS(2,COLUMN())),OFFSET($BN$2,0,0,ROW()-1,60),ROW()-1,FALSE))</f>
        <v>6.8028004009999998</v>
      </c>
      <c r="W172">
        <f ca="1">IF(AND(ISNUMBER($W$478),$B$294=1),$W$478,HLOOKUP(INDIRECT(ADDRESS(2,COLUMN())),OFFSET($BN$2,0,0,ROW()-1,60),ROW()-1,FALSE))</f>
        <v>6.0383788650000003</v>
      </c>
      <c r="X172">
        <f ca="1">IF(AND(ISNUMBER($X$478),$B$294=1),$X$478,HLOOKUP(INDIRECT(ADDRESS(2,COLUMN())),OFFSET($BN$2,0,0,ROW()-1,60),ROW()-1,FALSE))</f>
        <v>5.8686913240000003</v>
      </c>
      <c r="Y172">
        <f ca="1">IF(AND(ISNUMBER($Y$478),$B$294=1),$Y$478,HLOOKUP(INDIRECT(ADDRESS(2,COLUMN())),OFFSET($BN$2,0,0,ROW()-1,60),ROW()-1,FALSE))</f>
        <v>5.7532321959999999</v>
      </c>
      <c r="Z172">
        <f ca="1">IF(AND(ISNUMBER($Z$478),$B$294=1),$Z$478,HLOOKUP(INDIRECT(ADDRESS(2,COLUMN())),OFFSET($BN$2,0,0,ROW()-1,60),ROW()-1,FALSE))</f>
        <v>5.6170147689999999</v>
      </c>
      <c r="AA172">
        <f ca="1">IF(AND(ISNUMBER($AA$478),$B$294=1),$AA$478,HLOOKUP(INDIRECT(ADDRESS(2,COLUMN())),OFFSET($BN$2,0,0,ROW()-1,60),ROW()-1,FALSE))</f>
        <v>6.3607989539999998</v>
      </c>
      <c r="AB172">
        <f ca="1">IF(AND(ISNUMBER($AB$478),$B$294=1),$AB$478,HLOOKUP(INDIRECT(ADDRESS(2,COLUMN())),OFFSET($BN$2,0,0,ROW()-1,60),ROW()-1,FALSE))</f>
        <v>7.6872696100000004</v>
      </c>
      <c r="AC172">
        <f ca="1">IF(AND(ISNUMBER($AC$478),$B$294=1),$AC$478,HLOOKUP(INDIRECT(ADDRESS(2,COLUMN())),OFFSET($BN$2,0,0,ROW()-1,60),ROW()-1,FALSE))</f>
        <v>7.6579221830000002</v>
      </c>
      <c r="AD172">
        <f ca="1">IF(AND(ISNUMBER($AD$478),$B$294=1),$AD$478,HLOOKUP(INDIRECT(ADDRESS(2,COLUMN())),OFFSET($BN$2,0,0,ROW()-1,60),ROW()-1,FALSE))</f>
        <v>7.3630597419999999</v>
      </c>
      <c r="AE172">
        <f ca="1">IF(AND(ISNUMBER($AE$478),$B$294=1),$AE$478,HLOOKUP(INDIRECT(ADDRESS(2,COLUMN())),OFFSET($BN$2,0,0,ROW()-1,60),ROW()-1,FALSE))</f>
        <v>7.5771005630000001</v>
      </c>
      <c r="AF172">
        <f ca="1">IF(AND(ISNUMBER($AF$478),$B$294=1),$AF$478,HLOOKUP(INDIRECT(ADDRESS(2,COLUMN())),OFFSET($BN$2,0,0,ROW()-1,60),ROW()-1,FALSE))</f>
        <v>6.733065968</v>
      </c>
      <c r="AG172">
        <f ca="1">IF(AND(ISNUMBER($AG$478),$B$294=1),$AG$478,HLOOKUP(INDIRECT(ADDRESS(2,COLUMN())),OFFSET($BN$2,0,0,ROW()-1,60),ROW()-1,FALSE))</f>
        <v>6.3854549509999998</v>
      </c>
      <c r="AH172">
        <f ca="1">IF(AND(ISNUMBER($AH$478),$B$294=1),$AH$478,HLOOKUP(INDIRECT(ADDRESS(2,COLUMN())),OFFSET($BN$2,0,0,ROW()-1,60),ROW()-1,FALSE))</f>
        <v>6.236248636</v>
      </c>
      <c r="AI172">
        <f ca="1">IF(AND(ISNUMBER($AI$478),$B$294=1),$AI$478,HLOOKUP(INDIRECT(ADDRESS(2,COLUMN())),OFFSET($BN$2,0,0,ROW()-1,60),ROW()-1,FALSE))</f>
        <v>6.5574484980000003</v>
      </c>
      <c r="AJ172">
        <f ca="1">IF(AND(ISNUMBER($AJ$478),$B$294=1),$AJ$478,HLOOKUP(INDIRECT(ADDRESS(2,COLUMN())),OFFSET($BN$2,0,0,ROW()-1,60),ROW()-1,FALSE))</f>
        <v>6.5337617530000003</v>
      </c>
      <c r="AK172">
        <f ca="1">IF(AND(ISNUMBER($AK$478),$B$294=1),$AK$478,HLOOKUP(INDIRECT(ADDRESS(2,COLUMN())),OFFSET($BN$2,0,0,ROW()-1,60),ROW()-1,FALSE))</f>
        <v>6.223846279</v>
      </c>
      <c r="AL172" t="str">
        <f ca="1">IF(AND(ISNUMBER($AL$478),$B$294=1),$AL$478,HLOOKUP(INDIRECT(ADDRESS(2,COLUMN())),OFFSET($BN$2,0,0,ROW()-1,60),ROW()-1,FALSE))</f>
        <v/>
      </c>
      <c r="AM172" t="str">
        <f ca="1">IF(AND(ISNUMBER($AM$478),$B$294=1),$AM$478,HLOOKUP(INDIRECT(ADDRESS(2,COLUMN())),OFFSET($BN$2,0,0,ROW()-1,60),ROW()-1,FALSE))</f>
        <v/>
      </c>
      <c r="AN172" t="str">
        <f ca="1">IF(AND(ISNUMBER($AN$478),$B$294=1),$AN$478,HLOOKUP(INDIRECT(ADDRESS(2,COLUMN())),OFFSET($BN$2,0,0,ROW()-1,60),ROW()-1,FALSE))</f>
        <v/>
      </c>
      <c r="AO172" t="str">
        <f ca="1">IF(AND(ISNUMBER($AO$478),$B$294=1),$AO$478,HLOOKUP(INDIRECT(ADDRESS(2,COLUMN())),OFFSET($BN$2,0,0,ROW()-1,60),ROW()-1,FALSE))</f>
        <v/>
      </c>
      <c r="AP172" t="str">
        <f ca="1">IF(AND(ISNUMBER($AP$478),$B$294=1),$AP$478,HLOOKUP(INDIRECT(ADDRESS(2,COLUMN())),OFFSET($BN$2,0,0,ROW()-1,60),ROW()-1,FALSE))</f>
        <v/>
      </c>
      <c r="AQ172" t="str">
        <f ca="1">IF(AND(ISNUMBER($AQ$478),$B$294=1),$AQ$478,HLOOKUP(INDIRECT(ADDRESS(2,COLUMN())),OFFSET($BN$2,0,0,ROW()-1,60),ROW()-1,FALSE))</f>
        <v/>
      </c>
      <c r="AR172" t="str">
        <f ca="1">IF(AND(ISNUMBER($AR$478),$B$294=1),$AR$478,HLOOKUP(INDIRECT(ADDRESS(2,COLUMN())),OFFSET($BN$2,0,0,ROW()-1,60),ROW()-1,FALSE))</f>
        <v/>
      </c>
      <c r="AS172" t="str">
        <f ca="1">IF(AND(ISNUMBER($AS$478),$B$294=1),$AS$478,HLOOKUP(INDIRECT(ADDRESS(2,COLUMN())),OFFSET($BN$2,0,0,ROW()-1,60),ROW()-1,FALSE))</f>
        <v/>
      </c>
      <c r="AT172" t="str">
        <f ca="1">IF(AND(ISNUMBER($AT$478),$B$294=1),$AT$478,HLOOKUP(INDIRECT(ADDRESS(2,COLUMN())),OFFSET($BN$2,0,0,ROW()-1,60),ROW()-1,FALSE))</f>
        <v/>
      </c>
      <c r="AU172" t="str">
        <f ca="1">IF(AND(ISNUMBER($AU$478),$B$294=1),$AU$478,HLOOKUP(INDIRECT(ADDRESS(2,COLUMN())),OFFSET($BN$2,0,0,ROW()-1,60),ROW()-1,FALSE))</f>
        <v/>
      </c>
      <c r="AV172" t="str">
        <f ca="1">IF(AND(ISNUMBER($AV$478),$B$294=1),$AV$478,HLOOKUP(INDIRECT(ADDRESS(2,COLUMN())),OFFSET($BN$2,0,0,ROW()-1,60),ROW()-1,FALSE))</f>
        <v/>
      </c>
      <c r="AW172" t="str">
        <f ca="1">IF(AND(ISNUMBER($AW$478),$B$294=1),$AW$478,HLOOKUP(INDIRECT(ADDRESS(2,COLUMN())),OFFSET($BN$2,0,0,ROW()-1,60),ROW()-1,FALSE))</f>
        <v/>
      </c>
      <c r="AX172" t="str">
        <f ca="1">IF(AND(ISNUMBER($AX$478),$B$294=1),$AX$478,HLOOKUP(INDIRECT(ADDRESS(2,COLUMN())),OFFSET($BN$2,0,0,ROW()-1,60),ROW()-1,FALSE))</f>
        <v/>
      </c>
      <c r="AY172" t="str">
        <f ca="1">IF(AND(ISNUMBER($AY$478),$B$294=1),$AY$478,HLOOKUP(INDIRECT(ADDRESS(2,COLUMN())),OFFSET($BN$2,0,0,ROW()-1,60),ROW()-1,FALSE))</f>
        <v/>
      </c>
      <c r="AZ172" t="str">
        <f ca="1">IF(AND(ISNUMBER($AZ$478),$B$294=1),$AZ$478,HLOOKUP(INDIRECT(ADDRESS(2,COLUMN())),OFFSET($BN$2,0,0,ROW()-1,60),ROW()-1,FALSE))</f>
        <v/>
      </c>
      <c r="BA172" t="str">
        <f ca="1">IF(AND(ISNUMBER($BA$478),$B$294=1),$BA$478,HLOOKUP(INDIRECT(ADDRESS(2,COLUMN())),OFFSET($BN$2,0,0,ROW()-1,60),ROW()-1,FALSE))</f>
        <v/>
      </c>
      <c r="BB172" t="str">
        <f ca="1">IF(AND(ISNUMBER($BB$478),$B$294=1),$BB$478,HLOOKUP(INDIRECT(ADDRESS(2,COLUMN())),OFFSET($BN$2,0,0,ROW()-1,60),ROW()-1,FALSE))</f>
        <v/>
      </c>
      <c r="BC172" t="str">
        <f ca="1">IF(AND(ISNUMBER($BC$478),$B$294=1),$BC$478,HLOOKUP(INDIRECT(ADDRESS(2,COLUMN())),OFFSET($BN$2,0,0,ROW()-1,60),ROW()-1,FALSE))</f>
        <v/>
      </c>
      <c r="BD172" t="str">
        <f ca="1">IF(AND(ISNUMBER($BD$478),$B$294=1),$BD$478,HLOOKUP(INDIRECT(ADDRESS(2,COLUMN())),OFFSET($BN$2,0,0,ROW()-1,60),ROW()-1,FALSE))</f>
        <v/>
      </c>
      <c r="BE172" t="str">
        <f ca="1">IF(AND(ISNUMBER($BE$478),$B$294=1),$BE$478,HLOOKUP(INDIRECT(ADDRESS(2,COLUMN())),OFFSET($BN$2,0,0,ROW()-1,60),ROW()-1,FALSE))</f>
        <v/>
      </c>
      <c r="BF172" t="str">
        <f ca="1">IF(AND(ISNUMBER($BF$478),$B$294=1),$BF$478,HLOOKUP(INDIRECT(ADDRESS(2,COLUMN())),OFFSET($BN$2,0,0,ROW()-1,60),ROW()-1,FALSE))</f>
        <v/>
      </c>
      <c r="BG172" t="str">
        <f ca="1">IF(AND(ISNUMBER($BG$478),$B$294=1),$BG$478,HLOOKUP(INDIRECT(ADDRESS(2,COLUMN())),OFFSET($BN$2,0,0,ROW()-1,60),ROW()-1,FALSE))</f>
        <v/>
      </c>
      <c r="BH172" t="str">
        <f ca="1">IF(AND(ISNUMBER($BH$478),$B$294=1),$BH$478,HLOOKUP(INDIRECT(ADDRESS(2,COLUMN())),OFFSET($BN$2,0,0,ROW()-1,60),ROW()-1,FALSE))</f>
        <v/>
      </c>
      <c r="BI172" t="str">
        <f ca="1">IF(AND(ISNUMBER($BI$478),$B$294=1),$BI$478,HLOOKUP(INDIRECT(ADDRESS(2,COLUMN())),OFFSET($BN$2,0,0,ROW()-1,60),ROW()-1,FALSE))</f>
        <v/>
      </c>
      <c r="BJ172" t="str">
        <f ca="1">IF(AND(ISNUMBER($BJ$478),$B$294=1),$BJ$478,HLOOKUP(INDIRECT(ADDRESS(2,COLUMN())),OFFSET($BN$2,0,0,ROW()-1,60),ROW()-1,FALSE))</f>
        <v/>
      </c>
      <c r="BK172" t="str">
        <f ca="1">IF(AND(ISNUMBER($BK$478),$B$294=1),$BK$478,HLOOKUP(INDIRECT(ADDRESS(2,COLUMN())),OFFSET($BN$2,0,0,ROW()-1,60),ROW()-1,FALSE))</f>
        <v/>
      </c>
      <c r="BL172" t="str">
        <f ca="1">IF(AND(ISNUMBER($BL$478),$B$294=1),$BL$478,HLOOKUP(INDIRECT(ADDRESS(2,COLUMN())),OFFSET($BN$2,0,0,ROW()-1,60),ROW()-1,FALSE))</f>
        <v/>
      </c>
      <c r="BM172" t="str">
        <f ca="1">IF(AND(ISNUMBER($BM$478),$B$294=1),$BM$478,HLOOKUP(INDIRECT(ADDRESS(2,COLUMN())),OFFSET($BN$2,0,0,ROW()-1,60),ROW()-1,FALSE))</f>
        <v/>
      </c>
      <c r="BN172" t="str">
        <f>""</f>
        <v/>
      </c>
      <c r="BO172">
        <f>3.894543421</f>
        <v>3.8945434209999998</v>
      </c>
      <c r="BP172">
        <f>4.501874866</f>
        <v>4.5018748659999996</v>
      </c>
      <c r="BQ172">
        <f>4.108620601</f>
        <v>4.1086206010000001</v>
      </c>
      <c r="BR172">
        <f>4.866192036</f>
        <v>4.8661920360000002</v>
      </c>
      <c r="BS172">
        <f>5.330582804</f>
        <v>5.3305828039999996</v>
      </c>
      <c r="BT172">
        <f>5.172512954</f>
        <v>5.1725129540000001</v>
      </c>
      <c r="BU172">
        <f>5.868928971</f>
        <v>5.8689289709999999</v>
      </c>
      <c r="BV172">
        <f>5.74150559</f>
        <v>5.74150559</v>
      </c>
      <c r="BW172">
        <f>6.19976964</f>
        <v>6.1997696400000004</v>
      </c>
      <c r="BX172">
        <f>5.873061362</f>
        <v>5.8730613619999996</v>
      </c>
      <c r="BY172">
        <f>6.354764086</f>
        <v>6.3547640860000003</v>
      </c>
      <c r="BZ172">
        <f>6.021568227</f>
        <v>6.0215682270000004</v>
      </c>
      <c r="CA172">
        <f>6.401718571</f>
        <v>6.401718571</v>
      </c>
      <c r="CB172">
        <f>5.983468594</f>
        <v>5.9834685939999996</v>
      </c>
      <c r="CC172">
        <f>6.378412271</f>
        <v>6.3784122710000002</v>
      </c>
      <c r="CD172">
        <f>6.802800401</f>
        <v>6.8028004009999998</v>
      </c>
      <c r="CE172">
        <f>6.038378865</f>
        <v>6.0383788650000003</v>
      </c>
      <c r="CF172">
        <f>5.868691324</f>
        <v>5.8686913240000003</v>
      </c>
      <c r="CG172">
        <f>5.753232196</f>
        <v>5.7532321959999999</v>
      </c>
      <c r="CH172">
        <f>5.617014769</f>
        <v>5.6170147689999999</v>
      </c>
      <c r="CI172">
        <f>6.360798954</f>
        <v>6.3607989539999998</v>
      </c>
      <c r="CJ172">
        <f>7.68726961</f>
        <v>7.6872696100000004</v>
      </c>
      <c r="CK172">
        <f>7.657922183</f>
        <v>7.6579221830000002</v>
      </c>
      <c r="CL172">
        <f>7.363059742</f>
        <v>7.3630597419999999</v>
      </c>
      <c r="CM172">
        <f>7.577100563</f>
        <v>7.5771005630000001</v>
      </c>
      <c r="CN172">
        <f>6.733065968</f>
        <v>6.733065968</v>
      </c>
      <c r="CO172">
        <f>6.385454951</f>
        <v>6.3854549509999998</v>
      </c>
      <c r="CP172">
        <f>6.236248636</f>
        <v>6.236248636</v>
      </c>
      <c r="CQ172">
        <f>6.557448498</f>
        <v>6.5574484980000003</v>
      </c>
      <c r="CR172">
        <f>6.533761753</f>
        <v>6.5337617530000003</v>
      </c>
      <c r="CS172">
        <f>6.223846279</f>
        <v>6.223846279</v>
      </c>
      <c r="CT172" t="str">
        <f>""</f>
        <v/>
      </c>
      <c r="CU172" t="str">
        <f>""</f>
        <v/>
      </c>
      <c r="CV172" t="str">
        <f>""</f>
        <v/>
      </c>
      <c r="CW172" t="str">
        <f>""</f>
        <v/>
      </c>
      <c r="CX172" t="str">
        <f>""</f>
        <v/>
      </c>
      <c r="CY172" t="str">
        <f>""</f>
        <v/>
      </c>
      <c r="CZ172" t="str">
        <f>""</f>
        <v/>
      </c>
      <c r="DA172" t="str">
        <f>""</f>
        <v/>
      </c>
      <c r="DB172" t="str">
        <f>""</f>
        <v/>
      </c>
      <c r="DC172" t="str">
        <f>""</f>
        <v/>
      </c>
      <c r="DD172" t="str">
        <f>""</f>
        <v/>
      </c>
      <c r="DE172" t="str">
        <f>""</f>
        <v/>
      </c>
      <c r="DF172" t="str">
        <f>""</f>
        <v/>
      </c>
      <c r="DG172" t="str">
        <f>""</f>
        <v/>
      </c>
      <c r="DH172" t="str">
        <f>""</f>
        <v/>
      </c>
      <c r="DI172" t="str">
        <f>""</f>
        <v/>
      </c>
      <c r="DJ172" t="str">
        <f>""</f>
        <v/>
      </c>
      <c r="DK172" t="str">
        <f>""</f>
        <v/>
      </c>
      <c r="DL172" t="str">
        <f>""</f>
        <v/>
      </c>
      <c r="DM172" t="str">
        <f>""</f>
        <v/>
      </c>
      <c r="DN172" t="str">
        <f>""</f>
        <v/>
      </c>
      <c r="DO172" t="str">
        <f>""</f>
        <v/>
      </c>
      <c r="DP172" t="str">
        <f>""</f>
        <v/>
      </c>
      <c r="DQ172" t="str">
        <f>""</f>
        <v/>
      </c>
      <c r="DR172" t="str">
        <f>""</f>
        <v/>
      </c>
      <c r="DS172" t="str">
        <f>""</f>
        <v/>
      </c>
      <c r="DT172" t="str">
        <f>""</f>
        <v/>
      </c>
      <c r="DU172" t="str">
        <f>""</f>
        <v/>
      </c>
    </row>
    <row r="173" spans="1:125">
      <c r="A173" t="str">
        <f>"    Corporate Office Properties Tr"</f>
        <v xml:space="preserve">    Corporate Office Properties Tr</v>
      </c>
      <c r="B173" t="str">
        <f>"OFC US Equity"</f>
        <v>OFC US Equity</v>
      </c>
      <c r="C173" t="str">
        <f t="shared" si="45"/>
        <v>RR554</v>
      </c>
      <c r="D173" t="str">
        <f t="shared" si="46"/>
        <v>FFO_RE_ASSET</v>
      </c>
      <c r="E173" t="str">
        <f t="shared" si="47"/>
        <v>动态</v>
      </c>
      <c r="F173" t="str">
        <f ca="1">IF(AND(ISNUMBER($F$479),$B$294=1),$F$479,HLOOKUP(INDIRECT(ADDRESS(2,COLUMN())),OFFSET($BN$2,0,0,ROW()-1,60),ROW()-1,FALSE))</f>
        <v/>
      </c>
      <c r="G173">
        <f ca="1">IF(AND(ISNUMBER($G$479),$B$294=1),$G$479,HLOOKUP(INDIRECT(ADDRESS(2,COLUMN())),OFFSET($BN$2,0,0,ROW()-1,60),ROW()-1,FALSE))</f>
        <v>6.3703246609999997</v>
      </c>
      <c r="H173">
        <f ca="1">IF(AND(ISNUMBER($H$479),$B$294=1),$H$479,HLOOKUP(INDIRECT(ADDRESS(2,COLUMN())),OFFSET($BN$2,0,0,ROW()-1,60),ROW()-1,FALSE))</f>
        <v>6.7092445879999998</v>
      </c>
      <c r="I173">
        <f ca="1">IF(AND(ISNUMBER($I$479),$B$294=1),$I$479,HLOOKUP(INDIRECT(ADDRESS(2,COLUMN())),OFFSET($BN$2,0,0,ROW()-1,60),ROW()-1,FALSE))</f>
        <v>6.3091929200000001</v>
      </c>
      <c r="J173">
        <f ca="1">IF(AND(ISNUMBER($J$479),$B$294=1),$J$479,HLOOKUP(INDIRECT(ADDRESS(2,COLUMN())),OFFSET($BN$2,0,0,ROW()-1,60),ROW()-1,FALSE))</f>
        <v>6.00516235</v>
      </c>
      <c r="K173">
        <f ca="1">IF(AND(ISNUMBER($K$479),$B$294=1),$K$479,HLOOKUP(INDIRECT(ADDRESS(2,COLUMN())),OFFSET($BN$2,0,0,ROW()-1,60),ROW()-1,FALSE))</f>
        <v>5.5441302669999999</v>
      </c>
      <c r="L173">
        <f ca="1">IF(AND(ISNUMBER($L$479),$B$294=1),$L$479,HLOOKUP(INDIRECT(ADDRESS(2,COLUMN())),OFFSET($BN$2,0,0,ROW()-1,60),ROW()-1,FALSE))</f>
        <v>4.7703571839999999</v>
      </c>
      <c r="M173">
        <f ca="1">IF(AND(ISNUMBER($M$479),$B$294=1),$M$479,HLOOKUP(INDIRECT(ADDRESS(2,COLUMN())),OFFSET($BN$2,0,0,ROW()-1,60),ROW()-1,FALSE))</f>
        <v>7.1016177059999999</v>
      </c>
      <c r="N173">
        <f ca="1">IF(AND(ISNUMBER($N$479),$B$294=1),$N$479,HLOOKUP(INDIRECT(ADDRESS(2,COLUMN())),OFFSET($BN$2,0,0,ROW()-1,60),ROW()-1,FALSE))</f>
        <v>7.3905800350000002</v>
      </c>
      <c r="O173">
        <f ca="1">IF(AND(ISNUMBER($O$479),$B$294=1),$O$479,HLOOKUP(INDIRECT(ADDRESS(2,COLUMN())),OFFSET($BN$2,0,0,ROW()-1,60),ROW()-1,FALSE))</f>
        <v>7.5061436849999996</v>
      </c>
      <c r="P173">
        <f ca="1">IF(AND(ISNUMBER($P$479),$B$294=1),$P$479,HLOOKUP(INDIRECT(ADDRESS(2,COLUMN())),OFFSET($BN$2,0,0,ROW()-1,60),ROW()-1,FALSE))</f>
        <v>7.6027579809999999</v>
      </c>
      <c r="Q173">
        <f ca="1">IF(AND(ISNUMBER($Q$479),$B$294=1),$Q$479,HLOOKUP(INDIRECT(ADDRESS(2,COLUMN())),OFFSET($BN$2,0,0,ROW()-1,60),ROW()-1,FALSE))</f>
        <v>4.9996987879999999</v>
      </c>
      <c r="R173">
        <f ca="1">IF(AND(ISNUMBER($R$479),$B$294=1),$R$479,HLOOKUP(INDIRECT(ADDRESS(2,COLUMN())),OFFSET($BN$2,0,0,ROW()-1,60),ROW()-1,FALSE))</f>
        <v>4.6538579200000001</v>
      </c>
      <c r="S173">
        <f ca="1">IF(AND(ISNUMBER($S$479),$B$294=1),$S$479,HLOOKUP(INDIRECT(ADDRESS(2,COLUMN())),OFFSET($BN$2,0,0,ROW()-1,60),ROW()-1,FALSE))</f>
        <v>4.7701081900000002</v>
      </c>
      <c r="T173">
        <f ca="1">IF(AND(ISNUMBER($T$479),$B$294=1),$T$479,HLOOKUP(INDIRECT(ADDRESS(2,COLUMN())),OFFSET($BN$2,0,0,ROW()-1,60),ROW()-1,FALSE))</f>
        <v>7.1440792689999997</v>
      </c>
      <c r="U173">
        <f ca="1">IF(AND(ISNUMBER($U$479),$B$294=1),$U$479,HLOOKUP(INDIRECT(ADDRESS(2,COLUMN())),OFFSET($BN$2,0,0,ROW()-1,60),ROW()-1,FALSE))</f>
        <v>7.005710917</v>
      </c>
      <c r="V173">
        <f ca="1">IF(AND(ISNUMBER($V$479),$B$294=1),$V$479,HLOOKUP(INDIRECT(ADDRESS(2,COLUMN())),OFFSET($BN$2,0,0,ROW()-1,60),ROW()-1,FALSE))</f>
        <v>6.698027529</v>
      </c>
      <c r="W173">
        <f ca="1">IF(AND(ISNUMBER($W$479),$B$294=1),$W$479,HLOOKUP(INDIRECT(ADDRESS(2,COLUMN())),OFFSET($BN$2,0,0,ROW()-1,60),ROW()-1,FALSE))</f>
        <v>6.5714328679999996</v>
      </c>
      <c r="X173">
        <f ca="1">IF(AND(ISNUMBER($X$479),$B$294=1),$X$479,HLOOKUP(INDIRECT(ADDRESS(2,COLUMN())),OFFSET($BN$2,0,0,ROW()-1,60),ROW()-1,FALSE))</f>
        <v>4.4709359070000003</v>
      </c>
      <c r="Y173">
        <f ca="1">IF(AND(ISNUMBER($Y$479),$B$294=1),$Y$479,HLOOKUP(INDIRECT(ADDRESS(2,COLUMN())),OFFSET($BN$2,0,0,ROW()-1,60),ROW()-1,FALSE))</f>
        <v>4.1874542019999996</v>
      </c>
      <c r="Z173">
        <f ca="1">IF(AND(ISNUMBER($Z$479),$B$294=1),$Z$479,HLOOKUP(INDIRECT(ADDRESS(2,COLUMN())),OFFSET($BN$2,0,0,ROW()-1,60),ROW()-1,FALSE))</f>
        <v>4.7256376610000004</v>
      </c>
      <c r="AA173">
        <f ca="1">IF(AND(ISNUMBER($AA$479),$B$294=1),$AA$479,HLOOKUP(INDIRECT(ADDRESS(2,COLUMN())),OFFSET($BN$2,0,0,ROW()-1,60),ROW()-1,FALSE))</f>
        <v>4.8936461739999997</v>
      </c>
      <c r="AB173">
        <f ca="1">IF(AND(ISNUMBER($AB$479),$B$294=1),$AB$479,HLOOKUP(INDIRECT(ADDRESS(2,COLUMN())),OFFSET($BN$2,0,0,ROW()-1,60),ROW()-1,FALSE))</f>
        <v>3.0536194249999999</v>
      </c>
      <c r="AC173">
        <f ca="1">IF(AND(ISNUMBER($AC$479),$B$294=1),$AC$479,HLOOKUP(INDIRECT(ADDRESS(2,COLUMN())),OFFSET($BN$2,0,0,ROW()-1,60),ROW()-1,FALSE))</f>
        <v>2.9170295089999998</v>
      </c>
      <c r="AD173">
        <f ca="1">IF(AND(ISNUMBER($AD$479),$B$294=1),$AD$479,HLOOKUP(INDIRECT(ADDRESS(2,COLUMN())),OFFSET($BN$2,0,0,ROW()-1,60),ROW()-1,FALSE))</f>
        <v>2.6481857799999999</v>
      </c>
      <c r="AE173">
        <f ca="1">IF(AND(ISNUMBER($AE$479),$B$294=1),$AE$479,HLOOKUP(INDIRECT(ADDRESS(2,COLUMN())),OFFSET($BN$2,0,0,ROW()-1,60),ROW()-1,FALSE))</f>
        <v>1.6289117959999999</v>
      </c>
      <c r="AF173">
        <f ca="1">IF(AND(ISNUMBER($AF$479),$B$294=1),$AF$479,HLOOKUP(INDIRECT(ADDRESS(2,COLUMN())),OFFSET($BN$2,0,0,ROW()-1,60),ROW()-1,FALSE))</f>
        <v>3.701766127</v>
      </c>
      <c r="AG173">
        <f ca="1">IF(AND(ISNUMBER($AG$479),$B$294=1),$AG$479,HLOOKUP(INDIRECT(ADDRESS(2,COLUMN())),OFFSET($BN$2,0,0,ROW()-1,60),ROW()-1,FALSE))</f>
        <v>3.738966816</v>
      </c>
      <c r="AH173">
        <f ca="1">IF(AND(ISNUMBER($AH$479),$B$294=1),$AH$479,HLOOKUP(INDIRECT(ADDRESS(2,COLUMN())),OFFSET($BN$2,0,0,ROW()-1,60),ROW()-1,FALSE))</f>
        <v>3.8227151309999998</v>
      </c>
      <c r="AI173">
        <f ca="1">IF(AND(ISNUMBER($AI$479),$B$294=1),$AI$479,HLOOKUP(INDIRECT(ADDRESS(2,COLUMN())),OFFSET($BN$2,0,0,ROW()-1,60),ROW()-1,FALSE))</f>
        <v>4.5910996390000003</v>
      </c>
      <c r="AJ173">
        <f ca="1">IF(AND(ISNUMBER($AJ$479),$B$294=1),$AJ$479,HLOOKUP(INDIRECT(ADDRESS(2,COLUMN())),OFFSET($BN$2,0,0,ROW()-1,60),ROW()-1,FALSE))</f>
        <v>4.3102953319999999</v>
      </c>
      <c r="AK173">
        <f ca="1">IF(AND(ISNUMBER($AK$479),$B$294=1),$AK$479,HLOOKUP(INDIRECT(ADDRESS(2,COLUMN())),OFFSET($BN$2,0,0,ROW()-1,60),ROW()-1,FALSE))</f>
        <v>4.5950222649999999</v>
      </c>
      <c r="AL173">
        <f ca="1">IF(AND(ISNUMBER($AL$479),$B$294=1),$AL$479,HLOOKUP(INDIRECT(ADDRESS(2,COLUMN())),OFFSET($BN$2,0,0,ROW()-1,60),ROW()-1,FALSE))</f>
        <v>4.9644438710000003</v>
      </c>
      <c r="AM173">
        <f ca="1">IF(AND(ISNUMBER($AM$479),$B$294=1),$AM$479,HLOOKUP(INDIRECT(ADDRESS(2,COLUMN())),OFFSET($BN$2,0,0,ROW()-1,60),ROW()-1,FALSE))</f>
        <v>5.2553850769999997</v>
      </c>
      <c r="AN173">
        <f ca="1">IF(AND(ISNUMBER($AN$479),$B$294=1),$AN$479,HLOOKUP(INDIRECT(ADDRESS(2,COLUMN())),OFFSET($BN$2,0,0,ROW()-1,60),ROW()-1,FALSE))</f>
        <v>5.8585863629999997</v>
      </c>
      <c r="AO173">
        <f ca="1">IF(AND(ISNUMBER($AO$479),$B$294=1),$AO$479,HLOOKUP(INDIRECT(ADDRESS(2,COLUMN())),OFFSET($BN$2,0,0,ROW()-1,60),ROW()-1,FALSE))</f>
        <v>5.8136162870000003</v>
      </c>
      <c r="AP173">
        <f ca="1">IF(AND(ISNUMBER($AP$479),$B$294=1),$AP$479,HLOOKUP(INDIRECT(ADDRESS(2,COLUMN())),OFFSET($BN$2,0,0,ROW()-1,60),ROW()-1,FALSE))</f>
        <v>5.6156731850000003</v>
      </c>
      <c r="AQ173">
        <f ca="1">IF(AND(ISNUMBER($AQ$479),$B$294=1),$AQ$479,HLOOKUP(INDIRECT(ADDRESS(2,COLUMN())),OFFSET($BN$2,0,0,ROW()-1,60),ROW()-1,FALSE))</f>
        <v>5.3360703899999997</v>
      </c>
      <c r="AR173">
        <f ca="1">IF(AND(ISNUMBER($AR$479),$B$294=1),$AR$479,HLOOKUP(INDIRECT(ADDRESS(2,COLUMN())),OFFSET($BN$2,0,0,ROW()-1,60),ROW()-1,FALSE))</f>
        <v>4.969644315</v>
      </c>
      <c r="AS173">
        <f ca="1">IF(AND(ISNUMBER($AS$479),$B$294=1),$AS$479,HLOOKUP(INDIRECT(ADDRESS(2,COLUMN())),OFFSET($BN$2,0,0,ROW()-1,60),ROW()-1,FALSE))</f>
        <v>4.9586087330000002</v>
      </c>
      <c r="AT173">
        <f ca="1">IF(AND(ISNUMBER($AT$479),$B$294=1),$AT$479,HLOOKUP(INDIRECT(ADDRESS(2,COLUMN())),OFFSET($BN$2,0,0,ROW()-1,60),ROW()-1,FALSE))</f>
        <v>5.0406815140000001</v>
      </c>
      <c r="AU173">
        <f ca="1">IF(AND(ISNUMBER($AU$479),$B$294=1),$AU$479,HLOOKUP(INDIRECT(ADDRESS(2,COLUMN())),OFFSET($BN$2,0,0,ROW()-1,60),ROW()-1,FALSE))</f>
        <v>5.3155798079999999</v>
      </c>
      <c r="AV173">
        <f ca="1">IF(AND(ISNUMBER($AV$479),$B$294=1),$AV$479,HLOOKUP(INDIRECT(ADDRESS(2,COLUMN())),OFFSET($BN$2,0,0,ROW()-1,60),ROW()-1,FALSE))</f>
        <v>5.0532323039999998</v>
      </c>
      <c r="AW173">
        <f ca="1">IF(AND(ISNUMBER($AW$479),$B$294=1),$AW$479,HLOOKUP(INDIRECT(ADDRESS(2,COLUMN())),OFFSET($BN$2,0,0,ROW()-1,60),ROW()-1,FALSE))</f>
        <v>4.7647064329999997</v>
      </c>
      <c r="AX173">
        <f ca="1">IF(AND(ISNUMBER($AX$479),$B$294=1),$AX$479,HLOOKUP(INDIRECT(ADDRESS(2,COLUMN())),OFFSET($BN$2,0,0,ROW()-1,60),ROW()-1,FALSE))</f>
        <v>4.6965750039999996</v>
      </c>
      <c r="AY173">
        <f ca="1">IF(AND(ISNUMBER($AY$479),$B$294=1),$AY$479,HLOOKUP(INDIRECT(ADDRESS(2,COLUMN())),OFFSET($BN$2,0,0,ROW()-1,60),ROW()-1,FALSE))</f>
        <v>4.9475723460000003</v>
      </c>
      <c r="AZ173">
        <f ca="1">IF(AND(ISNUMBER($AZ$479),$B$294=1),$AZ$479,HLOOKUP(INDIRECT(ADDRESS(2,COLUMN())),OFFSET($BN$2,0,0,ROW()-1,60),ROW()-1,FALSE))</f>
        <v>7.456144074</v>
      </c>
      <c r="BA173">
        <f ca="1">IF(AND(ISNUMBER($BA$479),$B$294=1),$BA$479,HLOOKUP(INDIRECT(ADDRESS(2,COLUMN())),OFFSET($BN$2,0,0,ROW()-1,60),ROW()-1,FALSE))</f>
        <v>7.6911666800000003</v>
      </c>
      <c r="BB173">
        <f ca="1">IF(AND(ISNUMBER($BB$479),$B$294=1),$BB$479,HLOOKUP(INDIRECT(ADDRESS(2,COLUMN())),OFFSET($BN$2,0,0,ROW()-1,60),ROW()-1,FALSE))</f>
        <v>8.0251268089999996</v>
      </c>
      <c r="BC173">
        <f ca="1">IF(AND(ISNUMBER($BC$479),$B$294=1),$BC$479,HLOOKUP(INDIRECT(ADDRESS(2,COLUMN())),OFFSET($BN$2,0,0,ROW()-1,60),ROW()-1,FALSE))</f>
        <v>8.0560740479999993</v>
      </c>
      <c r="BD173">
        <f ca="1">IF(AND(ISNUMBER($BD$479),$B$294=1),$BD$479,HLOOKUP(INDIRECT(ADDRESS(2,COLUMN())),OFFSET($BN$2,0,0,ROW()-1,60),ROW()-1,FALSE))</f>
        <v>5.802905559</v>
      </c>
      <c r="BE173">
        <f ca="1">IF(AND(ISNUMBER($BE$479),$B$294=1),$BE$479,HLOOKUP(INDIRECT(ADDRESS(2,COLUMN())),OFFSET($BN$2,0,0,ROW()-1,60),ROW()-1,FALSE))</f>
        <v>5.3679317229999999</v>
      </c>
      <c r="BF173">
        <f ca="1">IF(AND(ISNUMBER($BF$479),$B$294=1),$BF$479,HLOOKUP(INDIRECT(ADDRESS(2,COLUMN())),OFFSET($BN$2,0,0,ROW()-1,60),ROW()-1,FALSE))</f>
        <v>5.5562260160000001</v>
      </c>
      <c r="BG173">
        <f ca="1">IF(AND(ISNUMBER($BG$479),$B$294=1),$BG$479,HLOOKUP(INDIRECT(ADDRESS(2,COLUMN())),OFFSET($BN$2,0,0,ROW()-1,60),ROW()-1,FALSE))</f>
        <v>5.5522663559999996</v>
      </c>
      <c r="BH173">
        <f ca="1">IF(AND(ISNUMBER($BH$479),$B$294=1),$BH$479,HLOOKUP(INDIRECT(ADDRESS(2,COLUMN())),OFFSET($BN$2,0,0,ROW()-1,60),ROW()-1,FALSE))</f>
        <v>5.3132013560000004</v>
      </c>
      <c r="BI173">
        <f ca="1">IF(AND(ISNUMBER($BI$479),$B$294=1),$BI$479,HLOOKUP(INDIRECT(ADDRESS(2,COLUMN())),OFFSET($BN$2,0,0,ROW()-1,60),ROW()-1,FALSE))</f>
        <v>5.7350253889999996</v>
      </c>
      <c r="BJ173">
        <f ca="1">IF(AND(ISNUMBER($BJ$479),$B$294=1),$BJ$479,HLOOKUP(INDIRECT(ADDRESS(2,COLUMN())),OFFSET($BN$2,0,0,ROW()-1,60),ROW()-1,FALSE))</f>
        <v>5.4406129200000004</v>
      </c>
      <c r="BK173">
        <f ca="1">IF(AND(ISNUMBER($BK$479),$B$294=1),$BK$479,HLOOKUP(INDIRECT(ADDRESS(2,COLUMN())),OFFSET($BN$2,0,0,ROW()-1,60),ROW()-1,FALSE))</f>
        <v>5.4678307559999997</v>
      </c>
      <c r="BL173">
        <f ca="1">IF(AND(ISNUMBER($BL$479),$B$294=1),$BL$479,HLOOKUP(INDIRECT(ADDRESS(2,COLUMN())),OFFSET($BN$2,0,0,ROW()-1,60),ROW()-1,FALSE))</f>
        <v>5.274400773</v>
      </c>
      <c r="BM173">
        <f ca="1">IF(AND(ISNUMBER($BM$479),$B$294=1),$BM$479,HLOOKUP(INDIRECT(ADDRESS(2,COLUMN())),OFFSET($BN$2,0,0,ROW()-1,60),ROW()-1,FALSE))</f>
        <v>5.2485593579999996</v>
      </c>
      <c r="BN173" t="str">
        <f>""</f>
        <v/>
      </c>
      <c r="BO173">
        <f>6.370324661</f>
        <v>6.3703246609999997</v>
      </c>
      <c r="BP173">
        <f>6.709244588</f>
        <v>6.7092445879999998</v>
      </c>
      <c r="BQ173">
        <f>6.30919292</f>
        <v>6.3091929200000001</v>
      </c>
      <c r="BR173">
        <f>6.00516235</f>
        <v>6.00516235</v>
      </c>
      <c r="BS173">
        <f>5.544130267</f>
        <v>5.5441302669999999</v>
      </c>
      <c r="BT173">
        <f>4.770357184</f>
        <v>4.7703571839999999</v>
      </c>
      <c r="BU173">
        <f>7.101617706</f>
        <v>7.1016177059999999</v>
      </c>
      <c r="BV173">
        <f>7.390580035</f>
        <v>7.3905800350000002</v>
      </c>
      <c r="BW173">
        <f>7.506143685</f>
        <v>7.5061436849999996</v>
      </c>
      <c r="BX173">
        <f>7.602757981</f>
        <v>7.6027579809999999</v>
      </c>
      <c r="BY173">
        <f>4.999698788</f>
        <v>4.9996987879999999</v>
      </c>
      <c r="BZ173">
        <f>4.65385792</f>
        <v>4.6538579200000001</v>
      </c>
      <c r="CA173">
        <f>4.77010819</f>
        <v>4.7701081900000002</v>
      </c>
      <c r="CB173">
        <f>7.144079269</f>
        <v>7.1440792689999997</v>
      </c>
      <c r="CC173">
        <f>7.005710917</f>
        <v>7.005710917</v>
      </c>
      <c r="CD173">
        <f>6.698027529</f>
        <v>6.698027529</v>
      </c>
      <c r="CE173">
        <f>6.571432868</f>
        <v>6.5714328679999996</v>
      </c>
      <c r="CF173">
        <f>4.470935907</f>
        <v>4.4709359070000003</v>
      </c>
      <c r="CG173">
        <f>4.187454202</f>
        <v>4.1874542019999996</v>
      </c>
      <c r="CH173">
        <f>4.725637661</f>
        <v>4.7256376610000004</v>
      </c>
      <c r="CI173">
        <f>4.893646174</f>
        <v>4.8936461739999997</v>
      </c>
      <c r="CJ173">
        <f>3.053619425</f>
        <v>3.0536194249999999</v>
      </c>
      <c r="CK173">
        <f>2.917029509</f>
        <v>2.9170295089999998</v>
      </c>
      <c r="CL173">
        <f>2.64818578</f>
        <v>2.6481857799999999</v>
      </c>
      <c r="CM173">
        <f>1.628911796</f>
        <v>1.6289117959999999</v>
      </c>
      <c r="CN173">
        <f>3.701766127</f>
        <v>3.701766127</v>
      </c>
      <c r="CO173">
        <f>3.738966816</f>
        <v>3.738966816</v>
      </c>
      <c r="CP173">
        <f>3.822715131</f>
        <v>3.8227151309999998</v>
      </c>
      <c r="CQ173">
        <f>4.591099639</f>
        <v>4.5910996390000003</v>
      </c>
      <c r="CR173">
        <f>4.310295332</f>
        <v>4.3102953319999999</v>
      </c>
      <c r="CS173">
        <f>4.595022265</f>
        <v>4.5950222649999999</v>
      </c>
      <c r="CT173">
        <f>4.964443871</f>
        <v>4.9644438710000003</v>
      </c>
      <c r="CU173">
        <f>5.255385077</f>
        <v>5.2553850769999997</v>
      </c>
      <c r="CV173">
        <f>5.858586363</f>
        <v>5.8585863629999997</v>
      </c>
      <c r="CW173">
        <f>5.813616287</f>
        <v>5.8136162870000003</v>
      </c>
      <c r="CX173">
        <f>5.615673185</f>
        <v>5.6156731850000003</v>
      </c>
      <c r="CY173">
        <f>5.33607039</f>
        <v>5.3360703899999997</v>
      </c>
      <c r="CZ173">
        <f>4.969644315</f>
        <v>4.969644315</v>
      </c>
      <c r="DA173">
        <f>4.958608733</f>
        <v>4.9586087330000002</v>
      </c>
      <c r="DB173">
        <f>5.040681514</f>
        <v>5.0406815140000001</v>
      </c>
      <c r="DC173">
        <f>5.315579808</f>
        <v>5.3155798079999999</v>
      </c>
      <c r="DD173">
        <f>5.053232304</f>
        <v>5.0532323039999998</v>
      </c>
      <c r="DE173">
        <f>4.764706433</f>
        <v>4.7647064329999997</v>
      </c>
      <c r="DF173">
        <f>4.696575004</f>
        <v>4.6965750039999996</v>
      </c>
      <c r="DG173">
        <f>4.947572346</f>
        <v>4.9475723460000003</v>
      </c>
      <c r="DH173">
        <f>7.456144074</f>
        <v>7.456144074</v>
      </c>
      <c r="DI173">
        <f>7.69116668</f>
        <v>7.6911666800000003</v>
      </c>
      <c r="DJ173">
        <f>8.025126809</f>
        <v>8.0251268089999996</v>
      </c>
      <c r="DK173">
        <f>8.056074048</f>
        <v>8.0560740479999993</v>
      </c>
      <c r="DL173">
        <f>5.802905559</f>
        <v>5.802905559</v>
      </c>
      <c r="DM173">
        <f>5.367931723</f>
        <v>5.3679317229999999</v>
      </c>
      <c r="DN173">
        <f>5.556226016</f>
        <v>5.5562260160000001</v>
      </c>
      <c r="DO173">
        <f>5.552266356</f>
        <v>5.5522663559999996</v>
      </c>
      <c r="DP173">
        <f>5.313201356</f>
        <v>5.3132013560000004</v>
      </c>
      <c r="DQ173">
        <f>5.735025389</f>
        <v>5.7350253889999996</v>
      </c>
      <c r="DR173">
        <f>5.44061292</f>
        <v>5.4406129200000004</v>
      </c>
      <c r="DS173">
        <f>5.467830756</f>
        <v>5.4678307559999997</v>
      </c>
      <c r="DT173">
        <f>5.274400773</f>
        <v>5.274400773</v>
      </c>
      <c r="DU173">
        <f>5.248559358</f>
        <v>5.2485593579999996</v>
      </c>
    </row>
    <row r="174" spans="1:125">
      <c r="A174" t="str">
        <f>"    Highwoods Properties Inc"</f>
        <v xml:space="preserve">    Highwoods Properties Inc</v>
      </c>
      <c r="B174" t="str">
        <f>"HIW US Equity"</f>
        <v>HIW US Equity</v>
      </c>
      <c r="C174" t="str">
        <f t="shared" si="45"/>
        <v>RR554</v>
      </c>
      <c r="D174" t="str">
        <f t="shared" si="46"/>
        <v>FFO_RE_ASSET</v>
      </c>
      <c r="E174" t="str">
        <f t="shared" si="47"/>
        <v>动态</v>
      </c>
      <c r="F174" t="str">
        <f ca="1">IF(AND(ISNUMBER($F$480),$B$294=1),$F$480,HLOOKUP(INDIRECT(ADDRESS(2,COLUMN())),OFFSET($BN$2,0,0,ROW()-1,60),ROW()-1,FALSE))</f>
        <v/>
      </c>
      <c r="G174">
        <f ca="1">IF(AND(ISNUMBER($G$480),$B$294=1),$G$480,HLOOKUP(INDIRECT(ADDRESS(2,COLUMN())),OFFSET($BN$2,0,0,ROW()-1,60),ROW()-1,FALSE))</f>
        <v>8.8053389430000006</v>
      </c>
      <c r="H174">
        <f ca="1">IF(AND(ISNUMBER($H$480),$B$294=1),$H$480,HLOOKUP(INDIRECT(ADDRESS(2,COLUMN())),OFFSET($BN$2,0,0,ROW()-1,60),ROW()-1,FALSE))</f>
        <v>8.7776968469999996</v>
      </c>
      <c r="I174">
        <f ca="1">IF(AND(ISNUMBER($I$480),$B$294=1),$I$480,HLOOKUP(INDIRECT(ADDRESS(2,COLUMN())),OFFSET($BN$2,0,0,ROW()-1,60),ROW()-1,FALSE))</f>
        <v>8.7341136640000006</v>
      </c>
      <c r="J174">
        <f ca="1">IF(AND(ISNUMBER($J$480),$B$294=1),$J$480,HLOOKUP(INDIRECT(ADDRESS(2,COLUMN())),OFFSET($BN$2,0,0,ROW()-1,60),ROW()-1,FALSE))</f>
        <v>8.4888416640000006</v>
      </c>
      <c r="K174">
        <f ca="1">IF(AND(ISNUMBER($K$480),$B$294=1),$K$480,HLOOKUP(INDIRECT(ADDRESS(2,COLUMN())),OFFSET($BN$2,0,0,ROW()-1,60),ROW()-1,FALSE))</f>
        <v>8.2416361449999993</v>
      </c>
      <c r="L174">
        <f ca="1">IF(AND(ISNUMBER($L$480),$B$294=1),$L$480,HLOOKUP(INDIRECT(ADDRESS(2,COLUMN())),OFFSET($BN$2,0,0,ROW()-1,60),ROW()-1,FALSE))</f>
        <v>8.2695646679999992</v>
      </c>
      <c r="M174">
        <f ca="1">IF(AND(ISNUMBER($M$480),$B$294=1),$M$480,HLOOKUP(INDIRECT(ADDRESS(2,COLUMN())),OFFSET($BN$2,0,0,ROW()-1,60),ROW()-1,FALSE))</f>
        <v>8.5987343079999992</v>
      </c>
      <c r="N174">
        <f ca="1">IF(AND(ISNUMBER($N$480),$B$294=1),$N$480,HLOOKUP(INDIRECT(ADDRESS(2,COLUMN())),OFFSET($BN$2,0,0,ROW()-1,60),ROW()-1,FALSE))</f>
        <v>8.5000409749999992</v>
      </c>
      <c r="O174">
        <f ca="1">IF(AND(ISNUMBER($O$480),$B$294=1),$O$480,HLOOKUP(INDIRECT(ADDRESS(2,COLUMN())),OFFSET($BN$2,0,0,ROW()-1,60),ROW()-1,FALSE))</f>
        <v>7.9136546279999997</v>
      </c>
      <c r="P174">
        <f ca="1">IF(AND(ISNUMBER($P$480),$B$294=1),$P$480,HLOOKUP(INDIRECT(ADDRESS(2,COLUMN())),OFFSET($BN$2,0,0,ROW()-1,60),ROW()-1,FALSE))</f>
        <v>7.8151234159999996</v>
      </c>
      <c r="Q174">
        <f ca="1">IF(AND(ISNUMBER($Q$480),$B$294=1),$Q$480,HLOOKUP(INDIRECT(ADDRESS(2,COLUMN())),OFFSET($BN$2,0,0,ROW()-1,60),ROW()-1,FALSE))</f>
        <v>8.0064132929999996</v>
      </c>
      <c r="R174">
        <f ca="1">IF(AND(ISNUMBER($R$480),$B$294=1),$R$480,HLOOKUP(INDIRECT(ADDRESS(2,COLUMN())),OFFSET($BN$2,0,0,ROW()-1,60),ROW()-1,FALSE))</f>
        <v>8.0831277220000004</v>
      </c>
      <c r="S174">
        <f ca="1">IF(AND(ISNUMBER($S$480),$B$294=1),$S$480,HLOOKUP(INDIRECT(ADDRESS(2,COLUMN())),OFFSET($BN$2,0,0,ROW()-1,60),ROW()-1,FALSE))</f>
        <v>7.8569153700000003</v>
      </c>
      <c r="T174">
        <f ca="1">IF(AND(ISNUMBER($T$480),$B$294=1),$T$480,HLOOKUP(INDIRECT(ADDRESS(2,COLUMN())),OFFSET($BN$2,0,0,ROW()-1,60),ROW()-1,FALSE))</f>
        <v>7.8725982969999997</v>
      </c>
      <c r="U174">
        <f ca="1">IF(AND(ISNUMBER($U$480),$B$294=1),$U$480,HLOOKUP(INDIRECT(ADDRESS(2,COLUMN())),OFFSET($BN$2,0,0,ROW()-1,60),ROW()-1,FALSE))</f>
        <v>8.1583305740000007</v>
      </c>
      <c r="V174">
        <f ca="1">IF(AND(ISNUMBER($V$480),$B$294=1),$V$480,HLOOKUP(INDIRECT(ADDRESS(2,COLUMN())),OFFSET($BN$2,0,0,ROW()-1,60),ROW()-1,FALSE))</f>
        <v>7.9293001209999998</v>
      </c>
      <c r="W174">
        <f ca="1">IF(AND(ISNUMBER($W$480),$B$294=1),$W$480,HLOOKUP(INDIRECT(ADDRESS(2,COLUMN())),OFFSET($BN$2,0,0,ROW()-1,60),ROW()-1,FALSE))</f>
        <v>7.8775597250000002</v>
      </c>
      <c r="X174">
        <f ca="1">IF(AND(ISNUMBER($X$480),$B$294=1),$X$480,HLOOKUP(INDIRECT(ADDRESS(2,COLUMN())),OFFSET($BN$2,0,0,ROW()-1,60),ROW()-1,FALSE))</f>
        <v>7.5335424599999996</v>
      </c>
      <c r="Y174">
        <f ca="1">IF(AND(ISNUMBER($Y$480),$B$294=1),$Y$480,HLOOKUP(INDIRECT(ADDRESS(2,COLUMN())),OFFSET($BN$2,0,0,ROW()-1,60),ROW()-1,FALSE))</f>
        <v>7.5785980950000003</v>
      </c>
      <c r="Z174">
        <f ca="1">IF(AND(ISNUMBER($Z$480),$B$294=1),$Z$480,HLOOKUP(INDIRECT(ADDRESS(2,COLUMN())),OFFSET($BN$2,0,0,ROW()-1,60),ROW()-1,FALSE))</f>
        <v>7.4873724360000002</v>
      </c>
      <c r="AA174">
        <f ca="1">IF(AND(ISNUMBER($AA$480),$B$294=1),$AA$480,HLOOKUP(INDIRECT(ADDRESS(2,COLUMN())),OFFSET($BN$2,0,0,ROW()-1,60),ROW()-1,FALSE))</f>
        <v>7.3999329239999998</v>
      </c>
      <c r="AB174">
        <f ca="1">IF(AND(ISNUMBER($AB$480),$B$294=1),$AB$480,HLOOKUP(INDIRECT(ADDRESS(2,COLUMN())),OFFSET($BN$2,0,0,ROW()-1,60),ROW()-1,FALSE))</f>
        <v>7.4821552120000003</v>
      </c>
      <c r="AC174">
        <f ca="1">IF(AND(ISNUMBER($AC$480),$B$294=1),$AC$480,HLOOKUP(INDIRECT(ADDRESS(2,COLUMN())),OFFSET($BN$2,0,0,ROW()-1,60),ROW()-1,FALSE))</f>
        <v>7.5780033910000002</v>
      </c>
      <c r="AD174">
        <f ca="1">IF(AND(ISNUMBER($AD$480),$B$294=1),$AD$480,HLOOKUP(INDIRECT(ADDRESS(2,COLUMN())),OFFSET($BN$2,0,0,ROW()-1,60),ROW()-1,FALSE))</f>
        <v>7.2974332329999996</v>
      </c>
      <c r="AE174">
        <f ca="1">IF(AND(ISNUMBER($AE$480),$B$294=1),$AE$480,HLOOKUP(INDIRECT(ADDRESS(2,COLUMN())),OFFSET($BN$2,0,0,ROW()-1,60),ROW()-1,FALSE))</f>
        <v>6.9793560149999996</v>
      </c>
      <c r="AF174">
        <f ca="1">IF(AND(ISNUMBER($AF$480),$B$294=1),$AF$480,HLOOKUP(INDIRECT(ADDRESS(2,COLUMN())),OFFSET($BN$2,0,0,ROW()-1,60),ROW()-1,FALSE))</f>
        <v>6.7376560100000003</v>
      </c>
      <c r="AG174">
        <f ca="1">IF(AND(ISNUMBER($AG$480),$B$294=1),$AG$480,HLOOKUP(INDIRECT(ADDRESS(2,COLUMN())),OFFSET($BN$2,0,0,ROW()-1,60),ROW()-1,FALSE))</f>
        <v>6.98524426</v>
      </c>
      <c r="AH174">
        <f ca="1">IF(AND(ISNUMBER($AH$480),$B$294=1),$AH$480,HLOOKUP(INDIRECT(ADDRESS(2,COLUMN())),OFFSET($BN$2,0,0,ROW()-1,60),ROW()-1,FALSE))</f>
        <v>7.1088636510000001</v>
      </c>
      <c r="AI174">
        <f ca="1">IF(AND(ISNUMBER($AI$480),$B$294=1),$AI$480,HLOOKUP(INDIRECT(ADDRESS(2,COLUMN())),OFFSET($BN$2,0,0,ROW()-1,60),ROW()-1,FALSE))</f>
        <v>7.0466843890000002</v>
      </c>
      <c r="AJ174">
        <f ca="1">IF(AND(ISNUMBER($AJ$480),$B$294=1),$AJ$480,HLOOKUP(INDIRECT(ADDRESS(2,COLUMN())),OFFSET($BN$2,0,0,ROW()-1,60),ROW()-1,FALSE))</f>
        <v>6.4426641350000002</v>
      </c>
      <c r="AK174">
        <f ca="1">IF(AND(ISNUMBER($AK$480),$B$294=1),$AK$480,HLOOKUP(INDIRECT(ADDRESS(2,COLUMN())),OFFSET($BN$2,0,0,ROW()-1,60),ROW()-1,FALSE))</f>
        <v>6.5923932980000002</v>
      </c>
      <c r="AL174">
        <f ca="1">IF(AND(ISNUMBER($AL$480),$B$294=1),$AL$480,HLOOKUP(INDIRECT(ADDRESS(2,COLUMN())),OFFSET($BN$2,0,0,ROW()-1,60),ROW()-1,FALSE))</f>
        <v>6.5388119170000003</v>
      </c>
      <c r="AM174">
        <f ca="1">IF(AND(ISNUMBER($AM$480),$B$294=1),$AM$480,HLOOKUP(INDIRECT(ADDRESS(2,COLUMN())),OFFSET($BN$2,0,0,ROW()-1,60),ROW()-1,FALSE))</f>
        <v>6.5795955030000002</v>
      </c>
      <c r="AN174">
        <f ca="1">IF(AND(ISNUMBER($AN$480),$B$294=1),$AN$480,HLOOKUP(INDIRECT(ADDRESS(2,COLUMN())),OFFSET($BN$2,0,0,ROW()-1,60),ROW()-1,FALSE))</f>
        <v>5.8100362460000001</v>
      </c>
      <c r="AO174">
        <f ca="1">IF(AND(ISNUMBER($AO$480),$B$294=1),$AO$480,HLOOKUP(INDIRECT(ADDRESS(2,COLUMN())),OFFSET($BN$2,0,0,ROW()-1,60),ROW()-1,FALSE))</f>
        <v>5.7504058669999996</v>
      </c>
      <c r="AP174">
        <f ca="1">IF(AND(ISNUMBER($AP$480),$B$294=1),$AP$480,HLOOKUP(INDIRECT(ADDRESS(2,COLUMN())),OFFSET($BN$2,0,0,ROW()-1,60),ROW()-1,FALSE))</f>
        <v>5.4529098100000004</v>
      </c>
      <c r="AQ174">
        <f ca="1">IF(AND(ISNUMBER($AQ$480),$B$294=1),$AQ$480,HLOOKUP(INDIRECT(ADDRESS(2,COLUMN())),OFFSET($BN$2,0,0,ROW()-1,60),ROW()-1,FALSE))</f>
        <v>5.3253465999999996</v>
      </c>
      <c r="AR174">
        <f ca="1">IF(AND(ISNUMBER($AR$480),$B$294=1),$AR$480,HLOOKUP(INDIRECT(ADDRESS(2,COLUMN())),OFFSET($BN$2,0,0,ROW()-1,60),ROW()-1,FALSE))</f>
        <v>6.257717242</v>
      </c>
      <c r="AS174">
        <f ca="1">IF(AND(ISNUMBER($AS$480),$B$294=1),$AS$480,HLOOKUP(INDIRECT(ADDRESS(2,COLUMN())),OFFSET($BN$2,0,0,ROW()-1,60),ROW()-1,FALSE))</f>
        <v>5.975508864</v>
      </c>
      <c r="AT174">
        <f ca="1">IF(AND(ISNUMBER($AT$480),$B$294=1),$AT$480,HLOOKUP(INDIRECT(ADDRESS(2,COLUMN())),OFFSET($BN$2,0,0,ROW()-1,60),ROW()-1,FALSE))</f>
        <v>5.7714952850000003</v>
      </c>
      <c r="AU174">
        <f ca="1">IF(AND(ISNUMBER($AU$480),$B$294=1),$AU$480,HLOOKUP(INDIRECT(ADDRESS(2,COLUMN())),OFFSET($BN$2,0,0,ROW()-1,60),ROW()-1,FALSE))</f>
        <v>6.2918920780000001</v>
      </c>
      <c r="AV174">
        <f ca="1">IF(AND(ISNUMBER($AV$480),$B$294=1),$AV$480,HLOOKUP(INDIRECT(ADDRESS(2,COLUMN())),OFFSET($BN$2,0,0,ROW()-1,60),ROW()-1,FALSE))</f>
        <v>6.4607561860000002</v>
      </c>
      <c r="AW174">
        <f ca="1">IF(AND(ISNUMBER($AW$480),$B$294=1),$AW$480,HLOOKUP(INDIRECT(ADDRESS(2,COLUMN())),OFFSET($BN$2,0,0,ROW()-1,60),ROW()-1,FALSE))</f>
        <v>6.3414487839999998</v>
      </c>
      <c r="AX174">
        <f ca="1">IF(AND(ISNUMBER($AX$480),$B$294=1),$AX$480,HLOOKUP(INDIRECT(ADDRESS(2,COLUMN())),OFFSET($BN$2,0,0,ROW()-1,60),ROW()-1,FALSE))</f>
        <v>6.3028911389999998</v>
      </c>
      <c r="AY174">
        <f ca="1">IF(AND(ISNUMBER($AY$480),$B$294=1),$AY$480,HLOOKUP(INDIRECT(ADDRESS(2,COLUMN())),OFFSET($BN$2,0,0,ROW()-1,60),ROW()-1,FALSE))</f>
        <v>5.3989253430000002</v>
      </c>
      <c r="AZ174">
        <f ca="1">IF(AND(ISNUMBER($AZ$480),$B$294=1),$AZ$480,HLOOKUP(INDIRECT(ADDRESS(2,COLUMN())),OFFSET($BN$2,0,0,ROW()-1,60),ROW()-1,FALSE))</f>
        <v>4.6970493180000004</v>
      </c>
      <c r="BA174">
        <f ca="1">IF(AND(ISNUMBER($BA$480),$B$294=1),$BA$480,HLOOKUP(INDIRECT(ADDRESS(2,COLUMN())),OFFSET($BN$2,0,0,ROW()-1,60),ROW()-1,FALSE))</f>
        <v>4.3611918840000001</v>
      </c>
      <c r="BB174">
        <f ca="1">IF(AND(ISNUMBER($BB$480),$B$294=1),$BB$480,HLOOKUP(INDIRECT(ADDRESS(2,COLUMN())),OFFSET($BN$2,0,0,ROW()-1,60),ROW()-1,FALSE))</f>
        <v>4.4962276640000001</v>
      </c>
      <c r="BC174">
        <f ca="1">IF(AND(ISNUMBER($BC$480),$B$294=1),$BC$480,HLOOKUP(INDIRECT(ADDRESS(2,COLUMN())),OFFSET($BN$2,0,0,ROW()-1,60),ROW()-1,FALSE))</f>
        <v>4.3915830839999996</v>
      </c>
      <c r="BD174">
        <f ca="1">IF(AND(ISNUMBER($BD$480),$B$294=1),$BD$480,HLOOKUP(INDIRECT(ADDRESS(2,COLUMN())),OFFSET($BN$2,0,0,ROW()-1,60),ROW()-1,FALSE))</f>
        <v>4.4855878809999998</v>
      </c>
      <c r="BE174">
        <f ca="1">IF(AND(ISNUMBER($BE$480),$B$294=1),$BE$480,HLOOKUP(INDIRECT(ADDRESS(2,COLUMN())),OFFSET($BN$2,0,0,ROW()-1,60),ROW()-1,FALSE))</f>
        <v>4.8932835969999999</v>
      </c>
      <c r="BF174">
        <f ca="1">IF(AND(ISNUMBER($BF$480),$B$294=1),$BF$480,HLOOKUP(INDIRECT(ADDRESS(2,COLUMN())),OFFSET($BN$2,0,0,ROW()-1,60),ROW()-1,FALSE))</f>
        <v>4.1788913619999999</v>
      </c>
      <c r="BG174" t="str">
        <f ca="1">IF(AND(ISNUMBER($BG$480),$B$294=1),$BG$480,HLOOKUP(INDIRECT(ADDRESS(2,COLUMN())),OFFSET($BN$2,0,0,ROW()-1,60),ROW()-1,FALSE))</f>
        <v/>
      </c>
      <c r="BH174">
        <f ca="1">IF(AND(ISNUMBER($BH$480),$B$294=1),$BH$480,HLOOKUP(INDIRECT(ADDRESS(2,COLUMN())),OFFSET($BN$2,0,0,ROW()-1,60),ROW()-1,FALSE))</f>
        <v>5.9854048190000002</v>
      </c>
      <c r="BI174">
        <f ca="1">IF(AND(ISNUMBER($BI$480),$B$294=1),$BI$480,HLOOKUP(INDIRECT(ADDRESS(2,COLUMN())),OFFSET($BN$2,0,0,ROW()-1,60),ROW()-1,FALSE))</f>
        <v>5.9139588300000003</v>
      </c>
      <c r="BJ174">
        <f ca="1">IF(AND(ISNUMBER($BJ$480),$B$294=1),$BJ$480,HLOOKUP(INDIRECT(ADDRESS(2,COLUMN())),OFFSET($BN$2,0,0,ROW()-1,60),ROW()-1,FALSE))</f>
        <v>6.3058269180000002</v>
      </c>
      <c r="BK174" t="str">
        <f ca="1">IF(AND(ISNUMBER($BK$480),$B$294=1),$BK$480,HLOOKUP(INDIRECT(ADDRESS(2,COLUMN())),OFFSET($BN$2,0,0,ROW()-1,60),ROW()-1,FALSE))</f>
        <v/>
      </c>
      <c r="BL174">
        <f ca="1">IF(AND(ISNUMBER($BL$480),$B$294=1),$BL$480,HLOOKUP(INDIRECT(ADDRESS(2,COLUMN())),OFFSET($BN$2,0,0,ROW()-1,60),ROW()-1,FALSE))</f>
        <v>7.1771371689999999</v>
      </c>
      <c r="BM174">
        <f ca="1">IF(AND(ISNUMBER($BM$480),$B$294=1),$BM$480,HLOOKUP(INDIRECT(ADDRESS(2,COLUMN())),OFFSET($BN$2,0,0,ROW()-1,60),ROW()-1,FALSE))</f>
        <v>5.5817755910000004</v>
      </c>
      <c r="BN174" t="str">
        <f>""</f>
        <v/>
      </c>
      <c r="BO174">
        <f>8.805338943</f>
        <v>8.8053389430000006</v>
      </c>
      <c r="BP174">
        <f>8.777696847</f>
        <v>8.7776968469999996</v>
      </c>
      <c r="BQ174">
        <f>8.734113664</f>
        <v>8.7341136640000006</v>
      </c>
      <c r="BR174">
        <f>8.488841664</f>
        <v>8.4888416640000006</v>
      </c>
      <c r="BS174">
        <f>8.241636145</f>
        <v>8.2416361449999993</v>
      </c>
      <c r="BT174">
        <f>8.269564668</f>
        <v>8.2695646679999992</v>
      </c>
      <c r="BU174">
        <f>8.598734308</f>
        <v>8.5987343079999992</v>
      </c>
      <c r="BV174">
        <f>8.500040975</f>
        <v>8.5000409749999992</v>
      </c>
      <c r="BW174">
        <f>7.913654628</f>
        <v>7.9136546279999997</v>
      </c>
      <c r="BX174">
        <f>7.815123416</f>
        <v>7.8151234159999996</v>
      </c>
      <c r="BY174">
        <f>8.006413293</f>
        <v>8.0064132929999996</v>
      </c>
      <c r="BZ174">
        <f>8.083127722</f>
        <v>8.0831277220000004</v>
      </c>
      <c r="CA174">
        <f>7.85691537</f>
        <v>7.8569153700000003</v>
      </c>
      <c r="CB174">
        <f>7.872598297</f>
        <v>7.8725982969999997</v>
      </c>
      <c r="CC174">
        <f>8.158330574</f>
        <v>8.1583305740000007</v>
      </c>
      <c r="CD174">
        <f>7.929300121</f>
        <v>7.9293001209999998</v>
      </c>
      <c r="CE174">
        <f>7.877559725</f>
        <v>7.8775597250000002</v>
      </c>
      <c r="CF174">
        <f>7.53354246</f>
        <v>7.5335424599999996</v>
      </c>
      <c r="CG174">
        <f>7.578598095</f>
        <v>7.5785980950000003</v>
      </c>
      <c r="CH174">
        <f>7.487372436</f>
        <v>7.4873724360000002</v>
      </c>
      <c r="CI174">
        <f>7.399932924</f>
        <v>7.3999329239999998</v>
      </c>
      <c r="CJ174">
        <f>7.482155212</f>
        <v>7.4821552120000003</v>
      </c>
      <c r="CK174">
        <f>7.578003391</f>
        <v>7.5780033910000002</v>
      </c>
      <c r="CL174">
        <f>7.297433233</f>
        <v>7.2974332329999996</v>
      </c>
      <c r="CM174">
        <f>6.979356015</f>
        <v>6.9793560149999996</v>
      </c>
      <c r="CN174">
        <f>6.73765601</f>
        <v>6.7376560100000003</v>
      </c>
      <c r="CO174">
        <f>6.98524426</f>
        <v>6.98524426</v>
      </c>
      <c r="CP174">
        <f>7.108863651</f>
        <v>7.1088636510000001</v>
      </c>
      <c r="CQ174">
        <f>7.046684389</f>
        <v>7.0466843890000002</v>
      </c>
      <c r="CR174">
        <f>6.442664135</f>
        <v>6.4426641350000002</v>
      </c>
      <c r="CS174">
        <f>6.592393298</f>
        <v>6.5923932980000002</v>
      </c>
      <c r="CT174">
        <f>6.538811917</f>
        <v>6.5388119170000003</v>
      </c>
      <c r="CU174">
        <f>6.579595503</f>
        <v>6.5795955030000002</v>
      </c>
      <c r="CV174">
        <f>5.810036246</f>
        <v>5.8100362460000001</v>
      </c>
      <c r="CW174">
        <f>5.750405867</f>
        <v>5.7504058669999996</v>
      </c>
      <c r="CX174">
        <f>5.45290981</f>
        <v>5.4529098100000004</v>
      </c>
      <c r="CY174">
        <f>5.3253466</f>
        <v>5.3253465999999996</v>
      </c>
      <c r="CZ174">
        <f>6.257717242</f>
        <v>6.257717242</v>
      </c>
      <c r="DA174">
        <f>5.975508864</f>
        <v>5.975508864</v>
      </c>
      <c r="DB174">
        <f>5.771495285</f>
        <v>5.7714952850000003</v>
      </c>
      <c r="DC174">
        <f>6.291892078</f>
        <v>6.2918920780000001</v>
      </c>
      <c r="DD174">
        <f>6.460756186</f>
        <v>6.4607561860000002</v>
      </c>
      <c r="DE174">
        <f>6.341448784</f>
        <v>6.3414487839999998</v>
      </c>
      <c r="DF174">
        <f>6.302891139</f>
        <v>6.3028911389999998</v>
      </c>
      <c r="DG174">
        <f>5.398925343</f>
        <v>5.3989253430000002</v>
      </c>
      <c r="DH174">
        <f>4.697049318</f>
        <v>4.6970493180000004</v>
      </c>
      <c r="DI174">
        <f>4.361191884</f>
        <v>4.3611918840000001</v>
      </c>
      <c r="DJ174">
        <f>4.496227664</f>
        <v>4.4962276640000001</v>
      </c>
      <c r="DK174">
        <f>4.391583084</f>
        <v>4.3915830839999996</v>
      </c>
      <c r="DL174">
        <f>4.485587881</f>
        <v>4.4855878809999998</v>
      </c>
      <c r="DM174">
        <f>4.893283597</f>
        <v>4.8932835969999999</v>
      </c>
      <c r="DN174">
        <f>4.178891362</f>
        <v>4.1788913619999999</v>
      </c>
      <c r="DO174" t="str">
        <f>""</f>
        <v/>
      </c>
      <c r="DP174">
        <f>5.985404819</f>
        <v>5.9854048190000002</v>
      </c>
      <c r="DQ174">
        <f>5.91395883</f>
        <v>5.9139588300000003</v>
      </c>
      <c r="DR174">
        <f>6.305826918</f>
        <v>6.3058269180000002</v>
      </c>
      <c r="DS174" t="str">
        <f>""</f>
        <v/>
      </c>
      <c r="DT174">
        <f>7.177137169</f>
        <v>7.1771371689999999</v>
      </c>
      <c r="DU174">
        <f>5.581775591</f>
        <v>5.5817755910000004</v>
      </c>
    </row>
    <row r="175" spans="1:125">
      <c r="A175" t="str">
        <f>"    Kilroy Realty Corp"</f>
        <v xml:space="preserve">    Kilroy Realty Corp</v>
      </c>
      <c r="B175" t="str">
        <f>"KRC US Equity"</f>
        <v>KRC US Equity</v>
      </c>
      <c r="C175" t="str">
        <f t="shared" si="45"/>
        <v>RR554</v>
      </c>
      <c r="D175" t="str">
        <f t="shared" si="46"/>
        <v>FFO_RE_ASSET</v>
      </c>
      <c r="E175" t="str">
        <f t="shared" si="47"/>
        <v>动态</v>
      </c>
      <c r="F175" t="str">
        <f ca="1">IF(AND(ISNUMBER($F$481),$B$294=1),$F$481,HLOOKUP(INDIRECT(ADDRESS(2,COLUMN())),OFFSET($BN$2,0,0,ROW()-1,60),ROW()-1,FALSE))</f>
        <v/>
      </c>
      <c r="G175">
        <f ca="1">IF(AND(ISNUMBER($G$481),$B$294=1),$G$481,HLOOKUP(INDIRECT(ADDRESS(2,COLUMN())),OFFSET($BN$2,0,0,ROW()-1,60),ROW()-1,FALSE))</f>
        <v>5.7441142980000004</v>
      </c>
      <c r="H175">
        <f ca="1">IF(AND(ISNUMBER($H$481),$B$294=1),$H$481,HLOOKUP(INDIRECT(ADDRESS(2,COLUMN())),OFFSET($BN$2,0,0,ROW()-1,60),ROW()-1,FALSE))</f>
        <v>5.9605005689999997</v>
      </c>
      <c r="I175">
        <f ca="1">IF(AND(ISNUMBER($I$481),$B$294=1),$I$481,HLOOKUP(INDIRECT(ADDRESS(2,COLUMN())),OFFSET($BN$2,0,0,ROW()-1,60),ROW()-1,FALSE))</f>
        <v>5.9533474110000002</v>
      </c>
      <c r="J175">
        <f ca="1">IF(AND(ISNUMBER($J$481),$B$294=1),$J$481,HLOOKUP(INDIRECT(ADDRESS(2,COLUMN())),OFFSET($BN$2,0,0,ROW()-1,60),ROW()-1,FALSE))</f>
        <v>5.9014643629999997</v>
      </c>
      <c r="K175">
        <f ca="1">IF(AND(ISNUMBER($K$481),$B$294=1),$K$481,HLOOKUP(INDIRECT(ADDRESS(2,COLUMN())),OFFSET($BN$2,0,0,ROW()-1,60),ROW()-1,FALSE))</f>
        <v>5.9306575339999998</v>
      </c>
      <c r="L175">
        <f ca="1">IF(AND(ISNUMBER($L$481),$B$294=1),$L$481,HLOOKUP(INDIRECT(ADDRESS(2,COLUMN())),OFFSET($BN$2,0,0,ROW()-1,60),ROW()-1,FALSE))</f>
        <v>5.9884347440000001</v>
      </c>
      <c r="M175">
        <f ca="1">IF(AND(ISNUMBER($M$481),$B$294=1),$M$481,HLOOKUP(INDIRECT(ADDRESS(2,COLUMN())),OFFSET($BN$2,0,0,ROW()-1,60),ROW()-1,FALSE))</f>
        <v>5.8453893609999996</v>
      </c>
      <c r="N175">
        <f ca="1">IF(AND(ISNUMBER($N$481),$B$294=1),$N$481,HLOOKUP(INDIRECT(ADDRESS(2,COLUMN())),OFFSET($BN$2,0,0,ROW()-1,60),ROW()-1,FALSE))</f>
        <v>5.7610911829999996</v>
      </c>
      <c r="O175">
        <f ca="1">IF(AND(ISNUMBER($O$481),$B$294=1),$O$481,HLOOKUP(INDIRECT(ADDRESS(2,COLUMN())),OFFSET($BN$2,0,0,ROW()-1,60),ROW()-1,FALSE))</f>
        <v>6.0629405509999996</v>
      </c>
      <c r="P175">
        <f ca="1">IF(AND(ISNUMBER($P$481),$B$294=1),$P$481,HLOOKUP(INDIRECT(ADDRESS(2,COLUMN())),OFFSET($BN$2,0,0,ROW()-1,60),ROW()-1,FALSE))</f>
        <v>6.0778425580000004</v>
      </c>
      <c r="Q175">
        <f ca="1">IF(AND(ISNUMBER($Q$481),$B$294=1),$Q$481,HLOOKUP(INDIRECT(ADDRESS(2,COLUMN())),OFFSET($BN$2,0,0,ROW()-1,60),ROW()-1,FALSE))</f>
        <v>5.9732633489999998</v>
      </c>
      <c r="R175">
        <f ca="1">IF(AND(ISNUMBER($R$481),$B$294=1),$R$481,HLOOKUP(INDIRECT(ADDRESS(2,COLUMN())),OFFSET($BN$2,0,0,ROW()-1,60),ROW()-1,FALSE))</f>
        <v>5.9120189620000003</v>
      </c>
      <c r="S175">
        <f ca="1">IF(AND(ISNUMBER($S$481),$B$294=1),$S$481,HLOOKUP(INDIRECT(ADDRESS(2,COLUMN())),OFFSET($BN$2,0,0,ROW()-1,60),ROW()-1,FALSE))</f>
        <v>5.247744462</v>
      </c>
      <c r="T175">
        <f ca="1">IF(AND(ISNUMBER($T$481),$B$294=1),$T$481,HLOOKUP(INDIRECT(ADDRESS(2,COLUMN())),OFFSET($BN$2,0,0,ROW()-1,60),ROW()-1,FALSE))</f>
        <v>5.2586013280000001</v>
      </c>
      <c r="U175">
        <f ca="1">IF(AND(ISNUMBER($U$481),$B$294=1),$U$481,HLOOKUP(INDIRECT(ADDRESS(2,COLUMN())),OFFSET($BN$2,0,0,ROW()-1,60),ROW()-1,FALSE))</f>
        <v>5.1842581150000004</v>
      </c>
      <c r="V175">
        <f ca="1">IF(AND(ISNUMBER($V$481),$B$294=1),$V$481,HLOOKUP(INDIRECT(ADDRESS(2,COLUMN())),OFFSET($BN$2,0,0,ROW()-1,60),ROW()-1,FALSE))</f>
        <v>5.1507599470000001</v>
      </c>
      <c r="W175">
        <f ca="1">IF(AND(ISNUMBER($W$481),$B$294=1),$W$481,HLOOKUP(INDIRECT(ADDRESS(2,COLUMN())),OFFSET($BN$2,0,0,ROW()-1,60),ROW()-1,FALSE))</f>
        <v>5.1763795559999997</v>
      </c>
      <c r="X175">
        <f ca="1">IF(AND(ISNUMBER($X$481),$B$294=1),$X$481,HLOOKUP(INDIRECT(ADDRESS(2,COLUMN())),OFFSET($BN$2,0,0,ROW()-1,60),ROW()-1,FALSE))</f>
        <v>5.2881302310000002</v>
      </c>
      <c r="Y175">
        <f ca="1">IF(AND(ISNUMBER($Y$481),$B$294=1),$Y$481,HLOOKUP(INDIRECT(ADDRESS(2,COLUMN())),OFFSET($BN$2,0,0,ROW()-1,60),ROW()-1,FALSE))</f>
        <v>5.0878906490000002</v>
      </c>
      <c r="Z175">
        <f ca="1">IF(AND(ISNUMBER($Z$481),$B$294=1),$Z$481,HLOOKUP(INDIRECT(ADDRESS(2,COLUMN())),OFFSET($BN$2,0,0,ROW()-1,60),ROW()-1,FALSE))</f>
        <v>4.8747284909999999</v>
      </c>
      <c r="AA175">
        <f ca="1">IF(AND(ISNUMBER($AA$481),$B$294=1),$AA$481,HLOOKUP(INDIRECT(ADDRESS(2,COLUMN())),OFFSET($BN$2,0,0,ROW()-1,60),ROW()-1,FALSE))</f>
        <v>4.6890591639999997</v>
      </c>
      <c r="AB175">
        <f ca="1">IF(AND(ISNUMBER($AB$481),$B$294=1),$AB$481,HLOOKUP(INDIRECT(ADDRESS(2,COLUMN())),OFFSET($BN$2,0,0,ROW()-1,60),ROW()-1,FALSE))</f>
        <v>4.6688017820000001</v>
      </c>
      <c r="AC175">
        <f ca="1">IF(AND(ISNUMBER($AC$481),$B$294=1),$AC$481,HLOOKUP(INDIRECT(ADDRESS(2,COLUMN())),OFFSET($BN$2,0,0,ROW()-1,60),ROW()-1,FALSE))</f>
        <v>4.5887533510000003</v>
      </c>
      <c r="AD175">
        <f ca="1">IF(AND(ISNUMBER($AD$481),$B$294=1),$AD$481,HLOOKUP(INDIRECT(ADDRESS(2,COLUMN())),OFFSET($BN$2,0,0,ROW()-1,60),ROW()-1,FALSE))</f>
        <v>4.7996426400000001</v>
      </c>
      <c r="AE175">
        <f ca="1">IF(AND(ISNUMBER($AE$481),$B$294=1),$AE$481,HLOOKUP(INDIRECT(ADDRESS(2,COLUMN())),OFFSET($BN$2,0,0,ROW()-1,60),ROW()-1,FALSE))</f>
        <v>4.862775235</v>
      </c>
      <c r="AF175">
        <f ca="1">IF(AND(ISNUMBER($AF$481),$B$294=1),$AF$481,HLOOKUP(INDIRECT(ADDRESS(2,COLUMN())),OFFSET($BN$2,0,0,ROW()-1,60),ROW()-1,FALSE))</f>
        <v>4.6973134019999998</v>
      </c>
      <c r="AG175">
        <f ca="1">IF(AND(ISNUMBER($AG$481),$B$294=1),$AG$481,HLOOKUP(INDIRECT(ADDRESS(2,COLUMN())),OFFSET($BN$2,0,0,ROW()-1,60),ROW()-1,FALSE))</f>
        <v>4.6057196300000003</v>
      </c>
      <c r="AH175">
        <f ca="1">IF(AND(ISNUMBER($AH$481),$B$294=1),$AH$481,HLOOKUP(INDIRECT(ADDRESS(2,COLUMN())),OFFSET($BN$2,0,0,ROW()-1,60),ROW()-1,FALSE))</f>
        <v>4.9166831350000004</v>
      </c>
      <c r="AI175">
        <f ca="1">IF(AND(ISNUMBER($AI$481),$B$294=1),$AI$481,HLOOKUP(INDIRECT(ADDRESS(2,COLUMN())),OFFSET($BN$2,0,0,ROW()-1,60),ROW()-1,FALSE))</f>
        <v>4.7721440929999996</v>
      </c>
      <c r="AJ175">
        <f ca="1">IF(AND(ISNUMBER($AJ$481),$B$294=1),$AJ$481,HLOOKUP(INDIRECT(ADDRESS(2,COLUMN())),OFFSET($BN$2,0,0,ROW()-1,60),ROW()-1,FALSE))</f>
        <v>4.4737744660000001</v>
      </c>
      <c r="AK175">
        <f ca="1">IF(AND(ISNUMBER($AK$481),$B$294=1),$AK$481,HLOOKUP(INDIRECT(ADDRESS(2,COLUMN())),OFFSET($BN$2,0,0,ROW()-1,60),ROW()-1,FALSE))</f>
        <v>4.4811613440000002</v>
      </c>
      <c r="AL175">
        <f ca="1">IF(AND(ISNUMBER($AL$481),$B$294=1),$AL$481,HLOOKUP(INDIRECT(ADDRESS(2,COLUMN())),OFFSET($BN$2,0,0,ROW()-1,60),ROW()-1,FALSE))</f>
        <v>5.3494692170000002</v>
      </c>
      <c r="AM175">
        <f ca="1">IF(AND(ISNUMBER($AM$481),$B$294=1),$AM$481,HLOOKUP(INDIRECT(ADDRESS(2,COLUMN())),OFFSET($BN$2,0,0,ROW()-1,60),ROW()-1,FALSE))</f>
        <v>5.5257826799999998</v>
      </c>
      <c r="AN175">
        <f ca="1">IF(AND(ISNUMBER($AN$481),$B$294=1),$AN$481,HLOOKUP(INDIRECT(ADDRESS(2,COLUMN())),OFFSET($BN$2,0,0,ROW()-1,60),ROW()-1,FALSE))</f>
        <v>5.9430643529999996</v>
      </c>
      <c r="AO175">
        <f ca="1">IF(AND(ISNUMBER($AO$481),$B$294=1),$AO$481,HLOOKUP(INDIRECT(ADDRESS(2,COLUMN())),OFFSET($BN$2,0,0,ROW()-1,60),ROW()-1,FALSE))</f>
        <v>6.102913719</v>
      </c>
      <c r="AP175">
        <f ca="1">IF(AND(ISNUMBER($AP$481),$B$294=1),$AP$481,HLOOKUP(INDIRECT(ADDRESS(2,COLUMN())),OFFSET($BN$2,0,0,ROW()-1,60),ROW()-1,FALSE))</f>
        <v>5.867566429</v>
      </c>
      <c r="AQ175">
        <f ca="1">IF(AND(ISNUMBER($AQ$481),$B$294=1),$AQ$481,HLOOKUP(INDIRECT(ADDRESS(2,COLUMN())),OFFSET($BN$2,0,0,ROW()-1,60),ROW()-1,FALSE))</f>
        <v>5.8912268409999999</v>
      </c>
      <c r="AR175">
        <f ca="1">IF(AND(ISNUMBER($AR$481),$B$294=1),$AR$481,HLOOKUP(INDIRECT(ADDRESS(2,COLUMN())),OFFSET($BN$2,0,0,ROW()-1,60),ROW()-1,FALSE))</f>
        <v>6.2624317300000003</v>
      </c>
      <c r="AS175">
        <f ca="1">IF(AND(ISNUMBER($AS$481),$B$294=1),$AS$481,HLOOKUP(INDIRECT(ADDRESS(2,COLUMN())),OFFSET($BN$2,0,0,ROW()-1,60),ROW()-1,FALSE))</f>
        <v>6.0515803569999997</v>
      </c>
      <c r="AT175">
        <f ca="1">IF(AND(ISNUMBER($AT$481),$B$294=1),$AT$481,HLOOKUP(INDIRECT(ADDRESS(2,COLUMN())),OFFSET($BN$2,0,0,ROW()-1,60),ROW()-1,FALSE))</f>
        <v>6.2164056639999998</v>
      </c>
      <c r="AU175">
        <f ca="1">IF(AND(ISNUMBER($AU$481),$B$294=1),$AU$481,HLOOKUP(INDIRECT(ADDRESS(2,COLUMN())),OFFSET($BN$2,0,0,ROW()-1,60),ROW()-1,FALSE))</f>
        <v>6.2683736210000003</v>
      </c>
      <c r="AV175">
        <f ca="1">IF(AND(ISNUMBER($AV$481),$B$294=1),$AV$481,HLOOKUP(INDIRECT(ADDRESS(2,COLUMN())),OFFSET($BN$2,0,0,ROW()-1,60),ROW()-1,FALSE))</f>
        <v>6.3736962080000001</v>
      </c>
      <c r="AW175">
        <f ca="1">IF(AND(ISNUMBER($AW$481),$B$294=1),$AW$481,HLOOKUP(INDIRECT(ADDRESS(2,COLUMN())),OFFSET($BN$2,0,0,ROW()-1,60),ROW()-1,FALSE))</f>
        <v>6.3319096090000002</v>
      </c>
      <c r="AX175">
        <f ca="1">IF(AND(ISNUMBER($AX$481),$B$294=1),$AX$481,HLOOKUP(INDIRECT(ADDRESS(2,COLUMN())),OFFSET($BN$2,0,0,ROW()-1,60),ROW()-1,FALSE))</f>
        <v>7.1916717500000003</v>
      </c>
      <c r="AY175">
        <f ca="1">IF(AND(ISNUMBER($AY$481),$B$294=1),$AY$481,HLOOKUP(INDIRECT(ADDRESS(2,COLUMN())),OFFSET($BN$2,0,0,ROW()-1,60),ROW()-1,FALSE))</f>
        <v>7.4773444720000004</v>
      </c>
      <c r="AZ175">
        <f ca="1">IF(AND(ISNUMBER($AZ$481),$B$294=1),$AZ$481,HLOOKUP(INDIRECT(ADDRESS(2,COLUMN())),OFFSET($BN$2,0,0,ROW()-1,60),ROW()-1,FALSE))</f>
        <v>6.4389013830000001</v>
      </c>
      <c r="BA175">
        <f ca="1">IF(AND(ISNUMBER($BA$481),$B$294=1),$BA$481,HLOOKUP(INDIRECT(ADDRESS(2,COLUMN())),OFFSET($BN$2,0,0,ROW()-1,60),ROW()-1,FALSE))</f>
        <v>5.6929878220000001</v>
      </c>
      <c r="BB175">
        <f ca="1">IF(AND(ISNUMBER($BB$481),$B$294=1),$BB$481,HLOOKUP(INDIRECT(ADDRESS(2,COLUMN())),OFFSET($BN$2,0,0,ROW()-1,60),ROW()-1,FALSE))</f>
        <v>4.2753963730000004</v>
      </c>
      <c r="BC175">
        <f ca="1">IF(AND(ISNUMBER($BC$481),$B$294=1),$BC$481,HLOOKUP(INDIRECT(ADDRESS(2,COLUMN())),OFFSET($BN$2,0,0,ROW()-1,60),ROW()-1,FALSE))</f>
        <v>4.1991224239999996</v>
      </c>
      <c r="BD175">
        <f ca="1">IF(AND(ISNUMBER($BD$481),$B$294=1),$BD$481,HLOOKUP(INDIRECT(ADDRESS(2,COLUMN())),OFFSET($BN$2,0,0,ROW()-1,60),ROW()-1,FALSE))</f>
        <v>5.0234985749999996</v>
      </c>
      <c r="BE175">
        <f ca="1">IF(AND(ISNUMBER($BE$481),$B$294=1),$BE$481,HLOOKUP(INDIRECT(ADDRESS(2,COLUMN())),OFFSET($BN$2,0,0,ROW()-1,60),ROW()-1,FALSE))</f>
        <v>5.5185623960000001</v>
      </c>
      <c r="BF175">
        <f ca="1">IF(AND(ISNUMBER($BF$481),$B$294=1),$BF$481,HLOOKUP(INDIRECT(ADDRESS(2,COLUMN())),OFFSET($BN$2,0,0,ROW()-1,60),ROW()-1,FALSE))</f>
        <v>6.1467405810000004</v>
      </c>
      <c r="BG175">
        <f ca="1">IF(AND(ISNUMBER($BG$481),$B$294=1),$BG$481,HLOOKUP(INDIRECT(ADDRESS(2,COLUMN())),OFFSET($BN$2,0,0,ROW()-1,60),ROW()-1,FALSE))</f>
        <v>5.7127530870000003</v>
      </c>
      <c r="BH175">
        <f ca="1">IF(AND(ISNUMBER($BH$481),$B$294=1),$BH$481,HLOOKUP(INDIRECT(ADDRESS(2,COLUMN())),OFFSET($BN$2,0,0,ROW()-1,60),ROW()-1,FALSE))</f>
        <v>6.1420760669999996</v>
      </c>
      <c r="BI175">
        <f ca="1">IF(AND(ISNUMBER($BI$481),$B$294=1),$BI$481,HLOOKUP(INDIRECT(ADDRESS(2,COLUMN())),OFFSET($BN$2,0,0,ROW()-1,60),ROW()-1,FALSE))</f>
        <v>7.3299569560000002</v>
      </c>
      <c r="BJ175">
        <f ca="1">IF(AND(ISNUMBER($BJ$481),$B$294=1),$BJ$481,HLOOKUP(INDIRECT(ADDRESS(2,COLUMN())),OFFSET($BN$2,0,0,ROW()-1,60),ROW()-1,FALSE))</f>
        <v>7.348536781</v>
      </c>
      <c r="BK175">
        <f ca="1">IF(AND(ISNUMBER($BK$481),$B$294=1),$BK$481,HLOOKUP(INDIRECT(ADDRESS(2,COLUMN())),OFFSET($BN$2,0,0,ROW()-1,60),ROW()-1,FALSE))</f>
        <v>7.7422940699999998</v>
      </c>
      <c r="BL175" t="str">
        <f ca="1">IF(AND(ISNUMBER($BL$481),$B$294=1),$BL$481,HLOOKUP(INDIRECT(ADDRESS(2,COLUMN())),OFFSET($BN$2,0,0,ROW()-1,60),ROW()-1,FALSE))</f>
        <v/>
      </c>
      <c r="BM175">
        <f ca="1">IF(AND(ISNUMBER($BM$481),$B$294=1),$BM$481,HLOOKUP(INDIRECT(ADDRESS(2,COLUMN())),OFFSET($BN$2,0,0,ROW()-1,60),ROW()-1,FALSE))</f>
        <v>6.994720676</v>
      </c>
      <c r="BN175" t="str">
        <f>""</f>
        <v/>
      </c>
      <c r="BO175">
        <f>5.744114298</f>
        <v>5.7441142980000004</v>
      </c>
      <c r="BP175">
        <f>5.960500569</f>
        <v>5.9605005689999997</v>
      </c>
      <c r="BQ175">
        <f>5.953347411</f>
        <v>5.9533474110000002</v>
      </c>
      <c r="BR175">
        <f>5.901464363</f>
        <v>5.9014643629999997</v>
      </c>
      <c r="BS175">
        <f>5.930657534</f>
        <v>5.9306575339999998</v>
      </c>
      <c r="BT175">
        <f>5.988434744</f>
        <v>5.9884347440000001</v>
      </c>
      <c r="BU175">
        <f>5.845389361</f>
        <v>5.8453893609999996</v>
      </c>
      <c r="BV175">
        <f>5.761091183</f>
        <v>5.7610911829999996</v>
      </c>
      <c r="BW175">
        <f>6.062940551</f>
        <v>6.0629405509999996</v>
      </c>
      <c r="BX175">
        <f>6.077842558</f>
        <v>6.0778425580000004</v>
      </c>
      <c r="BY175">
        <f>5.973263349</f>
        <v>5.9732633489999998</v>
      </c>
      <c r="BZ175">
        <f>5.912018962</f>
        <v>5.9120189620000003</v>
      </c>
      <c r="CA175">
        <f>5.247744462</f>
        <v>5.247744462</v>
      </c>
      <c r="CB175">
        <f>5.258601328</f>
        <v>5.2586013280000001</v>
      </c>
      <c r="CC175">
        <f>5.184258115</f>
        <v>5.1842581150000004</v>
      </c>
      <c r="CD175">
        <f>5.150759947</f>
        <v>5.1507599470000001</v>
      </c>
      <c r="CE175">
        <f>5.176379556</f>
        <v>5.1763795559999997</v>
      </c>
      <c r="CF175">
        <f>5.288130231</f>
        <v>5.2881302310000002</v>
      </c>
      <c r="CG175">
        <f>5.087890649</f>
        <v>5.0878906490000002</v>
      </c>
      <c r="CH175">
        <f>4.874728491</f>
        <v>4.8747284909999999</v>
      </c>
      <c r="CI175">
        <f>4.689059164</f>
        <v>4.6890591639999997</v>
      </c>
      <c r="CJ175">
        <f>4.668801782</f>
        <v>4.6688017820000001</v>
      </c>
      <c r="CK175">
        <f>4.588753351</f>
        <v>4.5887533510000003</v>
      </c>
      <c r="CL175">
        <f>4.79964264</f>
        <v>4.7996426400000001</v>
      </c>
      <c r="CM175">
        <f>4.862775235</f>
        <v>4.862775235</v>
      </c>
      <c r="CN175">
        <f>4.697313402</f>
        <v>4.6973134019999998</v>
      </c>
      <c r="CO175">
        <f>4.60571963</f>
        <v>4.6057196300000003</v>
      </c>
      <c r="CP175">
        <f>4.916683135</f>
        <v>4.9166831350000004</v>
      </c>
      <c r="CQ175">
        <f>4.772144093</f>
        <v>4.7721440929999996</v>
      </c>
      <c r="CR175">
        <f>4.473774466</f>
        <v>4.4737744660000001</v>
      </c>
      <c r="CS175">
        <f>4.481161344</f>
        <v>4.4811613440000002</v>
      </c>
      <c r="CT175">
        <f>5.349469217</f>
        <v>5.3494692170000002</v>
      </c>
      <c r="CU175">
        <f>5.52578268</f>
        <v>5.5257826799999998</v>
      </c>
      <c r="CV175">
        <f>5.943064353</f>
        <v>5.9430643529999996</v>
      </c>
      <c r="CW175">
        <f>6.102913719</f>
        <v>6.102913719</v>
      </c>
      <c r="CX175">
        <f>5.867566429</f>
        <v>5.867566429</v>
      </c>
      <c r="CY175">
        <f>5.891226841</f>
        <v>5.8912268409999999</v>
      </c>
      <c r="CZ175">
        <f>6.26243173</f>
        <v>6.2624317300000003</v>
      </c>
      <c r="DA175">
        <f>6.051580357</f>
        <v>6.0515803569999997</v>
      </c>
      <c r="DB175">
        <f>6.216405664</f>
        <v>6.2164056639999998</v>
      </c>
      <c r="DC175">
        <f>6.268373621</f>
        <v>6.2683736210000003</v>
      </c>
      <c r="DD175">
        <f>6.373696208</f>
        <v>6.3736962080000001</v>
      </c>
      <c r="DE175">
        <f>6.331909609</f>
        <v>6.3319096090000002</v>
      </c>
      <c r="DF175">
        <f>7.19167175</f>
        <v>7.1916717500000003</v>
      </c>
      <c r="DG175">
        <f>7.477344472</f>
        <v>7.4773444720000004</v>
      </c>
      <c r="DH175">
        <f>6.438901383</f>
        <v>6.4389013830000001</v>
      </c>
      <c r="DI175">
        <f>5.692987822</f>
        <v>5.6929878220000001</v>
      </c>
      <c r="DJ175">
        <f>4.275396373</f>
        <v>4.2753963730000004</v>
      </c>
      <c r="DK175">
        <f>4.199122424</f>
        <v>4.1991224239999996</v>
      </c>
      <c r="DL175">
        <f>5.023498575</f>
        <v>5.0234985749999996</v>
      </c>
      <c r="DM175">
        <f>5.518562396</f>
        <v>5.5185623960000001</v>
      </c>
      <c r="DN175">
        <f>6.146740581</f>
        <v>6.1467405810000004</v>
      </c>
      <c r="DO175">
        <f>5.712753087</f>
        <v>5.7127530870000003</v>
      </c>
      <c r="DP175">
        <f>6.142076067</f>
        <v>6.1420760669999996</v>
      </c>
      <c r="DQ175">
        <f>7.329956956</f>
        <v>7.3299569560000002</v>
      </c>
      <c r="DR175">
        <f>7.348536781</f>
        <v>7.348536781</v>
      </c>
      <c r="DS175">
        <f>7.74229407</f>
        <v>7.7422940699999998</v>
      </c>
      <c r="DT175" t="str">
        <f>""</f>
        <v/>
      </c>
      <c r="DU175">
        <f>6.994720676</f>
        <v>6.994720676</v>
      </c>
    </row>
    <row r="176" spans="1:125">
      <c r="A176" t="str">
        <f>"    Mack-Cali Realty Corp"</f>
        <v xml:space="preserve">    Mack-Cali Realty Corp</v>
      </c>
      <c r="B176" t="str">
        <f>"CLI US Equity"</f>
        <v>CLI US Equity</v>
      </c>
      <c r="C176" t="str">
        <f t="shared" si="45"/>
        <v>RR554</v>
      </c>
      <c r="D176" t="str">
        <f t="shared" si="46"/>
        <v>FFO_RE_ASSET</v>
      </c>
      <c r="E176" t="str">
        <f t="shared" si="47"/>
        <v>动态</v>
      </c>
      <c r="F176" t="str">
        <f ca="1">IF(AND(ISNUMBER($F$482),$B$294=1),$F$482,HLOOKUP(INDIRECT(ADDRESS(2,COLUMN())),OFFSET($BN$2,0,0,ROW()-1,60),ROW()-1,FALSE))</f>
        <v/>
      </c>
      <c r="G176">
        <f ca="1">IF(AND(ISNUMBER($G$482),$B$294=1),$G$482,HLOOKUP(INDIRECT(ADDRESS(2,COLUMN())),OFFSET($BN$2,0,0,ROW()-1,60),ROW()-1,FALSE))</f>
        <v>5.419466237</v>
      </c>
      <c r="H176">
        <f ca="1">IF(AND(ISNUMBER($H$482),$B$294=1),$H$482,HLOOKUP(INDIRECT(ADDRESS(2,COLUMN())),OFFSET($BN$2,0,0,ROW()-1,60),ROW()-1,FALSE))</f>
        <v>5.0133322610000004</v>
      </c>
      <c r="I176">
        <f ca="1">IF(AND(ISNUMBER($I$482),$B$294=1),$I$482,HLOOKUP(INDIRECT(ADDRESS(2,COLUMN())),OFFSET($BN$2,0,0,ROW()-1,60),ROW()-1,FALSE))</f>
        <v>5.0049473219999996</v>
      </c>
      <c r="J176">
        <f ca="1">IF(AND(ISNUMBER($J$482),$B$294=1),$J$482,HLOOKUP(INDIRECT(ADDRESS(2,COLUMN())),OFFSET($BN$2,0,0,ROW()-1,60),ROW()-1,FALSE))</f>
        <v>5.3164055149999996</v>
      </c>
      <c r="K176">
        <f ca="1">IF(AND(ISNUMBER($K$482),$B$294=1),$K$482,HLOOKUP(INDIRECT(ADDRESS(2,COLUMN())),OFFSET($BN$2,0,0,ROW()-1,60),ROW()-1,FALSE))</f>
        <v>5.4820272069999998</v>
      </c>
      <c r="L176">
        <f ca="1">IF(AND(ISNUMBER($L$482),$B$294=1),$L$482,HLOOKUP(INDIRECT(ADDRESS(2,COLUMN())),OFFSET($BN$2,0,0,ROW()-1,60),ROW()-1,FALSE))</f>
        <v>5.8100456740000004</v>
      </c>
      <c r="M176">
        <f ca="1">IF(AND(ISNUMBER($M$482),$B$294=1),$M$482,HLOOKUP(INDIRECT(ADDRESS(2,COLUMN())),OFFSET($BN$2,0,0,ROW()-1,60),ROW()-1,FALSE))</f>
        <v>5.5837190960000003</v>
      </c>
      <c r="N176">
        <f ca="1">IF(AND(ISNUMBER($N$482),$B$294=1),$N$482,HLOOKUP(INDIRECT(ADDRESS(2,COLUMN())),OFFSET($BN$2,0,0,ROW()-1,60),ROW()-1,FALSE))</f>
        <v>5.1288769609999996</v>
      </c>
      <c r="O176">
        <f ca="1">IF(AND(ISNUMBER($O$482),$B$294=1),$O$482,HLOOKUP(INDIRECT(ADDRESS(2,COLUMN())),OFFSET($BN$2,0,0,ROW()-1,60),ROW()-1,FALSE))</f>
        <v>5.0571689969999998</v>
      </c>
      <c r="P176">
        <f ca="1">IF(AND(ISNUMBER($P$482),$B$294=1),$P$482,HLOOKUP(INDIRECT(ADDRESS(2,COLUMN())),OFFSET($BN$2,0,0,ROW()-1,60),ROW()-1,FALSE))</f>
        <v>4.7550915050000002</v>
      </c>
      <c r="Q176">
        <f ca="1">IF(AND(ISNUMBER($Q$482),$B$294=1),$Q$482,HLOOKUP(INDIRECT(ADDRESS(2,COLUMN())),OFFSET($BN$2,0,0,ROW()-1,60),ROW()-1,FALSE))</f>
        <v>4.5161103740000001</v>
      </c>
      <c r="R176">
        <f ca="1">IF(AND(ISNUMBER($R$482),$B$294=1),$R$482,HLOOKUP(INDIRECT(ADDRESS(2,COLUMN())),OFFSET($BN$2,0,0,ROW()-1,60),ROW()-1,FALSE))</f>
        <v>4.5627455479999997</v>
      </c>
      <c r="S176">
        <f ca="1">IF(AND(ISNUMBER($S$482),$B$294=1),$S$482,HLOOKUP(INDIRECT(ADDRESS(2,COLUMN())),OFFSET($BN$2,0,0,ROW()-1,60),ROW()-1,FALSE))</f>
        <v>4.2241582590000002</v>
      </c>
      <c r="T176">
        <f ca="1">IF(AND(ISNUMBER($T$482),$B$294=1),$T$482,HLOOKUP(INDIRECT(ADDRESS(2,COLUMN())),OFFSET($BN$2,0,0,ROW()-1,60),ROW()-1,FALSE))</f>
        <v>4.7389076509999999</v>
      </c>
      <c r="U176">
        <f ca="1">IF(AND(ISNUMBER($U$482),$B$294=1),$U$482,HLOOKUP(INDIRECT(ADDRESS(2,COLUMN())),OFFSET($BN$2,0,0,ROW()-1,60),ROW()-1,FALSE))</f>
        <v>4.7914500310000001</v>
      </c>
      <c r="V176">
        <f ca="1">IF(AND(ISNUMBER($V$482),$B$294=1),$V$482,HLOOKUP(INDIRECT(ADDRESS(2,COLUMN())),OFFSET($BN$2,0,0,ROW()-1,60),ROW()-1,FALSE))</f>
        <v>5.0674021790000001</v>
      </c>
      <c r="W176">
        <f ca="1">IF(AND(ISNUMBER($W$482),$B$294=1),$W$482,HLOOKUP(INDIRECT(ADDRESS(2,COLUMN())),OFFSET($BN$2,0,0,ROW()-1,60),ROW()-1,FALSE))</f>
        <v>5.932489458</v>
      </c>
      <c r="X176">
        <f ca="1">IF(AND(ISNUMBER($X$482),$B$294=1),$X$482,HLOOKUP(INDIRECT(ADDRESS(2,COLUMN())),OFFSET($BN$2,0,0,ROW()-1,60),ROW()-1,FALSE))</f>
        <v>6.4862547729999998</v>
      </c>
      <c r="Y176">
        <f ca="1">IF(AND(ISNUMBER($Y$482),$B$294=1),$Y$482,HLOOKUP(INDIRECT(ADDRESS(2,COLUMN())),OFFSET($BN$2,0,0,ROW()-1,60),ROW()-1,FALSE))</f>
        <v>6.499332978</v>
      </c>
      <c r="Z176">
        <f ca="1">IF(AND(ISNUMBER($Z$482),$B$294=1),$Z$482,HLOOKUP(INDIRECT(ADDRESS(2,COLUMN())),OFFSET($BN$2,0,0,ROW()-1,60),ROW()-1,FALSE))</f>
        <v>6.324890731</v>
      </c>
      <c r="AA176">
        <f ca="1">IF(AND(ISNUMBER($AA$482),$B$294=1),$AA$482,HLOOKUP(INDIRECT(ADDRESS(2,COLUMN())),OFFSET($BN$2,0,0,ROW()-1,60),ROW()-1,FALSE))</f>
        <v>6.6765653220000001</v>
      </c>
      <c r="AB176">
        <f ca="1">IF(AND(ISNUMBER($AB$482),$B$294=1),$AB$482,HLOOKUP(INDIRECT(ADDRESS(2,COLUMN())),OFFSET($BN$2,0,0,ROW()-1,60),ROW()-1,FALSE))</f>
        <v>6.9196035890000003</v>
      </c>
      <c r="AC176">
        <f ca="1">IF(AND(ISNUMBER($AC$482),$B$294=1),$AC$482,HLOOKUP(INDIRECT(ADDRESS(2,COLUMN())),OFFSET($BN$2,0,0,ROW()-1,60),ROW()-1,FALSE))</f>
        <v>7.1007862319999999</v>
      </c>
      <c r="AD176">
        <f ca="1">IF(AND(ISNUMBER($AD$482),$B$294=1),$AD$482,HLOOKUP(INDIRECT(ADDRESS(2,COLUMN())),OFFSET($BN$2,0,0,ROW()-1,60),ROW()-1,FALSE))</f>
        <v>7.2503730290000004</v>
      </c>
      <c r="AE176">
        <f ca="1">IF(AND(ISNUMBER($AE$482),$B$294=1),$AE$482,HLOOKUP(INDIRECT(ADDRESS(2,COLUMN())),OFFSET($BN$2,0,0,ROW()-1,60),ROW()-1,FALSE))</f>
        <v>7.0465753270000002</v>
      </c>
      <c r="AF176">
        <f ca="1">IF(AND(ISNUMBER($AF$482),$B$294=1),$AF$482,HLOOKUP(INDIRECT(ADDRESS(2,COLUMN())),OFFSET($BN$2,0,0,ROW()-1,60),ROW()-1,FALSE))</f>
        <v>6.9259828729999997</v>
      </c>
      <c r="AG176">
        <f ca="1">IF(AND(ISNUMBER($AG$482),$B$294=1),$AG$482,HLOOKUP(INDIRECT(ADDRESS(2,COLUMN())),OFFSET($BN$2,0,0,ROW()-1,60),ROW()-1,FALSE))</f>
        <v>6.6707703250000003</v>
      </c>
      <c r="AH176">
        <f ca="1">IF(AND(ISNUMBER($AH$482),$B$294=1),$AH$482,HLOOKUP(INDIRECT(ADDRESS(2,COLUMN())),OFFSET($BN$2,0,0,ROW()-1,60),ROW()-1,FALSE))</f>
        <v>6.5537413369999999</v>
      </c>
      <c r="AI176">
        <f ca="1">IF(AND(ISNUMBER($AI$482),$B$294=1),$AI$482,HLOOKUP(INDIRECT(ADDRESS(2,COLUMN())),OFFSET($BN$2,0,0,ROW()-1,60),ROW()-1,FALSE))</f>
        <v>6.4928575159999999</v>
      </c>
      <c r="AJ176">
        <f ca="1">IF(AND(ISNUMBER($AJ$482),$B$294=1),$AJ$482,HLOOKUP(INDIRECT(ADDRESS(2,COLUMN())),OFFSET($BN$2,0,0,ROW()-1,60),ROW()-1,FALSE))</f>
        <v>6.2346758680000001</v>
      </c>
      <c r="AK176">
        <f ca="1">IF(AND(ISNUMBER($AK$482),$B$294=1),$AK$482,HLOOKUP(INDIRECT(ADDRESS(2,COLUMN())),OFFSET($BN$2,0,0,ROW()-1,60),ROW()-1,FALSE))</f>
        <v>6.4709693560000003</v>
      </c>
      <c r="AL176">
        <f ca="1">IF(AND(ISNUMBER($AL$482),$B$294=1),$AL$482,HLOOKUP(INDIRECT(ADDRESS(2,COLUMN())),OFFSET($BN$2,0,0,ROW()-1,60),ROW()-1,FALSE))</f>
        <v>6.767694015</v>
      </c>
      <c r="AM176">
        <f ca="1">IF(AND(ISNUMBER($AM$482),$B$294=1),$AM$482,HLOOKUP(INDIRECT(ADDRESS(2,COLUMN())),OFFSET($BN$2,0,0,ROW()-1,60),ROW()-1,FALSE))</f>
        <v>6.7608492919999996</v>
      </c>
      <c r="AN176">
        <f ca="1">IF(AND(ISNUMBER($AN$482),$B$294=1),$AN$482,HLOOKUP(INDIRECT(ADDRESS(2,COLUMN())),OFFSET($BN$2,0,0,ROW()-1,60),ROW()-1,FALSE))</f>
        <v>6.5786858779999999</v>
      </c>
      <c r="AO176">
        <f ca="1">IF(AND(ISNUMBER($AO$482),$B$294=1),$AO$482,HLOOKUP(INDIRECT(ADDRESS(2,COLUMN())),OFFSET($BN$2,0,0,ROW()-1,60),ROW()-1,FALSE))</f>
        <v>6.7239329139999997</v>
      </c>
      <c r="AP176">
        <f ca="1">IF(AND(ISNUMBER($AP$482),$B$294=1),$AP$482,HLOOKUP(INDIRECT(ADDRESS(2,COLUMN())),OFFSET($BN$2,0,0,ROW()-1,60),ROW()-1,FALSE))</f>
        <v>6.7584288969999999</v>
      </c>
      <c r="AQ176">
        <f ca="1">IF(AND(ISNUMBER($AQ$482),$B$294=1),$AQ$482,HLOOKUP(INDIRECT(ADDRESS(2,COLUMN())),OFFSET($BN$2,0,0,ROW()-1,60),ROW()-1,FALSE))</f>
        <v>6.7899212489999998</v>
      </c>
      <c r="AR176">
        <f ca="1">IF(AND(ISNUMBER($AR$482),$B$294=1),$AR$482,HLOOKUP(INDIRECT(ADDRESS(2,COLUMN())),OFFSET($BN$2,0,0,ROW()-1,60),ROW()-1,FALSE))</f>
        <v>7.2696508729999998</v>
      </c>
      <c r="AS176">
        <f ca="1">IF(AND(ISNUMBER($AS$482),$B$294=1),$AS$482,HLOOKUP(INDIRECT(ADDRESS(2,COLUMN())),OFFSET($BN$2,0,0,ROW()-1,60),ROW()-1,FALSE))</f>
        <v>7.1274274709999998</v>
      </c>
      <c r="AT176">
        <f ca="1">IF(AND(ISNUMBER($AT$482),$B$294=1),$AT$482,HLOOKUP(INDIRECT(ADDRESS(2,COLUMN())),OFFSET($BN$2,0,0,ROW()-1,60),ROW()-1,FALSE))</f>
        <v>7.2994592029999996</v>
      </c>
      <c r="AU176">
        <f ca="1">IF(AND(ISNUMBER($AU$482),$B$294=1),$AU$482,HLOOKUP(INDIRECT(ADDRESS(2,COLUMN())),OFFSET($BN$2,0,0,ROW()-1,60),ROW()-1,FALSE))</f>
        <v>7.2602039109999996</v>
      </c>
      <c r="AV176">
        <f ca="1">IF(AND(ISNUMBER($AV$482),$B$294=1),$AV$482,HLOOKUP(INDIRECT(ADDRESS(2,COLUMN())),OFFSET($BN$2,0,0,ROW()-1,60),ROW()-1,FALSE))</f>
        <v>6.882969847</v>
      </c>
      <c r="AW176">
        <f ca="1">IF(AND(ISNUMBER($AW$482),$B$294=1),$AW$482,HLOOKUP(INDIRECT(ADDRESS(2,COLUMN())),OFFSET($BN$2,0,0,ROW()-1,60),ROW()-1,FALSE))</f>
        <v>6.6368904049999999</v>
      </c>
      <c r="AX176">
        <f ca="1">IF(AND(ISNUMBER($AX$482),$B$294=1),$AX$482,HLOOKUP(INDIRECT(ADDRESS(2,COLUMN())),OFFSET($BN$2,0,0,ROW()-1,60),ROW()-1,FALSE))</f>
        <v>7.0845455810000004</v>
      </c>
      <c r="AY176">
        <f ca="1">IF(AND(ISNUMBER($AY$482),$B$294=1),$AY$482,HLOOKUP(INDIRECT(ADDRESS(2,COLUMN())),OFFSET($BN$2,0,0,ROW()-1,60),ROW()-1,FALSE))</f>
        <v>7.4790889040000001</v>
      </c>
      <c r="AZ176">
        <f ca="1">IF(AND(ISNUMBER($AZ$482),$B$294=1),$AZ$482,HLOOKUP(INDIRECT(ADDRESS(2,COLUMN())),OFFSET($BN$2,0,0,ROW()-1,60),ROW()-1,FALSE))</f>
        <v>7.1217746560000004</v>
      </c>
      <c r="BA176">
        <f ca="1">IF(AND(ISNUMBER($BA$482),$B$294=1),$BA$482,HLOOKUP(INDIRECT(ADDRESS(2,COLUMN())),OFFSET($BN$2,0,0,ROW()-1,60),ROW()-1,FALSE))</f>
        <v>7.1498191090000001</v>
      </c>
      <c r="BB176">
        <f ca="1">IF(AND(ISNUMBER($BB$482),$B$294=1),$BB$482,HLOOKUP(INDIRECT(ADDRESS(2,COLUMN())),OFFSET($BN$2,0,0,ROW()-1,60),ROW()-1,FALSE))</f>
        <v>7.2185871180000003</v>
      </c>
      <c r="BC176">
        <f ca="1">IF(AND(ISNUMBER($BC$482),$B$294=1),$BC$482,HLOOKUP(INDIRECT(ADDRESS(2,COLUMN())),OFFSET($BN$2,0,0,ROW()-1,60),ROW()-1,FALSE))</f>
        <v>7.2904449470000001</v>
      </c>
      <c r="BD176">
        <f ca="1">IF(AND(ISNUMBER($BD$482),$B$294=1),$BD$482,HLOOKUP(INDIRECT(ADDRESS(2,COLUMN())),OFFSET($BN$2,0,0,ROW()-1,60),ROW()-1,FALSE))</f>
        <v>7.3864258940000003</v>
      </c>
      <c r="BE176">
        <f ca="1">IF(AND(ISNUMBER($BE$482),$B$294=1),$BE$482,HLOOKUP(INDIRECT(ADDRESS(2,COLUMN())),OFFSET($BN$2,0,0,ROW()-1,60),ROW()-1,FALSE))</f>
        <v>7.4657553200000004</v>
      </c>
      <c r="BF176">
        <f ca="1">IF(AND(ISNUMBER($BF$482),$B$294=1),$BF$482,HLOOKUP(INDIRECT(ADDRESS(2,COLUMN())),OFFSET($BN$2,0,0,ROW()-1,60),ROW()-1,FALSE))</f>
        <v>7.398186463</v>
      </c>
      <c r="BG176">
        <f ca="1">IF(AND(ISNUMBER($BG$482),$B$294=1),$BG$482,HLOOKUP(INDIRECT(ADDRESS(2,COLUMN())),OFFSET($BN$2,0,0,ROW()-1,60),ROW()-1,FALSE))</f>
        <v>7.6714702299999997</v>
      </c>
      <c r="BH176">
        <f ca="1">IF(AND(ISNUMBER($BH$482),$B$294=1),$BH$482,HLOOKUP(INDIRECT(ADDRESS(2,COLUMN())),OFFSET($BN$2,0,0,ROW()-1,60),ROW()-1,FALSE))</f>
        <v>7.6537560439999996</v>
      </c>
      <c r="BI176">
        <f ca="1">IF(AND(ISNUMBER($BI$482),$B$294=1),$BI$482,HLOOKUP(INDIRECT(ADDRESS(2,COLUMN())),OFFSET($BN$2,0,0,ROW()-1,60),ROW()-1,FALSE))</f>
        <v>7.5019932049999998</v>
      </c>
      <c r="BJ176">
        <f ca="1">IF(AND(ISNUMBER($BJ$482),$B$294=1),$BJ$482,HLOOKUP(INDIRECT(ADDRESS(2,COLUMN())),OFFSET($BN$2,0,0,ROW()-1,60),ROW()-1,FALSE))</f>
        <v>7.7141976139999997</v>
      </c>
      <c r="BK176">
        <f ca="1">IF(AND(ISNUMBER($BK$482),$B$294=1),$BK$482,HLOOKUP(INDIRECT(ADDRESS(2,COLUMN())),OFFSET($BN$2,0,0,ROW()-1,60),ROW()-1,FALSE))</f>
        <v>7.8268168569999998</v>
      </c>
      <c r="BL176">
        <f ca="1">IF(AND(ISNUMBER($BL$482),$B$294=1),$BL$482,HLOOKUP(INDIRECT(ADDRESS(2,COLUMN())),OFFSET($BN$2,0,0,ROW()-1,60),ROW()-1,FALSE))</f>
        <v>7.9265113810000001</v>
      </c>
      <c r="BM176">
        <f ca="1">IF(AND(ISNUMBER($BM$482),$B$294=1),$BM$482,HLOOKUP(INDIRECT(ADDRESS(2,COLUMN())),OFFSET($BN$2,0,0,ROW()-1,60),ROW()-1,FALSE))</f>
        <v>7.8836953100000002</v>
      </c>
      <c r="BN176" t="str">
        <f>""</f>
        <v/>
      </c>
      <c r="BO176">
        <f>5.419466237</f>
        <v>5.419466237</v>
      </c>
      <c r="BP176">
        <f>5.013332261</f>
        <v>5.0133322610000004</v>
      </c>
      <c r="BQ176">
        <f>5.004947322</f>
        <v>5.0049473219999996</v>
      </c>
      <c r="BR176">
        <f>5.316405515</f>
        <v>5.3164055149999996</v>
      </c>
      <c r="BS176">
        <f>5.482027207</f>
        <v>5.4820272069999998</v>
      </c>
      <c r="BT176">
        <f>5.810045674</f>
        <v>5.8100456740000004</v>
      </c>
      <c r="BU176">
        <f>5.583719096</f>
        <v>5.5837190960000003</v>
      </c>
      <c r="BV176">
        <f>5.128876961</f>
        <v>5.1288769609999996</v>
      </c>
      <c r="BW176">
        <f>5.057168997</f>
        <v>5.0571689969999998</v>
      </c>
      <c r="BX176">
        <f>4.755091505</f>
        <v>4.7550915050000002</v>
      </c>
      <c r="BY176">
        <f>4.516110374</f>
        <v>4.5161103740000001</v>
      </c>
      <c r="BZ176">
        <f>4.562745548</f>
        <v>4.5627455479999997</v>
      </c>
      <c r="CA176">
        <f>4.224158259</f>
        <v>4.2241582590000002</v>
      </c>
      <c r="CB176">
        <f>4.738907651</f>
        <v>4.7389076509999999</v>
      </c>
      <c r="CC176">
        <f>4.791450031</f>
        <v>4.7914500310000001</v>
      </c>
      <c r="CD176">
        <f>5.067402179</f>
        <v>5.0674021790000001</v>
      </c>
      <c r="CE176">
        <f>5.932489458</f>
        <v>5.932489458</v>
      </c>
      <c r="CF176">
        <f>6.486254773</f>
        <v>6.4862547729999998</v>
      </c>
      <c r="CG176">
        <f>6.499332978</f>
        <v>6.499332978</v>
      </c>
      <c r="CH176">
        <f>6.324890731</f>
        <v>6.324890731</v>
      </c>
      <c r="CI176">
        <f>6.676565322</f>
        <v>6.6765653220000001</v>
      </c>
      <c r="CJ176">
        <f>6.919603589</f>
        <v>6.9196035890000003</v>
      </c>
      <c r="CK176">
        <f>7.100786232</f>
        <v>7.1007862319999999</v>
      </c>
      <c r="CL176">
        <f>7.250373029</f>
        <v>7.2503730290000004</v>
      </c>
      <c r="CM176">
        <f>7.046575327</f>
        <v>7.0465753270000002</v>
      </c>
      <c r="CN176">
        <f>6.925982873</f>
        <v>6.9259828729999997</v>
      </c>
      <c r="CO176">
        <f>6.670770325</f>
        <v>6.6707703250000003</v>
      </c>
      <c r="CP176">
        <f>6.553741337</f>
        <v>6.5537413369999999</v>
      </c>
      <c r="CQ176">
        <f>6.492857516</f>
        <v>6.4928575159999999</v>
      </c>
      <c r="CR176">
        <f>6.234675868</f>
        <v>6.2346758680000001</v>
      </c>
      <c r="CS176">
        <f>6.470969356</f>
        <v>6.4709693560000003</v>
      </c>
      <c r="CT176">
        <f>6.767694015</f>
        <v>6.767694015</v>
      </c>
      <c r="CU176">
        <f>6.760849292</f>
        <v>6.7608492919999996</v>
      </c>
      <c r="CV176">
        <f>6.578685878</f>
        <v>6.5786858779999999</v>
      </c>
      <c r="CW176">
        <f>6.723932914</f>
        <v>6.7239329139999997</v>
      </c>
      <c r="CX176">
        <f>6.758428897</f>
        <v>6.7584288969999999</v>
      </c>
      <c r="CY176">
        <f>6.789921249</f>
        <v>6.7899212489999998</v>
      </c>
      <c r="CZ176">
        <f>7.269650873</f>
        <v>7.2696508729999998</v>
      </c>
      <c r="DA176">
        <f>7.127427471</f>
        <v>7.1274274709999998</v>
      </c>
      <c r="DB176">
        <f>7.299459203</f>
        <v>7.2994592029999996</v>
      </c>
      <c r="DC176">
        <f>7.260203911</f>
        <v>7.2602039109999996</v>
      </c>
      <c r="DD176">
        <f>6.882969847</f>
        <v>6.882969847</v>
      </c>
      <c r="DE176">
        <f>6.636890405</f>
        <v>6.6368904049999999</v>
      </c>
      <c r="DF176">
        <f>7.084545581</f>
        <v>7.0845455810000004</v>
      </c>
      <c r="DG176">
        <f>7.479088904</f>
        <v>7.4790889040000001</v>
      </c>
      <c r="DH176">
        <f>7.121774656</f>
        <v>7.1217746560000004</v>
      </c>
      <c r="DI176">
        <f>7.149819109</f>
        <v>7.1498191090000001</v>
      </c>
      <c r="DJ176">
        <f>7.218587118</f>
        <v>7.2185871180000003</v>
      </c>
      <c r="DK176">
        <f>7.290444947</f>
        <v>7.2904449470000001</v>
      </c>
      <c r="DL176">
        <f>7.386425894</f>
        <v>7.3864258940000003</v>
      </c>
      <c r="DM176">
        <f>7.46575532</f>
        <v>7.4657553200000004</v>
      </c>
      <c r="DN176">
        <f>7.398186463</f>
        <v>7.398186463</v>
      </c>
      <c r="DO176">
        <f>7.67147023</f>
        <v>7.6714702299999997</v>
      </c>
      <c r="DP176">
        <f>7.653756044</f>
        <v>7.6537560439999996</v>
      </c>
      <c r="DQ176">
        <f>7.501993205</f>
        <v>7.5019932049999998</v>
      </c>
      <c r="DR176">
        <f>7.714197614</f>
        <v>7.7141976139999997</v>
      </c>
      <c r="DS176">
        <f>7.826816857</f>
        <v>7.8268168569999998</v>
      </c>
      <c r="DT176">
        <f>7.926511381</f>
        <v>7.9265113810000001</v>
      </c>
      <c r="DU176">
        <f>7.88369531</f>
        <v>7.8836953100000002</v>
      </c>
    </row>
    <row r="177" spans="1:125">
      <c r="A177" t="str">
        <f>"    Piedmont Office Realty Trust I"</f>
        <v xml:space="preserve">    Piedmont Office Realty Trust I</v>
      </c>
      <c r="B177" t="str">
        <f>"PDM US Equity"</f>
        <v>PDM US Equity</v>
      </c>
      <c r="C177" t="str">
        <f t="shared" si="45"/>
        <v>RR554</v>
      </c>
      <c r="D177" t="str">
        <f t="shared" si="46"/>
        <v>FFO_RE_ASSET</v>
      </c>
      <c r="E177" t="str">
        <f t="shared" si="47"/>
        <v>动态</v>
      </c>
      <c r="F177" t="str">
        <f ca="1">IF(AND(ISNUMBER($F$483),$B$294=1),$F$483,HLOOKUP(INDIRECT(ADDRESS(2,COLUMN())),OFFSET($BN$2,0,0,ROW()-1,60),ROW()-1,FALSE))</f>
        <v/>
      </c>
      <c r="G177">
        <f ca="1">IF(AND(ISNUMBER($G$483),$B$294=1),$G$483,HLOOKUP(INDIRECT(ADDRESS(2,COLUMN())),OFFSET($BN$2,0,0,ROW()-1,60),ROW()-1,FALSE))</f>
        <v>7.3239524210000004</v>
      </c>
      <c r="H177">
        <f ca="1">IF(AND(ISNUMBER($H$483),$B$294=1),$H$483,HLOOKUP(INDIRECT(ADDRESS(2,COLUMN())),OFFSET($BN$2,0,0,ROW()-1,60),ROW()-1,FALSE))</f>
        <v>7.4197554380000001</v>
      </c>
      <c r="I177">
        <f ca="1">IF(AND(ISNUMBER($I$483),$B$294=1),$I$483,HLOOKUP(INDIRECT(ADDRESS(2,COLUMN())),OFFSET($BN$2,0,0,ROW()-1,60),ROW()-1,FALSE))</f>
        <v>7.1951665340000002</v>
      </c>
      <c r="J177">
        <f ca="1">IF(AND(ISNUMBER($J$483),$B$294=1),$J$483,HLOOKUP(INDIRECT(ADDRESS(2,COLUMN())),OFFSET($BN$2,0,0,ROW()-1,60),ROW()-1,FALSE))</f>
        <v>6.8667838960000003</v>
      </c>
      <c r="K177">
        <f ca="1">IF(AND(ISNUMBER($K$483),$B$294=1),$K$483,HLOOKUP(INDIRECT(ADDRESS(2,COLUMN())),OFFSET($BN$2,0,0,ROW()-1,60),ROW()-1,FALSE))</f>
        <v>6.640426197</v>
      </c>
      <c r="L177">
        <f ca="1">IF(AND(ISNUMBER($L$483),$B$294=1),$L$483,HLOOKUP(INDIRECT(ADDRESS(2,COLUMN())),OFFSET($BN$2,0,0,ROW()-1,60),ROW()-1,FALSE))</f>
        <v>6.3067384420000003</v>
      </c>
      <c r="M177">
        <f ca="1">IF(AND(ISNUMBER($M$483),$B$294=1),$M$483,HLOOKUP(INDIRECT(ADDRESS(2,COLUMN())),OFFSET($BN$2,0,0,ROW()-1,60),ROW()-1,FALSE))</f>
        <v>6.3285209919999996</v>
      </c>
      <c r="N177">
        <f ca="1">IF(AND(ISNUMBER($N$483),$B$294=1),$N$483,HLOOKUP(INDIRECT(ADDRESS(2,COLUMN())),OFFSET($BN$2,0,0,ROW()-1,60),ROW()-1,FALSE))</f>
        <v>6.2716396540000003</v>
      </c>
      <c r="O177">
        <f ca="1">IF(AND(ISNUMBER($O$483),$B$294=1),$O$483,HLOOKUP(INDIRECT(ADDRESS(2,COLUMN())),OFFSET($BN$2,0,0,ROW()-1,60),ROW()-1,FALSE))</f>
        <v>6.2490873520000001</v>
      </c>
      <c r="P177">
        <f ca="1">IF(AND(ISNUMBER($P$483),$B$294=1),$P$483,HLOOKUP(INDIRECT(ADDRESS(2,COLUMN())),OFFSET($BN$2,0,0,ROW()-1,60),ROW()-1,FALSE))</f>
        <v>6.186727018</v>
      </c>
      <c r="Q177">
        <f ca="1">IF(AND(ISNUMBER($Q$483),$B$294=1),$Q$483,HLOOKUP(INDIRECT(ADDRESS(2,COLUMN())),OFFSET($BN$2,0,0,ROW()-1,60),ROW()-1,FALSE))</f>
        <v>6.0851304559999999</v>
      </c>
      <c r="R177">
        <f ca="1">IF(AND(ISNUMBER($R$483),$B$294=1),$R$483,HLOOKUP(INDIRECT(ADDRESS(2,COLUMN())),OFFSET($BN$2,0,0,ROW()-1,60),ROW()-1,FALSE))</f>
        <v>6.0349220529999998</v>
      </c>
      <c r="S177">
        <f ca="1">IF(AND(ISNUMBER($S$483),$B$294=1),$S$483,HLOOKUP(INDIRECT(ADDRESS(2,COLUMN())),OFFSET($BN$2,0,0,ROW()-1,60),ROW()-1,FALSE))</f>
        <v>5.9845861459999998</v>
      </c>
      <c r="T177">
        <f ca="1">IF(AND(ISNUMBER($T$483),$B$294=1),$T$483,HLOOKUP(INDIRECT(ADDRESS(2,COLUMN())),OFFSET($BN$2,0,0,ROW()-1,60),ROW()-1,FALSE))</f>
        <v>6.1607143549999996</v>
      </c>
      <c r="U177">
        <f ca="1">IF(AND(ISNUMBER($U$483),$B$294=1),$U$483,HLOOKUP(INDIRECT(ADDRESS(2,COLUMN())),OFFSET($BN$2,0,0,ROW()-1,60),ROW()-1,FALSE))</f>
        <v>6.3584292619999996</v>
      </c>
      <c r="V177">
        <f ca="1">IF(AND(ISNUMBER($V$483),$B$294=1),$V$483,HLOOKUP(INDIRECT(ADDRESS(2,COLUMN())),OFFSET($BN$2,0,0,ROW()-1,60),ROW()-1,FALSE))</f>
        <v>6.4629800309999998</v>
      </c>
      <c r="W177">
        <f ca="1">IF(AND(ISNUMBER($W$483),$B$294=1),$W$483,HLOOKUP(INDIRECT(ADDRESS(2,COLUMN())),OFFSET($BN$2,0,0,ROW()-1,60),ROW()-1,FALSE))</f>
        <v>6.692428832</v>
      </c>
      <c r="X177">
        <f ca="1">IF(AND(ISNUMBER($X$483),$B$294=1),$X$483,HLOOKUP(INDIRECT(ADDRESS(2,COLUMN())),OFFSET($BN$2,0,0,ROW()-1,60),ROW()-1,FALSE))</f>
        <v>7.36263267</v>
      </c>
      <c r="Y177">
        <f ca="1">IF(AND(ISNUMBER($Y$483),$B$294=1),$Y$483,HLOOKUP(INDIRECT(ADDRESS(2,COLUMN())),OFFSET($BN$2,0,0,ROW()-1,60),ROW()-1,FALSE))</f>
        <v>7.0574850939999996</v>
      </c>
      <c r="Z177">
        <f ca="1">IF(AND(ISNUMBER($Z$483),$B$294=1),$Z$483,HLOOKUP(INDIRECT(ADDRESS(2,COLUMN())),OFFSET($BN$2,0,0,ROW()-1,60),ROW()-1,FALSE))</f>
        <v>6.955500969</v>
      </c>
      <c r="AA177">
        <f ca="1">IF(AND(ISNUMBER($AA$483),$B$294=1),$AA$483,HLOOKUP(INDIRECT(ADDRESS(2,COLUMN())),OFFSET($BN$2,0,0,ROW()-1,60),ROW()-1,FALSE))</f>
        <v>6.3480503490000002</v>
      </c>
      <c r="AB177">
        <f ca="1">IF(AND(ISNUMBER($AB$483),$B$294=1),$AB$483,HLOOKUP(INDIRECT(ADDRESS(2,COLUMN())),OFFSET($BN$2,0,0,ROW()-1,60),ROW()-1,FALSE))</f>
        <v>8.2642942300000009</v>
      </c>
      <c r="AC177">
        <f ca="1">IF(AND(ISNUMBER($AC$483),$B$294=1),$AC$483,HLOOKUP(INDIRECT(ADDRESS(2,COLUMN())),OFFSET($BN$2,0,0,ROW()-1,60),ROW()-1,FALSE))</f>
        <v>8.7481127169999997</v>
      </c>
      <c r="AD177">
        <f ca="1">IF(AND(ISNUMBER($AD$483),$B$294=1),$AD$483,HLOOKUP(INDIRECT(ADDRESS(2,COLUMN())),OFFSET($BN$2,0,0,ROW()-1,60),ROW()-1,FALSE))</f>
        <v>8.848346652</v>
      </c>
      <c r="AE177">
        <f ca="1">IF(AND(ISNUMBER($AE$483),$B$294=1),$AE$483,HLOOKUP(INDIRECT(ADDRESS(2,COLUMN())),OFFSET($BN$2,0,0,ROW()-1,60),ROW()-1,FALSE))</f>
        <v>7.3630340079999996</v>
      </c>
      <c r="AF177">
        <f ca="1">IF(AND(ISNUMBER($AF$483),$B$294=1),$AF$483,HLOOKUP(INDIRECT(ADDRESS(2,COLUMN())),OFFSET($BN$2,0,0,ROW()-1,60),ROW()-1,FALSE))</f>
        <v>8.1815932409999998</v>
      </c>
      <c r="AG177">
        <f ca="1">IF(AND(ISNUMBER($AG$483),$B$294=1),$AG$483,HLOOKUP(INDIRECT(ADDRESS(2,COLUMN())),OFFSET($BN$2,0,0,ROW()-1,60),ROW()-1,FALSE))</f>
        <v>9.2788016290000002</v>
      </c>
      <c r="AH177">
        <f ca="1">IF(AND(ISNUMBER($AH$483),$B$294=1),$AH$483,HLOOKUP(INDIRECT(ADDRESS(2,COLUMN())),OFFSET($BN$2,0,0,ROW()-1,60),ROW()-1,FALSE))</f>
        <v>8.9313848510000007</v>
      </c>
      <c r="AI177">
        <f ca="1">IF(AND(ISNUMBER($AI$483),$B$294=1),$AI$483,HLOOKUP(INDIRECT(ADDRESS(2,COLUMN())),OFFSET($BN$2,0,0,ROW()-1,60),ROW()-1,FALSE))</f>
        <v>7.2663367980000002</v>
      </c>
      <c r="AJ177">
        <f ca="1">IF(AND(ISNUMBER($AJ$483),$B$294=1),$AJ$483,HLOOKUP(INDIRECT(ADDRESS(2,COLUMN())),OFFSET($BN$2,0,0,ROW()-1,60),ROW()-1,FALSE))</f>
        <v>8.1413451489999993</v>
      </c>
      <c r="AK177">
        <f ca="1">IF(AND(ISNUMBER($AK$483),$B$294=1),$AK$483,HLOOKUP(INDIRECT(ADDRESS(2,COLUMN())),OFFSET($BN$2,0,0,ROW()-1,60),ROW()-1,FALSE))</f>
        <v>7.3712188630000002</v>
      </c>
      <c r="AL177">
        <f ca="1">IF(AND(ISNUMBER($AL$483),$B$294=1),$AL$483,HLOOKUP(INDIRECT(ADDRESS(2,COLUMN())),OFFSET($BN$2,0,0,ROW()-1,60),ROW()-1,FALSE))</f>
        <v>6.9339729319999996</v>
      </c>
      <c r="AM177">
        <f ca="1">IF(AND(ISNUMBER($AM$483),$B$294=1),$AM$483,HLOOKUP(INDIRECT(ADDRESS(2,COLUMN())),OFFSET($BN$2,0,0,ROW()-1,60),ROW()-1,FALSE))</f>
        <v>6.2618643499999997</v>
      </c>
      <c r="AN177">
        <f ca="1">IF(AND(ISNUMBER($AN$483),$B$294=1),$AN$483,HLOOKUP(INDIRECT(ADDRESS(2,COLUMN())),OFFSET($BN$2,0,0,ROW()-1,60),ROW()-1,FALSE))</f>
        <v>6.9128817969999998</v>
      </c>
      <c r="AO177">
        <f ca="1">IF(AND(ISNUMBER($AO$483),$B$294=1),$AO$483,HLOOKUP(INDIRECT(ADDRESS(2,COLUMN())),OFFSET($BN$2,0,0,ROW()-1,60),ROW()-1,FALSE))</f>
        <v>8.6462575180000005</v>
      </c>
      <c r="AP177">
        <f ca="1">IF(AND(ISNUMBER($AP$483),$B$294=1),$AP$483,HLOOKUP(INDIRECT(ADDRESS(2,COLUMN())),OFFSET($BN$2,0,0,ROW()-1,60),ROW()-1,FALSE))</f>
        <v>7.4041367659999997</v>
      </c>
      <c r="AQ177">
        <f ca="1">IF(AND(ISNUMBER($AQ$483),$B$294=1),$AQ$483,HLOOKUP(INDIRECT(ADDRESS(2,COLUMN())),OFFSET($BN$2,0,0,ROW()-1,60),ROW()-1,FALSE))</f>
        <v>7.6831617850000002</v>
      </c>
      <c r="AR177">
        <f ca="1">IF(AND(ISNUMBER($AR$483),$B$294=1),$AR$483,HLOOKUP(INDIRECT(ADDRESS(2,COLUMN())),OFFSET($BN$2,0,0,ROW()-1,60),ROW()-1,FALSE))</f>
        <v>7.7809780130000004</v>
      </c>
      <c r="AS177">
        <f ca="1">IF(AND(ISNUMBER($AS$483),$B$294=1),$AS$483,HLOOKUP(INDIRECT(ADDRESS(2,COLUMN())),OFFSET($BN$2,0,0,ROW()-1,60),ROW()-1,FALSE))</f>
        <v>8.2911583100000001</v>
      </c>
      <c r="AT177">
        <f ca="1">IF(AND(ISNUMBER($AT$483),$B$294=1),$AT$483,HLOOKUP(INDIRECT(ADDRESS(2,COLUMN())),OFFSET($BN$2,0,0,ROW()-1,60),ROW()-1,FALSE))</f>
        <v>7.712607577</v>
      </c>
      <c r="AU177">
        <f ca="1">IF(AND(ISNUMBER($AU$483),$B$294=1),$AU$483,HLOOKUP(INDIRECT(ADDRESS(2,COLUMN())),OFFSET($BN$2,0,0,ROW()-1,60),ROW()-1,FALSE))</f>
        <v>7.4733573959999999</v>
      </c>
      <c r="AV177">
        <f ca="1">IF(AND(ISNUMBER($AV$483),$B$294=1),$AV$483,HLOOKUP(INDIRECT(ADDRESS(2,COLUMN())),OFFSET($BN$2,0,0,ROW()-1,60),ROW()-1,FALSE))</f>
        <v>7.0569235040000002</v>
      </c>
      <c r="AW177">
        <f ca="1">IF(AND(ISNUMBER($AW$483),$B$294=1),$AW$483,HLOOKUP(INDIRECT(ADDRESS(2,COLUMN())),OFFSET($BN$2,0,0,ROW()-1,60),ROW()-1,FALSE))</f>
        <v>7.2143435069999997</v>
      </c>
      <c r="AX177">
        <f ca="1">IF(AND(ISNUMBER($AX$483),$B$294=1),$AX$483,HLOOKUP(INDIRECT(ADDRESS(2,COLUMN())),OFFSET($BN$2,0,0,ROW()-1,60),ROW()-1,FALSE))</f>
        <v>7.1935025140000004</v>
      </c>
      <c r="AY177">
        <f ca="1">IF(AND(ISNUMBER($AY$483),$B$294=1),$AY$483,HLOOKUP(INDIRECT(ADDRESS(2,COLUMN())),OFFSET($BN$2,0,0,ROW()-1,60),ROW()-1,FALSE))</f>
        <v>6.9919160639999998</v>
      </c>
      <c r="AZ177">
        <f ca="1">IF(AND(ISNUMBER($AZ$483),$B$294=1),$AZ$483,HLOOKUP(INDIRECT(ADDRESS(2,COLUMN())),OFFSET($BN$2,0,0,ROW()-1,60),ROW()-1,FALSE))</f>
        <v>7.2541986569999999</v>
      </c>
      <c r="BA177">
        <f ca="1">IF(AND(ISNUMBER($BA$483),$B$294=1),$BA$483,HLOOKUP(INDIRECT(ADDRESS(2,COLUMN())),OFFSET($BN$2,0,0,ROW()-1,60),ROW()-1,FALSE))</f>
        <v>7.1015293609999999</v>
      </c>
      <c r="BB177">
        <f ca="1">IF(AND(ISNUMBER($BB$483),$B$294=1),$BB$483,HLOOKUP(INDIRECT(ADDRESS(2,COLUMN())),OFFSET($BN$2,0,0,ROW()-1,60),ROW()-1,FALSE))</f>
        <v>6.7945514200000003</v>
      </c>
      <c r="BC177">
        <f ca="1">IF(AND(ISNUMBER($BC$483),$B$294=1),$BC$483,HLOOKUP(INDIRECT(ADDRESS(2,COLUMN())),OFFSET($BN$2,0,0,ROW()-1,60),ROW()-1,FALSE))</f>
        <v>7.1353108430000001</v>
      </c>
      <c r="BD177">
        <f ca="1">IF(AND(ISNUMBER($BD$483),$B$294=1),$BD$483,HLOOKUP(INDIRECT(ADDRESS(2,COLUMN())),OFFSET($BN$2,0,0,ROW()-1,60),ROW()-1,FALSE))</f>
        <v>7.9171189960000001</v>
      </c>
      <c r="BE177">
        <f ca="1">IF(AND(ISNUMBER($BE$483),$B$294=1),$BE$483,HLOOKUP(INDIRECT(ADDRESS(2,COLUMN())),OFFSET($BN$2,0,0,ROW()-1,60),ROW()-1,FALSE))</f>
        <v>7.9066749139999999</v>
      </c>
      <c r="BF177">
        <f ca="1">IF(AND(ISNUMBER($BF$483),$B$294=1),$BF$483,HLOOKUP(INDIRECT(ADDRESS(2,COLUMN())),OFFSET($BN$2,0,0,ROW()-1,60),ROW()-1,FALSE))</f>
        <v>8.2843719579999995</v>
      </c>
      <c r="BG177">
        <f ca="1">IF(AND(ISNUMBER($BG$483),$B$294=1),$BG$483,HLOOKUP(INDIRECT(ADDRESS(2,COLUMN())),OFFSET($BN$2,0,0,ROW()-1,60),ROW()-1,FALSE))</f>
        <v>8.1412827229999998</v>
      </c>
      <c r="BH177">
        <f ca="1">IF(AND(ISNUMBER($BH$483),$B$294=1),$BH$483,HLOOKUP(INDIRECT(ADDRESS(2,COLUMN())),OFFSET($BN$2,0,0,ROW()-1,60),ROW()-1,FALSE))</f>
        <v>8.7382176539999996</v>
      </c>
      <c r="BI177">
        <f ca="1">IF(AND(ISNUMBER($BI$483),$B$294=1),$BI$483,HLOOKUP(INDIRECT(ADDRESS(2,COLUMN())),OFFSET($BN$2,0,0,ROW()-1,60),ROW()-1,FALSE))</f>
        <v>8.276973538</v>
      </c>
      <c r="BJ177">
        <f ca="1">IF(AND(ISNUMBER($BJ$483),$B$294=1),$BJ$483,HLOOKUP(INDIRECT(ADDRESS(2,COLUMN())),OFFSET($BN$2,0,0,ROW()-1,60),ROW()-1,FALSE))</f>
        <v>8.0532731910000006</v>
      </c>
      <c r="BK177">
        <f ca="1">IF(AND(ISNUMBER($BK$483),$B$294=1),$BK$483,HLOOKUP(INDIRECT(ADDRESS(2,COLUMN())),OFFSET($BN$2,0,0,ROW()-1,60),ROW()-1,FALSE))</f>
        <v>7.0913488070000001</v>
      </c>
      <c r="BL177">
        <f ca="1">IF(AND(ISNUMBER($BL$483),$B$294=1),$BL$483,HLOOKUP(INDIRECT(ADDRESS(2,COLUMN())),OFFSET($BN$2,0,0,ROW()-1,60),ROW()-1,FALSE))</f>
        <v>8.2405926669999996</v>
      </c>
      <c r="BM177">
        <f ca="1">IF(AND(ISNUMBER($BM$483),$B$294=1),$BM$483,HLOOKUP(INDIRECT(ADDRESS(2,COLUMN())),OFFSET($BN$2,0,0,ROW()-1,60),ROW()-1,FALSE))</f>
        <v>8.2881363599999993</v>
      </c>
      <c r="BN177" t="str">
        <f>""</f>
        <v/>
      </c>
      <c r="BO177">
        <f>7.323952421</f>
        <v>7.3239524210000004</v>
      </c>
      <c r="BP177">
        <f>7.419755438</f>
        <v>7.4197554380000001</v>
      </c>
      <c r="BQ177">
        <f>7.195166534</f>
        <v>7.1951665340000002</v>
      </c>
      <c r="BR177">
        <f>6.866783896</f>
        <v>6.8667838960000003</v>
      </c>
      <c r="BS177">
        <f>6.640426197</f>
        <v>6.640426197</v>
      </c>
      <c r="BT177">
        <f>6.306738442</f>
        <v>6.3067384420000003</v>
      </c>
      <c r="BU177">
        <f>6.328520992</f>
        <v>6.3285209919999996</v>
      </c>
      <c r="BV177">
        <f>6.271639654</f>
        <v>6.2716396540000003</v>
      </c>
      <c r="BW177">
        <f>6.249087352</f>
        <v>6.2490873520000001</v>
      </c>
      <c r="BX177">
        <f>6.186727018</f>
        <v>6.186727018</v>
      </c>
      <c r="BY177">
        <f>6.085130456</f>
        <v>6.0851304559999999</v>
      </c>
      <c r="BZ177">
        <f>6.034922053</f>
        <v>6.0349220529999998</v>
      </c>
      <c r="CA177">
        <f>5.984586146</f>
        <v>5.9845861459999998</v>
      </c>
      <c r="CB177">
        <f>6.160714355</f>
        <v>6.1607143549999996</v>
      </c>
      <c r="CC177">
        <f>6.358429262</f>
        <v>6.3584292619999996</v>
      </c>
      <c r="CD177">
        <f>6.462980031</f>
        <v>6.4629800309999998</v>
      </c>
      <c r="CE177">
        <f>6.692428832</f>
        <v>6.692428832</v>
      </c>
      <c r="CF177">
        <f>7.36263267</f>
        <v>7.36263267</v>
      </c>
      <c r="CG177">
        <f>7.057485094</f>
        <v>7.0574850939999996</v>
      </c>
      <c r="CH177">
        <f>6.955500969</f>
        <v>6.955500969</v>
      </c>
      <c r="CI177">
        <f>6.348050349</f>
        <v>6.3480503490000002</v>
      </c>
      <c r="CJ177">
        <f>8.26429423</f>
        <v>8.2642942300000009</v>
      </c>
      <c r="CK177">
        <f>8.748112717</f>
        <v>8.7481127169999997</v>
      </c>
      <c r="CL177">
        <f>8.848346652</f>
        <v>8.848346652</v>
      </c>
      <c r="CM177">
        <f>7.363034008</f>
        <v>7.3630340079999996</v>
      </c>
      <c r="CN177">
        <f>8.181593241</f>
        <v>8.1815932409999998</v>
      </c>
      <c r="CO177">
        <f>9.278801629</f>
        <v>9.2788016290000002</v>
      </c>
      <c r="CP177">
        <f>8.931384851</f>
        <v>8.9313848510000007</v>
      </c>
      <c r="CQ177">
        <f>7.266336798</f>
        <v>7.2663367980000002</v>
      </c>
      <c r="CR177">
        <f>8.141345149</f>
        <v>8.1413451489999993</v>
      </c>
      <c r="CS177">
        <f>7.371218863</f>
        <v>7.3712188630000002</v>
      </c>
      <c r="CT177">
        <f>6.933972932</f>
        <v>6.9339729319999996</v>
      </c>
      <c r="CU177">
        <f>6.26186435</f>
        <v>6.2618643499999997</v>
      </c>
      <c r="CV177">
        <f>6.912881797</f>
        <v>6.9128817969999998</v>
      </c>
      <c r="CW177">
        <f>8.646257518</f>
        <v>8.6462575180000005</v>
      </c>
      <c r="CX177">
        <f>7.404136766</f>
        <v>7.4041367659999997</v>
      </c>
      <c r="CY177">
        <f>7.683161785</f>
        <v>7.6831617850000002</v>
      </c>
      <c r="CZ177">
        <f>7.780978013</f>
        <v>7.7809780130000004</v>
      </c>
      <c r="DA177">
        <f>8.29115831</f>
        <v>8.2911583100000001</v>
      </c>
      <c r="DB177">
        <f>7.712607577</f>
        <v>7.712607577</v>
      </c>
      <c r="DC177">
        <f>7.473357396</f>
        <v>7.4733573959999999</v>
      </c>
      <c r="DD177">
        <f>7.056923504</f>
        <v>7.0569235040000002</v>
      </c>
      <c r="DE177">
        <f>7.214343507</f>
        <v>7.2143435069999997</v>
      </c>
      <c r="DF177">
        <f>7.193502514</f>
        <v>7.1935025140000004</v>
      </c>
      <c r="DG177">
        <f>6.991916064</f>
        <v>6.9919160639999998</v>
      </c>
      <c r="DH177">
        <f>7.254198657</f>
        <v>7.2541986569999999</v>
      </c>
      <c r="DI177">
        <f>7.101529361</f>
        <v>7.1015293609999999</v>
      </c>
      <c r="DJ177">
        <f>6.79455142</f>
        <v>6.7945514200000003</v>
      </c>
      <c r="DK177">
        <f>7.135310843</f>
        <v>7.1353108430000001</v>
      </c>
      <c r="DL177">
        <f>7.917118996</f>
        <v>7.9171189960000001</v>
      </c>
      <c r="DM177">
        <f>7.906674914</f>
        <v>7.9066749139999999</v>
      </c>
      <c r="DN177">
        <f>8.284371958</f>
        <v>8.2843719579999995</v>
      </c>
      <c r="DO177">
        <f>8.141282723</f>
        <v>8.1412827229999998</v>
      </c>
      <c r="DP177">
        <f>8.738217654</f>
        <v>8.7382176539999996</v>
      </c>
      <c r="DQ177">
        <f>8.276973538</f>
        <v>8.276973538</v>
      </c>
      <c r="DR177">
        <f>8.053273191</f>
        <v>8.0532731910000006</v>
      </c>
      <c r="DS177">
        <f>7.091348807</f>
        <v>7.0913488070000001</v>
      </c>
      <c r="DT177">
        <f>8.240592667</f>
        <v>8.2405926669999996</v>
      </c>
      <c r="DU177">
        <f>8.28813636</f>
        <v>8.2881363599999993</v>
      </c>
    </row>
    <row r="178" spans="1:125">
      <c r="A178" t="str">
        <f>"    SL Green Realty Corp"</f>
        <v xml:space="preserve">    SL Green Realty Corp</v>
      </c>
      <c r="B178" t="str">
        <f>"SLG US Equity"</f>
        <v>SLG US Equity</v>
      </c>
      <c r="C178" t="str">
        <f t="shared" si="45"/>
        <v>RR554</v>
      </c>
      <c r="D178" t="str">
        <f t="shared" si="46"/>
        <v>FFO_RE_ASSET</v>
      </c>
      <c r="E178" t="str">
        <f t="shared" si="47"/>
        <v>动态</v>
      </c>
      <c r="F178" t="str">
        <f ca="1">IF(AND(ISNUMBER($F$484),$B$294=1),$F$484,HLOOKUP(INDIRECT(ADDRESS(2,COLUMN())),OFFSET($BN$2,0,0,ROW()-1,60),ROW()-1,FALSE))</f>
        <v/>
      </c>
      <c r="G178">
        <f ca="1">IF(AND(ISNUMBER($G$484),$B$294=1),$G$484,HLOOKUP(INDIRECT(ADDRESS(2,COLUMN())),OFFSET($BN$2,0,0,ROW()-1,60),ROW()-1,FALSE))</f>
        <v>5.0563437660000004</v>
      </c>
      <c r="H178">
        <f ca="1">IF(AND(ISNUMBER($H$484),$B$294=1),$H$484,HLOOKUP(INDIRECT(ADDRESS(2,COLUMN())),OFFSET($BN$2,0,0,ROW()-1,60),ROW()-1,FALSE))</f>
        <v>4.8221695530000002</v>
      </c>
      <c r="I178">
        <f ca="1">IF(AND(ISNUMBER($I$484),$B$294=1),$I$484,HLOOKUP(INDIRECT(ADDRESS(2,COLUMN())),OFFSET($BN$2,0,0,ROW()-1,60),ROW()-1,FALSE))</f>
        <v>4.658631196</v>
      </c>
      <c r="J178">
        <f ca="1">IF(AND(ISNUMBER($J$484),$B$294=1),$J$484,HLOOKUP(INDIRECT(ADDRESS(2,COLUMN())),OFFSET($BN$2,0,0,ROW()-1,60),ROW()-1,FALSE))</f>
        <v>5.7748943849999996</v>
      </c>
      <c r="K178">
        <f ca="1">IF(AND(ISNUMBER($K$484),$B$294=1),$K$484,HLOOKUP(INDIRECT(ADDRESS(2,COLUMN())),OFFSET($BN$2,0,0,ROW()-1,60),ROW()-1,FALSE))</f>
        <v>5.5221859059999998</v>
      </c>
      <c r="L178">
        <f ca="1">IF(AND(ISNUMBER($L$484),$B$294=1),$L$484,HLOOKUP(INDIRECT(ADDRESS(2,COLUMN())),OFFSET($BN$2,0,0,ROW()-1,60),ROW()-1,FALSE))</f>
        <v>5.767683152</v>
      </c>
      <c r="M178">
        <f ca="1">IF(AND(ISNUMBER($M$484),$B$294=1),$M$484,HLOOKUP(INDIRECT(ADDRESS(2,COLUMN())),OFFSET($BN$2,0,0,ROW()-1,60),ROW()-1,FALSE))</f>
        <v>5.9589645290000002</v>
      </c>
      <c r="N178">
        <f ca="1">IF(AND(ISNUMBER($N$484),$B$294=1),$N$484,HLOOKUP(INDIRECT(ADDRESS(2,COLUMN())),OFFSET($BN$2,0,0,ROW()-1,60),ROW()-1,FALSE))</f>
        <v>4.6378146310000004</v>
      </c>
      <c r="O178">
        <f ca="1">IF(AND(ISNUMBER($O$484),$B$294=1),$O$484,HLOOKUP(INDIRECT(ADDRESS(2,COLUMN())),OFFSET($BN$2,0,0,ROW()-1,60),ROW()-1,FALSE))</f>
        <v>4.1056683940000003</v>
      </c>
      <c r="P178">
        <f ca="1">IF(AND(ISNUMBER($P$484),$B$294=1),$P$484,HLOOKUP(INDIRECT(ADDRESS(2,COLUMN())),OFFSET($BN$2,0,0,ROW()-1,60),ROW()-1,FALSE))</f>
        <v>4.0523674310000004</v>
      </c>
      <c r="Q178">
        <f ca="1">IF(AND(ISNUMBER($Q$484),$B$294=1),$Q$484,HLOOKUP(INDIRECT(ADDRESS(2,COLUMN())),OFFSET($BN$2,0,0,ROW()-1,60),ROW()-1,FALSE))</f>
        <v>4.1123128830000004</v>
      </c>
      <c r="R178">
        <f ca="1">IF(AND(ISNUMBER($R$484),$B$294=1),$R$484,HLOOKUP(INDIRECT(ADDRESS(2,COLUMN())),OFFSET($BN$2,0,0,ROW()-1,60),ROW()-1,FALSE))</f>
        <v>4.2053488420000003</v>
      </c>
      <c r="S178">
        <f ca="1">IF(AND(ISNUMBER($S$484),$B$294=1),$S$484,HLOOKUP(INDIRECT(ADDRESS(2,COLUMN())),OFFSET($BN$2,0,0,ROW()-1,60),ROW()-1,FALSE))</f>
        <v>4.1869133859999996</v>
      </c>
      <c r="T178">
        <f ca="1">IF(AND(ISNUMBER($T$484),$B$294=1),$T$484,HLOOKUP(INDIRECT(ADDRESS(2,COLUMN())),OFFSET($BN$2,0,0,ROW()-1,60),ROW()-1,FALSE))</f>
        <v>4.2254401589999997</v>
      </c>
      <c r="U178">
        <f ca="1">IF(AND(ISNUMBER($U$484),$B$294=1),$U$484,HLOOKUP(INDIRECT(ADDRESS(2,COLUMN())),OFFSET($BN$2,0,0,ROW()-1,60),ROW()-1,FALSE))</f>
        <v>4.2502441429999998</v>
      </c>
      <c r="V178">
        <f ca="1">IF(AND(ISNUMBER($V$484),$B$294=1),$V$484,HLOOKUP(INDIRECT(ADDRESS(2,COLUMN())),OFFSET($BN$2,0,0,ROW()-1,60),ROW()-1,FALSE))</f>
        <v>4.1059981829999996</v>
      </c>
      <c r="W178">
        <f ca="1">IF(AND(ISNUMBER($W$484),$B$294=1),$W$484,HLOOKUP(INDIRECT(ADDRESS(2,COLUMN())),OFFSET($BN$2,0,0,ROW()-1,60),ROW()-1,FALSE))</f>
        <v>3.817353877</v>
      </c>
      <c r="X178">
        <f ca="1">IF(AND(ISNUMBER($X$484),$B$294=1),$X$484,HLOOKUP(INDIRECT(ADDRESS(2,COLUMN())),OFFSET($BN$2,0,0,ROW()-1,60),ROW()-1,FALSE))</f>
        <v>3.7083284139999999</v>
      </c>
      <c r="Y178">
        <f ca="1">IF(AND(ISNUMBER($Y$484),$B$294=1),$Y$484,HLOOKUP(INDIRECT(ADDRESS(2,COLUMN())),OFFSET($BN$2,0,0,ROW()-1,60),ROW()-1,FALSE))</f>
        <v>3.5745902470000002</v>
      </c>
      <c r="Z178">
        <f ca="1">IF(AND(ISNUMBER($Z$484),$B$294=1),$Z$484,HLOOKUP(INDIRECT(ADDRESS(2,COLUMN())),OFFSET($BN$2,0,0,ROW()-1,60),ROW()-1,FALSE))</f>
        <v>4.0103004479999997</v>
      </c>
      <c r="AA178">
        <f ca="1">IF(AND(ISNUMBER($AA$484),$B$294=1),$AA$484,HLOOKUP(INDIRECT(ADDRESS(2,COLUMN())),OFFSET($BN$2,0,0,ROW()-1,60),ROW()-1,FALSE))</f>
        <v>3.9954801670000002</v>
      </c>
      <c r="AB178">
        <f ca="1">IF(AND(ISNUMBER($AB$484),$B$294=1),$AB$484,HLOOKUP(INDIRECT(ADDRESS(2,COLUMN())),OFFSET($BN$2,0,0,ROW()-1,60),ROW()-1,FALSE))</f>
        <v>3.971713829</v>
      </c>
      <c r="AC178">
        <f ca="1">IF(AND(ISNUMBER($AC$484),$B$294=1),$AC$484,HLOOKUP(INDIRECT(ADDRESS(2,COLUMN())),OFFSET($BN$2,0,0,ROW()-1,60),ROW()-1,FALSE))</f>
        <v>3.9150787920000001</v>
      </c>
      <c r="AD178">
        <f ca="1">IF(AND(ISNUMBER($AD$484),$B$294=1),$AD$484,HLOOKUP(INDIRECT(ADDRESS(2,COLUMN())),OFFSET($BN$2,0,0,ROW()-1,60),ROW()-1,FALSE))</f>
        <v>3.356583487</v>
      </c>
      <c r="AE178">
        <f ca="1">IF(AND(ISNUMBER($AE$484),$B$294=1),$AE$484,HLOOKUP(INDIRECT(ADDRESS(2,COLUMN())),OFFSET($BN$2,0,0,ROW()-1,60),ROW()-1,FALSE))</f>
        <v>3.9671425839999999</v>
      </c>
      <c r="AF178">
        <f ca="1">IF(AND(ISNUMBER($AF$484),$B$294=1),$AF$484,HLOOKUP(INDIRECT(ADDRESS(2,COLUMN())),OFFSET($BN$2,0,0,ROW()-1,60),ROW()-1,FALSE))</f>
        <v>3.8590532409999998</v>
      </c>
      <c r="AG178">
        <f ca="1">IF(AND(ISNUMBER($AG$484),$B$294=1),$AG$484,HLOOKUP(INDIRECT(ADDRESS(2,COLUMN())),OFFSET($BN$2,0,0,ROW()-1,60),ROW()-1,FALSE))</f>
        <v>4.5327396560000004</v>
      </c>
      <c r="AH178">
        <f ca="1">IF(AND(ISNUMBER($AH$484),$B$294=1),$AH$484,HLOOKUP(INDIRECT(ADDRESS(2,COLUMN())),OFFSET($BN$2,0,0,ROW()-1,60),ROW()-1,FALSE))</f>
        <v>4.6209499369999998</v>
      </c>
      <c r="AI178">
        <f ca="1">IF(AND(ISNUMBER($AI$484),$B$294=1),$AI$484,HLOOKUP(INDIRECT(ADDRESS(2,COLUMN())),OFFSET($BN$2,0,0,ROW()-1,60),ROW()-1,FALSE))</f>
        <v>4.2454092460000004</v>
      </c>
      <c r="AJ178">
        <f ca="1">IF(AND(ISNUMBER($AJ$484),$B$294=1),$AJ$484,HLOOKUP(INDIRECT(ADDRESS(2,COLUMN())),OFFSET($BN$2,0,0,ROW()-1,60),ROW()-1,FALSE))</f>
        <v>4.1110634480000003</v>
      </c>
      <c r="AK178">
        <f ca="1">IF(AND(ISNUMBER($AK$484),$B$294=1),$AK$484,HLOOKUP(INDIRECT(ADDRESS(2,COLUMN())),OFFSET($BN$2,0,0,ROW()-1,60),ROW()-1,FALSE))</f>
        <v>3.4370290030000001</v>
      </c>
      <c r="AL178">
        <f ca="1">IF(AND(ISNUMBER($AL$484),$B$294=1),$AL$484,HLOOKUP(INDIRECT(ADDRESS(2,COLUMN())),OFFSET($BN$2,0,0,ROW()-1,60),ROW()-1,FALSE))</f>
        <v>3.3717056250000002</v>
      </c>
      <c r="AM178">
        <f ca="1">IF(AND(ISNUMBER($AM$484),$B$294=1),$AM$484,HLOOKUP(INDIRECT(ADDRESS(2,COLUMN())),OFFSET($BN$2,0,0,ROW()-1,60),ROW()-1,FALSE))</f>
        <v>3.4148826959999998</v>
      </c>
      <c r="AN178">
        <f ca="1">IF(AND(ISNUMBER($AN$484),$B$294=1),$AN$484,HLOOKUP(INDIRECT(ADDRESS(2,COLUMN())),OFFSET($BN$2,0,0,ROW()-1,60),ROW()-1,FALSE))</f>
        <v>3.2867746960000002</v>
      </c>
      <c r="AO178">
        <f ca="1">IF(AND(ISNUMBER($AO$484),$B$294=1),$AO$484,HLOOKUP(INDIRECT(ADDRESS(2,COLUMN())),OFFSET($BN$2,0,0,ROW()-1,60),ROW()-1,FALSE))</f>
        <v>3.269813847</v>
      </c>
      <c r="AP178">
        <f ca="1">IF(AND(ISNUMBER($AP$484),$B$294=1),$AP$484,HLOOKUP(INDIRECT(ADDRESS(2,COLUMN())),OFFSET($BN$2,0,0,ROW()-1,60),ROW()-1,FALSE))</f>
        <v>3.538616964</v>
      </c>
      <c r="AQ178">
        <f ca="1">IF(AND(ISNUMBER($AQ$484),$B$294=1),$AQ$484,HLOOKUP(INDIRECT(ADDRESS(2,COLUMN())),OFFSET($BN$2,0,0,ROW()-1,60),ROW()-1,FALSE))</f>
        <v>3.484307673</v>
      </c>
      <c r="AR178">
        <f ca="1">IF(AND(ISNUMBER($AR$484),$B$294=1),$AR$484,HLOOKUP(INDIRECT(ADDRESS(2,COLUMN())),OFFSET($BN$2,0,0,ROW()-1,60),ROW()-1,FALSE))</f>
        <v>3.6979953210000001</v>
      </c>
      <c r="AS178">
        <f ca="1">IF(AND(ISNUMBER($AS$484),$B$294=1),$AS$484,HLOOKUP(INDIRECT(ADDRESS(2,COLUMN())),OFFSET($BN$2,0,0,ROW()-1,60),ROW()-1,FALSE))</f>
        <v>3.7368592810000001</v>
      </c>
      <c r="AT178">
        <f ca="1">IF(AND(ISNUMBER($AT$484),$B$294=1),$AT$484,HLOOKUP(INDIRECT(ADDRESS(2,COLUMN())),OFFSET($BN$2,0,0,ROW()-1,60),ROW()-1,FALSE))</f>
        <v>3.3599862630000001</v>
      </c>
      <c r="AU178">
        <f ca="1">IF(AND(ISNUMBER($AU$484),$B$294=1),$AU$484,HLOOKUP(INDIRECT(ADDRESS(2,COLUMN())),OFFSET($BN$2,0,0,ROW()-1,60),ROW()-1,FALSE))</f>
        <v>4.9746434300000004</v>
      </c>
      <c r="AV178">
        <f ca="1">IF(AND(ISNUMBER($AV$484),$B$294=1),$AV$484,HLOOKUP(INDIRECT(ADDRESS(2,COLUMN())),OFFSET($BN$2,0,0,ROW()-1,60),ROW()-1,FALSE))</f>
        <v>5.2381652320000001</v>
      </c>
      <c r="AW178">
        <f ca="1">IF(AND(ISNUMBER($AW$484),$B$294=1),$AW$484,HLOOKUP(INDIRECT(ADDRESS(2,COLUMN())),OFFSET($BN$2,0,0,ROW()-1,60),ROW()-1,FALSE))</f>
        <v>5.3559662970000002</v>
      </c>
      <c r="AX178">
        <f ca="1">IF(AND(ISNUMBER($AX$484),$B$294=1),$AX$484,HLOOKUP(INDIRECT(ADDRESS(2,COLUMN())),OFFSET($BN$2,0,0,ROW()-1,60),ROW()-1,FALSE))</f>
        <v>5.1568591619999999</v>
      </c>
      <c r="AY178">
        <f ca="1">IF(AND(ISNUMBER($AY$484),$B$294=1),$AY$484,HLOOKUP(INDIRECT(ADDRESS(2,COLUMN())),OFFSET($BN$2,0,0,ROW()-1,60),ROW()-1,FALSE))</f>
        <v>6.5257794679999996</v>
      </c>
      <c r="AZ178">
        <f ca="1">IF(AND(ISNUMBER($AZ$484),$B$294=1),$AZ$484,HLOOKUP(INDIRECT(ADDRESS(2,COLUMN())),OFFSET($BN$2,0,0,ROW()-1,60),ROW()-1,FALSE))</f>
        <v>6.5416123410000004</v>
      </c>
      <c r="BA178">
        <f ca="1">IF(AND(ISNUMBER($BA$484),$B$294=1),$BA$484,HLOOKUP(INDIRECT(ADDRESS(2,COLUMN())),OFFSET($BN$2,0,0,ROW()-1,60),ROW()-1,FALSE))</f>
        <v>6.8058929969999999</v>
      </c>
      <c r="BB178">
        <f ca="1">IF(AND(ISNUMBER($BB$484),$B$294=1),$BB$484,HLOOKUP(INDIRECT(ADDRESS(2,COLUMN())),OFFSET($BN$2,0,0,ROW()-1,60),ROW()-1,FALSE))</f>
        <v>6.8151519699999996</v>
      </c>
      <c r="BC178">
        <f ca="1">IF(AND(ISNUMBER($BC$484),$B$294=1),$BC$484,HLOOKUP(INDIRECT(ADDRESS(2,COLUMN())),OFFSET($BN$2,0,0,ROW()-1,60),ROW()-1,FALSE))</f>
        <v>6.9752077430000003</v>
      </c>
      <c r="BD178">
        <f ca="1">IF(AND(ISNUMBER($BD$484),$B$294=1),$BD$484,HLOOKUP(INDIRECT(ADDRESS(2,COLUMN())),OFFSET($BN$2,0,0,ROW()-1,60),ROW()-1,FALSE))</f>
        <v>6.8919735539999998</v>
      </c>
      <c r="BE178">
        <f ca="1">IF(AND(ISNUMBER($BE$484),$B$294=1),$BE$484,HLOOKUP(INDIRECT(ADDRESS(2,COLUMN())),OFFSET($BN$2,0,0,ROW()-1,60),ROW()-1,FALSE))</f>
        <v>7.1758474850000002</v>
      </c>
      <c r="BF178">
        <f ca="1">IF(AND(ISNUMBER($BF$484),$B$294=1),$BF$484,HLOOKUP(INDIRECT(ADDRESS(2,COLUMN())),OFFSET($BN$2,0,0,ROW()-1,60),ROW()-1,FALSE))</f>
        <v>7.3368753</v>
      </c>
      <c r="BG178">
        <f ca="1">IF(AND(ISNUMBER($BG$484),$B$294=1),$BG$484,HLOOKUP(INDIRECT(ADDRESS(2,COLUMN())),OFFSET($BN$2,0,0,ROW()-1,60),ROW()-1,FALSE))</f>
        <v>7.2397652309999998</v>
      </c>
      <c r="BH178">
        <f ca="1">IF(AND(ISNUMBER($BH$484),$B$294=1),$BH$484,HLOOKUP(INDIRECT(ADDRESS(2,COLUMN())),OFFSET($BN$2,0,0,ROW()-1,60),ROW()-1,FALSE))</f>
        <v>8.0805296179999999</v>
      </c>
      <c r="BI178">
        <f ca="1">IF(AND(ISNUMBER($BI$484),$B$294=1),$BI$484,HLOOKUP(INDIRECT(ADDRESS(2,COLUMN())),OFFSET($BN$2,0,0,ROW()-1,60),ROW()-1,FALSE))</f>
        <v>4.7020465390000004</v>
      </c>
      <c r="BJ178">
        <f ca="1">IF(AND(ISNUMBER($BJ$484),$B$294=1),$BJ$484,HLOOKUP(INDIRECT(ADDRESS(2,COLUMN())),OFFSET($BN$2,0,0,ROW()-1,60),ROW()-1,FALSE))</f>
        <v>3.9705654419999998</v>
      </c>
      <c r="BK178">
        <f ca="1">IF(AND(ISNUMBER($BK$484),$B$294=1),$BK$484,HLOOKUP(INDIRECT(ADDRESS(2,COLUMN())),OFFSET($BN$2,0,0,ROW()-1,60),ROW()-1,FALSE))</f>
        <v>4.2516912260000002</v>
      </c>
      <c r="BL178">
        <f ca="1">IF(AND(ISNUMBER($BL$484),$B$294=1),$BL$484,HLOOKUP(INDIRECT(ADDRESS(2,COLUMN())),OFFSET($BN$2,0,0,ROW()-1,60),ROW()-1,FALSE))</f>
        <v>4.7741115479999996</v>
      </c>
      <c r="BM178">
        <f ca="1">IF(AND(ISNUMBER($BM$484),$B$294=1),$BM$484,HLOOKUP(INDIRECT(ADDRESS(2,COLUMN())),OFFSET($BN$2,0,0,ROW()-1,60),ROW()-1,FALSE))</f>
        <v>11.420890139999999</v>
      </c>
      <c r="BN178" t="str">
        <f>""</f>
        <v/>
      </c>
      <c r="BO178">
        <f>5.056343766</f>
        <v>5.0563437660000004</v>
      </c>
      <c r="BP178">
        <f>4.822169553</f>
        <v>4.8221695530000002</v>
      </c>
      <c r="BQ178">
        <f>4.658631196</f>
        <v>4.658631196</v>
      </c>
      <c r="BR178">
        <f>5.774894385</f>
        <v>5.7748943849999996</v>
      </c>
      <c r="BS178">
        <f>5.522185906</f>
        <v>5.5221859059999998</v>
      </c>
      <c r="BT178">
        <f>5.767683152</f>
        <v>5.767683152</v>
      </c>
      <c r="BU178">
        <f>5.958964529</f>
        <v>5.9589645290000002</v>
      </c>
      <c r="BV178">
        <f>4.637814631</f>
        <v>4.6378146310000004</v>
      </c>
      <c r="BW178">
        <f>4.105668394</f>
        <v>4.1056683940000003</v>
      </c>
      <c r="BX178">
        <f>4.052367431</f>
        <v>4.0523674310000004</v>
      </c>
      <c r="BY178">
        <f>4.112312883</f>
        <v>4.1123128830000004</v>
      </c>
      <c r="BZ178">
        <f>4.205348842</f>
        <v>4.2053488420000003</v>
      </c>
      <c r="CA178">
        <f>4.186913386</f>
        <v>4.1869133859999996</v>
      </c>
      <c r="CB178">
        <f>4.225440159</f>
        <v>4.2254401589999997</v>
      </c>
      <c r="CC178">
        <f>4.250244143</f>
        <v>4.2502441429999998</v>
      </c>
      <c r="CD178">
        <f>4.105998183</f>
        <v>4.1059981829999996</v>
      </c>
      <c r="CE178">
        <f>3.817353877</f>
        <v>3.817353877</v>
      </c>
      <c r="CF178">
        <f>3.708328414</f>
        <v>3.7083284139999999</v>
      </c>
      <c r="CG178">
        <f>3.574590247</f>
        <v>3.5745902470000002</v>
      </c>
      <c r="CH178">
        <f>4.010300448</f>
        <v>4.0103004479999997</v>
      </c>
      <c r="CI178">
        <f>3.995480167</f>
        <v>3.9954801670000002</v>
      </c>
      <c r="CJ178">
        <f>3.971713829</f>
        <v>3.971713829</v>
      </c>
      <c r="CK178">
        <f>3.915078792</f>
        <v>3.9150787920000001</v>
      </c>
      <c r="CL178">
        <f>3.356583487</f>
        <v>3.356583487</v>
      </c>
      <c r="CM178">
        <f>3.967142584</f>
        <v>3.9671425839999999</v>
      </c>
      <c r="CN178">
        <f>3.859053241</f>
        <v>3.8590532409999998</v>
      </c>
      <c r="CO178">
        <f>4.532739656</f>
        <v>4.5327396560000004</v>
      </c>
      <c r="CP178">
        <f>4.620949937</f>
        <v>4.6209499369999998</v>
      </c>
      <c r="CQ178">
        <f>4.245409246</f>
        <v>4.2454092460000004</v>
      </c>
      <c r="CR178">
        <f>4.111063448</f>
        <v>4.1110634480000003</v>
      </c>
      <c r="CS178">
        <f>3.437029003</f>
        <v>3.4370290030000001</v>
      </c>
      <c r="CT178">
        <f>3.371705625</f>
        <v>3.3717056250000002</v>
      </c>
      <c r="CU178">
        <f>3.414882696</f>
        <v>3.4148826959999998</v>
      </c>
      <c r="CV178">
        <f>3.286774696</f>
        <v>3.2867746960000002</v>
      </c>
      <c r="CW178">
        <f>3.269813847</f>
        <v>3.269813847</v>
      </c>
      <c r="CX178">
        <f>3.538616964</f>
        <v>3.538616964</v>
      </c>
      <c r="CY178">
        <f>3.484307673</f>
        <v>3.484307673</v>
      </c>
      <c r="CZ178">
        <f>3.697995321</f>
        <v>3.6979953210000001</v>
      </c>
      <c r="DA178">
        <f>3.736859281</f>
        <v>3.7368592810000001</v>
      </c>
      <c r="DB178">
        <f>3.359986263</f>
        <v>3.3599862630000001</v>
      </c>
      <c r="DC178">
        <f>4.97464343</f>
        <v>4.9746434300000004</v>
      </c>
      <c r="DD178">
        <f>5.238165232</f>
        <v>5.2381652320000001</v>
      </c>
      <c r="DE178">
        <f>5.355966297</f>
        <v>5.3559662970000002</v>
      </c>
      <c r="DF178">
        <f>5.156859162</f>
        <v>5.1568591619999999</v>
      </c>
      <c r="DG178">
        <f>6.525779468</f>
        <v>6.5257794679999996</v>
      </c>
      <c r="DH178">
        <f>6.541612341</f>
        <v>6.5416123410000004</v>
      </c>
      <c r="DI178">
        <f>6.805892997</f>
        <v>6.8058929969999999</v>
      </c>
      <c r="DJ178">
        <f>6.81515197</f>
        <v>6.8151519699999996</v>
      </c>
      <c r="DK178">
        <f>6.975207743</f>
        <v>6.9752077430000003</v>
      </c>
      <c r="DL178">
        <f>6.891973554</f>
        <v>6.8919735539999998</v>
      </c>
      <c r="DM178">
        <f>7.175847485</f>
        <v>7.1758474850000002</v>
      </c>
      <c r="DN178">
        <f>7.3368753</f>
        <v>7.3368753</v>
      </c>
      <c r="DO178">
        <f>7.239765231</f>
        <v>7.2397652309999998</v>
      </c>
      <c r="DP178">
        <f>8.080529618</f>
        <v>8.0805296179999999</v>
      </c>
      <c r="DQ178">
        <f>4.702046539</f>
        <v>4.7020465390000004</v>
      </c>
      <c r="DR178">
        <f>3.970565442</f>
        <v>3.9705654419999998</v>
      </c>
      <c r="DS178">
        <f>4.251691226</f>
        <v>4.2516912260000002</v>
      </c>
      <c r="DT178">
        <f>4.774111548</f>
        <v>4.7741115479999996</v>
      </c>
      <c r="DU178">
        <f>11.42089014</f>
        <v>11.420890139999999</v>
      </c>
    </row>
    <row r="179" spans="1:125">
      <c r="A179" t="str">
        <f>"    Vornado Realty Trust"</f>
        <v xml:space="preserve">    Vornado Realty Trust</v>
      </c>
      <c r="B179" t="str">
        <f>"VNO US Equity"</f>
        <v>VNO US Equity</v>
      </c>
      <c r="C179" t="str">
        <f t="shared" si="45"/>
        <v>RR554</v>
      </c>
      <c r="D179" t="str">
        <f t="shared" si="46"/>
        <v>FFO_RE_ASSET</v>
      </c>
      <c r="E179" t="str">
        <f t="shared" si="47"/>
        <v>动态</v>
      </c>
      <c r="F179" t="str">
        <f ca="1">IF(AND(ISNUMBER($F$485),$B$294=1),$F$485,HLOOKUP(INDIRECT(ADDRESS(2,COLUMN())),OFFSET($BN$2,0,0,ROW()-1,60),ROW()-1,FALSE))</f>
        <v/>
      </c>
      <c r="G179">
        <f ca="1">IF(AND(ISNUMBER($G$485),$B$294=1),$G$485,HLOOKUP(INDIRECT(ADDRESS(2,COLUMN())),OFFSET($BN$2,0,0,ROW()-1,60),ROW()-1,FALSE))</f>
        <v>5.5319535999999996</v>
      </c>
      <c r="H179">
        <f ca="1">IF(AND(ISNUMBER($H$485),$B$294=1),$H$485,HLOOKUP(INDIRECT(ADDRESS(2,COLUMN())),OFFSET($BN$2,0,0,ROW()-1,60),ROW()-1,FALSE))</f>
        <v>9.3313622949999999</v>
      </c>
      <c r="I179">
        <f ca="1">IF(AND(ISNUMBER($I$485),$B$294=1),$I$485,HLOOKUP(INDIRECT(ADDRESS(2,COLUMN())),OFFSET($BN$2,0,0,ROW()-1,60),ROW()-1,FALSE))</f>
        <v>9.1483791950000004</v>
      </c>
      <c r="J179">
        <f ca="1">IF(AND(ISNUMBER($J$485),$B$294=1),$J$485,HLOOKUP(INDIRECT(ADDRESS(2,COLUMN())),OFFSET($BN$2,0,0,ROW()-1,60),ROW()-1,FALSE))</f>
        <v>8.9980210730000003</v>
      </c>
      <c r="K179">
        <f ca="1">IF(AND(ISNUMBER($K$485),$B$294=1),$K$485,HLOOKUP(INDIRECT(ADDRESS(2,COLUMN())),OFFSET($BN$2,0,0,ROW()-1,60),ROW()-1,FALSE))</f>
        <v>8.965395032</v>
      </c>
      <c r="L179">
        <f ca="1">IF(AND(ISNUMBER($L$485),$B$294=1),$L$485,HLOOKUP(INDIRECT(ADDRESS(2,COLUMN())),OFFSET($BN$2,0,0,ROW()-1,60),ROW()-1,FALSE))</f>
        <v>5.6863633729999998</v>
      </c>
      <c r="M179">
        <f ca="1">IF(AND(ISNUMBER($M$485),$B$294=1),$M$485,HLOOKUP(INDIRECT(ADDRESS(2,COLUMN())),OFFSET($BN$2,0,0,ROW()-1,60),ROW()-1,FALSE))</f>
        <v>5.7939244499999996</v>
      </c>
      <c r="N179">
        <f ca="1">IF(AND(ISNUMBER($N$485),$B$294=1),$N$485,HLOOKUP(INDIRECT(ADDRESS(2,COLUMN())),OFFSET($BN$2,0,0,ROW()-1,60),ROW()-1,FALSE))</f>
        <v>6.5143910979999999</v>
      </c>
      <c r="O179">
        <f ca="1">IF(AND(ISNUMBER($O$485),$B$294=1),$O$485,HLOOKUP(INDIRECT(ADDRESS(2,COLUMN())),OFFSET($BN$2,0,0,ROW()-1,60),ROW()-1,FALSE))</f>
        <v>6.6768313309999998</v>
      </c>
      <c r="P179">
        <f ca="1">IF(AND(ISNUMBER($P$485),$B$294=1),$P$485,HLOOKUP(INDIRECT(ADDRESS(2,COLUMN())),OFFSET($BN$2,0,0,ROW()-1,60),ROW()-1,FALSE))</f>
        <v>6.2773494349999996</v>
      </c>
      <c r="Q179">
        <f ca="1">IF(AND(ISNUMBER($Q$485),$B$294=1),$Q$485,HLOOKUP(INDIRECT(ADDRESS(2,COLUMN())),OFFSET($BN$2,0,0,ROW()-1,60),ROW()-1,FALSE))</f>
        <v>6.2244751889999996</v>
      </c>
      <c r="R179">
        <f ca="1">IF(AND(ISNUMBER($R$485),$B$294=1),$R$485,HLOOKUP(INDIRECT(ADDRESS(2,COLUMN())),OFFSET($BN$2,0,0,ROW()-1,60),ROW()-1,FALSE))</f>
        <v>5.6735256679999999</v>
      </c>
      <c r="S179">
        <f ca="1">IF(AND(ISNUMBER($S$485),$B$294=1),$S$485,HLOOKUP(INDIRECT(ADDRESS(2,COLUMN())),OFFSET($BN$2,0,0,ROW()-1,60),ROW()-1,FALSE))</f>
        <v>6.0194079829999998</v>
      </c>
      <c r="T179">
        <f ca="1">IF(AND(ISNUMBER($T$485),$B$294=1),$T$485,HLOOKUP(INDIRECT(ADDRESS(2,COLUMN())),OFFSET($BN$2,0,0,ROW()-1,60),ROW()-1,FALSE))</f>
        <v>4.1639731009999998</v>
      </c>
      <c r="U179">
        <f ca="1">IF(AND(ISNUMBER($U$485),$B$294=1),$U$485,HLOOKUP(INDIRECT(ADDRESS(2,COLUMN())),OFFSET($BN$2,0,0,ROW()-1,60),ROW()-1,FALSE))</f>
        <v>4.1648377710000002</v>
      </c>
      <c r="V179">
        <f ca="1">IF(AND(ISNUMBER($V$485),$B$294=1),$V$485,HLOOKUP(INDIRECT(ADDRESS(2,COLUMN())),OFFSET($BN$2,0,0,ROW()-1,60),ROW()-1,FALSE))</f>
        <v>4.154728414</v>
      </c>
      <c r="W179">
        <f ca="1">IF(AND(ISNUMBER($W$485),$B$294=1),$W$485,HLOOKUP(INDIRECT(ADDRESS(2,COLUMN())),OFFSET($BN$2,0,0,ROW()-1,60),ROW()-1,FALSE))</f>
        <v>3.9205761180000001</v>
      </c>
      <c r="X179">
        <f ca="1">IF(AND(ISNUMBER($X$485),$B$294=1),$X$485,HLOOKUP(INDIRECT(ADDRESS(2,COLUMN())),OFFSET($BN$2,0,0,ROW()-1,60),ROW()-1,FALSE))</f>
        <v>4.3830326489999996</v>
      </c>
      <c r="Y179">
        <f ca="1">IF(AND(ISNUMBER($Y$485),$B$294=1),$Y$485,HLOOKUP(INDIRECT(ADDRESS(2,COLUMN())),OFFSET($BN$2,0,0,ROW()-1,60),ROW()-1,FALSE))</f>
        <v>4.6363473449999999</v>
      </c>
      <c r="Z179">
        <f ca="1">IF(AND(ISNUMBER($Z$485),$B$294=1),$Z$485,HLOOKUP(INDIRECT(ADDRESS(2,COLUMN())),OFFSET($BN$2,0,0,ROW()-1,60),ROW()-1,FALSE))</f>
        <v>4.0206161939999996</v>
      </c>
      <c r="AA179">
        <f ca="1">IF(AND(ISNUMBER($AA$485),$B$294=1),$AA$485,HLOOKUP(INDIRECT(ADDRESS(2,COLUMN())),OFFSET($BN$2,0,0,ROW()-1,60),ROW()-1,FALSE))</f>
        <v>4.9802477789999999</v>
      </c>
      <c r="AB179">
        <f ca="1">IF(AND(ISNUMBER($AB$485),$B$294=1),$AB$485,HLOOKUP(INDIRECT(ADDRESS(2,COLUMN())),OFFSET($BN$2,0,0,ROW()-1,60),ROW()-1,FALSE))</f>
        <v>6.4817904500000001</v>
      </c>
      <c r="AC179">
        <f ca="1">IF(AND(ISNUMBER($AC$485),$B$294=1),$AC$485,HLOOKUP(INDIRECT(ADDRESS(2,COLUMN())),OFFSET($BN$2,0,0,ROW()-1,60),ROW()-1,FALSE))</f>
        <v>6.0543484330000004</v>
      </c>
      <c r="AD179">
        <f ca="1">IF(AND(ISNUMBER($AD$485),$B$294=1),$AD$485,HLOOKUP(INDIRECT(ADDRESS(2,COLUMN())),OFFSET($BN$2,0,0,ROW()-1,60),ROW()-1,FALSE))</f>
        <v>6.4447809639999996</v>
      </c>
      <c r="AE179">
        <f ca="1">IF(AND(ISNUMBER($AE$485),$B$294=1),$AE$485,HLOOKUP(INDIRECT(ADDRESS(2,COLUMN())),OFFSET($BN$2,0,0,ROW()-1,60),ROW()-1,FALSE))</f>
        <v>7.6711232840000001</v>
      </c>
      <c r="AF179">
        <f ca="1">IF(AND(ISNUMBER($AF$485),$B$294=1),$AF$485,HLOOKUP(INDIRECT(ADDRESS(2,COLUMN())),OFFSET($BN$2,0,0,ROW()-1,60),ROW()-1,FALSE))</f>
        <v>8.2911564599999998</v>
      </c>
      <c r="AG179">
        <f ca="1">IF(AND(ISNUMBER($AG$485),$B$294=1),$AG$485,HLOOKUP(INDIRECT(ADDRESS(2,COLUMN())),OFFSET($BN$2,0,0,ROW()-1,60),ROW()-1,FALSE))</f>
        <v>8.5584856939999998</v>
      </c>
      <c r="AH179">
        <f ca="1">IF(AND(ISNUMBER($AH$485),$B$294=1),$AH$485,HLOOKUP(INDIRECT(ADDRESS(2,COLUMN())),OFFSET($BN$2,0,0,ROW()-1,60),ROW()-1,FALSE))</f>
        <v>8.3112415760000005</v>
      </c>
      <c r="AI179">
        <f ca="1">IF(AND(ISNUMBER($AI$485),$B$294=1),$AI$485,HLOOKUP(INDIRECT(ADDRESS(2,COLUMN())),OFFSET($BN$2,0,0,ROW()-1,60),ROW()-1,FALSE))</f>
        <v>7.5645762249999997</v>
      </c>
      <c r="AJ179">
        <f ca="1">IF(AND(ISNUMBER($AJ$485),$B$294=1),$AJ$485,HLOOKUP(INDIRECT(ADDRESS(2,COLUMN())),OFFSET($BN$2,0,0,ROW()-1,60),ROW()-1,FALSE))</f>
        <v>4.7415155889999996</v>
      </c>
      <c r="AK179">
        <f ca="1">IF(AND(ISNUMBER($AK$485),$B$294=1),$AK$485,HLOOKUP(INDIRECT(ADDRESS(2,COLUMN())),OFFSET($BN$2,0,0,ROW()-1,60),ROW()-1,FALSE))</f>
        <v>4.6563561489999996</v>
      </c>
      <c r="AL179">
        <f ca="1">IF(AND(ISNUMBER($AL$485),$B$294=1),$AL$485,HLOOKUP(INDIRECT(ADDRESS(2,COLUMN())),OFFSET($BN$2,0,0,ROW()-1,60),ROW()-1,FALSE))</f>
        <v>3.9768833190000001</v>
      </c>
      <c r="AM179">
        <f ca="1">IF(AND(ISNUMBER($AM$485),$B$294=1),$AM$485,HLOOKUP(INDIRECT(ADDRESS(2,COLUMN())),OFFSET($BN$2,0,0,ROW()-1,60),ROW()-1,FALSE))</f>
        <v>3.5336326379999998</v>
      </c>
      <c r="AN179">
        <f ca="1">IF(AND(ISNUMBER($AN$485),$B$294=1),$AN$485,HLOOKUP(INDIRECT(ADDRESS(2,COLUMN())),OFFSET($BN$2,0,0,ROW()-1,60),ROW()-1,FALSE))</f>
        <v>2.9524006300000001</v>
      </c>
      <c r="AO179">
        <f ca="1">IF(AND(ISNUMBER($AO$485),$B$294=1),$AO$485,HLOOKUP(INDIRECT(ADDRESS(2,COLUMN())),OFFSET($BN$2,0,0,ROW()-1,60),ROW()-1,FALSE))</f>
        <v>2.5138667039999998</v>
      </c>
      <c r="AP179">
        <f ca="1">IF(AND(ISNUMBER($AP$485),$B$294=1),$AP$485,HLOOKUP(INDIRECT(ADDRESS(2,COLUMN())),OFFSET($BN$2,0,0,ROW()-1,60),ROW()-1,FALSE))</f>
        <v>3.0778832239999998</v>
      </c>
      <c r="AQ179">
        <f ca="1">IF(AND(ISNUMBER($AQ$485),$B$294=1),$AQ$485,HLOOKUP(INDIRECT(ADDRESS(2,COLUMN())),OFFSET($BN$2,0,0,ROW()-1,60),ROW()-1,FALSE))</f>
        <v>4.5749370340000004</v>
      </c>
      <c r="AR179">
        <f ca="1">IF(AND(ISNUMBER($AR$485),$B$294=1),$AR$485,HLOOKUP(INDIRECT(ADDRESS(2,COLUMN())),OFFSET($BN$2,0,0,ROW()-1,60),ROW()-1,FALSE))</f>
        <v>5.9503158469999997</v>
      </c>
      <c r="AS179">
        <f ca="1">IF(AND(ISNUMBER($AS$485),$B$294=1),$AS$485,HLOOKUP(INDIRECT(ADDRESS(2,COLUMN())),OFFSET($BN$2,0,0,ROW()-1,60),ROW()-1,FALSE))</f>
        <v>6.3059320640000003</v>
      </c>
      <c r="AT179">
        <f ca="1">IF(AND(ISNUMBER($AT$485),$B$294=1),$AT$485,HLOOKUP(INDIRECT(ADDRESS(2,COLUMN())),OFFSET($BN$2,0,0,ROW()-1,60),ROW()-1,FALSE))</f>
        <v>7.4335693369999998</v>
      </c>
      <c r="AU179">
        <f ca="1">IF(AND(ISNUMBER($AU$485),$B$294=1),$AU$485,HLOOKUP(INDIRECT(ADDRESS(2,COLUMN())),OFFSET($BN$2,0,0,ROW()-1,60),ROW()-1,FALSE))</f>
        <v>6.1340888009999999</v>
      </c>
      <c r="AV179">
        <f ca="1">IF(AND(ISNUMBER($AV$485),$B$294=1),$AV$485,HLOOKUP(INDIRECT(ADDRESS(2,COLUMN())),OFFSET($BN$2,0,0,ROW()-1,60),ROW()-1,FALSE))</f>
        <v>6.1899797169999999</v>
      </c>
      <c r="AW179">
        <f ca="1">IF(AND(ISNUMBER($AW$485),$B$294=1),$AW$485,HLOOKUP(INDIRECT(ADDRESS(2,COLUMN())),OFFSET($BN$2,0,0,ROW()-1,60),ROW()-1,FALSE))</f>
        <v>6.1833815300000001</v>
      </c>
      <c r="AX179">
        <f ca="1">IF(AND(ISNUMBER($AX$485),$B$294=1),$AX$485,HLOOKUP(INDIRECT(ADDRESS(2,COLUMN())),OFFSET($BN$2,0,0,ROW()-1,60),ROW()-1,FALSE))</f>
        <v>6.6357926950000001</v>
      </c>
      <c r="AY179">
        <f ca="1">IF(AND(ISNUMBER($AY$485),$B$294=1),$AY$485,HLOOKUP(INDIRECT(ADDRESS(2,COLUMN())),OFFSET($BN$2,0,0,ROW()-1,60),ROW()-1,FALSE))</f>
        <v>6.695941296</v>
      </c>
      <c r="AZ179">
        <f ca="1">IF(AND(ISNUMBER($AZ$485),$B$294=1),$AZ$485,HLOOKUP(INDIRECT(ADDRESS(2,COLUMN())),OFFSET($BN$2,0,0,ROW()-1,60),ROW()-1,FALSE))</f>
        <v>7.0237518440000004</v>
      </c>
      <c r="BA179">
        <f ca="1">IF(AND(ISNUMBER($BA$485),$B$294=1),$BA$485,HLOOKUP(INDIRECT(ADDRESS(2,COLUMN())),OFFSET($BN$2,0,0,ROW()-1,60),ROW()-1,FALSE))</f>
        <v>6.4864974560000004</v>
      </c>
      <c r="BB179">
        <f ca="1">IF(AND(ISNUMBER($BB$485),$B$294=1),$BB$485,HLOOKUP(INDIRECT(ADDRESS(2,COLUMN())),OFFSET($BN$2,0,0,ROW()-1,60),ROW()-1,FALSE))</f>
        <v>6.6396665319999997</v>
      </c>
      <c r="BC179">
        <f ca="1">IF(AND(ISNUMBER($BC$485),$B$294=1),$BC$485,HLOOKUP(INDIRECT(ADDRESS(2,COLUMN())),OFFSET($BN$2,0,0,ROW()-1,60),ROW()-1,FALSE))</f>
        <v>7.2166065909999997</v>
      </c>
      <c r="BD179">
        <f ca="1">IF(AND(ISNUMBER($BD$485),$B$294=1),$BD$485,HLOOKUP(INDIRECT(ADDRESS(2,COLUMN())),OFFSET($BN$2,0,0,ROW()-1,60),ROW()-1,FALSE))</f>
        <v>8.9156060119999996</v>
      </c>
      <c r="BE179">
        <f ca="1">IF(AND(ISNUMBER($BE$485),$B$294=1),$BE$485,HLOOKUP(INDIRECT(ADDRESS(2,COLUMN())),OFFSET($BN$2,0,0,ROW()-1,60),ROW()-1,FALSE))</f>
        <v>10.292312450000001</v>
      </c>
      <c r="BF179">
        <f ca="1">IF(AND(ISNUMBER($BF$485),$B$294=1),$BF$485,HLOOKUP(INDIRECT(ADDRESS(2,COLUMN())),OFFSET($BN$2,0,0,ROW()-1,60),ROW()-1,FALSE))</f>
        <v>9.9643019709999994</v>
      </c>
      <c r="BG179">
        <f ca="1">IF(AND(ISNUMBER($BG$485),$B$294=1),$BG$485,HLOOKUP(INDIRECT(ADDRESS(2,COLUMN())),OFFSET($BN$2,0,0,ROW()-1,60),ROW()-1,FALSE))</f>
        <v>8.531786425</v>
      </c>
      <c r="BH179">
        <f ca="1">IF(AND(ISNUMBER($BH$485),$B$294=1),$BH$485,HLOOKUP(INDIRECT(ADDRESS(2,COLUMN())),OFFSET($BN$2,0,0,ROW()-1,60),ROW()-1,FALSE))</f>
        <v>7.0614521369999999</v>
      </c>
      <c r="BI179">
        <f ca="1">IF(AND(ISNUMBER($BI$485),$B$294=1),$BI$485,HLOOKUP(INDIRECT(ADDRESS(2,COLUMN())),OFFSET($BN$2,0,0,ROW()-1,60),ROW()-1,FALSE))</f>
        <v>6.8373675169999997</v>
      </c>
      <c r="BJ179">
        <f ca="1">IF(AND(ISNUMBER($BJ$485),$B$294=1),$BJ$485,HLOOKUP(INDIRECT(ADDRESS(2,COLUMN())),OFFSET($BN$2,0,0,ROW()-1,60),ROW()-1,FALSE))</f>
        <v>6.5127616039999996</v>
      </c>
      <c r="BK179">
        <f ca="1">IF(AND(ISNUMBER($BK$485),$B$294=1),$BK$485,HLOOKUP(INDIRECT(ADDRESS(2,COLUMN())),OFFSET($BN$2,0,0,ROW()-1,60),ROW()-1,FALSE))</f>
        <v>6.6037505789999997</v>
      </c>
      <c r="BL179">
        <f ca="1">IF(AND(ISNUMBER($BL$485),$B$294=1),$BL$485,HLOOKUP(INDIRECT(ADDRESS(2,COLUMN())),OFFSET($BN$2,0,0,ROW()-1,60),ROW()-1,FALSE))</f>
        <v>6.0918281509999996</v>
      </c>
      <c r="BM179">
        <f ca="1">IF(AND(ISNUMBER($BM$485),$B$294=1),$BM$485,HLOOKUP(INDIRECT(ADDRESS(2,COLUMN())),OFFSET($BN$2,0,0,ROW()-1,60),ROW()-1,FALSE))</f>
        <v>6.0729576290000002</v>
      </c>
      <c r="BN179" t="str">
        <f>""</f>
        <v/>
      </c>
      <c r="BO179">
        <f>5.5319536</f>
        <v>5.5319535999999996</v>
      </c>
      <c r="BP179">
        <f>9.331362295</f>
        <v>9.3313622949999999</v>
      </c>
      <c r="BQ179">
        <f>9.148379195</f>
        <v>9.1483791950000004</v>
      </c>
      <c r="BR179">
        <f>8.998021073</f>
        <v>8.9980210730000003</v>
      </c>
      <c r="BS179">
        <f>8.965395032</f>
        <v>8.965395032</v>
      </c>
      <c r="BT179">
        <f>5.686363373</f>
        <v>5.6863633729999998</v>
      </c>
      <c r="BU179">
        <f>5.79392445</f>
        <v>5.7939244499999996</v>
      </c>
      <c r="BV179">
        <f>6.514391098</f>
        <v>6.5143910979999999</v>
      </c>
      <c r="BW179">
        <f>6.676831331</f>
        <v>6.6768313309999998</v>
      </c>
      <c r="BX179">
        <f>6.277349435</f>
        <v>6.2773494349999996</v>
      </c>
      <c r="BY179">
        <f>6.224475189</f>
        <v>6.2244751889999996</v>
      </c>
      <c r="BZ179">
        <f>5.673525668</f>
        <v>5.6735256679999999</v>
      </c>
      <c r="CA179">
        <f>6.019407983</f>
        <v>6.0194079829999998</v>
      </c>
      <c r="CB179">
        <f>4.163973101</f>
        <v>4.1639731009999998</v>
      </c>
      <c r="CC179">
        <f>4.164837771</f>
        <v>4.1648377710000002</v>
      </c>
      <c r="CD179">
        <f>4.154728414</f>
        <v>4.154728414</v>
      </c>
      <c r="CE179">
        <f>3.920576118</f>
        <v>3.9205761180000001</v>
      </c>
      <c r="CF179">
        <f>4.383032649</f>
        <v>4.3830326489999996</v>
      </c>
      <c r="CG179">
        <f>4.636347345</f>
        <v>4.6363473449999999</v>
      </c>
      <c r="CH179">
        <f>4.020616194</f>
        <v>4.0206161939999996</v>
      </c>
      <c r="CI179">
        <f>4.980247779</f>
        <v>4.9802477789999999</v>
      </c>
      <c r="CJ179">
        <f>6.48179045</f>
        <v>6.4817904500000001</v>
      </c>
      <c r="CK179">
        <f>6.054348433</f>
        <v>6.0543484330000004</v>
      </c>
      <c r="CL179">
        <f>6.444780964</f>
        <v>6.4447809639999996</v>
      </c>
      <c r="CM179">
        <f>7.671123284</f>
        <v>7.6711232840000001</v>
      </c>
      <c r="CN179">
        <f>8.29115646</f>
        <v>8.2911564599999998</v>
      </c>
      <c r="CO179">
        <f>8.558485694</f>
        <v>8.5584856939999998</v>
      </c>
      <c r="CP179">
        <f>8.311241576</f>
        <v>8.3112415760000005</v>
      </c>
      <c r="CQ179">
        <f>7.564576225</f>
        <v>7.5645762249999997</v>
      </c>
      <c r="CR179">
        <f>4.741515589</f>
        <v>4.7415155889999996</v>
      </c>
      <c r="CS179">
        <f>4.656356149</f>
        <v>4.6563561489999996</v>
      </c>
      <c r="CT179">
        <f>3.976883319</f>
        <v>3.9768833190000001</v>
      </c>
      <c r="CU179">
        <f>3.533632638</f>
        <v>3.5336326379999998</v>
      </c>
      <c r="CV179">
        <f>2.95240063</f>
        <v>2.9524006300000001</v>
      </c>
      <c r="CW179">
        <f>2.513866704</f>
        <v>2.5138667039999998</v>
      </c>
      <c r="CX179">
        <f>3.077883224</f>
        <v>3.0778832239999998</v>
      </c>
      <c r="CY179">
        <f>4.574937034</f>
        <v>4.5749370340000004</v>
      </c>
      <c r="CZ179">
        <f>5.950315847</f>
        <v>5.9503158469999997</v>
      </c>
      <c r="DA179">
        <f>6.305932064</f>
        <v>6.3059320640000003</v>
      </c>
      <c r="DB179">
        <f>7.433569337</f>
        <v>7.4335693369999998</v>
      </c>
      <c r="DC179">
        <f>6.134088801</f>
        <v>6.1340888009999999</v>
      </c>
      <c r="DD179">
        <f>6.189979717</f>
        <v>6.1899797169999999</v>
      </c>
      <c r="DE179">
        <f>6.18338153</f>
        <v>6.1833815300000001</v>
      </c>
      <c r="DF179">
        <f>6.635792695</f>
        <v>6.6357926950000001</v>
      </c>
      <c r="DG179">
        <f>6.695941296</f>
        <v>6.695941296</v>
      </c>
      <c r="DH179">
        <f>7.023751844</f>
        <v>7.0237518440000004</v>
      </c>
      <c r="DI179">
        <f>6.486497456</f>
        <v>6.4864974560000004</v>
      </c>
      <c r="DJ179">
        <f>6.639666532</f>
        <v>6.6396665319999997</v>
      </c>
      <c r="DK179">
        <f>7.216606591</f>
        <v>7.2166065909999997</v>
      </c>
      <c r="DL179">
        <f>8.915606012</f>
        <v>8.9156060119999996</v>
      </c>
      <c r="DM179">
        <f>10.29231245</f>
        <v>10.292312450000001</v>
      </c>
      <c r="DN179">
        <f>9.964301971</f>
        <v>9.9643019709999994</v>
      </c>
      <c r="DO179">
        <f>8.531786425</f>
        <v>8.531786425</v>
      </c>
      <c r="DP179">
        <f>7.061452137</f>
        <v>7.0614521369999999</v>
      </c>
      <c r="DQ179">
        <f>6.837367517</f>
        <v>6.8373675169999997</v>
      </c>
      <c r="DR179">
        <f>6.512761604</f>
        <v>6.5127616039999996</v>
      </c>
      <c r="DS179">
        <f>6.603750579</f>
        <v>6.6037505789999997</v>
      </c>
      <c r="DT179">
        <f>6.091828151</f>
        <v>6.0918281509999996</v>
      </c>
      <c r="DU179">
        <f>6.072957629</f>
        <v>6.0729576290000002</v>
      </c>
    </row>
    <row r="180" spans="1:125">
      <c r="A180" t="str">
        <f>"净债务/调整后EBITIDA"</f>
        <v>净债务/调整后EBITIDA</v>
      </c>
      <c r="B180" t="str">
        <f>""</f>
        <v/>
      </c>
      <c r="E180" t="str">
        <f>"Median"</f>
        <v>Median</v>
      </c>
      <c r="F180" t="str">
        <f ca="1">IF(ISERROR(IF(MEDIAN($F$181:$F$190) = 0, "", MEDIAN($F$181:$F$190))), "", (IF(MEDIAN($F$181:$F$190) = 0, "", MEDIAN($F$181:$F$190))))</f>
        <v/>
      </c>
      <c r="G180">
        <f ca="1">IF(ISERROR(IF(MEDIAN($G$181:$G$190) = 0, "", MEDIAN($G$181:$G$190))), "", (IF(MEDIAN($G$181:$G$190) = 0, "", MEDIAN($G$181:$G$190))))</f>
        <v>6.6112931659999994</v>
      </c>
      <c r="H180">
        <f ca="1">IF(ISERROR(IF(MEDIAN($H$181:$H$190) = 0, "", MEDIAN($H$181:$H$190))), "", (IF(MEDIAN($H$181:$H$190) = 0, "", MEDIAN($H$181:$H$190))))</f>
        <v>6.5789119659999997</v>
      </c>
      <c r="I180">
        <f ca="1">IF(ISERROR(IF(MEDIAN($I$181:$I$190) = 0, "", MEDIAN($I$181:$I$190))), "", (IF(MEDIAN($I$181:$I$190) = 0, "", MEDIAN($I$181:$I$190))))</f>
        <v>6.5773411749999999</v>
      </c>
      <c r="J180">
        <f ca="1">IF(ISERROR(IF(MEDIAN($J$181:$J$190) = 0, "", MEDIAN($J$181:$J$190))), "", (IF(MEDIAN($J$181:$J$190) = 0, "", MEDIAN($J$181:$J$190))))</f>
        <v>6.3442363369999999</v>
      </c>
      <c r="K180">
        <f ca="1">IF(ISERROR(IF(MEDIAN($K$181:$K$190) = 0, "", MEDIAN($K$181:$K$190))), "", (IF(MEDIAN($K$181:$K$190) = 0, "", MEDIAN($K$181:$K$190))))</f>
        <v>6.261934117</v>
      </c>
      <c r="L180">
        <f ca="1">IF(ISERROR(IF(MEDIAN($L$181:$L$190) = 0, "", MEDIAN($L$181:$L$190))), "", (IF(MEDIAN($L$181:$L$190) = 0, "", MEDIAN($L$181:$L$190))))</f>
        <v>6.0861080274999999</v>
      </c>
      <c r="M180">
        <f ca="1">IF(ISERROR(IF(MEDIAN($M$181:$M$190) = 0, "", MEDIAN($M$181:$M$190))), "", (IF(MEDIAN($M$181:$M$190) = 0, "", MEDIAN($M$181:$M$190))))</f>
        <v>6.0860804835</v>
      </c>
      <c r="N180">
        <f ca="1">IF(ISERROR(IF(MEDIAN($N$181:$N$190) = 0, "", MEDIAN($N$181:$N$190))), "", (IF(MEDIAN($N$181:$N$190) = 0, "", MEDIAN($N$181:$N$190))))</f>
        <v>6.2597741769999997</v>
      </c>
      <c r="O180">
        <f ca="1">IF(ISERROR(IF(MEDIAN($O$181:$O$190) = 0, "", MEDIAN($O$181:$O$190))), "", (IF(MEDIAN($O$181:$O$190) = 0, "", MEDIAN($O$181:$O$190))))</f>
        <v>6.8817368280000002</v>
      </c>
      <c r="P180">
        <f ca="1">IF(ISERROR(IF(MEDIAN($P$181:$P$190) = 0, "", MEDIAN($P$181:$P$190))), "", (IF(MEDIAN($P$181:$P$190) = 0, "", MEDIAN($P$181:$P$190))))</f>
        <v>7.3963638155</v>
      </c>
      <c r="Q180">
        <f ca="1">IF(ISERROR(IF(MEDIAN($Q$181:$Q$190) = 0, "", MEDIAN($Q$181:$Q$190))), "", (IF(MEDIAN($Q$181:$Q$190) = 0, "", MEDIAN($Q$181:$Q$190))))</f>
        <v>7.3179856799999996</v>
      </c>
      <c r="R180">
        <f ca="1">IF(ISERROR(IF(MEDIAN($R$181:$R$190) = 0, "", MEDIAN($R$181:$R$190))), "", (IF(MEDIAN($R$181:$R$190) = 0, "", MEDIAN($R$181:$R$190))))</f>
        <v>7.1095411789999998</v>
      </c>
      <c r="S180">
        <f ca="1">IF(ISERROR(IF(MEDIAN($S$181:$S$190) = 0, "", MEDIAN($S$181:$S$190))), "", (IF(MEDIAN($S$181:$S$190) = 0, "", MEDIAN($S$181:$S$190))))</f>
        <v>6.9100622510000003</v>
      </c>
      <c r="T180">
        <f ca="1">IF(ISERROR(IF(MEDIAN($T$181:$T$190) = 0, "", MEDIAN($T$181:$T$190))), "", (IF(MEDIAN($T$181:$T$190) = 0, "", MEDIAN($T$181:$T$190))))</f>
        <v>7.2565342690000003</v>
      </c>
      <c r="U180">
        <f ca="1">IF(ISERROR(IF(MEDIAN($U$181:$U$190) = 0, "", MEDIAN($U$181:$U$190))), "", (IF(MEDIAN($U$181:$U$190) = 0, "", MEDIAN($U$181:$U$190))))</f>
        <v>7.3182043449999998</v>
      </c>
      <c r="V180">
        <f ca="1">IF(ISERROR(IF(MEDIAN($V$181:$V$190) = 0, "", MEDIAN($V$181:$V$190))), "", (IF(MEDIAN($V$181:$V$190) = 0, "", MEDIAN($V$181:$V$190))))</f>
        <v>7.0636140009999995</v>
      </c>
      <c r="W180">
        <f ca="1">IF(ISERROR(IF(MEDIAN($W$181:$W$190) = 0, "", MEDIAN($W$181:$W$190))), "", (IF(MEDIAN($W$181:$W$190) = 0, "", MEDIAN($W$181:$W$190))))</f>
        <v>6.8852685734999994</v>
      </c>
      <c r="X180">
        <f ca="1">IF(ISERROR(IF(MEDIAN($X$181:$X$190) = 0, "", MEDIAN($X$181:$X$190))), "", (IF(MEDIAN($X$181:$X$190) = 0, "", MEDIAN($X$181:$X$190))))</f>
        <v>7.3721512525000001</v>
      </c>
      <c r="Y180">
        <f ca="1">IF(ISERROR(IF(MEDIAN($Y$181:$Y$190) = 0, "", MEDIAN($Y$181:$Y$190))), "", (IF(MEDIAN($Y$181:$Y$190) = 0, "", MEDIAN($Y$181:$Y$190))))</f>
        <v>7.4431700715</v>
      </c>
      <c r="Z180">
        <f ca="1">IF(ISERROR(IF(MEDIAN($Z$181:$Z$190) = 0, "", MEDIAN($Z$181:$Z$190))), "", (IF(MEDIAN($Z$181:$Z$190) = 0, "", MEDIAN($Z$181:$Z$190))))</f>
        <v>7.2387760965000005</v>
      </c>
      <c r="AA180">
        <f ca="1">IF(ISERROR(IF(MEDIAN($AA$181:$AA$190) = 0, "", MEDIAN($AA$181:$AA$190))), "", (IF(MEDIAN($AA$181:$AA$190) = 0, "", MEDIAN($AA$181:$AA$190))))</f>
        <v>6.9748847600000001</v>
      </c>
      <c r="AB180">
        <f ca="1">IF(ISERROR(IF(MEDIAN($AB$181:$AB$190) = 0, "", MEDIAN($AB$181:$AB$190))), "", (IF(MEDIAN($AB$181:$AB$190) = 0, "", MEDIAN($AB$181:$AB$190))))</f>
        <v>6.9724206879999997</v>
      </c>
      <c r="AC180">
        <f ca="1">IF(ISERROR(IF(MEDIAN($AC$181:$AC$190) = 0, "", MEDIAN($AC$181:$AC$190))), "", (IF(MEDIAN($AC$181:$AC$190) = 0, "", MEDIAN($AC$181:$AC$190))))</f>
        <v>6.9743714250000002</v>
      </c>
      <c r="AD180">
        <f ca="1">IF(ISERROR(IF(MEDIAN($AD$181:$AD$190) = 0, "", MEDIAN($AD$181:$AD$190))), "", (IF(MEDIAN($AD$181:$AD$190) = 0, "", MEDIAN($AD$181:$AD$190))))</f>
        <v>6.9184666395000001</v>
      </c>
      <c r="AE180">
        <f ca="1">IF(ISERROR(IF(MEDIAN($AE$181:$AE$190) = 0, "", MEDIAN($AE$181:$AE$190))), "", (IF(MEDIAN($AE$181:$AE$190) = 0, "", MEDIAN($AE$181:$AE$190))))</f>
        <v>6.9461028835</v>
      </c>
      <c r="AF180">
        <f ca="1">IF(ISERROR(IF(MEDIAN($AF$181:$AF$190) = 0, "", MEDIAN($AF$181:$AF$190))), "", (IF(MEDIAN($AF$181:$AF$190) = 0, "", MEDIAN($AF$181:$AF$190))))</f>
        <v>7.1936533965000002</v>
      </c>
      <c r="AG180">
        <f ca="1">IF(ISERROR(IF(MEDIAN($AG$181:$AG$190) = 0, "", MEDIAN($AG$181:$AG$190))), "", (IF(MEDIAN($AG$181:$AG$190) = 0, "", MEDIAN($AG$181:$AG$190))))</f>
        <v>7.2825687514999995</v>
      </c>
      <c r="AH180">
        <f ca="1">IF(ISERROR(IF(MEDIAN($AH$181:$AH$190) = 0, "", MEDIAN($AH$181:$AH$190))), "", (IF(MEDIAN($AH$181:$AH$190) = 0, "", MEDIAN($AH$181:$AH$190))))</f>
        <v>7.2205620824999999</v>
      </c>
      <c r="AI180">
        <f ca="1">IF(ISERROR(IF(MEDIAN($AI$181:$AI$190) = 0, "", MEDIAN($AI$181:$AI$190))), "", (IF(MEDIAN($AI$181:$AI$190) = 0, "", MEDIAN($AI$181:$AI$190))))</f>
        <v>7.4084494254999997</v>
      </c>
      <c r="AJ180">
        <f ca="1">IF(ISERROR(IF(MEDIAN($AJ$181:$AJ$190) = 0, "", MEDIAN($AJ$181:$AJ$190))), "", (IF(MEDIAN($AJ$181:$AJ$190) = 0, "", MEDIAN($AJ$181:$AJ$190))))</f>
        <v>6.9585309869999996</v>
      </c>
      <c r="AK180">
        <f ca="1">IF(ISERROR(IF(MEDIAN($AK$181:$AK$190) = 0, "", MEDIAN($AK$181:$AK$190))), "", (IF(MEDIAN($AK$181:$AK$190) = 0, "", MEDIAN($AK$181:$AK$190))))</f>
        <v>6.0903555125000004</v>
      </c>
      <c r="AL180">
        <f ca="1">IF(ISERROR(IF(MEDIAN($AL$181:$AL$190) = 0, "", MEDIAN($AL$181:$AL$190))), "", (IF(MEDIAN($AL$181:$AL$190) = 0, "", MEDIAN($AL$181:$AL$190))))</f>
        <v>6.0087749850000005</v>
      </c>
      <c r="AM180">
        <f ca="1">IF(ISERROR(IF(MEDIAN($AM$181:$AM$190) = 0, "", MEDIAN($AM$181:$AM$190))), "", (IF(MEDIAN($AM$181:$AM$190) = 0, "", MEDIAN($AM$181:$AM$190))))</f>
        <v>5.9556077224999999</v>
      </c>
      <c r="AN180" t="str">
        <f ca="1">IF(ISERROR(IF(MEDIAN($AN$181:$AN$190) = 0, "", MEDIAN($AN$181:$AN$190))), "", (IF(MEDIAN($AN$181:$AN$190) = 0, "", MEDIAN($AN$181:$AN$190))))</f>
        <v/>
      </c>
      <c r="AO180" t="str">
        <f ca="1">IF(ISERROR(IF(MEDIAN($AO$181:$AO$190) = 0, "", MEDIAN($AO$181:$AO$190))), "", (IF(MEDIAN($AO$181:$AO$190) = 0, "", MEDIAN($AO$181:$AO$190))))</f>
        <v/>
      </c>
      <c r="AP180" t="str">
        <f ca="1">IF(ISERROR(IF(MEDIAN($AP$181:$AP$190) = 0, "", MEDIAN($AP$181:$AP$190))), "", (IF(MEDIAN($AP$181:$AP$190) = 0, "", MEDIAN($AP$181:$AP$190))))</f>
        <v/>
      </c>
      <c r="AQ180" t="str">
        <f ca="1">IF(ISERROR(IF(MEDIAN($AQ$181:$AQ$190) = 0, "", MEDIAN($AQ$181:$AQ$190))), "", (IF(MEDIAN($AQ$181:$AQ$190) = 0, "", MEDIAN($AQ$181:$AQ$190))))</f>
        <v/>
      </c>
      <c r="AR180" t="str">
        <f ca="1">IF(ISERROR(IF(MEDIAN($AR$181:$AR$190) = 0, "", MEDIAN($AR$181:$AR$190))), "", (IF(MEDIAN($AR$181:$AR$190) = 0, "", MEDIAN($AR$181:$AR$190))))</f>
        <v/>
      </c>
      <c r="AS180" t="str">
        <f ca="1">IF(ISERROR(IF(MEDIAN($AS$181:$AS$190) = 0, "", MEDIAN($AS$181:$AS$190))), "", (IF(MEDIAN($AS$181:$AS$190) = 0, "", MEDIAN($AS$181:$AS$190))))</f>
        <v/>
      </c>
      <c r="AT180" t="str">
        <f ca="1">IF(ISERROR(IF(MEDIAN($AT$181:$AT$190) = 0, "", MEDIAN($AT$181:$AT$190))), "", (IF(MEDIAN($AT$181:$AT$190) = 0, "", MEDIAN($AT$181:$AT$190))))</f>
        <v/>
      </c>
      <c r="AU180" t="str">
        <f ca="1">IF(ISERROR(IF(MEDIAN($AU$181:$AU$190) = 0, "", MEDIAN($AU$181:$AU$190))), "", (IF(MEDIAN($AU$181:$AU$190) = 0, "", MEDIAN($AU$181:$AU$190))))</f>
        <v/>
      </c>
      <c r="AV180" t="str">
        <f ca="1">IF(ISERROR(IF(MEDIAN($AV$181:$AV$190) = 0, "", MEDIAN($AV$181:$AV$190))), "", (IF(MEDIAN($AV$181:$AV$190) = 0, "", MEDIAN($AV$181:$AV$190))))</f>
        <v/>
      </c>
      <c r="AW180" t="str">
        <f ca="1">IF(ISERROR(IF(MEDIAN($AW$181:$AW$190) = 0, "", MEDIAN($AW$181:$AW$190))), "", (IF(MEDIAN($AW$181:$AW$190) = 0, "", MEDIAN($AW$181:$AW$190))))</f>
        <v/>
      </c>
      <c r="AX180" t="str">
        <f ca="1">IF(ISERROR(IF(MEDIAN($AX$181:$AX$190) = 0, "", MEDIAN($AX$181:$AX$190))), "", (IF(MEDIAN($AX$181:$AX$190) = 0, "", MEDIAN($AX$181:$AX$190))))</f>
        <v/>
      </c>
      <c r="AY180" t="str">
        <f ca="1">IF(ISERROR(IF(MEDIAN($AY$181:$AY$190) = 0, "", MEDIAN($AY$181:$AY$190))), "", (IF(MEDIAN($AY$181:$AY$190) = 0, "", MEDIAN($AY$181:$AY$190))))</f>
        <v/>
      </c>
      <c r="AZ180" t="str">
        <f ca="1">IF(ISERROR(IF(MEDIAN($AZ$181:$AZ$190) = 0, "", MEDIAN($AZ$181:$AZ$190))), "", (IF(MEDIAN($AZ$181:$AZ$190) = 0, "", MEDIAN($AZ$181:$AZ$190))))</f>
        <v/>
      </c>
      <c r="BA180" t="str">
        <f ca="1">IF(ISERROR(IF(MEDIAN($BA$181:$BA$190) = 0, "", MEDIAN($BA$181:$BA$190))), "", (IF(MEDIAN($BA$181:$BA$190) = 0, "", MEDIAN($BA$181:$BA$190))))</f>
        <v/>
      </c>
      <c r="BB180" t="str">
        <f ca="1">IF(ISERROR(IF(MEDIAN($BB$181:$BB$190) = 0, "", MEDIAN($BB$181:$BB$190))), "", (IF(MEDIAN($BB$181:$BB$190) = 0, "", MEDIAN($BB$181:$BB$190))))</f>
        <v/>
      </c>
      <c r="BC180" t="str">
        <f ca="1">IF(ISERROR(IF(MEDIAN($BC$181:$BC$190) = 0, "", MEDIAN($BC$181:$BC$190))), "", (IF(MEDIAN($BC$181:$BC$190) = 0, "", MEDIAN($BC$181:$BC$190))))</f>
        <v/>
      </c>
      <c r="BD180" t="str">
        <f ca="1">IF(ISERROR(IF(MEDIAN($BD$181:$BD$190) = 0, "", MEDIAN($BD$181:$BD$190))), "", (IF(MEDIAN($BD$181:$BD$190) = 0, "", MEDIAN($BD$181:$BD$190))))</f>
        <v/>
      </c>
      <c r="BE180" t="str">
        <f ca="1">IF(ISERROR(IF(MEDIAN($BE$181:$BE$190) = 0, "", MEDIAN($BE$181:$BE$190))), "", (IF(MEDIAN($BE$181:$BE$190) = 0, "", MEDIAN($BE$181:$BE$190))))</f>
        <v/>
      </c>
      <c r="BF180" t="str">
        <f ca="1">IF(ISERROR(IF(MEDIAN($BF$181:$BF$190) = 0, "", MEDIAN($BF$181:$BF$190))), "", (IF(MEDIAN($BF$181:$BF$190) = 0, "", MEDIAN($BF$181:$BF$190))))</f>
        <v/>
      </c>
      <c r="BG180" t="str">
        <f ca="1">IF(ISERROR(IF(MEDIAN($BG$181:$BG$190) = 0, "", MEDIAN($BG$181:$BG$190))), "", (IF(MEDIAN($BG$181:$BG$190) = 0, "", MEDIAN($BG$181:$BG$190))))</f>
        <v/>
      </c>
      <c r="BH180" t="str">
        <f ca="1">IF(ISERROR(IF(MEDIAN($BH$181:$BH$190) = 0, "", MEDIAN($BH$181:$BH$190))), "", (IF(MEDIAN($BH$181:$BH$190) = 0, "", MEDIAN($BH$181:$BH$190))))</f>
        <v/>
      </c>
      <c r="BI180" t="str">
        <f ca="1">IF(ISERROR(IF(MEDIAN($BI$181:$BI$190) = 0, "", MEDIAN($BI$181:$BI$190))), "", (IF(MEDIAN($BI$181:$BI$190) = 0, "", MEDIAN($BI$181:$BI$190))))</f>
        <v/>
      </c>
      <c r="BJ180" t="str">
        <f ca="1">IF(ISERROR(IF(MEDIAN($BJ$181:$BJ$190) = 0, "", MEDIAN($BJ$181:$BJ$190))), "", (IF(MEDIAN($BJ$181:$BJ$190) = 0, "", MEDIAN($BJ$181:$BJ$190))))</f>
        <v/>
      </c>
      <c r="BK180" t="str">
        <f ca="1">IF(ISERROR(IF(MEDIAN($BK$181:$BK$190) = 0, "", MEDIAN($BK$181:$BK$190))), "", (IF(MEDIAN($BK$181:$BK$190) = 0, "", MEDIAN($BK$181:$BK$190))))</f>
        <v/>
      </c>
      <c r="BL180" t="str">
        <f ca="1">IF(ISERROR(IF(MEDIAN($BL$181:$BL$190) = 0, "", MEDIAN($BL$181:$BL$190))), "", (IF(MEDIAN($BL$181:$BL$190) = 0, "", MEDIAN($BL$181:$BL$190))))</f>
        <v/>
      </c>
      <c r="BM180" t="str">
        <f ca="1">IF(ISERROR(IF(MEDIAN($BM$181:$BM$190) = 0, "", MEDIAN($BM$181:$BM$190))), "", (IF(MEDIAN($BM$181:$BM$190) = 0, "", MEDIAN($BM$181:$BM$190))))</f>
        <v/>
      </c>
      <c r="BN180" t="str">
        <f>""</f>
        <v/>
      </c>
      <c r="BO180">
        <f>6.611293166</f>
        <v>6.6112931660000003</v>
      </c>
      <c r="BP180">
        <f>6.578911966</f>
        <v>6.5789119659999997</v>
      </c>
      <c r="BQ180">
        <f>6.577341175</f>
        <v>6.5773411749999999</v>
      </c>
      <c r="BR180">
        <f>6.344236337</f>
        <v>6.3442363369999999</v>
      </c>
      <c r="BS180">
        <f>6.261934117</f>
        <v>6.261934117</v>
      </c>
      <c r="BT180">
        <f>6.086108027</f>
        <v>6.0861080269999999</v>
      </c>
      <c r="BU180">
        <f>6.086080483</f>
        <v>6.0860804829999999</v>
      </c>
      <c r="BV180">
        <f>6.259774177</f>
        <v>6.2597741769999997</v>
      </c>
      <c r="BW180">
        <f>6.881736828</f>
        <v>6.8817368280000002</v>
      </c>
      <c r="BX180">
        <f>7.396363815</f>
        <v>7.396363815</v>
      </c>
      <c r="BY180">
        <f>7.31798568</f>
        <v>7.3179856799999996</v>
      </c>
      <c r="BZ180">
        <f>7.109541179</f>
        <v>7.1095411789999998</v>
      </c>
      <c r="CA180">
        <f>6.910062251</f>
        <v>6.9100622510000003</v>
      </c>
      <c r="CB180">
        <f>7.256534269</f>
        <v>7.2565342690000003</v>
      </c>
      <c r="CC180">
        <f>7.318204345</f>
        <v>7.3182043449999998</v>
      </c>
      <c r="CD180">
        <f>7.063614001</f>
        <v>7.0636140010000004</v>
      </c>
      <c r="CE180">
        <f>6.885268573</f>
        <v>6.8852685730000003</v>
      </c>
      <c r="CF180">
        <f>7.372151253</f>
        <v>7.3721512530000002</v>
      </c>
      <c r="CG180">
        <f>7.443170071</f>
        <v>7.4431700709999999</v>
      </c>
      <c r="CH180">
        <f>7.238776096</f>
        <v>7.2387760959999996</v>
      </c>
      <c r="CI180">
        <f>6.97488476</f>
        <v>6.9748847600000001</v>
      </c>
      <c r="CJ180">
        <f>6.972420688</f>
        <v>6.9724206879999997</v>
      </c>
      <c r="CK180">
        <f>6.974371425</f>
        <v>6.9743714250000002</v>
      </c>
      <c r="CL180">
        <f>6.91846664</f>
        <v>6.9184666400000001</v>
      </c>
      <c r="CM180">
        <f>6.946102884</f>
        <v>6.9461028840000001</v>
      </c>
      <c r="CN180">
        <f>7.193653396</f>
        <v>7.1936533960000002</v>
      </c>
      <c r="CO180">
        <f>7.282568752</f>
        <v>7.2825687520000004</v>
      </c>
      <c r="CP180">
        <f>7.220562082</f>
        <v>7.2205620819999998</v>
      </c>
      <c r="CQ180">
        <f>7.408449426</f>
        <v>7.4084494259999998</v>
      </c>
      <c r="CR180">
        <f>6.958530987</f>
        <v>6.9585309869999996</v>
      </c>
      <c r="CS180">
        <f>6.090355512</f>
        <v>6.0903555120000004</v>
      </c>
      <c r="CT180">
        <f>6.008774985</f>
        <v>6.0087749849999996</v>
      </c>
      <c r="CU180">
        <f>5.955607722</f>
        <v>5.9556077219999999</v>
      </c>
      <c r="CV180" t="str">
        <f>""</f>
        <v/>
      </c>
      <c r="CW180" t="str">
        <f>""</f>
        <v/>
      </c>
      <c r="CX180" t="str">
        <f>""</f>
        <v/>
      </c>
      <c r="CY180" t="str">
        <f>""</f>
        <v/>
      </c>
      <c r="CZ180" t="str">
        <f>""</f>
        <v/>
      </c>
      <c r="DA180" t="str">
        <f>""</f>
        <v/>
      </c>
      <c r="DB180" t="str">
        <f>""</f>
        <v/>
      </c>
      <c r="DC180" t="str">
        <f>""</f>
        <v/>
      </c>
      <c r="DD180" t="str">
        <f>""</f>
        <v/>
      </c>
      <c r="DE180" t="str">
        <f>""</f>
        <v/>
      </c>
      <c r="DF180" t="str">
        <f>""</f>
        <v/>
      </c>
      <c r="DG180" t="str">
        <f>""</f>
        <v/>
      </c>
      <c r="DH180" t="str">
        <f>""</f>
        <v/>
      </c>
      <c r="DI180" t="str">
        <f>""</f>
        <v/>
      </c>
      <c r="DJ180" t="str">
        <f>""</f>
        <v/>
      </c>
      <c r="DK180" t="str">
        <f>""</f>
        <v/>
      </c>
      <c r="DL180" t="str">
        <f>""</f>
        <v/>
      </c>
      <c r="DM180" t="str">
        <f>""</f>
        <v/>
      </c>
      <c r="DN180" t="str">
        <f>""</f>
        <v/>
      </c>
      <c r="DO180" t="str">
        <f>""</f>
        <v/>
      </c>
      <c r="DP180" t="str">
        <f>""</f>
        <v/>
      </c>
      <c r="DQ180" t="str">
        <f>""</f>
        <v/>
      </c>
      <c r="DR180" t="str">
        <f>""</f>
        <v/>
      </c>
      <c r="DS180" t="str">
        <f>""</f>
        <v/>
      </c>
      <c r="DT180" t="str">
        <f>""</f>
        <v/>
      </c>
      <c r="DU180" t="str">
        <f>""</f>
        <v/>
      </c>
    </row>
    <row r="181" spans="1:125">
      <c r="A181" t="str">
        <f>"    Boston Properties Inc"</f>
        <v xml:space="preserve">    Boston Properties Inc</v>
      </c>
      <c r="B181" t="str">
        <f>"BXP US Equity"</f>
        <v>BXP US Equity</v>
      </c>
      <c r="C181" t="str">
        <f t="shared" ref="C181:C190" si="48">"F1178"</f>
        <v>F1178</v>
      </c>
      <c r="D181" t="str">
        <f t="shared" ref="D181:D190" si="49">"NET_DEBT_EBITDA_ADJUSTED"</f>
        <v>NET_DEBT_EBITDA_ADJUSTED</v>
      </c>
      <c r="E181" t="str">
        <f t="shared" ref="E181:E190" si="50">"动态"</f>
        <v>动态</v>
      </c>
      <c r="F181" t="str">
        <f ca="1">IF(AND(ISNUMBER($F$486),$B$294=1),$F$486,HLOOKUP(INDIRECT(ADDRESS(2,COLUMN())),OFFSET($BN$2,0,0,ROW()-1,60),ROW()-1,FALSE))</f>
        <v/>
      </c>
      <c r="G181">
        <f ca="1">IF(AND(ISNUMBER($G$486),$B$294=1),$G$486,HLOOKUP(INDIRECT(ADDRESS(2,COLUMN())),OFFSET($BN$2,0,0,ROW()-1,60),ROW()-1,FALSE))</f>
        <v>6.4476117500000001</v>
      </c>
      <c r="H181">
        <f ca="1">IF(AND(ISNUMBER($H$486),$B$294=1),$H$486,HLOOKUP(INDIRECT(ADDRESS(2,COLUMN())),OFFSET($BN$2,0,0,ROW()-1,60),ROW()-1,FALSE))</f>
        <v>6.4182653729999997</v>
      </c>
      <c r="I181">
        <f ca="1">IF(AND(ISNUMBER($I$486),$B$294=1),$I$486,HLOOKUP(INDIRECT(ADDRESS(2,COLUMN())),OFFSET($BN$2,0,0,ROW()-1,60),ROW()-1,FALSE))</f>
        <v>6.5177183379999999</v>
      </c>
      <c r="J181">
        <f ca="1">IF(AND(ISNUMBER($J$486),$B$294=1),$J$486,HLOOKUP(INDIRECT(ADDRESS(2,COLUMN())),OFFSET($BN$2,0,0,ROW()-1,60),ROW()-1,FALSE))</f>
        <v>6.3724059329999996</v>
      </c>
      <c r="K181">
        <f ca="1">IF(AND(ISNUMBER($K$486),$B$294=1),$K$486,HLOOKUP(INDIRECT(ADDRESS(2,COLUMN())),OFFSET($BN$2,0,0,ROW()-1,60),ROW()-1,FALSE))</f>
        <v>6.0912147540000001</v>
      </c>
      <c r="L181">
        <f ca="1">IF(AND(ISNUMBER($L$486),$B$294=1),$L$486,HLOOKUP(INDIRECT(ADDRESS(2,COLUMN())),OFFSET($BN$2,0,0,ROW()-1,60),ROW()-1,FALSE))</f>
        <v>6.0622330790000003</v>
      </c>
      <c r="M181">
        <f ca="1">IF(AND(ISNUMBER($M$486),$B$294=1),$M$486,HLOOKUP(INDIRECT(ADDRESS(2,COLUMN())),OFFSET($BN$2,0,0,ROW()-1,60),ROW()-1,FALSE))</f>
        <v>5.5791333319999996</v>
      </c>
      <c r="N181">
        <f ca="1">IF(AND(ISNUMBER($N$486),$B$294=1),$N$486,HLOOKUP(INDIRECT(ADDRESS(2,COLUMN())),OFFSET($BN$2,0,0,ROW()-1,60),ROW()-1,FALSE))</f>
        <v>5.4442037709999997</v>
      </c>
      <c r="O181">
        <f ca="1">IF(AND(ISNUMBER($O$486),$B$294=1),$O$486,HLOOKUP(INDIRECT(ADDRESS(2,COLUMN())),OFFSET($BN$2,0,0,ROW()-1,60),ROW()-1,FALSE))</f>
        <v>5.5643670160000003</v>
      </c>
      <c r="P181">
        <f ca="1">IF(AND(ISNUMBER($P$486),$B$294=1),$P$486,HLOOKUP(INDIRECT(ADDRESS(2,COLUMN())),OFFSET($BN$2,0,0,ROW()-1,60),ROW()-1,FALSE))</f>
        <v>5.6171092199999997</v>
      </c>
      <c r="Q181">
        <f ca="1">IF(AND(ISNUMBER($Q$486),$B$294=1),$Q$486,HLOOKUP(INDIRECT(ADDRESS(2,COLUMN())),OFFSET($BN$2,0,0,ROW()-1,60),ROW()-1,FALSE))</f>
        <v>5.773478205</v>
      </c>
      <c r="R181">
        <f ca="1">IF(AND(ISNUMBER($R$486),$B$294=1),$R$486,HLOOKUP(INDIRECT(ADDRESS(2,COLUMN())),OFFSET($BN$2,0,0,ROW()-1,60),ROW()-1,FALSE))</f>
        <v>6.0440787580000004</v>
      </c>
      <c r="S181">
        <f ca="1">IF(AND(ISNUMBER($S$486),$B$294=1),$S$486,HLOOKUP(INDIRECT(ADDRESS(2,COLUMN())),OFFSET($BN$2,0,0,ROW()-1,60),ROW()-1,FALSE))</f>
        <v>5.6934657910000004</v>
      </c>
      <c r="T181">
        <f ca="1">IF(AND(ISNUMBER($T$486),$B$294=1),$T$486,HLOOKUP(INDIRECT(ADDRESS(2,COLUMN())),OFFSET($BN$2,0,0,ROW()-1,60),ROW()-1,FALSE))</f>
        <v>6.831479152</v>
      </c>
      <c r="U181">
        <f ca="1">IF(AND(ISNUMBER($U$486),$B$294=1),$U$486,HLOOKUP(INDIRECT(ADDRESS(2,COLUMN())),OFFSET($BN$2,0,0,ROW()-1,60),ROW()-1,FALSE))</f>
        <v>6.9079580529999998</v>
      </c>
      <c r="V181">
        <f ca="1">IF(AND(ISNUMBER($V$486),$B$294=1),$V$486,HLOOKUP(INDIRECT(ADDRESS(2,COLUMN())),OFFSET($BN$2,0,0,ROW()-1,60),ROW()-1,FALSE))</f>
        <v>7.089872357</v>
      </c>
      <c r="W181">
        <f ca="1">IF(AND(ISNUMBER($W$486),$B$294=1),$W$486,HLOOKUP(INDIRECT(ADDRESS(2,COLUMN())),OFFSET($BN$2,0,0,ROW()-1,60),ROW()-1,FALSE))</f>
        <v>7.1567295670000002</v>
      </c>
      <c r="X181">
        <f ca="1">IF(AND(ISNUMBER($X$486),$B$294=1),$X$486,HLOOKUP(INDIRECT(ADDRESS(2,COLUMN())),OFFSET($BN$2,0,0,ROW()-1,60),ROW()-1,FALSE))</f>
        <v>8.1467918069999996</v>
      </c>
      <c r="Y181">
        <f ca="1">IF(AND(ISNUMBER($Y$486),$B$294=1),$Y$486,HLOOKUP(INDIRECT(ADDRESS(2,COLUMN())),OFFSET($BN$2,0,0,ROW()-1,60),ROW()-1,FALSE))</f>
        <v>8.6838465980000006</v>
      </c>
      <c r="Z181">
        <f ca="1">IF(AND(ISNUMBER($Z$486),$B$294=1),$Z$486,HLOOKUP(INDIRECT(ADDRESS(2,COLUMN())),OFFSET($BN$2,0,0,ROW()-1,60),ROW()-1,FALSE))</f>
        <v>7.199199621</v>
      </c>
      <c r="AA181">
        <f ca="1">IF(AND(ISNUMBER($AA$486),$B$294=1),$AA$486,HLOOKUP(INDIRECT(ADDRESS(2,COLUMN())),OFFSET($BN$2,0,0,ROW()-1,60),ROW()-1,FALSE))</f>
        <v>7.158310868</v>
      </c>
      <c r="AB181">
        <f ca="1">IF(AND(ISNUMBER($AB$486),$B$294=1),$AB$486,HLOOKUP(INDIRECT(ADDRESS(2,COLUMN())),OFFSET($BN$2,0,0,ROW()-1,60),ROW()-1,FALSE))</f>
        <v>6.8537952820000001</v>
      </c>
      <c r="AC181">
        <f ca="1">IF(AND(ISNUMBER($AC$486),$B$294=1),$AC$486,HLOOKUP(INDIRECT(ADDRESS(2,COLUMN())),OFFSET($BN$2,0,0,ROW()-1,60),ROW()-1,FALSE))</f>
        <v>6.671354826</v>
      </c>
      <c r="AD181">
        <f ca="1">IF(AND(ISNUMBER($AD$486),$B$294=1),$AD$486,HLOOKUP(INDIRECT(ADDRESS(2,COLUMN())),OFFSET($BN$2,0,0,ROW()-1,60),ROW()-1,FALSE))</f>
        <v>6.9381020700000002</v>
      </c>
      <c r="AE181">
        <f ca="1">IF(AND(ISNUMBER($AE$486),$B$294=1),$AE$486,HLOOKUP(INDIRECT(ADDRESS(2,COLUMN())),OFFSET($BN$2,0,0,ROW()-1,60),ROW()-1,FALSE))</f>
        <v>6.5683784110000003</v>
      </c>
      <c r="AF181">
        <f ca="1">IF(AND(ISNUMBER($AF$486),$B$294=1),$AF$486,HLOOKUP(INDIRECT(ADDRESS(2,COLUMN())),OFFSET($BN$2,0,0,ROW()-1,60),ROW()-1,FALSE))</f>
        <v>6.7557683910000002</v>
      </c>
      <c r="AG181">
        <f ca="1">IF(AND(ISNUMBER($AG$486),$B$294=1),$AG$486,HLOOKUP(INDIRECT(ADDRESS(2,COLUMN())),OFFSET($BN$2,0,0,ROW()-1,60),ROW()-1,FALSE))</f>
        <v>7.263606598</v>
      </c>
      <c r="AH181">
        <f ca="1">IF(AND(ISNUMBER($AH$486),$B$294=1),$AH$486,HLOOKUP(INDIRECT(ADDRESS(2,COLUMN())),OFFSET($BN$2,0,0,ROW()-1,60),ROW()-1,FALSE))</f>
        <v>7.4275668640000001</v>
      </c>
      <c r="AI181">
        <f ca="1">IF(AND(ISNUMBER($AI$486),$B$294=1),$AI$486,HLOOKUP(INDIRECT(ADDRESS(2,COLUMN())),OFFSET($BN$2,0,0,ROW()-1,60),ROW()-1,FALSE))</f>
        <v>7.7006728950000003</v>
      </c>
      <c r="AJ181">
        <f ca="1">IF(AND(ISNUMBER($AJ$486),$B$294=1),$AJ$486,HLOOKUP(INDIRECT(ADDRESS(2,COLUMN())),OFFSET($BN$2,0,0,ROW()-1,60),ROW()-1,FALSE))</f>
        <v>6.6257044379999996</v>
      </c>
      <c r="AK181">
        <f ca="1">IF(AND(ISNUMBER($AK$486),$B$294=1),$AK$486,HLOOKUP(INDIRECT(ADDRESS(2,COLUMN())),OFFSET($BN$2,0,0,ROW()-1,60),ROW()-1,FALSE))</f>
        <v>5.9893757809999997</v>
      </c>
      <c r="AL181">
        <f ca="1">IF(AND(ISNUMBER($AL$486),$B$294=1),$AL$486,HLOOKUP(INDIRECT(ADDRESS(2,COLUMN())),OFFSET($BN$2,0,0,ROW()-1,60),ROW()-1,FALSE))</f>
        <v>5.9857941139999999</v>
      </c>
      <c r="AM181">
        <f ca="1">IF(AND(ISNUMBER($AM$486),$B$294=1),$AM$486,HLOOKUP(INDIRECT(ADDRESS(2,COLUMN())),OFFSET($BN$2,0,0,ROW()-1,60),ROW()-1,FALSE))</f>
        <v>5.900603512</v>
      </c>
      <c r="AN181" t="str">
        <f ca="1">IF(AND(ISNUMBER($AN$486),$B$294=1),$AN$486,HLOOKUP(INDIRECT(ADDRESS(2,COLUMN())),OFFSET($BN$2,0,0,ROW()-1,60),ROW()-1,FALSE))</f>
        <v/>
      </c>
      <c r="AO181" t="str">
        <f ca="1">IF(AND(ISNUMBER($AO$486),$B$294=1),$AO$486,HLOOKUP(INDIRECT(ADDRESS(2,COLUMN())),OFFSET($BN$2,0,0,ROW()-1,60),ROW()-1,FALSE))</f>
        <v/>
      </c>
      <c r="AP181" t="str">
        <f ca="1">IF(AND(ISNUMBER($AP$486),$B$294=1),$AP$486,HLOOKUP(INDIRECT(ADDRESS(2,COLUMN())),OFFSET($BN$2,0,0,ROW()-1,60),ROW()-1,FALSE))</f>
        <v/>
      </c>
      <c r="AQ181" t="str">
        <f ca="1">IF(AND(ISNUMBER($AQ$486),$B$294=1),$AQ$486,HLOOKUP(INDIRECT(ADDRESS(2,COLUMN())),OFFSET($BN$2,0,0,ROW()-1,60),ROW()-1,FALSE))</f>
        <v/>
      </c>
      <c r="AR181" t="str">
        <f ca="1">IF(AND(ISNUMBER($AR$486),$B$294=1),$AR$486,HLOOKUP(INDIRECT(ADDRESS(2,COLUMN())),OFFSET($BN$2,0,0,ROW()-1,60),ROW()-1,FALSE))</f>
        <v/>
      </c>
      <c r="AS181" t="str">
        <f ca="1">IF(AND(ISNUMBER($AS$486),$B$294=1),$AS$486,HLOOKUP(INDIRECT(ADDRESS(2,COLUMN())),OFFSET($BN$2,0,0,ROW()-1,60),ROW()-1,FALSE))</f>
        <v/>
      </c>
      <c r="AT181" t="str">
        <f ca="1">IF(AND(ISNUMBER($AT$486),$B$294=1),$AT$486,HLOOKUP(INDIRECT(ADDRESS(2,COLUMN())),OFFSET($BN$2,0,0,ROW()-1,60),ROW()-1,FALSE))</f>
        <v/>
      </c>
      <c r="AU181" t="str">
        <f ca="1">IF(AND(ISNUMBER($AU$486),$B$294=1),$AU$486,HLOOKUP(INDIRECT(ADDRESS(2,COLUMN())),OFFSET($BN$2,0,0,ROW()-1,60),ROW()-1,FALSE))</f>
        <v/>
      </c>
      <c r="AV181" t="str">
        <f ca="1">IF(AND(ISNUMBER($AV$486),$B$294=1),$AV$486,HLOOKUP(INDIRECT(ADDRESS(2,COLUMN())),OFFSET($BN$2,0,0,ROW()-1,60),ROW()-1,FALSE))</f>
        <v/>
      </c>
      <c r="AW181" t="str">
        <f ca="1">IF(AND(ISNUMBER($AW$486),$B$294=1),$AW$486,HLOOKUP(INDIRECT(ADDRESS(2,COLUMN())),OFFSET($BN$2,0,0,ROW()-1,60),ROW()-1,FALSE))</f>
        <v/>
      </c>
      <c r="AX181" t="str">
        <f ca="1">IF(AND(ISNUMBER($AX$486),$B$294=1),$AX$486,HLOOKUP(INDIRECT(ADDRESS(2,COLUMN())),OFFSET($BN$2,0,0,ROW()-1,60),ROW()-1,FALSE))</f>
        <v/>
      </c>
      <c r="AY181" t="str">
        <f ca="1">IF(AND(ISNUMBER($AY$486),$B$294=1),$AY$486,HLOOKUP(INDIRECT(ADDRESS(2,COLUMN())),OFFSET($BN$2,0,0,ROW()-1,60),ROW()-1,FALSE))</f>
        <v/>
      </c>
      <c r="AZ181" t="str">
        <f ca="1">IF(AND(ISNUMBER($AZ$486),$B$294=1),$AZ$486,HLOOKUP(INDIRECT(ADDRESS(2,COLUMN())),OFFSET($BN$2,0,0,ROW()-1,60),ROW()-1,FALSE))</f>
        <v/>
      </c>
      <c r="BA181" t="str">
        <f ca="1">IF(AND(ISNUMBER($BA$486),$B$294=1),$BA$486,HLOOKUP(INDIRECT(ADDRESS(2,COLUMN())),OFFSET($BN$2,0,0,ROW()-1,60),ROW()-1,FALSE))</f>
        <v/>
      </c>
      <c r="BB181" t="str">
        <f ca="1">IF(AND(ISNUMBER($BB$486),$B$294=1),$BB$486,HLOOKUP(INDIRECT(ADDRESS(2,COLUMN())),OFFSET($BN$2,0,0,ROW()-1,60),ROW()-1,FALSE))</f>
        <v/>
      </c>
      <c r="BC181" t="str">
        <f ca="1">IF(AND(ISNUMBER($BC$486),$B$294=1),$BC$486,HLOOKUP(INDIRECT(ADDRESS(2,COLUMN())),OFFSET($BN$2,0,0,ROW()-1,60),ROW()-1,FALSE))</f>
        <v/>
      </c>
      <c r="BD181" t="str">
        <f ca="1">IF(AND(ISNUMBER($BD$486),$B$294=1),$BD$486,HLOOKUP(INDIRECT(ADDRESS(2,COLUMN())),OFFSET($BN$2,0,0,ROW()-1,60),ROW()-1,FALSE))</f>
        <v/>
      </c>
      <c r="BE181" t="str">
        <f ca="1">IF(AND(ISNUMBER($BE$486),$B$294=1),$BE$486,HLOOKUP(INDIRECT(ADDRESS(2,COLUMN())),OFFSET($BN$2,0,0,ROW()-1,60),ROW()-1,FALSE))</f>
        <v/>
      </c>
      <c r="BF181" t="str">
        <f ca="1">IF(AND(ISNUMBER($BF$486),$B$294=1),$BF$486,HLOOKUP(INDIRECT(ADDRESS(2,COLUMN())),OFFSET($BN$2,0,0,ROW()-1,60),ROW()-1,FALSE))</f>
        <v/>
      </c>
      <c r="BG181" t="str">
        <f ca="1">IF(AND(ISNUMBER($BG$486),$B$294=1),$BG$486,HLOOKUP(INDIRECT(ADDRESS(2,COLUMN())),OFFSET($BN$2,0,0,ROW()-1,60),ROW()-1,FALSE))</f>
        <v/>
      </c>
      <c r="BH181" t="str">
        <f ca="1">IF(AND(ISNUMBER($BH$486),$B$294=1),$BH$486,HLOOKUP(INDIRECT(ADDRESS(2,COLUMN())),OFFSET($BN$2,0,0,ROW()-1,60),ROW()-1,FALSE))</f>
        <v/>
      </c>
      <c r="BI181" t="str">
        <f ca="1">IF(AND(ISNUMBER($BI$486),$B$294=1),$BI$486,HLOOKUP(INDIRECT(ADDRESS(2,COLUMN())),OFFSET($BN$2,0,0,ROW()-1,60),ROW()-1,FALSE))</f>
        <v/>
      </c>
      <c r="BJ181" t="str">
        <f ca="1">IF(AND(ISNUMBER($BJ$486),$B$294=1),$BJ$486,HLOOKUP(INDIRECT(ADDRESS(2,COLUMN())),OFFSET($BN$2,0,0,ROW()-1,60),ROW()-1,FALSE))</f>
        <v/>
      </c>
      <c r="BK181" t="str">
        <f ca="1">IF(AND(ISNUMBER($BK$486),$B$294=1),$BK$486,HLOOKUP(INDIRECT(ADDRESS(2,COLUMN())),OFFSET($BN$2,0,0,ROW()-1,60),ROW()-1,FALSE))</f>
        <v/>
      </c>
      <c r="BL181" t="str">
        <f ca="1">IF(AND(ISNUMBER($BL$486),$B$294=1),$BL$486,HLOOKUP(INDIRECT(ADDRESS(2,COLUMN())),OFFSET($BN$2,0,0,ROW()-1,60),ROW()-1,FALSE))</f>
        <v/>
      </c>
      <c r="BM181" t="str">
        <f ca="1">IF(AND(ISNUMBER($BM$486),$B$294=1),$BM$486,HLOOKUP(INDIRECT(ADDRESS(2,COLUMN())),OFFSET($BN$2,0,0,ROW()-1,60),ROW()-1,FALSE))</f>
        <v/>
      </c>
      <c r="BN181" t="str">
        <f>""</f>
        <v/>
      </c>
      <c r="BO181">
        <f>6.44761175</f>
        <v>6.4476117500000001</v>
      </c>
      <c r="BP181">
        <f>6.418265373</f>
        <v>6.4182653729999997</v>
      </c>
      <c r="BQ181">
        <f>6.517718338</f>
        <v>6.5177183379999999</v>
      </c>
      <c r="BR181">
        <f>6.372405933</f>
        <v>6.3724059329999996</v>
      </c>
      <c r="BS181">
        <f>6.091214754</f>
        <v>6.0912147540000001</v>
      </c>
      <c r="BT181">
        <f>6.062233079</f>
        <v>6.0622330790000003</v>
      </c>
      <c r="BU181">
        <f>5.579133332</f>
        <v>5.5791333319999996</v>
      </c>
      <c r="BV181">
        <f>5.444203771</f>
        <v>5.4442037709999997</v>
      </c>
      <c r="BW181">
        <f>5.564367016</f>
        <v>5.5643670160000003</v>
      </c>
      <c r="BX181">
        <f>5.61710922</f>
        <v>5.6171092199999997</v>
      </c>
      <c r="BY181">
        <f>5.773478205</f>
        <v>5.773478205</v>
      </c>
      <c r="BZ181">
        <f>6.044078758</f>
        <v>6.0440787580000004</v>
      </c>
      <c r="CA181">
        <f>5.693465791</f>
        <v>5.6934657910000004</v>
      </c>
      <c r="CB181">
        <f>6.831479152</f>
        <v>6.831479152</v>
      </c>
      <c r="CC181">
        <f>6.907958053</f>
        <v>6.9079580529999998</v>
      </c>
      <c r="CD181">
        <f>7.089872357</f>
        <v>7.089872357</v>
      </c>
      <c r="CE181">
        <f>7.156729567</f>
        <v>7.1567295670000002</v>
      </c>
      <c r="CF181">
        <f>8.146791807</f>
        <v>8.1467918069999996</v>
      </c>
      <c r="CG181">
        <f>8.683846598</f>
        <v>8.6838465980000006</v>
      </c>
      <c r="CH181">
        <f>7.199199621</f>
        <v>7.199199621</v>
      </c>
      <c r="CI181">
        <f>7.158310868</f>
        <v>7.158310868</v>
      </c>
      <c r="CJ181">
        <f>6.853795282</f>
        <v>6.8537952820000001</v>
      </c>
      <c r="CK181">
        <f>6.671354826</f>
        <v>6.671354826</v>
      </c>
      <c r="CL181">
        <f>6.93810207</f>
        <v>6.9381020700000002</v>
      </c>
      <c r="CM181">
        <f>6.568378411</f>
        <v>6.5683784110000003</v>
      </c>
      <c r="CN181">
        <f>6.755768391</f>
        <v>6.7557683910000002</v>
      </c>
      <c r="CO181">
        <f>7.263606598</f>
        <v>7.263606598</v>
      </c>
      <c r="CP181">
        <f>7.427566864</f>
        <v>7.4275668640000001</v>
      </c>
      <c r="CQ181">
        <f>7.700672895</f>
        <v>7.7006728950000003</v>
      </c>
      <c r="CR181">
        <f>6.625704438</f>
        <v>6.6257044379999996</v>
      </c>
      <c r="CS181">
        <f>5.989375781</f>
        <v>5.9893757809999997</v>
      </c>
      <c r="CT181">
        <f>5.985794114</f>
        <v>5.9857941139999999</v>
      </c>
      <c r="CU181">
        <f>5.900603512</f>
        <v>5.900603512</v>
      </c>
      <c r="CV181" t="str">
        <f>""</f>
        <v/>
      </c>
      <c r="CW181" t="str">
        <f>""</f>
        <v/>
      </c>
      <c r="CX181" t="str">
        <f>""</f>
        <v/>
      </c>
      <c r="CY181" t="str">
        <f>""</f>
        <v/>
      </c>
      <c r="CZ181" t="str">
        <f>""</f>
        <v/>
      </c>
      <c r="DA181" t="str">
        <f>""</f>
        <v/>
      </c>
      <c r="DB181" t="str">
        <f>""</f>
        <v/>
      </c>
      <c r="DC181" t="str">
        <f>""</f>
        <v/>
      </c>
      <c r="DD181" t="str">
        <f>""</f>
        <v/>
      </c>
      <c r="DE181" t="str">
        <f>""</f>
        <v/>
      </c>
      <c r="DF181" t="str">
        <f>""</f>
        <v/>
      </c>
      <c r="DG181" t="str">
        <f>""</f>
        <v/>
      </c>
      <c r="DH181" t="str">
        <f>""</f>
        <v/>
      </c>
      <c r="DI181" t="str">
        <f>""</f>
        <v/>
      </c>
      <c r="DJ181" t="str">
        <f>""</f>
        <v/>
      </c>
      <c r="DK181" t="str">
        <f>""</f>
        <v/>
      </c>
      <c r="DL181" t="str">
        <f>""</f>
        <v/>
      </c>
      <c r="DM181" t="str">
        <f>""</f>
        <v/>
      </c>
      <c r="DN181" t="str">
        <f>""</f>
        <v/>
      </c>
      <c r="DO181" t="str">
        <f>""</f>
        <v/>
      </c>
      <c r="DP181" t="str">
        <f>""</f>
        <v/>
      </c>
      <c r="DQ181" t="str">
        <f>""</f>
        <v/>
      </c>
      <c r="DR181" t="str">
        <f>""</f>
        <v/>
      </c>
      <c r="DS181" t="str">
        <f>""</f>
        <v/>
      </c>
      <c r="DT181" t="str">
        <f>""</f>
        <v/>
      </c>
      <c r="DU181" t="str">
        <f>""</f>
        <v/>
      </c>
    </row>
    <row r="182" spans="1:125">
      <c r="A182" t="str">
        <f>"    Brandywine Realty Trust"</f>
        <v xml:space="preserve">    Brandywine Realty Trust</v>
      </c>
      <c r="B182" t="str">
        <f>"BDN US Equity"</f>
        <v>BDN US Equity</v>
      </c>
      <c r="C182" t="str">
        <f t="shared" si="48"/>
        <v>F1178</v>
      </c>
      <c r="D182" t="str">
        <f t="shared" si="49"/>
        <v>NET_DEBT_EBITDA_ADJUSTED</v>
      </c>
      <c r="E182" t="str">
        <f t="shared" si="50"/>
        <v>动态</v>
      </c>
      <c r="F182" t="str">
        <f ca="1">IF(AND(ISNUMBER($F$487),$B$294=1),$F$487,HLOOKUP(INDIRECT(ADDRESS(2,COLUMN())),OFFSET($BN$2,0,0,ROW()-1,60),ROW()-1,FALSE))</f>
        <v/>
      </c>
      <c r="G182">
        <f ca="1">IF(AND(ISNUMBER($G$487),$B$294=1),$G$487,HLOOKUP(INDIRECT(ADDRESS(2,COLUMN())),OFFSET($BN$2,0,0,ROW()-1,60),ROW()-1,FALSE))</f>
        <v>8.9135943159999993</v>
      </c>
      <c r="H182">
        <f ca="1">IF(AND(ISNUMBER($H$487),$B$294=1),$H$487,HLOOKUP(INDIRECT(ADDRESS(2,COLUMN())),OFFSET($BN$2,0,0,ROW()-1,60),ROW()-1,FALSE))</f>
        <v>6.9363531509999996</v>
      </c>
      <c r="I182">
        <f ca="1">IF(AND(ISNUMBER($I$487),$B$294=1),$I$487,HLOOKUP(INDIRECT(ADDRESS(2,COLUMN())),OFFSET($BN$2,0,0,ROW()-1,60),ROW()-1,FALSE))</f>
        <v>6.636964012</v>
      </c>
      <c r="J182">
        <f ca="1">IF(AND(ISNUMBER($J$487),$B$294=1),$J$487,HLOOKUP(INDIRECT(ADDRESS(2,COLUMN())),OFFSET($BN$2,0,0,ROW()-1,60),ROW()-1,FALSE))</f>
        <v>6.3160667410000002</v>
      </c>
      <c r="K182">
        <f ca="1">IF(AND(ISNUMBER($K$487),$B$294=1),$K$487,HLOOKUP(INDIRECT(ADDRESS(2,COLUMN())),OFFSET($BN$2,0,0,ROW()-1,60),ROW()-1,FALSE))</f>
        <v>6.4326534799999999</v>
      </c>
      <c r="L182">
        <f ca="1">IF(AND(ISNUMBER($L$487),$B$294=1),$L$487,HLOOKUP(INDIRECT(ADDRESS(2,COLUMN())),OFFSET($BN$2,0,0,ROW()-1,60),ROW()-1,FALSE))</f>
        <v>6.1099829760000004</v>
      </c>
      <c r="M182">
        <f ca="1">IF(AND(ISNUMBER($M$487),$B$294=1),$M$487,HLOOKUP(INDIRECT(ADDRESS(2,COLUMN())),OFFSET($BN$2,0,0,ROW()-1,60),ROW()-1,FALSE))</f>
        <v>5.7785370599999997</v>
      </c>
      <c r="N182">
        <f ca="1">IF(AND(ISNUMBER($N$487),$B$294=1),$N$487,HLOOKUP(INDIRECT(ADDRESS(2,COLUMN())),OFFSET($BN$2,0,0,ROW()-1,60),ROW()-1,FALSE))</f>
        <v>5.5294754719999997</v>
      </c>
      <c r="O182">
        <f ca="1">IF(AND(ISNUMBER($O$487),$B$294=1),$O$487,HLOOKUP(INDIRECT(ADDRESS(2,COLUMN())),OFFSET($BN$2,0,0,ROW()-1,60),ROW()-1,FALSE))</f>
        <v>7.0984967680000004</v>
      </c>
      <c r="P182">
        <f ca="1">IF(AND(ISNUMBER($P$487),$B$294=1),$P$487,HLOOKUP(INDIRECT(ADDRESS(2,COLUMN())),OFFSET($BN$2,0,0,ROW()-1,60),ROW()-1,FALSE))</f>
        <v>7.4038765460000002</v>
      </c>
      <c r="Q182">
        <f ca="1">IF(AND(ISNUMBER($Q$487),$B$294=1),$Q$487,HLOOKUP(INDIRECT(ADDRESS(2,COLUMN())),OFFSET($BN$2,0,0,ROW()-1,60),ROW()-1,FALSE))</f>
        <v>7.2286059720000004</v>
      </c>
      <c r="R182">
        <f ca="1">IF(AND(ISNUMBER($R$487),$B$294=1),$R$487,HLOOKUP(INDIRECT(ADDRESS(2,COLUMN())),OFFSET($BN$2,0,0,ROW()-1,60),ROW()-1,FALSE))</f>
        <v>6.5997796429999998</v>
      </c>
      <c r="S182">
        <f ca="1">IF(AND(ISNUMBER($S$487),$B$294=1),$S$487,HLOOKUP(INDIRECT(ADDRESS(2,COLUMN())),OFFSET($BN$2,0,0,ROW()-1,60),ROW()-1,FALSE))</f>
        <v>6.692109833</v>
      </c>
      <c r="T182">
        <f ca="1">IF(AND(ISNUMBER($T$487),$B$294=1),$T$487,HLOOKUP(INDIRECT(ADDRESS(2,COLUMN())),OFFSET($BN$2,0,0,ROW()-1,60),ROW()-1,FALSE))</f>
        <v>6.4734979529999999</v>
      </c>
      <c r="U182">
        <f ca="1">IF(AND(ISNUMBER($U$487),$B$294=1),$U$487,HLOOKUP(INDIRECT(ADDRESS(2,COLUMN())),OFFSET($BN$2,0,0,ROW()-1,60),ROW()-1,FALSE))</f>
        <v>7.5324433409999996</v>
      </c>
      <c r="V182">
        <f ca="1">IF(AND(ISNUMBER($V$487),$B$294=1),$V$487,HLOOKUP(INDIRECT(ADDRESS(2,COLUMN())),OFFSET($BN$2,0,0,ROW()-1,60),ROW()-1,FALSE))</f>
        <v>7.7266986820000003</v>
      </c>
      <c r="W182">
        <f ca="1">IF(AND(ISNUMBER($W$487),$B$294=1),$W$487,HLOOKUP(INDIRECT(ADDRESS(2,COLUMN())),OFFSET($BN$2,0,0,ROW()-1,60),ROW()-1,FALSE))</f>
        <v>7.7264471930000003</v>
      </c>
      <c r="X182">
        <f ca="1">IF(AND(ISNUMBER($X$487),$B$294=1),$X$487,HLOOKUP(INDIRECT(ADDRESS(2,COLUMN())),OFFSET($BN$2,0,0,ROW()-1,60),ROW()-1,FALSE))</f>
        <v>13.668404580000001</v>
      </c>
      <c r="Y182">
        <f ca="1">IF(AND(ISNUMBER($Y$487),$B$294=1),$Y$487,HLOOKUP(INDIRECT(ADDRESS(2,COLUMN())),OFFSET($BN$2,0,0,ROW()-1,60),ROW()-1,FALSE))</f>
        <v>13.83033243</v>
      </c>
      <c r="Z182">
        <f ca="1">IF(AND(ISNUMBER($Z$487),$B$294=1),$Z$487,HLOOKUP(INDIRECT(ADDRESS(2,COLUMN())),OFFSET($BN$2,0,0,ROW()-1,60),ROW()-1,FALSE))</f>
        <v>15.158351100000001</v>
      </c>
      <c r="AA182">
        <f ca="1">IF(AND(ISNUMBER($AA$487),$B$294=1),$AA$487,HLOOKUP(INDIRECT(ADDRESS(2,COLUMN())),OFFSET($BN$2,0,0,ROW()-1,60),ROW()-1,FALSE))</f>
        <v>15.863429740000001</v>
      </c>
      <c r="AB182">
        <f ca="1">IF(AND(ISNUMBER($AB$487),$B$294=1),$AB$487,HLOOKUP(INDIRECT(ADDRESS(2,COLUMN())),OFFSET($BN$2,0,0,ROW()-1,60),ROW()-1,FALSE))</f>
        <v>7.3911481380000001</v>
      </c>
      <c r="AC182">
        <f ca="1">IF(AND(ISNUMBER($AC$487),$B$294=1),$AC$487,HLOOKUP(INDIRECT(ADDRESS(2,COLUMN())),OFFSET($BN$2,0,0,ROW()-1,60),ROW()-1,FALSE))</f>
        <v>7.4805745100000003</v>
      </c>
      <c r="AD182">
        <f ca="1">IF(AND(ISNUMBER($AD$487),$B$294=1),$AD$487,HLOOKUP(INDIRECT(ADDRESS(2,COLUMN())),OFFSET($BN$2,0,0,ROW()-1,60),ROW()-1,FALSE))</f>
        <v>7.6066958390000003</v>
      </c>
      <c r="AE182">
        <f ca="1">IF(AND(ISNUMBER($AE$487),$B$294=1),$AE$487,HLOOKUP(INDIRECT(ADDRESS(2,COLUMN())),OFFSET($BN$2,0,0,ROW()-1,60),ROW()-1,FALSE))</f>
        <v>7.6116343999999998</v>
      </c>
      <c r="AF182">
        <f ca="1">IF(AND(ISNUMBER($AF$487),$B$294=1),$AF$487,HLOOKUP(INDIRECT(ADDRESS(2,COLUMN())),OFFSET($BN$2,0,0,ROW()-1,60),ROW()-1,FALSE))</f>
        <v>7.8665466579999999</v>
      </c>
      <c r="AG182">
        <f ca="1">IF(AND(ISNUMBER($AG$487),$B$294=1),$AG$487,HLOOKUP(INDIRECT(ADDRESS(2,COLUMN())),OFFSET($BN$2,0,0,ROW()-1,60),ROW()-1,FALSE))</f>
        <v>7.8119767539999998</v>
      </c>
      <c r="AH182">
        <f ca="1">IF(AND(ISNUMBER($AH$487),$B$294=1),$AH$487,HLOOKUP(INDIRECT(ADDRESS(2,COLUMN())),OFFSET($BN$2,0,0,ROW()-1,60),ROW()-1,FALSE))</f>
        <v>7.8875501359999998</v>
      </c>
      <c r="AI182">
        <f ca="1">IF(AND(ISNUMBER($AI$487),$B$294=1),$AI$487,HLOOKUP(INDIRECT(ADDRESS(2,COLUMN())),OFFSET($BN$2,0,0,ROW()-1,60),ROW()-1,FALSE))</f>
        <v>7.8574809249999999</v>
      </c>
      <c r="AJ182">
        <f ca="1">IF(AND(ISNUMBER($AJ$487),$B$294=1),$AJ$487,HLOOKUP(INDIRECT(ADDRESS(2,COLUMN())),OFFSET($BN$2,0,0,ROW()-1,60),ROW()-1,FALSE))</f>
        <v>8.1918750629999995</v>
      </c>
      <c r="AK182">
        <f ca="1">IF(AND(ISNUMBER($AK$487),$B$294=1),$AK$487,HLOOKUP(INDIRECT(ADDRESS(2,COLUMN())),OFFSET($BN$2,0,0,ROW()-1,60),ROW()-1,FALSE))</f>
        <v>8.2089169890000004</v>
      </c>
      <c r="AL182">
        <f ca="1">IF(AND(ISNUMBER($AL$487),$B$294=1),$AL$487,HLOOKUP(INDIRECT(ADDRESS(2,COLUMN())),OFFSET($BN$2,0,0,ROW()-1,60),ROW()-1,FALSE))</f>
        <v>8.1028378639999996</v>
      </c>
      <c r="AM182">
        <f ca="1">IF(AND(ISNUMBER($AM$487),$B$294=1),$AM$487,HLOOKUP(INDIRECT(ADDRESS(2,COLUMN())),OFFSET($BN$2,0,0,ROW()-1,60),ROW()-1,FALSE))</f>
        <v>8.1747380629999995</v>
      </c>
      <c r="AN182" t="str">
        <f ca="1">IF(AND(ISNUMBER($AN$487),$B$294=1),$AN$487,HLOOKUP(INDIRECT(ADDRESS(2,COLUMN())),OFFSET($BN$2,0,0,ROW()-1,60),ROW()-1,FALSE))</f>
        <v/>
      </c>
      <c r="AO182" t="str">
        <f ca="1">IF(AND(ISNUMBER($AO$487),$B$294=1),$AO$487,HLOOKUP(INDIRECT(ADDRESS(2,COLUMN())),OFFSET($BN$2,0,0,ROW()-1,60),ROW()-1,FALSE))</f>
        <v/>
      </c>
      <c r="AP182" t="str">
        <f ca="1">IF(AND(ISNUMBER($AP$487),$B$294=1),$AP$487,HLOOKUP(INDIRECT(ADDRESS(2,COLUMN())),OFFSET($BN$2,0,0,ROW()-1,60),ROW()-1,FALSE))</f>
        <v/>
      </c>
      <c r="AQ182" t="str">
        <f ca="1">IF(AND(ISNUMBER($AQ$487),$B$294=1),$AQ$487,HLOOKUP(INDIRECT(ADDRESS(2,COLUMN())),OFFSET($BN$2,0,0,ROW()-1,60),ROW()-1,FALSE))</f>
        <v/>
      </c>
      <c r="AR182" t="str">
        <f ca="1">IF(AND(ISNUMBER($AR$487),$B$294=1),$AR$487,HLOOKUP(INDIRECT(ADDRESS(2,COLUMN())),OFFSET($BN$2,0,0,ROW()-1,60),ROW()-1,FALSE))</f>
        <v/>
      </c>
      <c r="AS182" t="str">
        <f ca="1">IF(AND(ISNUMBER($AS$487),$B$294=1),$AS$487,HLOOKUP(INDIRECT(ADDRESS(2,COLUMN())),OFFSET($BN$2,0,0,ROW()-1,60),ROW()-1,FALSE))</f>
        <v/>
      </c>
      <c r="AT182" t="str">
        <f ca="1">IF(AND(ISNUMBER($AT$487),$B$294=1),$AT$487,HLOOKUP(INDIRECT(ADDRESS(2,COLUMN())),OFFSET($BN$2,0,0,ROW()-1,60),ROW()-1,FALSE))</f>
        <v/>
      </c>
      <c r="AU182" t="str">
        <f ca="1">IF(AND(ISNUMBER($AU$487),$B$294=1),$AU$487,HLOOKUP(INDIRECT(ADDRESS(2,COLUMN())),OFFSET($BN$2,0,0,ROW()-1,60),ROW()-1,FALSE))</f>
        <v/>
      </c>
      <c r="AV182" t="str">
        <f ca="1">IF(AND(ISNUMBER($AV$487),$B$294=1),$AV$487,HLOOKUP(INDIRECT(ADDRESS(2,COLUMN())),OFFSET($BN$2,0,0,ROW()-1,60),ROW()-1,FALSE))</f>
        <v/>
      </c>
      <c r="AW182" t="str">
        <f ca="1">IF(AND(ISNUMBER($AW$487),$B$294=1),$AW$487,HLOOKUP(INDIRECT(ADDRESS(2,COLUMN())),OFFSET($BN$2,0,0,ROW()-1,60),ROW()-1,FALSE))</f>
        <v/>
      </c>
      <c r="AX182" t="str">
        <f ca="1">IF(AND(ISNUMBER($AX$487),$B$294=1),$AX$487,HLOOKUP(INDIRECT(ADDRESS(2,COLUMN())),OFFSET($BN$2,0,0,ROW()-1,60),ROW()-1,FALSE))</f>
        <v/>
      </c>
      <c r="AY182" t="str">
        <f ca="1">IF(AND(ISNUMBER($AY$487),$B$294=1),$AY$487,HLOOKUP(INDIRECT(ADDRESS(2,COLUMN())),OFFSET($BN$2,0,0,ROW()-1,60),ROW()-1,FALSE))</f>
        <v/>
      </c>
      <c r="AZ182" t="str">
        <f ca="1">IF(AND(ISNUMBER($AZ$487),$B$294=1),$AZ$487,HLOOKUP(INDIRECT(ADDRESS(2,COLUMN())),OFFSET($BN$2,0,0,ROW()-1,60),ROW()-1,FALSE))</f>
        <v/>
      </c>
      <c r="BA182" t="str">
        <f ca="1">IF(AND(ISNUMBER($BA$487),$B$294=1),$BA$487,HLOOKUP(INDIRECT(ADDRESS(2,COLUMN())),OFFSET($BN$2,0,0,ROW()-1,60),ROW()-1,FALSE))</f>
        <v/>
      </c>
      <c r="BB182" t="str">
        <f ca="1">IF(AND(ISNUMBER($BB$487),$B$294=1),$BB$487,HLOOKUP(INDIRECT(ADDRESS(2,COLUMN())),OFFSET($BN$2,0,0,ROW()-1,60),ROW()-1,FALSE))</f>
        <v/>
      </c>
      <c r="BC182" t="str">
        <f ca="1">IF(AND(ISNUMBER($BC$487),$B$294=1),$BC$487,HLOOKUP(INDIRECT(ADDRESS(2,COLUMN())),OFFSET($BN$2,0,0,ROW()-1,60),ROW()-1,FALSE))</f>
        <v/>
      </c>
      <c r="BD182" t="str">
        <f ca="1">IF(AND(ISNUMBER($BD$487),$B$294=1),$BD$487,HLOOKUP(INDIRECT(ADDRESS(2,COLUMN())),OFFSET($BN$2,0,0,ROW()-1,60),ROW()-1,FALSE))</f>
        <v/>
      </c>
      <c r="BE182" t="str">
        <f ca="1">IF(AND(ISNUMBER($BE$487),$B$294=1),$BE$487,HLOOKUP(INDIRECT(ADDRESS(2,COLUMN())),OFFSET($BN$2,0,0,ROW()-1,60),ROW()-1,FALSE))</f>
        <v/>
      </c>
      <c r="BF182" t="str">
        <f ca="1">IF(AND(ISNUMBER($BF$487),$B$294=1),$BF$487,HLOOKUP(INDIRECT(ADDRESS(2,COLUMN())),OFFSET($BN$2,0,0,ROW()-1,60),ROW()-1,FALSE))</f>
        <v/>
      </c>
      <c r="BG182" t="str">
        <f ca="1">IF(AND(ISNUMBER($BG$487),$B$294=1),$BG$487,HLOOKUP(INDIRECT(ADDRESS(2,COLUMN())),OFFSET($BN$2,0,0,ROW()-1,60),ROW()-1,FALSE))</f>
        <v/>
      </c>
      <c r="BH182" t="str">
        <f ca="1">IF(AND(ISNUMBER($BH$487),$B$294=1),$BH$487,HLOOKUP(INDIRECT(ADDRESS(2,COLUMN())),OFFSET($BN$2,0,0,ROW()-1,60),ROW()-1,FALSE))</f>
        <v/>
      </c>
      <c r="BI182" t="str">
        <f ca="1">IF(AND(ISNUMBER($BI$487),$B$294=1),$BI$487,HLOOKUP(INDIRECT(ADDRESS(2,COLUMN())),OFFSET($BN$2,0,0,ROW()-1,60),ROW()-1,FALSE))</f>
        <v/>
      </c>
      <c r="BJ182" t="str">
        <f ca="1">IF(AND(ISNUMBER($BJ$487),$B$294=1),$BJ$487,HLOOKUP(INDIRECT(ADDRESS(2,COLUMN())),OFFSET($BN$2,0,0,ROW()-1,60),ROW()-1,FALSE))</f>
        <v/>
      </c>
      <c r="BK182" t="str">
        <f ca="1">IF(AND(ISNUMBER($BK$487),$B$294=1),$BK$487,HLOOKUP(INDIRECT(ADDRESS(2,COLUMN())),OFFSET($BN$2,0,0,ROW()-1,60),ROW()-1,FALSE))</f>
        <v/>
      </c>
      <c r="BL182" t="str">
        <f ca="1">IF(AND(ISNUMBER($BL$487),$B$294=1),$BL$487,HLOOKUP(INDIRECT(ADDRESS(2,COLUMN())),OFFSET($BN$2,0,0,ROW()-1,60),ROW()-1,FALSE))</f>
        <v/>
      </c>
      <c r="BM182" t="str">
        <f ca="1">IF(AND(ISNUMBER($BM$487),$B$294=1),$BM$487,HLOOKUP(INDIRECT(ADDRESS(2,COLUMN())),OFFSET($BN$2,0,0,ROW()-1,60),ROW()-1,FALSE))</f>
        <v/>
      </c>
      <c r="BN182" t="str">
        <f>""</f>
        <v/>
      </c>
      <c r="BO182">
        <f>8.913594316</f>
        <v>8.9135943159999993</v>
      </c>
      <c r="BP182">
        <f>6.936353151</f>
        <v>6.9363531509999996</v>
      </c>
      <c r="BQ182">
        <f>6.636964012</f>
        <v>6.636964012</v>
      </c>
      <c r="BR182">
        <f>6.316066741</f>
        <v>6.3160667410000002</v>
      </c>
      <c r="BS182">
        <f>6.43265348</f>
        <v>6.4326534799999999</v>
      </c>
      <c r="BT182">
        <f>6.109982976</f>
        <v>6.1099829760000004</v>
      </c>
      <c r="BU182">
        <f>5.77853706</f>
        <v>5.7785370599999997</v>
      </c>
      <c r="BV182">
        <f>5.529475472</f>
        <v>5.5294754719999997</v>
      </c>
      <c r="BW182">
        <f>7.098496768</f>
        <v>7.0984967680000004</v>
      </c>
      <c r="BX182">
        <f>7.403876546</f>
        <v>7.4038765460000002</v>
      </c>
      <c r="BY182">
        <f>7.228605972</f>
        <v>7.2286059720000004</v>
      </c>
      <c r="BZ182">
        <f>6.599779643</f>
        <v>6.5997796429999998</v>
      </c>
      <c r="CA182">
        <f>6.692109833</f>
        <v>6.692109833</v>
      </c>
      <c r="CB182">
        <f>6.473497953</f>
        <v>6.4734979529999999</v>
      </c>
      <c r="CC182">
        <f>7.532443341</f>
        <v>7.5324433409999996</v>
      </c>
      <c r="CD182">
        <f>7.726698682</f>
        <v>7.7266986820000003</v>
      </c>
      <c r="CE182">
        <f>7.726447193</f>
        <v>7.7264471930000003</v>
      </c>
      <c r="CF182">
        <f>13.66840458</f>
        <v>13.668404580000001</v>
      </c>
      <c r="CG182">
        <f>13.83033243</f>
        <v>13.83033243</v>
      </c>
      <c r="CH182">
        <f>15.1583511</f>
        <v>15.158351100000001</v>
      </c>
      <c r="CI182">
        <f>15.86342974</f>
        <v>15.863429740000001</v>
      </c>
      <c r="CJ182">
        <f>7.391148138</f>
        <v>7.3911481380000001</v>
      </c>
      <c r="CK182">
        <f>7.48057451</f>
        <v>7.4805745100000003</v>
      </c>
      <c r="CL182">
        <f>7.606695839</f>
        <v>7.6066958390000003</v>
      </c>
      <c r="CM182">
        <f>7.6116344</f>
        <v>7.6116343999999998</v>
      </c>
      <c r="CN182">
        <f>7.866546658</f>
        <v>7.8665466579999999</v>
      </c>
      <c r="CO182">
        <f>7.811976754</f>
        <v>7.8119767539999998</v>
      </c>
      <c r="CP182">
        <f>7.887550136</f>
        <v>7.8875501359999998</v>
      </c>
      <c r="CQ182">
        <f>7.857480925</f>
        <v>7.8574809249999999</v>
      </c>
      <c r="CR182">
        <f>8.191875063</f>
        <v>8.1918750629999995</v>
      </c>
      <c r="CS182">
        <f>8.208916989</f>
        <v>8.2089169890000004</v>
      </c>
      <c r="CT182">
        <f>8.102837864</f>
        <v>8.1028378639999996</v>
      </c>
      <c r="CU182">
        <f>8.174738063</f>
        <v>8.1747380629999995</v>
      </c>
      <c r="CV182" t="str">
        <f>""</f>
        <v/>
      </c>
      <c r="CW182" t="str">
        <f>""</f>
        <v/>
      </c>
      <c r="CX182" t="str">
        <f>""</f>
        <v/>
      </c>
      <c r="CY182" t="str">
        <f>""</f>
        <v/>
      </c>
      <c r="CZ182" t="str">
        <f>""</f>
        <v/>
      </c>
      <c r="DA182" t="str">
        <f>""</f>
        <v/>
      </c>
      <c r="DB182" t="str">
        <f>""</f>
        <v/>
      </c>
      <c r="DC182" t="str">
        <f>""</f>
        <v/>
      </c>
      <c r="DD182" t="str">
        <f>""</f>
        <v/>
      </c>
      <c r="DE182" t="str">
        <f>""</f>
        <v/>
      </c>
      <c r="DF182" t="str">
        <f>""</f>
        <v/>
      </c>
      <c r="DG182" t="str">
        <f>""</f>
        <v/>
      </c>
      <c r="DH182" t="str">
        <f>""</f>
        <v/>
      </c>
      <c r="DI182" t="str">
        <f>""</f>
        <v/>
      </c>
      <c r="DJ182" t="str">
        <f>""</f>
        <v/>
      </c>
      <c r="DK182" t="str">
        <f>""</f>
        <v/>
      </c>
      <c r="DL182" t="str">
        <f>""</f>
        <v/>
      </c>
      <c r="DM182" t="str">
        <f>""</f>
        <v/>
      </c>
      <c r="DN182" t="str">
        <f>""</f>
        <v/>
      </c>
      <c r="DO182" t="str">
        <f>""</f>
        <v/>
      </c>
      <c r="DP182" t="str">
        <f>""</f>
        <v/>
      </c>
      <c r="DQ182" t="str">
        <f>""</f>
        <v/>
      </c>
      <c r="DR182" t="str">
        <f>""</f>
        <v/>
      </c>
      <c r="DS182" t="str">
        <f>""</f>
        <v/>
      </c>
      <c r="DT182" t="str">
        <f>""</f>
        <v/>
      </c>
      <c r="DU182" t="str">
        <f>""</f>
        <v/>
      </c>
    </row>
    <row r="183" spans="1:125">
      <c r="A183" t="str">
        <f>"    Columbia Property Trust Inc"</f>
        <v xml:space="preserve">    Columbia Property Trust Inc</v>
      </c>
      <c r="B183" t="str">
        <f>"CXP US Equity"</f>
        <v>CXP US Equity</v>
      </c>
      <c r="C183" t="str">
        <f t="shared" si="48"/>
        <v>F1178</v>
      </c>
      <c r="D183" t="str">
        <f t="shared" si="49"/>
        <v>NET_DEBT_EBITDA_ADJUSTED</v>
      </c>
      <c r="E183" t="str">
        <f t="shared" si="50"/>
        <v>动态</v>
      </c>
      <c r="F183" t="str">
        <f ca="1">IF(AND(ISNUMBER($F$488),$B$294=1),$F$488,HLOOKUP(INDIRECT(ADDRESS(2,COLUMN())),OFFSET($BN$2,0,0,ROW()-1,60),ROW()-1,FALSE))</f>
        <v/>
      </c>
      <c r="G183">
        <f ca="1">IF(AND(ISNUMBER($G$488),$B$294=1),$G$488,HLOOKUP(INDIRECT(ADDRESS(2,COLUMN())),OFFSET($BN$2,0,0,ROW()-1,60),ROW()-1,FALSE))</f>
        <v>11.00856937</v>
      </c>
      <c r="H183">
        <f ca="1">IF(AND(ISNUMBER($H$488),$B$294=1),$H$488,HLOOKUP(INDIRECT(ADDRESS(2,COLUMN())),OFFSET($BN$2,0,0,ROW()-1,60),ROW()-1,FALSE))</f>
        <v>5.2283790469999998</v>
      </c>
      <c r="I183">
        <f ca="1">IF(AND(ISNUMBER($I$488),$B$294=1),$I$488,HLOOKUP(INDIRECT(ADDRESS(2,COLUMN())),OFFSET($BN$2,0,0,ROW()-1,60),ROW()-1,FALSE))</f>
        <v>4.575108738</v>
      </c>
      <c r="J183">
        <f ca="1">IF(AND(ISNUMBER($J$488),$B$294=1),$J$488,HLOOKUP(INDIRECT(ADDRESS(2,COLUMN())),OFFSET($BN$2,0,0,ROW()-1,60),ROW()-1,FALSE))</f>
        <v>3.8072818819999998</v>
      </c>
      <c r="K183">
        <f ca="1">IF(AND(ISNUMBER($K$488),$B$294=1),$K$488,HLOOKUP(INDIRECT(ADDRESS(2,COLUMN())),OFFSET($BN$2,0,0,ROW()-1,60),ROW()-1,FALSE))</f>
        <v>5.0637134970000002</v>
      </c>
      <c r="L183">
        <f ca="1">IF(AND(ISNUMBER($L$488),$B$294=1),$L$488,HLOOKUP(INDIRECT(ADDRESS(2,COLUMN())),OFFSET($BN$2,0,0,ROW()-1,60),ROW()-1,FALSE))</f>
        <v>5.2144980729999997</v>
      </c>
      <c r="M183">
        <f ca="1">IF(AND(ISNUMBER($M$488),$B$294=1),$M$488,HLOOKUP(INDIRECT(ADDRESS(2,COLUMN())),OFFSET($BN$2,0,0,ROW()-1,60),ROW()-1,FALSE))</f>
        <v>6.016763063</v>
      </c>
      <c r="N183">
        <f ca="1">IF(AND(ISNUMBER($N$488),$B$294=1),$N$488,HLOOKUP(INDIRECT(ADDRESS(2,COLUMN())),OFFSET($BN$2,0,0,ROW()-1,60),ROW()-1,FALSE))</f>
        <v>5.7288521230000002</v>
      </c>
      <c r="O183">
        <f ca="1">IF(AND(ISNUMBER($O$488),$B$294=1),$O$488,HLOOKUP(INDIRECT(ADDRESS(2,COLUMN())),OFFSET($BN$2,0,0,ROW()-1,60),ROW()-1,FALSE))</f>
        <v>5.7731875060000002</v>
      </c>
      <c r="P183">
        <f ca="1">IF(AND(ISNUMBER($P$488),$B$294=1),$P$488,HLOOKUP(INDIRECT(ADDRESS(2,COLUMN())),OFFSET($BN$2,0,0,ROW()-1,60),ROW()-1,FALSE))</f>
        <v>7.3707239109999998</v>
      </c>
      <c r="Q183">
        <f ca="1">IF(AND(ISNUMBER($Q$488),$B$294=1),$Q$488,HLOOKUP(INDIRECT(ADDRESS(2,COLUMN())),OFFSET($BN$2,0,0,ROW()-1,60),ROW()-1,FALSE))</f>
        <v>6.9832297209999998</v>
      </c>
      <c r="R183">
        <f ca="1">IF(AND(ISNUMBER($R$488),$B$294=1),$R$488,HLOOKUP(INDIRECT(ADDRESS(2,COLUMN())),OFFSET($BN$2,0,0,ROW()-1,60),ROW()-1,FALSE))</f>
        <v>7.2286663999999998</v>
      </c>
      <c r="S183">
        <f ca="1">IF(AND(ISNUMBER($S$488),$B$294=1),$S$488,HLOOKUP(INDIRECT(ADDRESS(2,COLUMN())),OFFSET($BN$2,0,0,ROW()-1,60),ROW()-1,FALSE))</f>
        <v>5.3783062130000001</v>
      </c>
      <c r="T183">
        <f ca="1">IF(AND(ISNUMBER($T$488),$B$294=1),$T$488,HLOOKUP(INDIRECT(ADDRESS(2,COLUMN())),OFFSET($BN$2,0,0,ROW()-1,60),ROW()-1,FALSE))</f>
        <v>6.2308208289999998</v>
      </c>
      <c r="U183">
        <f ca="1">IF(AND(ISNUMBER($U$488),$B$294=1),$U$488,HLOOKUP(INDIRECT(ADDRESS(2,COLUMN())),OFFSET($BN$2,0,0,ROW()-1,60),ROW()-1,FALSE))</f>
        <v>5.3563466630000001</v>
      </c>
      <c r="V183">
        <f ca="1">IF(AND(ISNUMBER($V$488),$B$294=1),$V$488,HLOOKUP(INDIRECT(ADDRESS(2,COLUMN())),OFFSET($BN$2,0,0,ROW()-1,60),ROW()-1,FALSE))</f>
        <v>4.6492368869999998</v>
      </c>
      <c r="W183">
        <f ca="1">IF(AND(ISNUMBER($W$488),$B$294=1),$W$488,HLOOKUP(INDIRECT(ADDRESS(2,COLUMN())),OFFSET($BN$2,0,0,ROW()-1,60),ROW()-1,FALSE))</f>
        <v>5.0472480180000003</v>
      </c>
      <c r="X183">
        <f ca="1">IF(AND(ISNUMBER($X$488),$B$294=1),$X$488,HLOOKUP(INDIRECT(ADDRESS(2,COLUMN())),OFFSET($BN$2,0,0,ROW()-1,60),ROW()-1,FALSE))</f>
        <v>7.609113926</v>
      </c>
      <c r="Y183">
        <f ca="1">IF(AND(ISNUMBER($Y$488),$B$294=1),$Y$488,HLOOKUP(INDIRECT(ADDRESS(2,COLUMN())),OFFSET($BN$2,0,0,ROW()-1,60),ROW()-1,FALSE))</f>
        <v>7.4699457479999998</v>
      </c>
      <c r="Z183">
        <f ca="1">IF(AND(ISNUMBER($Z$488),$B$294=1),$Z$488,HLOOKUP(INDIRECT(ADDRESS(2,COLUMN())),OFFSET($BN$2,0,0,ROW()-1,60),ROW()-1,FALSE))</f>
        <v>7.459116377</v>
      </c>
      <c r="AA183">
        <f ca="1">IF(AND(ISNUMBER($AA$488),$B$294=1),$AA$488,HLOOKUP(INDIRECT(ADDRESS(2,COLUMN())),OFFSET($BN$2,0,0,ROW()-1,60),ROW()-1,FALSE))</f>
        <v>6.7572707630000002</v>
      </c>
      <c r="AB183">
        <f ca="1">IF(AND(ISNUMBER($AB$488),$B$294=1),$AB$488,HLOOKUP(INDIRECT(ADDRESS(2,COLUMN())),OFFSET($BN$2,0,0,ROW()-1,60),ROW()-1,FALSE))</f>
        <v>6.159893104</v>
      </c>
      <c r="AC183">
        <f ca="1">IF(AND(ISNUMBER($AC$488),$B$294=1),$AC$488,HLOOKUP(INDIRECT(ADDRESS(2,COLUMN())),OFFSET($BN$2,0,0,ROW()-1,60),ROW()-1,FALSE))</f>
        <v>5.9422732399999996</v>
      </c>
      <c r="AD183">
        <f ca="1">IF(AND(ISNUMBER($AD$488),$B$294=1),$AD$488,HLOOKUP(INDIRECT(ADDRESS(2,COLUMN())),OFFSET($BN$2,0,0,ROW()-1,60),ROW()-1,FALSE))</f>
        <v>5.7815370279999998</v>
      </c>
      <c r="AE183">
        <f ca="1">IF(AND(ISNUMBER($AE$488),$B$294=1),$AE$488,HLOOKUP(INDIRECT(ADDRESS(2,COLUMN())),OFFSET($BN$2,0,0,ROW()-1,60),ROW()-1,FALSE))</f>
        <v>6.1123532650000003</v>
      </c>
      <c r="AF183">
        <f ca="1">IF(AND(ISNUMBER($AF$488),$B$294=1),$AF$488,HLOOKUP(INDIRECT(ADDRESS(2,COLUMN())),OFFSET($BN$2,0,0,ROW()-1,60),ROW()-1,FALSE))</f>
        <v>6.1195991950000002</v>
      </c>
      <c r="AG183">
        <f ca="1">IF(AND(ISNUMBER($AG$488),$B$294=1),$AG$488,HLOOKUP(INDIRECT(ADDRESS(2,COLUMN())),OFFSET($BN$2,0,0,ROW()-1,60),ROW()-1,FALSE))</f>
        <v>6.5312067340000004</v>
      </c>
      <c r="AH183">
        <f ca="1">IF(AND(ISNUMBER($AH$488),$B$294=1),$AH$488,HLOOKUP(INDIRECT(ADDRESS(2,COLUMN())),OFFSET($BN$2,0,0,ROW()-1,60),ROW()-1,FALSE))</f>
        <v>6.709965585</v>
      </c>
      <c r="AI183">
        <f ca="1">IF(AND(ISNUMBER($AI$488),$B$294=1),$AI$488,HLOOKUP(INDIRECT(ADDRESS(2,COLUMN())),OFFSET($BN$2,0,0,ROW()-1,60),ROW()-1,FALSE))</f>
        <v>4.7712871449999996</v>
      </c>
      <c r="AJ183">
        <f ca="1">IF(AND(ISNUMBER($AJ$488),$B$294=1),$AJ$488,HLOOKUP(INDIRECT(ADDRESS(2,COLUMN())),OFFSET($BN$2,0,0,ROW()-1,60),ROW()-1,FALSE))</f>
        <v>4.5613333540000003</v>
      </c>
      <c r="AK183">
        <f ca="1">IF(AND(ISNUMBER($AK$488),$B$294=1),$AK$488,HLOOKUP(INDIRECT(ADDRESS(2,COLUMN())),OFFSET($BN$2,0,0,ROW()-1,60),ROW()-1,FALSE))</f>
        <v>4.8302958399999998</v>
      </c>
      <c r="AL183">
        <f ca="1">IF(AND(ISNUMBER($AL$488),$B$294=1),$AL$488,HLOOKUP(INDIRECT(ADDRESS(2,COLUMN())),OFFSET($BN$2,0,0,ROW()-1,60),ROW()-1,FALSE))</f>
        <v>4.722316706</v>
      </c>
      <c r="AM183">
        <f ca="1">IF(AND(ISNUMBER($AM$488),$B$294=1),$AM$488,HLOOKUP(INDIRECT(ADDRESS(2,COLUMN())),OFFSET($BN$2,0,0,ROW()-1,60),ROW()-1,FALSE))</f>
        <v>4.9757055899999996</v>
      </c>
      <c r="AN183" t="str">
        <f ca="1">IF(AND(ISNUMBER($AN$488),$B$294=1),$AN$488,HLOOKUP(INDIRECT(ADDRESS(2,COLUMN())),OFFSET($BN$2,0,0,ROW()-1,60),ROW()-1,FALSE))</f>
        <v/>
      </c>
      <c r="AO183" t="str">
        <f ca="1">IF(AND(ISNUMBER($AO$488),$B$294=1),$AO$488,HLOOKUP(INDIRECT(ADDRESS(2,COLUMN())),OFFSET($BN$2,0,0,ROW()-1,60),ROW()-1,FALSE))</f>
        <v/>
      </c>
      <c r="AP183" t="str">
        <f ca="1">IF(AND(ISNUMBER($AP$488),$B$294=1),$AP$488,HLOOKUP(INDIRECT(ADDRESS(2,COLUMN())),OFFSET($BN$2,0,0,ROW()-1,60),ROW()-1,FALSE))</f>
        <v/>
      </c>
      <c r="AQ183" t="str">
        <f ca="1">IF(AND(ISNUMBER($AQ$488),$B$294=1),$AQ$488,HLOOKUP(INDIRECT(ADDRESS(2,COLUMN())),OFFSET($BN$2,0,0,ROW()-1,60),ROW()-1,FALSE))</f>
        <v/>
      </c>
      <c r="AR183" t="str">
        <f ca="1">IF(AND(ISNUMBER($AR$488),$B$294=1),$AR$488,HLOOKUP(INDIRECT(ADDRESS(2,COLUMN())),OFFSET($BN$2,0,0,ROW()-1,60),ROW()-1,FALSE))</f>
        <v/>
      </c>
      <c r="AS183" t="str">
        <f ca="1">IF(AND(ISNUMBER($AS$488),$B$294=1),$AS$488,HLOOKUP(INDIRECT(ADDRESS(2,COLUMN())),OFFSET($BN$2,0,0,ROW()-1,60),ROW()-1,FALSE))</f>
        <v/>
      </c>
      <c r="AT183" t="str">
        <f ca="1">IF(AND(ISNUMBER($AT$488),$B$294=1),$AT$488,HLOOKUP(INDIRECT(ADDRESS(2,COLUMN())),OFFSET($BN$2,0,0,ROW()-1,60),ROW()-1,FALSE))</f>
        <v/>
      </c>
      <c r="AU183" t="str">
        <f ca="1">IF(AND(ISNUMBER($AU$488),$B$294=1),$AU$488,HLOOKUP(INDIRECT(ADDRESS(2,COLUMN())),OFFSET($BN$2,0,0,ROW()-1,60),ROW()-1,FALSE))</f>
        <v/>
      </c>
      <c r="AV183" t="str">
        <f ca="1">IF(AND(ISNUMBER($AV$488),$B$294=1),$AV$488,HLOOKUP(INDIRECT(ADDRESS(2,COLUMN())),OFFSET($BN$2,0,0,ROW()-1,60),ROW()-1,FALSE))</f>
        <v/>
      </c>
      <c r="AW183" t="str">
        <f ca="1">IF(AND(ISNUMBER($AW$488),$B$294=1),$AW$488,HLOOKUP(INDIRECT(ADDRESS(2,COLUMN())),OFFSET($BN$2,0,0,ROW()-1,60),ROW()-1,FALSE))</f>
        <v/>
      </c>
      <c r="AX183" t="str">
        <f ca="1">IF(AND(ISNUMBER($AX$488),$B$294=1),$AX$488,HLOOKUP(INDIRECT(ADDRESS(2,COLUMN())),OFFSET($BN$2,0,0,ROW()-1,60),ROW()-1,FALSE))</f>
        <v/>
      </c>
      <c r="AY183" t="str">
        <f ca="1">IF(AND(ISNUMBER($AY$488),$B$294=1),$AY$488,HLOOKUP(INDIRECT(ADDRESS(2,COLUMN())),OFFSET($BN$2,0,0,ROW()-1,60),ROW()-1,FALSE))</f>
        <v/>
      </c>
      <c r="AZ183" t="str">
        <f ca="1">IF(AND(ISNUMBER($AZ$488),$B$294=1),$AZ$488,HLOOKUP(INDIRECT(ADDRESS(2,COLUMN())),OFFSET($BN$2,0,0,ROW()-1,60),ROW()-1,FALSE))</f>
        <v/>
      </c>
      <c r="BA183" t="str">
        <f ca="1">IF(AND(ISNUMBER($BA$488),$B$294=1),$BA$488,HLOOKUP(INDIRECT(ADDRESS(2,COLUMN())),OFFSET($BN$2,0,0,ROW()-1,60),ROW()-1,FALSE))</f>
        <v/>
      </c>
      <c r="BB183" t="str">
        <f ca="1">IF(AND(ISNUMBER($BB$488),$B$294=1),$BB$488,HLOOKUP(INDIRECT(ADDRESS(2,COLUMN())),OFFSET($BN$2,0,0,ROW()-1,60),ROW()-1,FALSE))</f>
        <v/>
      </c>
      <c r="BC183" t="str">
        <f ca="1">IF(AND(ISNUMBER($BC$488),$B$294=1),$BC$488,HLOOKUP(INDIRECT(ADDRESS(2,COLUMN())),OFFSET($BN$2,0,0,ROW()-1,60),ROW()-1,FALSE))</f>
        <v/>
      </c>
      <c r="BD183" t="str">
        <f ca="1">IF(AND(ISNUMBER($BD$488),$B$294=1),$BD$488,HLOOKUP(INDIRECT(ADDRESS(2,COLUMN())),OFFSET($BN$2,0,0,ROW()-1,60),ROW()-1,FALSE))</f>
        <v/>
      </c>
      <c r="BE183" t="str">
        <f ca="1">IF(AND(ISNUMBER($BE$488),$B$294=1),$BE$488,HLOOKUP(INDIRECT(ADDRESS(2,COLUMN())),OFFSET($BN$2,0,0,ROW()-1,60),ROW()-1,FALSE))</f>
        <v/>
      </c>
      <c r="BF183" t="str">
        <f ca="1">IF(AND(ISNUMBER($BF$488),$B$294=1),$BF$488,HLOOKUP(INDIRECT(ADDRESS(2,COLUMN())),OFFSET($BN$2,0,0,ROW()-1,60),ROW()-1,FALSE))</f>
        <v/>
      </c>
      <c r="BG183" t="str">
        <f ca="1">IF(AND(ISNUMBER($BG$488),$B$294=1),$BG$488,HLOOKUP(INDIRECT(ADDRESS(2,COLUMN())),OFFSET($BN$2,0,0,ROW()-1,60),ROW()-1,FALSE))</f>
        <v/>
      </c>
      <c r="BH183" t="str">
        <f ca="1">IF(AND(ISNUMBER($BH$488),$B$294=1),$BH$488,HLOOKUP(INDIRECT(ADDRESS(2,COLUMN())),OFFSET($BN$2,0,0,ROW()-1,60),ROW()-1,FALSE))</f>
        <v/>
      </c>
      <c r="BI183" t="str">
        <f ca="1">IF(AND(ISNUMBER($BI$488),$B$294=1),$BI$488,HLOOKUP(INDIRECT(ADDRESS(2,COLUMN())),OFFSET($BN$2,0,0,ROW()-1,60),ROW()-1,FALSE))</f>
        <v/>
      </c>
      <c r="BJ183" t="str">
        <f ca="1">IF(AND(ISNUMBER($BJ$488),$B$294=1),$BJ$488,HLOOKUP(INDIRECT(ADDRESS(2,COLUMN())),OFFSET($BN$2,0,0,ROW()-1,60),ROW()-1,FALSE))</f>
        <v/>
      </c>
      <c r="BK183" t="str">
        <f ca="1">IF(AND(ISNUMBER($BK$488),$B$294=1),$BK$488,HLOOKUP(INDIRECT(ADDRESS(2,COLUMN())),OFFSET($BN$2,0,0,ROW()-1,60),ROW()-1,FALSE))</f>
        <v/>
      </c>
      <c r="BL183" t="str">
        <f ca="1">IF(AND(ISNUMBER($BL$488),$B$294=1),$BL$488,HLOOKUP(INDIRECT(ADDRESS(2,COLUMN())),OFFSET($BN$2,0,0,ROW()-1,60),ROW()-1,FALSE))</f>
        <v/>
      </c>
      <c r="BM183" t="str">
        <f ca="1">IF(AND(ISNUMBER($BM$488),$B$294=1),$BM$488,HLOOKUP(INDIRECT(ADDRESS(2,COLUMN())),OFFSET($BN$2,0,0,ROW()-1,60),ROW()-1,FALSE))</f>
        <v/>
      </c>
      <c r="BN183" t="str">
        <f>""</f>
        <v/>
      </c>
      <c r="BO183">
        <f>11.00856937</f>
        <v>11.00856937</v>
      </c>
      <c r="BP183">
        <f>5.228379047</f>
        <v>5.2283790469999998</v>
      </c>
      <c r="BQ183">
        <f>4.575108738</f>
        <v>4.575108738</v>
      </c>
      <c r="BR183">
        <f>3.807281882</f>
        <v>3.8072818819999998</v>
      </c>
      <c r="BS183">
        <f>5.063713497</f>
        <v>5.0637134970000002</v>
      </c>
      <c r="BT183">
        <f>5.214498073</f>
        <v>5.2144980729999997</v>
      </c>
      <c r="BU183">
        <f>6.016763063</f>
        <v>6.016763063</v>
      </c>
      <c r="BV183">
        <f>5.728852123</f>
        <v>5.7288521230000002</v>
      </c>
      <c r="BW183">
        <f>5.773187506</f>
        <v>5.7731875060000002</v>
      </c>
      <c r="BX183">
        <f>7.370723911</f>
        <v>7.3707239109999998</v>
      </c>
      <c r="BY183">
        <f>6.983229721</f>
        <v>6.9832297209999998</v>
      </c>
      <c r="BZ183">
        <f>7.2286664</f>
        <v>7.2286663999999998</v>
      </c>
      <c r="CA183">
        <f>5.378306213</f>
        <v>5.3783062130000001</v>
      </c>
      <c r="CB183">
        <f>6.230820829</f>
        <v>6.2308208289999998</v>
      </c>
      <c r="CC183">
        <f>5.356346663</f>
        <v>5.3563466630000001</v>
      </c>
      <c r="CD183">
        <f>4.649236887</f>
        <v>4.6492368869999998</v>
      </c>
      <c r="CE183">
        <f>5.047248018</f>
        <v>5.0472480180000003</v>
      </c>
      <c r="CF183">
        <f>7.609113926</f>
        <v>7.609113926</v>
      </c>
      <c r="CG183">
        <f>7.469945748</f>
        <v>7.4699457479999998</v>
      </c>
      <c r="CH183">
        <f>7.459116377</f>
        <v>7.459116377</v>
      </c>
      <c r="CI183">
        <f>6.757270763</f>
        <v>6.7572707630000002</v>
      </c>
      <c r="CJ183">
        <f>6.159893104</f>
        <v>6.159893104</v>
      </c>
      <c r="CK183">
        <f>5.94227324</f>
        <v>5.9422732399999996</v>
      </c>
      <c r="CL183">
        <f>5.781537028</f>
        <v>5.7815370279999998</v>
      </c>
      <c r="CM183">
        <f>6.112353265</f>
        <v>6.1123532650000003</v>
      </c>
      <c r="CN183">
        <f>6.119599195</f>
        <v>6.1195991950000002</v>
      </c>
      <c r="CO183">
        <f>6.531206734</f>
        <v>6.5312067340000004</v>
      </c>
      <c r="CP183">
        <f>6.709965585</f>
        <v>6.709965585</v>
      </c>
      <c r="CQ183">
        <f>4.771287145</f>
        <v>4.7712871449999996</v>
      </c>
      <c r="CR183">
        <f>4.561333354</f>
        <v>4.5613333540000003</v>
      </c>
      <c r="CS183">
        <f>4.83029584</f>
        <v>4.8302958399999998</v>
      </c>
      <c r="CT183">
        <f>4.722316706</f>
        <v>4.722316706</v>
      </c>
      <c r="CU183">
        <f>4.97570559</f>
        <v>4.9757055899999996</v>
      </c>
      <c r="CV183" t="str">
        <f>""</f>
        <v/>
      </c>
      <c r="CW183" t="str">
        <f>""</f>
        <v/>
      </c>
      <c r="CX183" t="str">
        <f>""</f>
        <v/>
      </c>
      <c r="CY183" t="str">
        <f>""</f>
        <v/>
      </c>
      <c r="CZ183" t="str">
        <f>""</f>
        <v/>
      </c>
      <c r="DA183" t="str">
        <f>""</f>
        <v/>
      </c>
      <c r="DB183" t="str">
        <f>""</f>
        <v/>
      </c>
      <c r="DC183" t="str">
        <f>""</f>
        <v/>
      </c>
      <c r="DD183" t="str">
        <f>""</f>
        <v/>
      </c>
      <c r="DE183" t="str">
        <f>""</f>
        <v/>
      </c>
      <c r="DF183" t="str">
        <f>""</f>
        <v/>
      </c>
      <c r="DG183" t="str">
        <f>""</f>
        <v/>
      </c>
      <c r="DH183" t="str">
        <f>""</f>
        <v/>
      </c>
      <c r="DI183" t="str">
        <f>""</f>
        <v/>
      </c>
      <c r="DJ183" t="str">
        <f>""</f>
        <v/>
      </c>
      <c r="DK183" t="str">
        <f>""</f>
        <v/>
      </c>
      <c r="DL183" t="str">
        <f>""</f>
        <v/>
      </c>
      <c r="DM183" t="str">
        <f>""</f>
        <v/>
      </c>
      <c r="DN183" t="str">
        <f>""</f>
        <v/>
      </c>
      <c r="DO183" t="str">
        <f>""</f>
        <v/>
      </c>
      <c r="DP183" t="str">
        <f>""</f>
        <v/>
      </c>
      <c r="DQ183" t="str">
        <f>""</f>
        <v/>
      </c>
      <c r="DR183" t="str">
        <f>""</f>
        <v/>
      </c>
      <c r="DS183" t="str">
        <f>""</f>
        <v/>
      </c>
      <c r="DT183" t="str">
        <f>""</f>
        <v/>
      </c>
      <c r="DU183" t="str">
        <f>""</f>
        <v/>
      </c>
    </row>
    <row r="184" spans="1:125">
      <c r="A184" t="str">
        <f>"    Corporate Office Properties Tr"</f>
        <v xml:space="preserve">    Corporate Office Properties Tr</v>
      </c>
      <c r="B184" t="str">
        <f>"OFC US Equity"</f>
        <v>OFC US Equity</v>
      </c>
      <c r="C184" t="str">
        <f t="shared" si="48"/>
        <v>F1178</v>
      </c>
      <c r="D184" t="str">
        <f t="shared" si="49"/>
        <v>NET_DEBT_EBITDA_ADJUSTED</v>
      </c>
      <c r="E184" t="str">
        <f t="shared" si="50"/>
        <v>动态</v>
      </c>
      <c r="F184" t="str">
        <f ca="1">IF(AND(ISNUMBER($F$489),$B$294=1),$F$489,HLOOKUP(INDIRECT(ADDRESS(2,COLUMN())),OFFSET($BN$2,0,0,ROW()-1,60),ROW()-1,FALSE))</f>
        <v/>
      </c>
      <c r="G184">
        <f ca="1">IF(AND(ISNUMBER($G$489),$B$294=1),$G$489,HLOOKUP(INDIRECT(ADDRESS(2,COLUMN())),OFFSET($BN$2,0,0,ROW()-1,60),ROW()-1,FALSE))</f>
        <v>6.5005908259999998</v>
      </c>
      <c r="H184">
        <f ca="1">IF(AND(ISNUMBER($H$489),$B$294=1),$H$489,HLOOKUP(INDIRECT(ADDRESS(2,COLUMN())),OFFSET($BN$2,0,0,ROW()-1,60),ROW()-1,FALSE))</f>
        <v>6.7395585589999998</v>
      </c>
      <c r="I184">
        <f ca="1">IF(AND(ISNUMBER($I$489),$B$294=1),$I$489,HLOOKUP(INDIRECT(ADDRESS(2,COLUMN())),OFFSET($BN$2,0,0,ROW()-1,60),ROW()-1,FALSE))</f>
        <v>7.8063490760000001</v>
      </c>
      <c r="J184">
        <f ca="1">IF(AND(ISNUMBER($J$489),$B$294=1),$J$489,HLOOKUP(INDIRECT(ADDRESS(2,COLUMN())),OFFSET($BN$2,0,0,ROW()-1,60),ROW()-1,FALSE))</f>
        <v>6.7451990559999997</v>
      </c>
      <c r="K184">
        <f ca="1">IF(AND(ISNUMBER($K$489),$B$294=1),$K$489,HLOOKUP(INDIRECT(ADDRESS(2,COLUMN())),OFFSET($BN$2,0,0,ROW()-1,60),ROW()-1,FALSE))</f>
        <v>6.8398893760000004</v>
      </c>
      <c r="L184">
        <f ca="1">IF(AND(ISNUMBER($L$489),$B$294=1),$L$489,HLOOKUP(INDIRECT(ADDRESS(2,COLUMN())),OFFSET($BN$2,0,0,ROW()-1,60),ROW()-1,FALSE))</f>
        <v>7.05758098</v>
      </c>
      <c r="M184">
        <f ca="1">IF(AND(ISNUMBER($M$489),$B$294=1),$M$489,HLOOKUP(INDIRECT(ADDRESS(2,COLUMN())),OFFSET($BN$2,0,0,ROW()-1,60),ROW()-1,FALSE))</f>
        <v>7.0689960870000004</v>
      </c>
      <c r="N184">
        <f ca="1">IF(AND(ISNUMBER($N$489),$B$294=1),$N$489,HLOOKUP(INDIRECT(ADDRESS(2,COLUMN())),OFFSET($BN$2,0,0,ROW()-1,60),ROW()-1,FALSE))</f>
        <v>7.1402605609999998</v>
      </c>
      <c r="O184">
        <f ca="1">IF(AND(ISNUMBER($O$489),$B$294=1),$O$489,HLOOKUP(INDIRECT(ADDRESS(2,COLUMN())),OFFSET($BN$2,0,0,ROW()-1,60),ROW()-1,FALSE))</f>
        <v>7.0635262980000002</v>
      </c>
      <c r="P184">
        <f ca="1">IF(AND(ISNUMBER($P$489),$B$294=1),$P$489,HLOOKUP(INDIRECT(ADDRESS(2,COLUMN())),OFFSET($BN$2,0,0,ROW()-1,60),ROW()-1,FALSE))</f>
        <v>7.6152319019999997</v>
      </c>
      <c r="Q184">
        <f ca="1">IF(AND(ISNUMBER($Q$489),$B$294=1),$Q$489,HLOOKUP(INDIRECT(ADDRESS(2,COLUMN())),OFFSET($BN$2,0,0,ROW()-1,60),ROW()-1,FALSE))</f>
        <v>7.66637243</v>
      </c>
      <c r="R184">
        <f ca="1">IF(AND(ISNUMBER($R$489),$B$294=1),$R$489,HLOOKUP(INDIRECT(ADDRESS(2,COLUMN())),OFFSET($BN$2,0,0,ROW()-1,60),ROW()-1,FALSE))</f>
        <v>7.5325264179999998</v>
      </c>
      <c r="S184">
        <f ca="1">IF(AND(ISNUMBER($S$489),$B$294=1),$S$489,HLOOKUP(INDIRECT(ADDRESS(2,COLUMN())),OFFSET($BN$2,0,0,ROW()-1,60),ROW()-1,FALSE))</f>
        <v>7.0270074180000002</v>
      </c>
      <c r="T184">
        <f ca="1">IF(AND(ISNUMBER($T$489),$B$294=1),$T$489,HLOOKUP(INDIRECT(ADDRESS(2,COLUMN())),OFFSET($BN$2,0,0,ROW()-1,60),ROW()-1,FALSE))</f>
        <v>7.4689403260000002</v>
      </c>
      <c r="U184">
        <f ca="1">IF(AND(ISNUMBER($U$489),$B$294=1),$U$489,HLOOKUP(INDIRECT(ADDRESS(2,COLUMN())),OFFSET($BN$2,0,0,ROW()-1,60),ROW()-1,FALSE))</f>
        <v>7.5748432149999996</v>
      </c>
      <c r="V184">
        <f ca="1">IF(AND(ISNUMBER($V$489),$B$294=1),$V$489,HLOOKUP(INDIRECT(ADDRESS(2,COLUMN())),OFFSET($BN$2,0,0,ROW()-1,60),ROW()-1,FALSE))</f>
        <v>7.0373556449999999</v>
      </c>
      <c r="W184">
        <f ca="1">IF(AND(ISNUMBER($W$489),$B$294=1),$W$489,HLOOKUP(INDIRECT(ADDRESS(2,COLUMN())),OFFSET($BN$2,0,0,ROW()-1,60),ROW()-1,FALSE))</f>
        <v>6.9537893889999998</v>
      </c>
      <c r="X184">
        <f ca="1">IF(AND(ISNUMBER($X$489),$B$294=1),$X$489,HLOOKUP(INDIRECT(ADDRESS(2,COLUMN())),OFFSET($BN$2,0,0,ROW()-1,60),ROW()-1,FALSE))</f>
        <v>7.8925486139999999</v>
      </c>
      <c r="Y184">
        <f ca="1">IF(AND(ISNUMBER($Y$489),$B$294=1),$Y$489,HLOOKUP(INDIRECT(ADDRESS(2,COLUMN())),OFFSET($BN$2,0,0,ROW()-1,60),ROW()-1,FALSE))</f>
        <v>7.7296078279999998</v>
      </c>
      <c r="Z184">
        <f ca="1">IF(AND(ISNUMBER($Z$489),$B$294=1),$Z$489,HLOOKUP(INDIRECT(ADDRESS(2,COLUMN())),OFFSET($BN$2,0,0,ROW()-1,60),ROW()-1,FALSE))</f>
        <v>7.2783525720000002</v>
      </c>
      <c r="AA184">
        <f ca="1">IF(AND(ISNUMBER($AA$489),$B$294=1),$AA$489,HLOOKUP(INDIRECT(ADDRESS(2,COLUMN())),OFFSET($BN$2,0,0,ROW()-1,60),ROW()-1,FALSE))</f>
        <v>7.6676006660000002</v>
      </c>
      <c r="AB184">
        <f ca="1">IF(AND(ISNUMBER($AB$489),$B$294=1),$AB$489,HLOOKUP(INDIRECT(ADDRESS(2,COLUMN())),OFFSET($BN$2,0,0,ROW()-1,60),ROW()-1,FALSE))</f>
        <v>8.2367855199999997</v>
      </c>
      <c r="AC184">
        <f ca="1">IF(AND(ISNUMBER($AC$489),$B$294=1),$AC$489,HLOOKUP(INDIRECT(ADDRESS(2,COLUMN())),OFFSET($BN$2,0,0,ROW()-1,60),ROW()-1,FALSE))</f>
        <v>8.4672135589999993</v>
      </c>
      <c r="AD184">
        <f ca="1">IF(AND(ISNUMBER($AD$489),$B$294=1),$AD$489,HLOOKUP(INDIRECT(ADDRESS(2,COLUMN())),OFFSET($BN$2,0,0,ROW()-1,60),ROW()-1,FALSE))</f>
        <v>9.3014920419999996</v>
      </c>
      <c r="AE184">
        <f ca="1">IF(AND(ISNUMBER($AE$489),$B$294=1),$AE$489,HLOOKUP(INDIRECT(ADDRESS(2,COLUMN())),OFFSET($BN$2,0,0,ROW()-1,60),ROW()-1,FALSE))</f>
        <v>9.2592363100000004</v>
      </c>
      <c r="AF184">
        <f ca="1">IF(AND(ISNUMBER($AF$489),$B$294=1),$AF$489,HLOOKUP(INDIRECT(ADDRESS(2,COLUMN())),OFFSET($BN$2,0,0,ROW()-1,60),ROW()-1,FALSE))</f>
        <v>9.0839691489999996</v>
      </c>
      <c r="AG184">
        <f ca="1">IF(AND(ISNUMBER($AG$489),$B$294=1),$AG$489,HLOOKUP(INDIRECT(ADDRESS(2,COLUMN())),OFFSET($BN$2,0,0,ROW()-1,60),ROW()-1,FALSE))</f>
        <v>8.7298297700000003</v>
      </c>
      <c r="AH184">
        <f ca="1">IF(AND(ISNUMBER($AH$489),$B$294=1),$AH$489,HLOOKUP(INDIRECT(ADDRESS(2,COLUMN())),OFFSET($BN$2,0,0,ROW()-1,60),ROW()-1,FALSE))</f>
        <v>9.2171423709999996</v>
      </c>
      <c r="AI184">
        <f ca="1">IF(AND(ISNUMBER($AI$489),$B$294=1),$AI$489,HLOOKUP(INDIRECT(ADDRESS(2,COLUMN())),OFFSET($BN$2,0,0,ROW()-1,60),ROW()-1,FALSE))</f>
        <v>9.1468948670000003</v>
      </c>
      <c r="AJ184">
        <f ca="1">IF(AND(ISNUMBER($AJ$489),$B$294=1),$AJ$489,HLOOKUP(INDIRECT(ADDRESS(2,COLUMN())),OFFSET($BN$2,0,0,ROW()-1,60),ROW()-1,FALSE))</f>
        <v>9.0115848950000004</v>
      </c>
      <c r="AK184">
        <f ca="1">IF(AND(ISNUMBER($AK$489),$B$294=1),$AK$489,HLOOKUP(INDIRECT(ADDRESS(2,COLUMN())),OFFSET($BN$2,0,0,ROW()-1,60),ROW()-1,FALSE))</f>
        <v>8.876351884</v>
      </c>
      <c r="AL184">
        <f ca="1">IF(AND(ISNUMBER($AL$489),$B$294=1),$AL$489,HLOOKUP(INDIRECT(ADDRESS(2,COLUMN())),OFFSET($BN$2,0,0,ROW()-1,60),ROW()-1,FALSE))</f>
        <v>8.5197580120000005</v>
      </c>
      <c r="AM184">
        <f ca="1">IF(AND(ISNUMBER($AM$489),$B$294=1),$AM$489,HLOOKUP(INDIRECT(ADDRESS(2,COLUMN())),OFFSET($BN$2,0,0,ROW()-1,60),ROW()-1,FALSE))</f>
        <v>8.1908016709999991</v>
      </c>
      <c r="AN184" t="str">
        <f ca="1">IF(AND(ISNUMBER($AN$489),$B$294=1),$AN$489,HLOOKUP(INDIRECT(ADDRESS(2,COLUMN())),OFFSET($BN$2,0,0,ROW()-1,60),ROW()-1,FALSE))</f>
        <v/>
      </c>
      <c r="AO184" t="str">
        <f ca="1">IF(AND(ISNUMBER($AO$489),$B$294=1),$AO$489,HLOOKUP(INDIRECT(ADDRESS(2,COLUMN())),OFFSET($BN$2,0,0,ROW()-1,60),ROW()-1,FALSE))</f>
        <v/>
      </c>
      <c r="AP184" t="str">
        <f ca="1">IF(AND(ISNUMBER($AP$489),$B$294=1),$AP$489,HLOOKUP(INDIRECT(ADDRESS(2,COLUMN())),OFFSET($BN$2,0,0,ROW()-1,60),ROW()-1,FALSE))</f>
        <v/>
      </c>
      <c r="AQ184" t="str">
        <f ca="1">IF(AND(ISNUMBER($AQ$489),$B$294=1),$AQ$489,HLOOKUP(INDIRECT(ADDRESS(2,COLUMN())),OFFSET($BN$2,0,0,ROW()-1,60),ROW()-1,FALSE))</f>
        <v/>
      </c>
      <c r="AR184" t="str">
        <f ca="1">IF(AND(ISNUMBER($AR$489),$B$294=1),$AR$489,HLOOKUP(INDIRECT(ADDRESS(2,COLUMN())),OFFSET($BN$2,0,0,ROW()-1,60),ROW()-1,FALSE))</f>
        <v/>
      </c>
      <c r="AS184" t="str">
        <f ca="1">IF(AND(ISNUMBER($AS$489),$B$294=1),$AS$489,HLOOKUP(INDIRECT(ADDRESS(2,COLUMN())),OFFSET($BN$2,0,0,ROW()-1,60),ROW()-1,FALSE))</f>
        <v/>
      </c>
      <c r="AT184" t="str">
        <f ca="1">IF(AND(ISNUMBER($AT$489),$B$294=1),$AT$489,HLOOKUP(INDIRECT(ADDRESS(2,COLUMN())),OFFSET($BN$2,0,0,ROW()-1,60),ROW()-1,FALSE))</f>
        <v/>
      </c>
      <c r="AU184" t="str">
        <f ca="1">IF(AND(ISNUMBER($AU$489),$B$294=1),$AU$489,HLOOKUP(INDIRECT(ADDRESS(2,COLUMN())),OFFSET($BN$2,0,0,ROW()-1,60),ROW()-1,FALSE))</f>
        <v/>
      </c>
      <c r="AV184" t="str">
        <f ca="1">IF(AND(ISNUMBER($AV$489),$B$294=1),$AV$489,HLOOKUP(INDIRECT(ADDRESS(2,COLUMN())),OFFSET($BN$2,0,0,ROW()-1,60),ROW()-1,FALSE))</f>
        <v/>
      </c>
      <c r="AW184" t="str">
        <f ca="1">IF(AND(ISNUMBER($AW$489),$B$294=1),$AW$489,HLOOKUP(INDIRECT(ADDRESS(2,COLUMN())),OFFSET($BN$2,0,0,ROW()-1,60),ROW()-1,FALSE))</f>
        <v/>
      </c>
      <c r="AX184" t="str">
        <f ca="1">IF(AND(ISNUMBER($AX$489),$B$294=1),$AX$489,HLOOKUP(INDIRECT(ADDRESS(2,COLUMN())),OFFSET($BN$2,0,0,ROW()-1,60),ROW()-1,FALSE))</f>
        <v/>
      </c>
      <c r="AY184" t="str">
        <f ca="1">IF(AND(ISNUMBER($AY$489),$B$294=1),$AY$489,HLOOKUP(INDIRECT(ADDRESS(2,COLUMN())),OFFSET($BN$2,0,0,ROW()-1,60),ROW()-1,FALSE))</f>
        <v/>
      </c>
      <c r="AZ184" t="str">
        <f ca="1">IF(AND(ISNUMBER($AZ$489),$B$294=1),$AZ$489,HLOOKUP(INDIRECT(ADDRESS(2,COLUMN())),OFFSET($BN$2,0,0,ROW()-1,60),ROW()-1,FALSE))</f>
        <v/>
      </c>
      <c r="BA184" t="str">
        <f ca="1">IF(AND(ISNUMBER($BA$489),$B$294=1),$BA$489,HLOOKUP(INDIRECT(ADDRESS(2,COLUMN())),OFFSET($BN$2,0,0,ROW()-1,60),ROW()-1,FALSE))</f>
        <v/>
      </c>
      <c r="BB184" t="str">
        <f ca="1">IF(AND(ISNUMBER($BB$489),$B$294=1),$BB$489,HLOOKUP(INDIRECT(ADDRESS(2,COLUMN())),OFFSET($BN$2,0,0,ROW()-1,60),ROW()-1,FALSE))</f>
        <v/>
      </c>
      <c r="BC184" t="str">
        <f ca="1">IF(AND(ISNUMBER($BC$489),$B$294=1),$BC$489,HLOOKUP(INDIRECT(ADDRESS(2,COLUMN())),OFFSET($BN$2,0,0,ROW()-1,60),ROW()-1,FALSE))</f>
        <v/>
      </c>
      <c r="BD184" t="str">
        <f ca="1">IF(AND(ISNUMBER($BD$489),$B$294=1),$BD$489,HLOOKUP(INDIRECT(ADDRESS(2,COLUMN())),OFFSET($BN$2,0,0,ROW()-1,60),ROW()-1,FALSE))</f>
        <v/>
      </c>
      <c r="BE184" t="str">
        <f ca="1">IF(AND(ISNUMBER($BE$489),$B$294=1),$BE$489,HLOOKUP(INDIRECT(ADDRESS(2,COLUMN())),OFFSET($BN$2,0,0,ROW()-1,60),ROW()-1,FALSE))</f>
        <v/>
      </c>
      <c r="BF184" t="str">
        <f ca="1">IF(AND(ISNUMBER($BF$489),$B$294=1),$BF$489,HLOOKUP(INDIRECT(ADDRESS(2,COLUMN())),OFFSET($BN$2,0,0,ROW()-1,60),ROW()-1,FALSE))</f>
        <v/>
      </c>
      <c r="BG184" t="str">
        <f ca="1">IF(AND(ISNUMBER($BG$489),$B$294=1),$BG$489,HLOOKUP(INDIRECT(ADDRESS(2,COLUMN())),OFFSET($BN$2,0,0,ROW()-1,60),ROW()-1,FALSE))</f>
        <v/>
      </c>
      <c r="BH184" t="str">
        <f ca="1">IF(AND(ISNUMBER($BH$489),$B$294=1),$BH$489,HLOOKUP(INDIRECT(ADDRESS(2,COLUMN())),OFFSET($BN$2,0,0,ROW()-1,60),ROW()-1,FALSE))</f>
        <v/>
      </c>
      <c r="BI184" t="str">
        <f ca="1">IF(AND(ISNUMBER($BI$489),$B$294=1),$BI$489,HLOOKUP(INDIRECT(ADDRESS(2,COLUMN())),OFFSET($BN$2,0,0,ROW()-1,60),ROW()-1,FALSE))</f>
        <v/>
      </c>
      <c r="BJ184" t="str">
        <f ca="1">IF(AND(ISNUMBER($BJ$489),$B$294=1),$BJ$489,HLOOKUP(INDIRECT(ADDRESS(2,COLUMN())),OFFSET($BN$2,0,0,ROW()-1,60),ROW()-1,FALSE))</f>
        <v/>
      </c>
      <c r="BK184" t="str">
        <f ca="1">IF(AND(ISNUMBER($BK$489),$B$294=1),$BK$489,HLOOKUP(INDIRECT(ADDRESS(2,COLUMN())),OFFSET($BN$2,0,0,ROW()-1,60),ROW()-1,FALSE))</f>
        <v/>
      </c>
      <c r="BL184" t="str">
        <f ca="1">IF(AND(ISNUMBER($BL$489),$B$294=1),$BL$489,HLOOKUP(INDIRECT(ADDRESS(2,COLUMN())),OFFSET($BN$2,0,0,ROW()-1,60),ROW()-1,FALSE))</f>
        <v/>
      </c>
      <c r="BM184" t="str">
        <f ca="1">IF(AND(ISNUMBER($BM$489),$B$294=1),$BM$489,HLOOKUP(INDIRECT(ADDRESS(2,COLUMN())),OFFSET($BN$2,0,0,ROW()-1,60),ROW()-1,FALSE))</f>
        <v/>
      </c>
      <c r="BN184" t="str">
        <f>""</f>
        <v/>
      </c>
      <c r="BO184">
        <f>6.500590826</f>
        <v>6.5005908259999998</v>
      </c>
      <c r="BP184">
        <f>6.739558559</f>
        <v>6.7395585589999998</v>
      </c>
      <c r="BQ184">
        <f>7.806349076</f>
        <v>7.8063490760000001</v>
      </c>
      <c r="BR184">
        <f>6.745199056</f>
        <v>6.7451990559999997</v>
      </c>
      <c r="BS184">
        <f>6.839889376</f>
        <v>6.8398893760000004</v>
      </c>
      <c r="BT184">
        <f>7.05758098</f>
        <v>7.05758098</v>
      </c>
      <c r="BU184">
        <f>7.068996087</f>
        <v>7.0689960870000004</v>
      </c>
      <c r="BV184">
        <f>7.140260561</f>
        <v>7.1402605609999998</v>
      </c>
      <c r="BW184">
        <f>7.063526298</f>
        <v>7.0635262980000002</v>
      </c>
      <c r="BX184">
        <f>7.615231902</f>
        <v>7.6152319019999997</v>
      </c>
      <c r="BY184">
        <f>7.66637243</f>
        <v>7.66637243</v>
      </c>
      <c r="BZ184">
        <f>7.532526418</f>
        <v>7.5325264179999998</v>
      </c>
      <c r="CA184">
        <f>7.027007418</f>
        <v>7.0270074180000002</v>
      </c>
      <c r="CB184">
        <f>7.468940326</f>
        <v>7.4689403260000002</v>
      </c>
      <c r="CC184">
        <f>7.574843215</f>
        <v>7.5748432149999996</v>
      </c>
      <c r="CD184">
        <f>7.037355645</f>
        <v>7.0373556449999999</v>
      </c>
      <c r="CE184">
        <f>6.953789389</f>
        <v>6.9537893889999998</v>
      </c>
      <c r="CF184">
        <f>7.892548614</f>
        <v>7.8925486139999999</v>
      </c>
      <c r="CG184">
        <f>7.729607828</f>
        <v>7.7296078279999998</v>
      </c>
      <c r="CH184">
        <f>7.278352572</f>
        <v>7.2783525720000002</v>
      </c>
      <c r="CI184">
        <f>7.667600666</f>
        <v>7.6676006660000002</v>
      </c>
      <c r="CJ184">
        <f>8.23678552</f>
        <v>8.2367855199999997</v>
      </c>
      <c r="CK184">
        <f>8.467213559</f>
        <v>8.4672135589999993</v>
      </c>
      <c r="CL184">
        <f>9.301492042</f>
        <v>9.3014920419999996</v>
      </c>
      <c r="CM184">
        <f>9.25923631</f>
        <v>9.2592363100000004</v>
      </c>
      <c r="CN184">
        <f>9.083969149</f>
        <v>9.0839691489999996</v>
      </c>
      <c r="CO184">
        <f>8.72982977</f>
        <v>8.7298297700000003</v>
      </c>
      <c r="CP184">
        <f>9.217142371</f>
        <v>9.2171423709999996</v>
      </c>
      <c r="CQ184">
        <f>9.146894867</f>
        <v>9.1468948670000003</v>
      </c>
      <c r="CR184">
        <f>9.011584895</f>
        <v>9.0115848950000004</v>
      </c>
      <c r="CS184">
        <f>8.876351884</f>
        <v>8.876351884</v>
      </c>
      <c r="CT184">
        <f>8.519758012</f>
        <v>8.5197580120000005</v>
      </c>
      <c r="CU184">
        <f>8.190801671</f>
        <v>8.1908016709999991</v>
      </c>
      <c r="CV184" t="str">
        <f>""</f>
        <v/>
      </c>
      <c r="CW184" t="str">
        <f>""</f>
        <v/>
      </c>
      <c r="CX184" t="str">
        <f>""</f>
        <v/>
      </c>
      <c r="CY184" t="str">
        <f>""</f>
        <v/>
      </c>
      <c r="CZ184" t="str">
        <f>""</f>
        <v/>
      </c>
      <c r="DA184" t="str">
        <f>""</f>
        <v/>
      </c>
      <c r="DB184" t="str">
        <f>""</f>
        <v/>
      </c>
      <c r="DC184" t="str">
        <f>""</f>
        <v/>
      </c>
      <c r="DD184" t="str">
        <f>""</f>
        <v/>
      </c>
      <c r="DE184" t="str">
        <f>""</f>
        <v/>
      </c>
      <c r="DF184" t="str">
        <f>""</f>
        <v/>
      </c>
      <c r="DG184" t="str">
        <f>""</f>
        <v/>
      </c>
      <c r="DH184" t="str">
        <f>""</f>
        <v/>
      </c>
      <c r="DI184" t="str">
        <f>""</f>
        <v/>
      </c>
      <c r="DJ184" t="str">
        <f>""</f>
        <v/>
      </c>
      <c r="DK184" t="str">
        <f>""</f>
        <v/>
      </c>
      <c r="DL184" t="str">
        <f>""</f>
        <v/>
      </c>
      <c r="DM184" t="str">
        <f>""</f>
        <v/>
      </c>
      <c r="DN184" t="str">
        <f>""</f>
        <v/>
      </c>
      <c r="DO184" t="str">
        <f>""</f>
        <v/>
      </c>
      <c r="DP184" t="str">
        <f>""</f>
        <v/>
      </c>
      <c r="DQ184" t="str">
        <f>""</f>
        <v/>
      </c>
      <c r="DR184" t="str">
        <f>""</f>
        <v/>
      </c>
      <c r="DS184" t="str">
        <f>""</f>
        <v/>
      </c>
      <c r="DT184" t="str">
        <f>""</f>
        <v/>
      </c>
      <c r="DU184" t="str">
        <f>""</f>
        <v/>
      </c>
    </row>
    <row r="185" spans="1:125">
      <c r="A185" t="str">
        <f>"    Highwoods Properties Inc"</f>
        <v xml:space="preserve">    Highwoods Properties Inc</v>
      </c>
      <c r="B185" t="str">
        <f>"HIW US Equity"</f>
        <v>HIW US Equity</v>
      </c>
      <c r="C185" t="str">
        <f t="shared" si="48"/>
        <v>F1178</v>
      </c>
      <c r="D185" t="str">
        <f t="shared" si="49"/>
        <v>NET_DEBT_EBITDA_ADJUSTED</v>
      </c>
      <c r="E185" t="str">
        <f t="shared" si="50"/>
        <v>动态</v>
      </c>
      <c r="F185" t="str">
        <f ca="1">IF(AND(ISNUMBER($F$490),$B$294=1),$F$490,HLOOKUP(INDIRECT(ADDRESS(2,COLUMN())),OFFSET($BN$2,0,0,ROW()-1,60),ROW()-1,FALSE))</f>
        <v/>
      </c>
      <c r="G185">
        <f ca="1">IF(AND(ISNUMBER($G$490),$B$294=1),$G$490,HLOOKUP(INDIRECT(ADDRESS(2,COLUMN())),OFFSET($BN$2,0,0,ROW()-1,60),ROW()-1,FALSE))</f>
        <v>4.7185740999999997</v>
      </c>
      <c r="H185">
        <f ca="1">IF(AND(ISNUMBER($H$490),$B$294=1),$H$490,HLOOKUP(INDIRECT(ADDRESS(2,COLUMN())),OFFSET($BN$2,0,0,ROW()-1,60),ROW()-1,FALSE))</f>
        <v>4.6586170449999997</v>
      </c>
      <c r="I185">
        <f ca="1">IF(AND(ISNUMBER($I$490),$B$294=1),$I$490,HLOOKUP(INDIRECT(ADDRESS(2,COLUMN())),OFFSET($BN$2,0,0,ROW()-1,60),ROW()-1,FALSE))</f>
        <v>4.8680319799999996</v>
      </c>
      <c r="J185">
        <f ca="1">IF(AND(ISNUMBER($J$490),$B$294=1),$J$490,HLOOKUP(INDIRECT(ADDRESS(2,COLUMN())),OFFSET($BN$2,0,0,ROW()-1,60),ROW()-1,FALSE))</f>
        <v>5.08405693</v>
      </c>
      <c r="K185">
        <f ca="1">IF(AND(ISNUMBER($K$490),$B$294=1),$K$490,HLOOKUP(INDIRECT(ADDRESS(2,COLUMN())),OFFSET($BN$2,0,0,ROW()-1,60),ROW()-1,FALSE))</f>
        <v>4.7895463119999997</v>
      </c>
      <c r="L185">
        <f ca="1">IF(AND(ISNUMBER($L$490),$B$294=1),$L$490,HLOOKUP(INDIRECT(ADDRESS(2,COLUMN())),OFFSET($BN$2,0,0,ROW()-1,60),ROW()-1,FALSE))</f>
        <v>4.8174132590000003</v>
      </c>
      <c r="M185">
        <f ca="1">IF(AND(ISNUMBER($M$490),$B$294=1),$M$490,HLOOKUP(INDIRECT(ADDRESS(2,COLUMN())),OFFSET($BN$2,0,0,ROW()-1,60),ROW()-1,FALSE))</f>
        <v>5.3285174790000003</v>
      </c>
      <c r="N185">
        <f ca="1">IF(AND(ISNUMBER($N$490),$B$294=1),$N$490,HLOOKUP(INDIRECT(ADDRESS(2,COLUMN())),OFFSET($BN$2,0,0,ROW()-1,60),ROW()-1,FALSE))</f>
        <v>5.5183815210000002</v>
      </c>
      <c r="O185">
        <f ca="1">IF(AND(ISNUMBER($O$490),$B$294=1),$O$490,HLOOKUP(INDIRECT(ADDRESS(2,COLUMN())),OFFSET($BN$2,0,0,ROW()-1,60),ROW()-1,FALSE))</f>
        <v>6.6999473580000002</v>
      </c>
      <c r="P185">
        <f ca="1">IF(AND(ISNUMBER($P$490),$B$294=1),$P$490,HLOOKUP(INDIRECT(ADDRESS(2,COLUMN())),OFFSET($BN$2,0,0,ROW()-1,60),ROW()-1,FALSE))</f>
        <v>6.9118046470000003</v>
      </c>
      <c r="Q185">
        <f ca="1">IF(AND(ISNUMBER($Q$490),$B$294=1),$Q$490,HLOOKUP(INDIRECT(ADDRESS(2,COLUMN())),OFFSET($BN$2,0,0,ROW()-1,60),ROW()-1,FALSE))</f>
        <v>6.0407326110000001</v>
      </c>
      <c r="R185">
        <f ca="1">IF(AND(ISNUMBER($R$490),$B$294=1),$R$490,HLOOKUP(INDIRECT(ADDRESS(2,COLUMN())),OFFSET($BN$2,0,0,ROW()-1,60),ROW()-1,FALSE))</f>
        <v>5.9589353420000002</v>
      </c>
      <c r="S185">
        <f ca="1">IF(AND(ISNUMBER($S$490),$B$294=1),$S$490,HLOOKUP(INDIRECT(ADDRESS(2,COLUMN())),OFFSET($BN$2,0,0,ROW()-1,60),ROW()-1,FALSE))</f>
        <v>6.0364636230000004</v>
      </c>
      <c r="T185">
        <f ca="1">IF(AND(ISNUMBER($T$490),$B$294=1),$T$490,HLOOKUP(INDIRECT(ADDRESS(2,COLUMN())),OFFSET($BN$2,0,0,ROW()-1,60),ROW()-1,FALSE))</f>
        <v>5.8468996210000004</v>
      </c>
      <c r="U185">
        <f ca="1">IF(AND(ISNUMBER($U$490),$B$294=1),$U$490,HLOOKUP(INDIRECT(ADDRESS(2,COLUMN())),OFFSET($BN$2,0,0,ROW()-1,60),ROW()-1,FALSE))</f>
        <v>6.0375788999999997</v>
      </c>
      <c r="V185">
        <f ca="1">IF(AND(ISNUMBER($V$490),$B$294=1),$V$490,HLOOKUP(INDIRECT(ADDRESS(2,COLUMN())),OFFSET($BN$2,0,0,ROW()-1,60),ROW()-1,FALSE))</f>
        <v>6.0957099729999999</v>
      </c>
      <c r="W185">
        <f ca="1">IF(AND(ISNUMBER($W$490),$B$294=1),$W$490,HLOOKUP(INDIRECT(ADDRESS(2,COLUMN())),OFFSET($BN$2,0,0,ROW()-1,60),ROW()-1,FALSE))</f>
        <v>6.043347432</v>
      </c>
      <c r="X185">
        <f ca="1">IF(AND(ISNUMBER($X$490),$B$294=1),$X$490,HLOOKUP(INDIRECT(ADDRESS(2,COLUMN())),OFFSET($BN$2,0,0,ROW()-1,60),ROW()-1,FALSE))</f>
        <v>6.4986348300000003</v>
      </c>
      <c r="Y185">
        <f ca="1">IF(AND(ISNUMBER($Y$490),$B$294=1),$Y$490,HLOOKUP(INDIRECT(ADDRESS(2,COLUMN())),OFFSET($BN$2,0,0,ROW()-1,60),ROW()-1,FALSE))</f>
        <v>6.4746913499999996</v>
      </c>
      <c r="Z185">
        <f ca="1">IF(AND(ISNUMBER($Z$490),$B$294=1),$Z$490,HLOOKUP(INDIRECT(ADDRESS(2,COLUMN())),OFFSET($BN$2,0,0,ROW()-1,60),ROW()-1,FALSE))</f>
        <v>6.4619716570000003</v>
      </c>
      <c r="AA185">
        <f ca="1">IF(AND(ISNUMBER($AA$490),$B$294=1),$AA$490,HLOOKUP(INDIRECT(ADDRESS(2,COLUMN())),OFFSET($BN$2,0,0,ROW()-1,60),ROW()-1,FALSE))</f>
        <v>6.3955299400000003</v>
      </c>
      <c r="AB185">
        <f ca="1">IF(AND(ISNUMBER($AB$490),$B$294=1),$AB$490,HLOOKUP(INDIRECT(ADDRESS(2,COLUMN())),OFFSET($BN$2,0,0,ROW()-1,60),ROW()-1,FALSE))</f>
        <v>6.1578018749999996</v>
      </c>
      <c r="AC185">
        <f ca="1">IF(AND(ISNUMBER($AC$490),$B$294=1),$AC$490,HLOOKUP(INDIRECT(ADDRESS(2,COLUMN())),OFFSET($BN$2,0,0,ROW()-1,60),ROW()-1,FALSE))</f>
        <v>6.4821656689999996</v>
      </c>
      <c r="AD185">
        <f ca="1">IF(AND(ISNUMBER($AD$490),$B$294=1),$AD$490,HLOOKUP(INDIRECT(ADDRESS(2,COLUMN())),OFFSET($BN$2,0,0,ROW()-1,60),ROW()-1,FALSE))</f>
        <v>6.8988312089999999</v>
      </c>
      <c r="AE185">
        <f ca="1">IF(AND(ISNUMBER($AE$490),$B$294=1),$AE$490,HLOOKUP(INDIRECT(ADDRESS(2,COLUMN())),OFFSET($BN$2,0,0,ROW()-1,60),ROW()-1,FALSE))</f>
        <v>6.9390333179999999</v>
      </c>
      <c r="AF185">
        <f ca="1">IF(AND(ISNUMBER($AF$490),$B$294=1),$AF$490,HLOOKUP(INDIRECT(ADDRESS(2,COLUMN())),OFFSET($BN$2,0,0,ROW()-1,60),ROW()-1,FALSE))</f>
        <v>7.1419636019999997</v>
      </c>
      <c r="AG185">
        <f ca="1">IF(AND(ISNUMBER($AG$490),$B$294=1),$AG$490,HLOOKUP(INDIRECT(ADDRESS(2,COLUMN())),OFFSET($BN$2,0,0,ROW()-1,60),ROW()-1,FALSE))</f>
        <v>6.0654083820000002</v>
      </c>
      <c r="AH185">
        <f ca="1">IF(AND(ISNUMBER($AH$490),$B$294=1),$AH$490,HLOOKUP(INDIRECT(ADDRESS(2,COLUMN())),OFFSET($BN$2,0,0,ROW()-1,60),ROW()-1,FALSE))</f>
        <v>5.7177257849999998</v>
      </c>
      <c r="AI185">
        <f ca="1">IF(AND(ISNUMBER($AI$490),$B$294=1),$AI$490,HLOOKUP(INDIRECT(ADDRESS(2,COLUMN())),OFFSET($BN$2,0,0,ROW()-1,60),ROW()-1,FALSE))</f>
        <v>5.6872596919999996</v>
      </c>
      <c r="AJ185">
        <f ca="1">IF(AND(ISNUMBER($AJ$490),$B$294=1),$AJ$490,HLOOKUP(INDIRECT(ADDRESS(2,COLUMN())),OFFSET($BN$2,0,0,ROW()-1,60),ROW()-1,FALSE))</f>
        <v>5.9377017619999997</v>
      </c>
      <c r="AK185">
        <f ca="1">IF(AND(ISNUMBER($AK$490),$B$294=1),$AK$490,HLOOKUP(INDIRECT(ADDRESS(2,COLUMN())),OFFSET($BN$2,0,0,ROW()-1,60),ROW()-1,FALSE))</f>
        <v>5.7714902410000004</v>
      </c>
      <c r="AL185">
        <f ca="1">IF(AND(ISNUMBER($AL$490),$B$294=1),$AL$490,HLOOKUP(INDIRECT(ADDRESS(2,COLUMN())),OFFSET($BN$2,0,0,ROW()-1,60),ROW()-1,FALSE))</f>
        <v>6.0317558560000002</v>
      </c>
      <c r="AM185">
        <f ca="1">IF(AND(ISNUMBER($AM$490),$B$294=1),$AM$490,HLOOKUP(INDIRECT(ADDRESS(2,COLUMN())),OFFSET($BN$2,0,0,ROW()-1,60),ROW()-1,FALSE))</f>
        <v>6.0106119329999999</v>
      </c>
      <c r="AN185" t="str">
        <f ca="1">IF(AND(ISNUMBER($AN$490),$B$294=1),$AN$490,HLOOKUP(INDIRECT(ADDRESS(2,COLUMN())),OFFSET($BN$2,0,0,ROW()-1,60),ROW()-1,FALSE))</f>
        <v/>
      </c>
      <c r="AO185" t="str">
        <f ca="1">IF(AND(ISNUMBER($AO$490),$B$294=1),$AO$490,HLOOKUP(INDIRECT(ADDRESS(2,COLUMN())),OFFSET($BN$2,0,0,ROW()-1,60),ROW()-1,FALSE))</f>
        <v/>
      </c>
      <c r="AP185" t="str">
        <f ca="1">IF(AND(ISNUMBER($AP$490),$B$294=1),$AP$490,HLOOKUP(INDIRECT(ADDRESS(2,COLUMN())),OFFSET($BN$2,0,0,ROW()-1,60),ROW()-1,FALSE))</f>
        <v/>
      </c>
      <c r="AQ185" t="str">
        <f ca="1">IF(AND(ISNUMBER($AQ$490),$B$294=1),$AQ$490,HLOOKUP(INDIRECT(ADDRESS(2,COLUMN())),OFFSET($BN$2,0,0,ROW()-1,60),ROW()-1,FALSE))</f>
        <v/>
      </c>
      <c r="AR185" t="str">
        <f ca="1">IF(AND(ISNUMBER($AR$490),$B$294=1),$AR$490,HLOOKUP(INDIRECT(ADDRESS(2,COLUMN())),OFFSET($BN$2,0,0,ROW()-1,60),ROW()-1,FALSE))</f>
        <v/>
      </c>
      <c r="AS185" t="str">
        <f ca="1">IF(AND(ISNUMBER($AS$490),$B$294=1),$AS$490,HLOOKUP(INDIRECT(ADDRESS(2,COLUMN())),OFFSET($BN$2,0,0,ROW()-1,60),ROW()-1,FALSE))</f>
        <v/>
      </c>
      <c r="AT185" t="str">
        <f ca="1">IF(AND(ISNUMBER($AT$490),$B$294=1),$AT$490,HLOOKUP(INDIRECT(ADDRESS(2,COLUMN())),OFFSET($BN$2,0,0,ROW()-1,60),ROW()-1,FALSE))</f>
        <v/>
      </c>
      <c r="AU185" t="str">
        <f ca="1">IF(AND(ISNUMBER($AU$490),$B$294=1),$AU$490,HLOOKUP(INDIRECT(ADDRESS(2,COLUMN())),OFFSET($BN$2,0,0,ROW()-1,60),ROW()-1,FALSE))</f>
        <v/>
      </c>
      <c r="AV185" t="str">
        <f ca="1">IF(AND(ISNUMBER($AV$490),$B$294=1),$AV$490,HLOOKUP(INDIRECT(ADDRESS(2,COLUMN())),OFFSET($BN$2,0,0,ROW()-1,60),ROW()-1,FALSE))</f>
        <v/>
      </c>
      <c r="AW185" t="str">
        <f ca="1">IF(AND(ISNUMBER($AW$490),$B$294=1),$AW$490,HLOOKUP(INDIRECT(ADDRESS(2,COLUMN())),OFFSET($BN$2,0,0,ROW()-1,60),ROW()-1,FALSE))</f>
        <v/>
      </c>
      <c r="AX185" t="str">
        <f ca="1">IF(AND(ISNUMBER($AX$490),$B$294=1),$AX$490,HLOOKUP(INDIRECT(ADDRESS(2,COLUMN())),OFFSET($BN$2,0,0,ROW()-1,60),ROW()-1,FALSE))</f>
        <v/>
      </c>
      <c r="AY185" t="str">
        <f ca="1">IF(AND(ISNUMBER($AY$490),$B$294=1),$AY$490,HLOOKUP(INDIRECT(ADDRESS(2,COLUMN())),OFFSET($BN$2,0,0,ROW()-1,60),ROW()-1,FALSE))</f>
        <v/>
      </c>
      <c r="AZ185" t="str">
        <f ca="1">IF(AND(ISNUMBER($AZ$490),$B$294=1),$AZ$490,HLOOKUP(INDIRECT(ADDRESS(2,COLUMN())),OFFSET($BN$2,0,0,ROW()-1,60),ROW()-1,FALSE))</f>
        <v/>
      </c>
      <c r="BA185" t="str">
        <f ca="1">IF(AND(ISNUMBER($BA$490),$B$294=1),$BA$490,HLOOKUP(INDIRECT(ADDRESS(2,COLUMN())),OFFSET($BN$2,0,0,ROW()-1,60),ROW()-1,FALSE))</f>
        <v/>
      </c>
      <c r="BB185" t="str">
        <f ca="1">IF(AND(ISNUMBER($BB$490),$B$294=1),$BB$490,HLOOKUP(INDIRECT(ADDRESS(2,COLUMN())),OFFSET($BN$2,0,0,ROW()-1,60),ROW()-1,FALSE))</f>
        <v/>
      </c>
      <c r="BC185" t="str">
        <f ca="1">IF(AND(ISNUMBER($BC$490),$B$294=1),$BC$490,HLOOKUP(INDIRECT(ADDRESS(2,COLUMN())),OFFSET($BN$2,0,0,ROW()-1,60),ROW()-1,FALSE))</f>
        <v/>
      </c>
      <c r="BD185" t="str">
        <f ca="1">IF(AND(ISNUMBER($BD$490),$B$294=1),$BD$490,HLOOKUP(INDIRECT(ADDRESS(2,COLUMN())),OFFSET($BN$2,0,0,ROW()-1,60),ROW()-1,FALSE))</f>
        <v/>
      </c>
      <c r="BE185" t="str">
        <f ca="1">IF(AND(ISNUMBER($BE$490),$B$294=1),$BE$490,HLOOKUP(INDIRECT(ADDRESS(2,COLUMN())),OFFSET($BN$2,0,0,ROW()-1,60),ROW()-1,FALSE))</f>
        <v/>
      </c>
      <c r="BF185" t="str">
        <f ca="1">IF(AND(ISNUMBER($BF$490),$B$294=1),$BF$490,HLOOKUP(INDIRECT(ADDRESS(2,COLUMN())),OFFSET($BN$2,0,0,ROW()-1,60),ROW()-1,FALSE))</f>
        <v/>
      </c>
      <c r="BG185" t="str">
        <f ca="1">IF(AND(ISNUMBER($BG$490),$B$294=1),$BG$490,HLOOKUP(INDIRECT(ADDRESS(2,COLUMN())),OFFSET($BN$2,0,0,ROW()-1,60),ROW()-1,FALSE))</f>
        <v/>
      </c>
      <c r="BH185" t="str">
        <f ca="1">IF(AND(ISNUMBER($BH$490),$B$294=1),$BH$490,HLOOKUP(INDIRECT(ADDRESS(2,COLUMN())),OFFSET($BN$2,0,0,ROW()-1,60),ROW()-1,FALSE))</f>
        <v/>
      </c>
      <c r="BI185" t="str">
        <f ca="1">IF(AND(ISNUMBER($BI$490),$B$294=1),$BI$490,HLOOKUP(INDIRECT(ADDRESS(2,COLUMN())),OFFSET($BN$2,0,0,ROW()-1,60),ROW()-1,FALSE))</f>
        <v/>
      </c>
      <c r="BJ185" t="str">
        <f ca="1">IF(AND(ISNUMBER($BJ$490),$B$294=1),$BJ$490,HLOOKUP(INDIRECT(ADDRESS(2,COLUMN())),OFFSET($BN$2,0,0,ROW()-1,60),ROW()-1,FALSE))</f>
        <v/>
      </c>
      <c r="BK185" t="str">
        <f ca="1">IF(AND(ISNUMBER($BK$490),$B$294=1),$BK$490,HLOOKUP(INDIRECT(ADDRESS(2,COLUMN())),OFFSET($BN$2,0,0,ROW()-1,60),ROW()-1,FALSE))</f>
        <v/>
      </c>
      <c r="BL185" t="str">
        <f ca="1">IF(AND(ISNUMBER($BL$490),$B$294=1),$BL$490,HLOOKUP(INDIRECT(ADDRESS(2,COLUMN())),OFFSET($BN$2,0,0,ROW()-1,60),ROW()-1,FALSE))</f>
        <v/>
      </c>
      <c r="BM185" t="str">
        <f ca="1">IF(AND(ISNUMBER($BM$490),$B$294=1),$BM$490,HLOOKUP(INDIRECT(ADDRESS(2,COLUMN())),OFFSET($BN$2,0,0,ROW()-1,60),ROW()-1,FALSE))</f>
        <v/>
      </c>
      <c r="BN185" t="str">
        <f>""</f>
        <v/>
      </c>
      <c r="BO185">
        <f>4.7185741</f>
        <v>4.7185740999999997</v>
      </c>
      <c r="BP185">
        <f>4.658617045</f>
        <v>4.6586170449999997</v>
      </c>
      <c r="BQ185">
        <f>4.86803198</f>
        <v>4.8680319799999996</v>
      </c>
      <c r="BR185">
        <f>5.08405693</f>
        <v>5.08405693</v>
      </c>
      <c r="BS185">
        <f>4.789546312</f>
        <v>4.7895463119999997</v>
      </c>
      <c r="BT185">
        <f>4.817413259</f>
        <v>4.8174132590000003</v>
      </c>
      <c r="BU185">
        <f>5.328517479</f>
        <v>5.3285174790000003</v>
      </c>
      <c r="BV185">
        <f>5.518381521</f>
        <v>5.5183815210000002</v>
      </c>
      <c r="BW185">
        <f>6.699947358</f>
        <v>6.6999473580000002</v>
      </c>
      <c r="BX185">
        <f>6.911804647</f>
        <v>6.9118046470000003</v>
      </c>
      <c r="BY185">
        <f>6.040732611</f>
        <v>6.0407326110000001</v>
      </c>
      <c r="BZ185">
        <f>5.958935342</f>
        <v>5.9589353420000002</v>
      </c>
      <c r="CA185">
        <f>6.036463623</f>
        <v>6.0364636230000004</v>
      </c>
      <c r="CB185">
        <f>5.846899621</f>
        <v>5.8468996210000004</v>
      </c>
      <c r="CC185">
        <f>6.0375789</f>
        <v>6.0375788999999997</v>
      </c>
      <c r="CD185">
        <f>6.095709973</f>
        <v>6.0957099729999999</v>
      </c>
      <c r="CE185">
        <f>6.043347432</f>
        <v>6.043347432</v>
      </c>
      <c r="CF185">
        <f>6.49863483</f>
        <v>6.4986348300000003</v>
      </c>
      <c r="CG185">
        <f>6.47469135</f>
        <v>6.4746913499999996</v>
      </c>
      <c r="CH185">
        <f>6.461971657</f>
        <v>6.4619716570000003</v>
      </c>
      <c r="CI185">
        <f>6.39552994</f>
        <v>6.3955299400000003</v>
      </c>
      <c r="CJ185">
        <f>6.157801875</f>
        <v>6.1578018749999996</v>
      </c>
      <c r="CK185">
        <f>6.482165669</f>
        <v>6.4821656689999996</v>
      </c>
      <c r="CL185">
        <f>6.898831209</f>
        <v>6.8988312089999999</v>
      </c>
      <c r="CM185">
        <f>6.939033318</f>
        <v>6.9390333179999999</v>
      </c>
      <c r="CN185">
        <f>7.141963602</f>
        <v>7.1419636019999997</v>
      </c>
      <c r="CO185">
        <f>6.065408382</f>
        <v>6.0654083820000002</v>
      </c>
      <c r="CP185">
        <f>5.717725785</f>
        <v>5.7177257849999998</v>
      </c>
      <c r="CQ185">
        <f>5.687259692</f>
        <v>5.6872596919999996</v>
      </c>
      <c r="CR185">
        <f>5.937701762</f>
        <v>5.9377017619999997</v>
      </c>
      <c r="CS185">
        <f>5.771490241</f>
        <v>5.7714902410000004</v>
      </c>
      <c r="CT185">
        <f>6.031755856</f>
        <v>6.0317558560000002</v>
      </c>
      <c r="CU185">
        <f>6.010611933</f>
        <v>6.0106119329999999</v>
      </c>
      <c r="CV185" t="str">
        <f>""</f>
        <v/>
      </c>
      <c r="CW185" t="str">
        <f>""</f>
        <v/>
      </c>
      <c r="CX185" t="str">
        <f>""</f>
        <v/>
      </c>
      <c r="CY185" t="str">
        <f>""</f>
        <v/>
      </c>
      <c r="CZ185" t="str">
        <f>""</f>
        <v/>
      </c>
      <c r="DA185" t="str">
        <f>""</f>
        <v/>
      </c>
      <c r="DB185" t="str">
        <f>""</f>
        <v/>
      </c>
      <c r="DC185" t="str">
        <f>""</f>
        <v/>
      </c>
      <c r="DD185" t="str">
        <f>""</f>
        <v/>
      </c>
      <c r="DE185" t="str">
        <f>""</f>
        <v/>
      </c>
      <c r="DF185" t="str">
        <f>""</f>
        <v/>
      </c>
      <c r="DG185" t="str">
        <f>""</f>
        <v/>
      </c>
      <c r="DH185" t="str">
        <f>""</f>
        <v/>
      </c>
      <c r="DI185" t="str">
        <f>""</f>
        <v/>
      </c>
      <c r="DJ185" t="str">
        <f>""</f>
        <v/>
      </c>
      <c r="DK185" t="str">
        <f>""</f>
        <v/>
      </c>
      <c r="DL185" t="str">
        <f>""</f>
        <v/>
      </c>
      <c r="DM185" t="str">
        <f>""</f>
        <v/>
      </c>
      <c r="DN185" t="str">
        <f>""</f>
        <v/>
      </c>
      <c r="DO185" t="str">
        <f>""</f>
        <v/>
      </c>
      <c r="DP185" t="str">
        <f>""</f>
        <v/>
      </c>
      <c r="DQ185" t="str">
        <f>""</f>
        <v/>
      </c>
      <c r="DR185" t="str">
        <f>""</f>
        <v/>
      </c>
      <c r="DS185" t="str">
        <f>""</f>
        <v/>
      </c>
      <c r="DT185" t="str">
        <f>""</f>
        <v/>
      </c>
      <c r="DU185" t="str">
        <f>""</f>
        <v/>
      </c>
    </row>
    <row r="186" spans="1:125">
      <c r="A186" t="str">
        <f>"    Kilroy Realty Corp"</f>
        <v xml:space="preserve">    Kilroy Realty Corp</v>
      </c>
      <c r="B186" t="str">
        <f>"KRC US Equity"</f>
        <v>KRC US Equity</v>
      </c>
      <c r="C186" t="str">
        <f t="shared" si="48"/>
        <v>F1178</v>
      </c>
      <c r="D186" t="str">
        <f t="shared" si="49"/>
        <v>NET_DEBT_EBITDA_ADJUSTED</v>
      </c>
      <c r="E186" t="str">
        <f t="shared" si="50"/>
        <v>动态</v>
      </c>
      <c r="F186" t="str">
        <f ca="1">IF(AND(ISNUMBER($F$491),$B$294=1),$F$491,HLOOKUP(INDIRECT(ADDRESS(2,COLUMN())),OFFSET($BN$2,0,0,ROW()-1,60),ROW()-1,FALSE))</f>
        <v/>
      </c>
      <c r="G186">
        <f ca="1">IF(AND(ISNUMBER($G$491),$B$294=1),$G$491,HLOOKUP(INDIRECT(ADDRESS(2,COLUMN())),OFFSET($BN$2,0,0,ROW()-1,60),ROW()-1,FALSE))</f>
        <v>5.060663935</v>
      </c>
      <c r="H186">
        <f ca="1">IF(AND(ISNUMBER($H$491),$B$294=1),$H$491,HLOOKUP(INDIRECT(ADDRESS(2,COLUMN())),OFFSET($BN$2,0,0,ROW()-1,60),ROW()-1,FALSE))</f>
        <v>5.2922480260000002</v>
      </c>
      <c r="I186">
        <f ca="1">IF(AND(ISNUMBER($I$491),$B$294=1),$I$491,HLOOKUP(INDIRECT(ADDRESS(2,COLUMN())),OFFSET($BN$2,0,0,ROW()-1,60),ROW()-1,FALSE))</f>
        <v>4.9251909810000001</v>
      </c>
      <c r="J186">
        <f ca="1">IF(AND(ISNUMBER($J$491),$B$294=1),$J$491,HLOOKUP(INDIRECT(ADDRESS(2,COLUMN())),OFFSET($BN$2,0,0,ROW()-1,60),ROW()-1,FALSE))</f>
        <v>4.864320449</v>
      </c>
      <c r="K186">
        <f ca="1">IF(AND(ISNUMBER($K$491),$B$294=1),$K$491,HLOOKUP(INDIRECT(ADDRESS(2,COLUMN())),OFFSET($BN$2,0,0,ROW()-1,60),ROW()-1,FALSE))</f>
        <v>5.1736590900000001</v>
      </c>
      <c r="L186">
        <f ca="1">IF(AND(ISNUMBER($L$491),$B$294=1),$L$491,HLOOKUP(INDIRECT(ADDRESS(2,COLUMN())),OFFSET($BN$2,0,0,ROW()-1,60),ROW()-1,FALSE))</f>
        <v>4.9276812919999999</v>
      </c>
      <c r="M186">
        <f ca="1">IF(AND(ISNUMBER($M$491),$B$294=1),$M$491,HLOOKUP(INDIRECT(ADDRESS(2,COLUMN())),OFFSET($BN$2,0,0,ROW()-1,60),ROW()-1,FALSE))</f>
        <v>6.332323937</v>
      </c>
      <c r="N186">
        <f ca="1">IF(AND(ISNUMBER($N$491),$B$294=1),$N$491,HLOOKUP(INDIRECT(ADDRESS(2,COLUMN())),OFFSET($BN$2,0,0,ROW()-1,60),ROW()-1,FALSE))</f>
        <v>6.0596377759999998</v>
      </c>
      <c r="O186">
        <f ca="1">IF(AND(ISNUMBER($O$491),$B$294=1),$O$491,HLOOKUP(INDIRECT(ADDRESS(2,COLUMN())),OFFSET($BN$2,0,0,ROW()-1,60),ROW()-1,FALSE))</f>
        <v>5.8045757690000004</v>
      </c>
      <c r="P186">
        <f ca="1">IF(AND(ISNUMBER($P$491),$B$294=1),$P$491,HLOOKUP(INDIRECT(ADDRESS(2,COLUMN())),OFFSET($BN$2,0,0,ROW()-1,60),ROW()-1,FALSE))</f>
        <v>5.6404535329999996</v>
      </c>
      <c r="Q186">
        <f ca="1">IF(AND(ISNUMBER($Q$491),$B$294=1),$Q$491,HLOOKUP(INDIRECT(ADDRESS(2,COLUMN())),OFFSET($BN$2,0,0,ROW()-1,60),ROW()-1,FALSE))</f>
        <v>6.4822247639999997</v>
      </c>
      <c r="R186">
        <f ca="1">IF(AND(ISNUMBER($R$491),$B$294=1),$R$491,HLOOKUP(INDIRECT(ADDRESS(2,COLUMN())),OFFSET($BN$2,0,0,ROW()-1,60),ROW()-1,FALSE))</f>
        <v>6.8767724169999997</v>
      </c>
      <c r="S186">
        <f ca="1">IF(AND(ISNUMBER($S$491),$B$294=1),$S$491,HLOOKUP(INDIRECT(ADDRESS(2,COLUMN())),OFFSET($BN$2,0,0,ROW()-1,60),ROW()-1,FALSE))</f>
        <v>7.4430563120000004</v>
      </c>
      <c r="T186">
        <f ca="1">IF(AND(ISNUMBER($T$491),$B$294=1),$T$491,HLOOKUP(INDIRECT(ADDRESS(2,COLUMN())),OFFSET($BN$2,0,0,ROW()-1,60),ROW()-1,FALSE))</f>
        <v>7.1642737270000003</v>
      </c>
      <c r="U186">
        <f ca="1">IF(AND(ISNUMBER($U$491),$B$294=1),$U$491,HLOOKUP(INDIRECT(ADDRESS(2,COLUMN())),OFFSET($BN$2,0,0,ROW()-1,60),ROW()-1,FALSE))</f>
        <v>7.3350210550000003</v>
      </c>
      <c r="V186">
        <f ca="1">IF(AND(ISNUMBER($V$491),$B$294=1),$V$491,HLOOKUP(INDIRECT(ADDRESS(2,COLUMN())),OFFSET($BN$2,0,0,ROW()-1,60),ROW()-1,FALSE))</f>
        <v>6.8794978550000003</v>
      </c>
      <c r="W186">
        <f ca="1">IF(AND(ISNUMBER($W$491),$B$294=1),$W$491,HLOOKUP(INDIRECT(ADDRESS(2,COLUMN())),OFFSET($BN$2,0,0,ROW()-1,60),ROW()-1,FALSE))</f>
        <v>7.4059341390000002</v>
      </c>
      <c r="X186">
        <f ca="1">IF(AND(ISNUMBER($X$491),$B$294=1),$X$491,HLOOKUP(INDIRECT(ADDRESS(2,COLUMN())),OFFSET($BN$2,0,0,ROW()-1,60),ROW()-1,FALSE))</f>
        <v>6.0236220229999997</v>
      </c>
      <c r="Y186">
        <f ca="1">IF(AND(ISNUMBER($Y$491),$B$294=1),$Y$491,HLOOKUP(INDIRECT(ADDRESS(2,COLUMN())),OFFSET($BN$2,0,0,ROW()-1,60),ROW()-1,FALSE))</f>
        <v>6.4330782979999999</v>
      </c>
      <c r="Z186">
        <f ca="1">IF(AND(ISNUMBER($Z$491),$B$294=1),$Z$491,HLOOKUP(INDIRECT(ADDRESS(2,COLUMN())),OFFSET($BN$2,0,0,ROW()-1,60),ROW()-1,FALSE))</f>
        <v>6.6044304829999998</v>
      </c>
      <c r="AA186">
        <f ca="1">IF(AND(ISNUMBER($AA$491),$B$294=1),$AA$491,HLOOKUP(INDIRECT(ADDRESS(2,COLUMN())),OFFSET($BN$2,0,0,ROW()-1,60),ROW()-1,FALSE))</f>
        <v>6.7914586520000002</v>
      </c>
      <c r="AB186">
        <f ca="1">IF(AND(ISNUMBER($AB$491),$B$294=1),$AB$491,HLOOKUP(INDIRECT(ADDRESS(2,COLUMN())),OFFSET($BN$2,0,0,ROW()-1,60),ROW()-1,FALSE))</f>
        <v>7.1520761339999996</v>
      </c>
      <c r="AC186">
        <f ca="1">IF(AND(ISNUMBER($AC$491),$B$294=1),$AC$491,HLOOKUP(INDIRECT(ADDRESS(2,COLUMN())),OFFSET($BN$2,0,0,ROW()-1,60),ROW()-1,FALSE))</f>
        <v>7.4156566249999996</v>
      </c>
      <c r="AD186">
        <f ca="1">IF(AND(ISNUMBER($AD$491),$B$294=1),$AD$491,HLOOKUP(INDIRECT(ADDRESS(2,COLUMN())),OFFSET($BN$2,0,0,ROW()-1,60),ROW()-1,FALSE))</f>
        <v>6.2036351060000001</v>
      </c>
      <c r="AE186">
        <f ca="1">IF(AND(ISNUMBER($AE$491),$B$294=1),$AE$491,HLOOKUP(INDIRECT(ADDRESS(2,COLUMN())),OFFSET($BN$2,0,0,ROW()-1,60),ROW()-1,FALSE))</f>
        <v>8.1758006470000009</v>
      </c>
      <c r="AF186">
        <f ca="1">IF(AND(ISNUMBER($AF$491),$B$294=1),$AF$491,HLOOKUP(INDIRECT(ADDRESS(2,COLUMN())),OFFSET($BN$2,0,0,ROW()-1,60),ROW()-1,FALSE))</f>
        <v>7.6189031160000003</v>
      </c>
      <c r="AG186">
        <f ca="1">IF(AND(ISNUMBER($AG$491),$B$294=1),$AG$491,HLOOKUP(INDIRECT(ADDRESS(2,COLUMN())),OFFSET($BN$2,0,0,ROW()-1,60),ROW()-1,FALSE))</f>
        <v>8.2745613410000001</v>
      </c>
      <c r="AH186">
        <f ca="1">IF(AND(ISNUMBER($AH$491),$B$294=1),$AH$491,HLOOKUP(INDIRECT(ADDRESS(2,COLUMN())),OFFSET($BN$2,0,0,ROW()-1,60),ROW()-1,FALSE))</f>
        <v>7.7857623279999997</v>
      </c>
      <c r="AI186">
        <f ca="1">IF(AND(ISNUMBER($AI$491),$B$294=1),$AI$491,HLOOKUP(INDIRECT(ADDRESS(2,COLUMN())),OFFSET($BN$2,0,0,ROW()-1,60),ROW()-1,FALSE))</f>
        <v>7.6113663909999998</v>
      </c>
      <c r="AJ186">
        <f ca="1">IF(AND(ISNUMBER($AJ$491),$B$294=1),$AJ$491,HLOOKUP(INDIRECT(ADDRESS(2,COLUMN())),OFFSET($BN$2,0,0,ROW()-1,60),ROW()-1,FALSE))</f>
        <v>7.2913575359999996</v>
      </c>
      <c r="AK186">
        <f ca="1">IF(AND(ISNUMBER($AK$491),$B$294=1),$AK$491,HLOOKUP(INDIRECT(ADDRESS(2,COLUMN())),OFFSET($BN$2,0,0,ROW()-1,60),ROW()-1,FALSE))</f>
        <v>6.1913352440000002</v>
      </c>
      <c r="AL186">
        <f ca="1">IF(AND(ISNUMBER($AL$491),$B$294=1),$AL$491,HLOOKUP(INDIRECT(ADDRESS(2,COLUMN())),OFFSET($BN$2,0,0,ROW()-1,60),ROW()-1,FALSE))</f>
        <v>5.393349293</v>
      </c>
      <c r="AM186">
        <f ca="1">IF(AND(ISNUMBER($AM$491),$B$294=1),$AM$491,HLOOKUP(INDIRECT(ADDRESS(2,COLUMN())),OFFSET($BN$2,0,0,ROW()-1,60),ROW()-1,FALSE))</f>
        <v>5.1485653429999996</v>
      </c>
      <c r="AN186" t="str">
        <f ca="1">IF(AND(ISNUMBER($AN$491),$B$294=1),$AN$491,HLOOKUP(INDIRECT(ADDRESS(2,COLUMN())),OFFSET($BN$2,0,0,ROW()-1,60),ROW()-1,FALSE))</f>
        <v/>
      </c>
      <c r="AO186" t="str">
        <f ca="1">IF(AND(ISNUMBER($AO$491),$B$294=1),$AO$491,HLOOKUP(INDIRECT(ADDRESS(2,COLUMN())),OFFSET($BN$2,0,0,ROW()-1,60),ROW()-1,FALSE))</f>
        <v/>
      </c>
      <c r="AP186" t="str">
        <f ca="1">IF(AND(ISNUMBER($AP$491),$B$294=1),$AP$491,HLOOKUP(INDIRECT(ADDRESS(2,COLUMN())),OFFSET($BN$2,0,0,ROW()-1,60),ROW()-1,FALSE))</f>
        <v/>
      </c>
      <c r="AQ186" t="str">
        <f ca="1">IF(AND(ISNUMBER($AQ$491),$B$294=1),$AQ$491,HLOOKUP(INDIRECT(ADDRESS(2,COLUMN())),OFFSET($BN$2,0,0,ROW()-1,60),ROW()-1,FALSE))</f>
        <v/>
      </c>
      <c r="AR186" t="str">
        <f ca="1">IF(AND(ISNUMBER($AR$491),$B$294=1),$AR$491,HLOOKUP(INDIRECT(ADDRESS(2,COLUMN())),OFFSET($BN$2,0,0,ROW()-1,60),ROW()-1,FALSE))</f>
        <v/>
      </c>
      <c r="AS186" t="str">
        <f ca="1">IF(AND(ISNUMBER($AS$491),$B$294=1),$AS$491,HLOOKUP(INDIRECT(ADDRESS(2,COLUMN())),OFFSET($BN$2,0,0,ROW()-1,60),ROW()-1,FALSE))</f>
        <v/>
      </c>
      <c r="AT186" t="str">
        <f ca="1">IF(AND(ISNUMBER($AT$491),$B$294=1),$AT$491,HLOOKUP(INDIRECT(ADDRESS(2,COLUMN())),OFFSET($BN$2,0,0,ROW()-1,60),ROW()-1,FALSE))</f>
        <v/>
      </c>
      <c r="AU186" t="str">
        <f ca="1">IF(AND(ISNUMBER($AU$491),$B$294=1),$AU$491,HLOOKUP(INDIRECT(ADDRESS(2,COLUMN())),OFFSET($BN$2,0,0,ROW()-1,60),ROW()-1,FALSE))</f>
        <v/>
      </c>
      <c r="AV186" t="str">
        <f ca="1">IF(AND(ISNUMBER($AV$491),$B$294=1),$AV$491,HLOOKUP(INDIRECT(ADDRESS(2,COLUMN())),OFFSET($BN$2,0,0,ROW()-1,60),ROW()-1,FALSE))</f>
        <v/>
      </c>
      <c r="AW186" t="str">
        <f ca="1">IF(AND(ISNUMBER($AW$491),$B$294=1),$AW$491,HLOOKUP(INDIRECT(ADDRESS(2,COLUMN())),OFFSET($BN$2,0,0,ROW()-1,60),ROW()-1,FALSE))</f>
        <v/>
      </c>
      <c r="AX186" t="str">
        <f ca="1">IF(AND(ISNUMBER($AX$491),$B$294=1),$AX$491,HLOOKUP(INDIRECT(ADDRESS(2,COLUMN())),OFFSET($BN$2,0,0,ROW()-1,60),ROW()-1,FALSE))</f>
        <v/>
      </c>
      <c r="AY186" t="str">
        <f ca="1">IF(AND(ISNUMBER($AY$491),$B$294=1),$AY$491,HLOOKUP(INDIRECT(ADDRESS(2,COLUMN())),OFFSET($BN$2,0,0,ROW()-1,60),ROW()-1,FALSE))</f>
        <v/>
      </c>
      <c r="AZ186" t="str">
        <f ca="1">IF(AND(ISNUMBER($AZ$491),$B$294=1),$AZ$491,HLOOKUP(INDIRECT(ADDRESS(2,COLUMN())),OFFSET($BN$2,0,0,ROW()-1,60),ROW()-1,FALSE))</f>
        <v/>
      </c>
      <c r="BA186" t="str">
        <f ca="1">IF(AND(ISNUMBER($BA$491),$B$294=1),$BA$491,HLOOKUP(INDIRECT(ADDRESS(2,COLUMN())),OFFSET($BN$2,0,0,ROW()-1,60),ROW()-1,FALSE))</f>
        <v/>
      </c>
      <c r="BB186" t="str">
        <f ca="1">IF(AND(ISNUMBER($BB$491),$B$294=1),$BB$491,HLOOKUP(INDIRECT(ADDRESS(2,COLUMN())),OFFSET($BN$2,0,0,ROW()-1,60),ROW()-1,FALSE))</f>
        <v/>
      </c>
      <c r="BC186" t="str">
        <f ca="1">IF(AND(ISNUMBER($BC$491),$B$294=1),$BC$491,HLOOKUP(INDIRECT(ADDRESS(2,COLUMN())),OFFSET($BN$2,0,0,ROW()-1,60),ROW()-1,FALSE))</f>
        <v/>
      </c>
      <c r="BD186" t="str">
        <f ca="1">IF(AND(ISNUMBER($BD$491),$B$294=1),$BD$491,HLOOKUP(INDIRECT(ADDRESS(2,COLUMN())),OFFSET($BN$2,0,0,ROW()-1,60),ROW()-1,FALSE))</f>
        <v/>
      </c>
      <c r="BE186" t="str">
        <f ca="1">IF(AND(ISNUMBER($BE$491),$B$294=1),$BE$491,HLOOKUP(INDIRECT(ADDRESS(2,COLUMN())),OFFSET($BN$2,0,0,ROW()-1,60),ROW()-1,FALSE))</f>
        <v/>
      </c>
      <c r="BF186" t="str">
        <f ca="1">IF(AND(ISNUMBER($BF$491),$B$294=1),$BF$491,HLOOKUP(INDIRECT(ADDRESS(2,COLUMN())),OFFSET($BN$2,0,0,ROW()-1,60),ROW()-1,FALSE))</f>
        <v/>
      </c>
      <c r="BG186" t="str">
        <f ca="1">IF(AND(ISNUMBER($BG$491),$B$294=1),$BG$491,HLOOKUP(INDIRECT(ADDRESS(2,COLUMN())),OFFSET($BN$2,0,0,ROW()-1,60),ROW()-1,FALSE))</f>
        <v/>
      </c>
      <c r="BH186" t="str">
        <f ca="1">IF(AND(ISNUMBER($BH$491),$B$294=1),$BH$491,HLOOKUP(INDIRECT(ADDRESS(2,COLUMN())),OFFSET($BN$2,0,0,ROW()-1,60),ROW()-1,FALSE))</f>
        <v/>
      </c>
      <c r="BI186" t="str">
        <f ca="1">IF(AND(ISNUMBER($BI$491),$B$294=1),$BI$491,HLOOKUP(INDIRECT(ADDRESS(2,COLUMN())),OFFSET($BN$2,0,0,ROW()-1,60),ROW()-1,FALSE))</f>
        <v/>
      </c>
      <c r="BJ186" t="str">
        <f ca="1">IF(AND(ISNUMBER($BJ$491),$B$294=1),$BJ$491,HLOOKUP(INDIRECT(ADDRESS(2,COLUMN())),OFFSET($BN$2,0,0,ROW()-1,60),ROW()-1,FALSE))</f>
        <v/>
      </c>
      <c r="BK186" t="str">
        <f ca="1">IF(AND(ISNUMBER($BK$491),$B$294=1),$BK$491,HLOOKUP(INDIRECT(ADDRESS(2,COLUMN())),OFFSET($BN$2,0,0,ROW()-1,60),ROW()-1,FALSE))</f>
        <v/>
      </c>
      <c r="BL186" t="str">
        <f ca="1">IF(AND(ISNUMBER($BL$491),$B$294=1),$BL$491,HLOOKUP(INDIRECT(ADDRESS(2,COLUMN())),OFFSET($BN$2,0,0,ROW()-1,60),ROW()-1,FALSE))</f>
        <v/>
      </c>
      <c r="BM186" t="str">
        <f ca="1">IF(AND(ISNUMBER($BM$491),$B$294=1),$BM$491,HLOOKUP(INDIRECT(ADDRESS(2,COLUMN())),OFFSET($BN$2,0,0,ROW()-1,60),ROW()-1,FALSE))</f>
        <v/>
      </c>
      <c r="BN186" t="str">
        <f>""</f>
        <v/>
      </c>
      <c r="BO186">
        <f>5.060663935</f>
        <v>5.060663935</v>
      </c>
      <c r="BP186">
        <f>5.292248026</f>
        <v>5.2922480260000002</v>
      </c>
      <c r="BQ186">
        <f>4.925190981</f>
        <v>4.9251909810000001</v>
      </c>
      <c r="BR186">
        <f>4.864320449</f>
        <v>4.864320449</v>
      </c>
      <c r="BS186">
        <f>5.17365909</f>
        <v>5.1736590900000001</v>
      </c>
      <c r="BT186">
        <f>4.927681292</f>
        <v>4.9276812919999999</v>
      </c>
      <c r="BU186">
        <f>6.332323937</f>
        <v>6.332323937</v>
      </c>
      <c r="BV186">
        <f>6.059637776</f>
        <v>6.0596377759999998</v>
      </c>
      <c r="BW186">
        <f>5.804575769</f>
        <v>5.8045757690000004</v>
      </c>
      <c r="BX186">
        <f>5.640453533</f>
        <v>5.6404535329999996</v>
      </c>
      <c r="BY186">
        <f>6.482224764</f>
        <v>6.4822247639999997</v>
      </c>
      <c r="BZ186">
        <f>6.876772417</f>
        <v>6.8767724169999997</v>
      </c>
      <c r="CA186">
        <f>7.443056312</f>
        <v>7.4430563120000004</v>
      </c>
      <c r="CB186">
        <f>7.164273727</f>
        <v>7.1642737270000003</v>
      </c>
      <c r="CC186">
        <f>7.335021055</f>
        <v>7.3350210550000003</v>
      </c>
      <c r="CD186">
        <f>6.879497855</f>
        <v>6.8794978550000003</v>
      </c>
      <c r="CE186">
        <f>7.405934139</f>
        <v>7.4059341390000002</v>
      </c>
      <c r="CF186">
        <f>6.023622023</f>
        <v>6.0236220229999997</v>
      </c>
      <c r="CG186">
        <f>6.433078298</f>
        <v>6.4330782979999999</v>
      </c>
      <c r="CH186">
        <f>6.604430483</f>
        <v>6.6044304829999998</v>
      </c>
      <c r="CI186">
        <f>6.791458652</f>
        <v>6.7914586520000002</v>
      </c>
      <c r="CJ186">
        <f>7.152076134</f>
        <v>7.1520761339999996</v>
      </c>
      <c r="CK186">
        <f>7.415656625</f>
        <v>7.4156566249999996</v>
      </c>
      <c r="CL186">
        <f>6.203635106</f>
        <v>6.2036351060000001</v>
      </c>
      <c r="CM186">
        <f>8.175800647</f>
        <v>8.1758006470000009</v>
      </c>
      <c r="CN186">
        <f>7.618903116</f>
        <v>7.6189031160000003</v>
      </c>
      <c r="CO186">
        <f>8.274561341</f>
        <v>8.2745613410000001</v>
      </c>
      <c r="CP186">
        <f>7.785762328</f>
        <v>7.7857623279999997</v>
      </c>
      <c r="CQ186">
        <f>7.611366391</f>
        <v>7.6113663909999998</v>
      </c>
      <c r="CR186">
        <f>7.291357536</f>
        <v>7.2913575359999996</v>
      </c>
      <c r="CS186">
        <f>6.191335244</f>
        <v>6.1913352440000002</v>
      </c>
      <c r="CT186">
        <f>5.393349293</f>
        <v>5.393349293</v>
      </c>
      <c r="CU186">
        <f>5.148565343</f>
        <v>5.1485653429999996</v>
      </c>
      <c r="CV186" t="str">
        <f>""</f>
        <v/>
      </c>
      <c r="CW186" t="str">
        <f>""</f>
        <v/>
      </c>
      <c r="CX186" t="str">
        <f>""</f>
        <v/>
      </c>
      <c r="CY186" t="str">
        <f>""</f>
        <v/>
      </c>
      <c r="CZ186" t="str">
        <f>""</f>
        <v/>
      </c>
      <c r="DA186" t="str">
        <f>""</f>
        <v/>
      </c>
      <c r="DB186" t="str">
        <f>""</f>
        <v/>
      </c>
      <c r="DC186" t="str">
        <f>""</f>
        <v/>
      </c>
      <c r="DD186" t="str">
        <f>""</f>
        <v/>
      </c>
      <c r="DE186" t="str">
        <f>""</f>
        <v/>
      </c>
      <c r="DF186" t="str">
        <f>""</f>
        <v/>
      </c>
      <c r="DG186" t="str">
        <f>""</f>
        <v/>
      </c>
      <c r="DH186" t="str">
        <f>""</f>
        <v/>
      </c>
      <c r="DI186" t="str">
        <f>""</f>
        <v/>
      </c>
      <c r="DJ186" t="str">
        <f>""</f>
        <v/>
      </c>
      <c r="DK186" t="str">
        <f>""</f>
        <v/>
      </c>
      <c r="DL186" t="str">
        <f>""</f>
        <v/>
      </c>
      <c r="DM186" t="str">
        <f>""</f>
        <v/>
      </c>
      <c r="DN186" t="str">
        <f>""</f>
        <v/>
      </c>
      <c r="DO186" t="str">
        <f>""</f>
        <v/>
      </c>
      <c r="DP186" t="str">
        <f>""</f>
        <v/>
      </c>
      <c r="DQ186" t="str">
        <f>""</f>
        <v/>
      </c>
      <c r="DR186" t="str">
        <f>""</f>
        <v/>
      </c>
      <c r="DS186" t="str">
        <f>""</f>
        <v/>
      </c>
      <c r="DT186" t="str">
        <f>""</f>
        <v/>
      </c>
      <c r="DU186" t="str">
        <f>""</f>
        <v/>
      </c>
    </row>
    <row r="187" spans="1:125">
      <c r="A187" t="str">
        <f>"    Mack-Cali Realty Corp"</f>
        <v xml:space="preserve">    Mack-Cali Realty Corp</v>
      </c>
      <c r="B187" t="str">
        <f>"CLI US Equity"</f>
        <v>CLI US Equity</v>
      </c>
      <c r="C187" t="str">
        <f t="shared" si="48"/>
        <v>F1178</v>
      </c>
      <c r="D187" t="str">
        <f t="shared" si="49"/>
        <v>NET_DEBT_EBITDA_ADJUSTED</v>
      </c>
      <c r="E187" t="str">
        <f t="shared" si="50"/>
        <v>动态</v>
      </c>
      <c r="F187" t="str">
        <f ca="1">IF(AND(ISNUMBER($F$492),$B$294=1),$F$492,HLOOKUP(INDIRECT(ADDRESS(2,COLUMN())),OFFSET($BN$2,0,0,ROW()-1,60),ROW()-1,FALSE))</f>
        <v/>
      </c>
      <c r="G187">
        <f ca="1">IF(AND(ISNUMBER($G$492),$B$294=1),$G$492,HLOOKUP(INDIRECT(ADDRESS(2,COLUMN())),OFFSET($BN$2,0,0,ROW()-1,60),ROW()-1,FALSE))</f>
        <v>9.0119591880000005</v>
      </c>
      <c r="H187">
        <f ca="1">IF(AND(ISNUMBER($H$492),$B$294=1),$H$492,HLOOKUP(INDIRECT(ADDRESS(2,COLUMN())),OFFSET($BN$2,0,0,ROW()-1,60),ROW()-1,FALSE))</f>
        <v>8.7768356890000003</v>
      </c>
      <c r="I187">
        <f ca="1">IF(AND(ISNUMBER($I$492),$B$294=1),$I$492,HLOOKUP(INDIRECT(ADDRESS(2,COLUMN())),OFFSET($BN$2,0,0,ROW()-1,60),ROW()-1,FALSE))</f>
        <v>9.4752917649999997</v>
      </c>
      <c r="J187">
        <f ca="1">IF(AND(ISNUMBER($J$492),$B$294=1),$J$492,HLOOKUP(INDIRECT(ADDRESS(2,COLUMN())),OFFSET($BN$2,0,0,ROW()-1,60),ROW()-1,FALSE))</f>
        <v>8.6526759309999992</v>
      </c>
      <c r="K187">
        <f ca="1">IF(AND(ISNUMBER($K$492),$B$294=1),$K$492,HLOOKUP(INDIRECT(ADDRESS(2,COLUMN())),OFFSET($BN$2,0,0,ROW()-1,60),ROW()-1,FALSE))</f>
        <v>7.8047327480000002</v>
      </c>
      <c r="L187">
        <f ca="1">IF(AND(ISNUMBER($L$492),$B$294=1),$L$492,HLOOKUP(INDIRECT(ADDRESS(2,COLUMN())),OFFSET($BN$2,0,0,ROW()-1,60),ROW()-1,FALSE))</f>
        <v>8.4825504600000006</v>
      </c>
      <c r="M187">
        <f ca="1">IF(AND(ISNUMBER($M$492),$B$294=1),$M$492,HLOOKUP(INDIRECT(ADDRESS(2,COLUMN())),OFFSET($BN$2,0,0,ROW()-1,60),ROW()-1,FALSE))</f>
        <v>7.9920850479999999</v>
      </c>
      <c r="N187">
        <f ca="1">IF(AND(ISNUMBER($N$492),$B$294=1),$N$492,HLOOKUP(INDIRECT(ADDRESS(2,COLUMN())),OFFSET($BN$2,0,0,ROW()-1,60),ROW()-1,FALSE))</f>
        <v>7.7660516209999999</v>
      </c>
      <c r="O187">
        <f ca="1">IF(AND(ISNUMBER($O$492),$B$294=1),$O$492,HLOOKUP(INDIRECT(ADDRESS(2,COLUMN())),OFFSET($BN$2,0,0,ROW()-1,60),ROW()-1,FALSE))</f>
        <v>7.7031586250000004</v>
      </c>
      <c r="P187">
        <f ca="1">IF(AND(ISNUMBER($P$492),$B$294=1),$P$492,HLOOKUP(INDIRECT(ADDRESS(2,COLUMN())),OFFSET($BN$2,0,0,ROW()-1,60),ROW()-1,FALSE))</f>
        <v>7.5735008029999999</v>
      </c>
      <c r="Q187">
        <f ca="1">IF(AND(ISNUMBER($Q$492),$B$294=1),$Q$492,HLOOKUP(INDIRECT(ADDRESS(2,COLUMN())),OFFSET($BN$2,0,0,ROW()-1,60),ROW()-1,FALSE))</f>
        <v>7.6495491900000001</v>
      </c>
      <c r="R187">
        <f ca="1">IF(AND(ISNUMBER($R$492),$B$294=1),$R$492,HLOOKUP(INDIRECT(ADDRESS(2,COLUMN())),OFFSET($BN$2,0,0,ROW()-1,60),ROW()-1,FALSE))</f>
        <v>7.6568938400000004</v>
      </c>
      <c r="S187">
        <f ca="1">IF(AND(ISNUMBER($S$492),$B$294=1),$S$492,HLOOKUP(INDIRECT(ADDRESS(2,COLUMN())),OFFSET($BN$2,0,0,ROW()-1,60),ROW()-1,FALSE))</f>
        <v>7.8273323039999996</v>
      </c>
      <c r="T187">
        <f ca="1">IF(AND(ISNUMBER($T$492),$B$294=1),$T$492,HLOOKUP(INDIRECT(ADDRESS(2,COLUMN())),OFFSET($BN$2,0,0,ROW()-1,60),ROW()-1,FALSE))</f>
        <v>7.682159822</v>
      </c>
      <c r="U187">
        <f ca="1">IF(AND(ISNUMBER($U$492),$B$294=1),$U$492,HLOOKUP(INDIRECT(ADDRESS(2,COLUMN())),OFFSET($BN$2,0,0,ROW()-1,60),ROW()-1,FALSE))</f>
        <v>7.3013876350000002</v>
      </c>
      <c r="V187">
        <f ca="1">IF(AND(ISNUMBER($V$492),$B$294=1),$V$492,HLOOKUP(INDIRECT(ADDRESS(2,COLUMN())),OFFSET($BN$2,0,0,ROW()-1,60),ROW()-1,FALSE))</f>
        <v>7.2371675350000002</v>
      </c>
      <c r="W187">
        <f ca="1">IF(AND(ISNUMBER($W$492),$B$294=1),$W$492,HLOOKUP(INDIRECT(ADDRESS(2,COLUMN())),OFFSET($BN$2,0,0,ROW()-1,60),ROW()-1,FALSE))</f>
        <v>6.5253341049999998</v>
      </c>
      <c r="X187">
        <f ca="1">IF(AND(ISNUMBER($X$492),$B$294=1),$X$492,HLOOKUP(INDIRECT(ADDRESS(2,COLUMN())),OFFSET($BN$2,0,0,ROW()-1,60),ROW()-1,FALSE))</f>
        <v>5.942085488</v>
      </c>
      <c r="Y187">
        <f ca="1">IF(AND(ISNUMBER($Y$492),$B$294=1),$Y$492,HLOOKUP(INDIRECT(ADDRESS(2,COLUMN())),OFFSET($BN$2,0,0,ROW()-1,60),ROW()-1,FALSE))</f>
        <v>6.2068600209999998</v>
      </c>
      <c r="Z187">
        <f ca="1">IF(AND(ISNUMBER($Z$492),$B$294=1),$Z$492,HLOOKUP(INDIRECT(ADDRESS(2,COLUMN())),OFFSET($BN$2,0,0,ROW()-1,60),ROW()-1,FALSE))</f>
        <v>6.3751620090000003</v>
      </c>
      <c r="AA187">
        <f ca="1">IF(AND(ISNUMBER($AA$492),$B$294=1),$AA$492,HLOOKUP(INDIRECT(ADDRESS(2,COLUMN())),OFFSET($BN$2,0,0,ROW()-1,60),ROW()-1,FALSE))</f>
        <v>5.7860803689999996</v>
      </c>
      <c r="AB187">
        <f ca="1">IF(AND(ISNUMBER($AB$492),$B$294=1),$AB$492,HLOOKUP(INDIRECT(ADDRESS(2,COLUMN())),OFFSET($BN$2,0,0,ROW()-1,60),ROW()-1,FALSE))</f>
        <v>5.1563159020000002</v>
      </c>
      <c r="AC187">
        <f ca="1">IF(AND(ISNUMBER($AC$492),$B$294=1),$AC$492,HLOOKUP(INDIRECT(ADDRESS(2,COLUMN())),OFFSET($BN$2,0,0,ROW()-1,60),ROW()-1,FALSE))</f>
        <v>4.8095435909999997</v>
      </c>
      <c r="AD187">
        <f ca="1">IF(AND(ISNUMBER($AD$492),$B$294=1),$AD$492,HLOOKUP(INDIRECT(ADDRESS(2,COLUMN())),OFFSET($BN$2,0,0,ROW()-1,60),ROW()-1,FALSE))</f>
        <v>4.7591797180000004</v>
      </c>
      <c r="AE187">
        <f ca="1">IF(AND(ISNUMBER($AE$492),$B$294=1),$AE$492,HLOOKUP(INDIRECT(ADDRESS(2,COLUMN())),OFFSET($BN$2,0,0,ROW()-1,60),ROW()-1,FALSE))</f>
        <v>4.7385266350000004</v>
      </c>
      <c r="AF187">
        <f ca="1">IF(AND(ISNUMBER($AF$492),$B$294=1),$AF$492,HLOOKUP(INDIRECT(ADDRESS(2,COLUMN())),OFFSET($BN$2,0,0,ROW()-1,60),ROW()-1,FALSE))</f>
        <v>4.6327085050000001</v>
      </c>
      <c r="AG187">
        <f ca="1">IF(AND(ISNUMBER($AG$492),$B$294=1),$AG$492,HLOOKUP(INDIRECT(ADDRESS(2,COLUMN())),OFFSET($BN$2,0,0,ROW()-1,60),ROW()-1,FALSE))</f>
        <v>4.6483127140000002</v>
      </c>
      <c r="AH187">
        <f ca="1">IF(AND(ISNUMBER($AH$492),$B$294=1),$AH$492,HLOOKUP(INDIRECT(ADDRESS(2,COLUMN())),OFFSET($BN$2,0,0,ROW()-1,60),ROW()-1,FALSE))</f>
        <v>4.6500372519999997</v>
      </c>
      <c r="AI187">
        <f ca="1">IF(AND(ISNUMBER($AI$492),$B$294=1),$AI$492,HLOOKUP(INDIRECT(ADDRESS(2,COLUMN())),OFFSET($BN$2,0,0,ROW()-1,60),ROW()-1,FALSE))</f>
        <v>5.052273671</v>
      </c>
      <c r="AJ187">
        <f ca="1">IF(AND(ISNUMBER($AJ$492),$B$294=1),$AJ$492,HLOOKUP(INDIRECT(ADDRESS(2,COLUMN())),OFFSET($BN$2,0,0,ROW()-1,60),ROW()-1,FALSE))</f>
        <v>4.9712824219999998</v>
      </c>
      <c r="AK187">
        <f ca="1">IF(AND(ISNUMBER($AK$492),$B$294=1),$AK$492,HLOOKUP(INDIRECT(ADDRESS(2,COLUMN())),OFFSET($BN$2,0,0,ROW()-1,60),ROW()-1,FALSE))</f>
        <v>4.8024066220000003</v>
      </c>
      <c r="AL187">
        <f ca="1">IF(AND(ISNUMBER($AL$492),$B$294=1),$AL$492,HLOOKUP(INDIRECT(ADDRESS(2,COLUMN())),OFFSET($BN$2,0,0,ROW()-1,60),ROW()-1,FALSE))</f>
        <v>4.8401995339999999</v>
      </c>
      <c r="AM187">
        <f ca="1">IF(AND(ISNUMBER($AM$492),$B$294=1),$AM$492,HLOOKUP(INDIRECT(ADDRESS(2,COLUMN())),OFFSET($BN$2,0,0,ROW()-1,60),ROW()-1,FALSE))</f>
        <v>4.8691983719999996</v>
      </c>
      <c r="AN187" t="str">
        <f ca="1">IF(AND(ISNUMBER($AN$492),$B$294=1),$AN$492,HLOOKUP(INDIRECT(ADDRESS(2,COLUMN())),OFFSET($BN$2,0,0,ROW()-1,60),ROW()-1,FALSE))</f>
        <v/>
      </c>
      <c r="AO187" t="str">
        <f ca="1">IF(AND(ISNUMBER($AO$492),$B$294=1),$AO$492,HLOOKUP(INDIRECT(ADDRESS(2,COLUMN())),OFFSET($BN$2,0,0,ROW()-1,60),ROW()-1,FALSE))</f>
        <v/>
      </c>
      <c r="AP187" t="str">
        <f ca="1">IF(AND(ISNUMBER($AP$492),$B$294=1),$AP$492,HLOOKUP(INDIRECT(ADDRESS(2,COLUMN())),OFFSET($BN$2,0,0,ROW()-1,60),ROW()-1,FALSE))</f>
        <v/>
      </c>
      <c r="AQ187" t="str">
        <f ca="1">IF(AND(ISNUMBER($AQ$492),$B$294=1),$AQ$492,HLOOKUP(INDIRECT(ADDRESS(2,COLUMN())),OFFSET($BN$2,0,0,ROW()-1,60),ROW()-1,FALSE))</f>
        <v/>
      </c>
      <c r="AR187" t="str">
        <f ca="1">IF(AND(ISNUMBER($AR$492),$B$294=1),$AR$492,HLOOKUP(INDIRECT(ADDRESS(2,COLUMN())),OFFSET($BN$2,0,0,ROW()-1,60),ROW()-1,FALSE))</f>
        <v/>
      </c>
      <c r="AS187" t="str">
        <f ca="1">IF(AND(ISNUMBER($AS$492),$B$294=1),$AS$492,HLOOKUP(INDIRECT(ADDRESS(2,COLUMN())),OFFSET($BN$2,0,0,ROW()-1,60),ROW()-1,FALSE))</f>
        <v/>
      </c>
      <c r="AT187" t="str">
        <f ca="1">IF(AND(ISNUMBER($AT$492),$B$294=1),$AT$492,HLOOKUP(INDIRECT(ADDRESS(2,COLUMN())),OFFSET($BN$2,0,0,ROW()-1,60),ROW()-1,FALSE))</f>
        <v/>
      </c>
      <c r="AU187" t="str">
        <f ca="1">IF(AND(ISNUMBER($AU$492),$B$294=1),$AU$492,HLOOKUP(INDIRECT(ADDRESS(2,COLUMN())),OFFSET($BN$2,0,0,ROW()-1,60),ROW()-1,FALSE))</f>
        <v/>
      </c>
      <c r="AV187" t="str">
        <f ca="1">IF(AND(ISNUMBER($AV$492),$B$294=1),$AV$492,HLOOKUP(INDIRECT(ADDRESS(2,COLUMN())),OFFSET($BN$2,0,0,ROW()-1,60),ROW()-1,FALSE))</f>
        <v/>
      </c>
      <c r="AW187" t="str">
        <f ca="1">IF(AND(ISNUMBER($AW$492),$B$294=1),$AW$492,HLOOKUP(INDIRECT(ADDRESS(2,COLUMN())),OFFSET($BN$2,0,0,ROW()-1,60),ROW()-1,FALSE))</f>
        <v/>
      </c>
      <c r="AX187" t="str">
        <f ca="1">IF(AND(ISNUMBER($AX$492),$B$294=1),$AX$492,HLOOKUP(INDIRECT(ADDRESS(2,COLUMN())),OFFSET($BN$2,0,0,ROW()-1,60),ROW()-1,FALSE))</f>
        <v/>
      </c>
      <c r="AY187" t="str">
        <f ca="1">IF(AND(ISNUMBER($AY$492),$B$294=1),$AY$492,HLOOKUP(INDIRECT(ADDRESS(2,COLUMN())),OFFSET($BN$2,0,0,ROW()-1,60),ROW()-1,FALSE))</f>
        <v/>
      </c>
      <c r="AZ187" t="str">
        <f ca="1">IF(AND(ISNUMBER($AZ$492),$B$294=1),$AZ$492,HLOOKUP(INDIRECT(ADDRESS(2,COLUMN())),OFFSET($BN$2,0,0,ROW()-1,60),ROW()-1,FALSE))</f>
        <v/>
      </c>
      <c r="BA187" t="str">
        <f ca="1">IF(AND(ISNUMBER($BA$492),$B$294=1),$BA$492,HLOOKUP(INDIRECT(ADDRESS(2,COLUMN())),OFFSET($BN$2,0,0,ROW()-1,60),ROW()-1,FALSE))</f>
        <v/>
      </c>
      <c r="BB187" t="str">
        <f ca="1">IF(AND(ISNUMBER($BB$492),$B$294=1),$BB$492,HLOOKUP(INDIRECT(ADDRESS(2,COLUMN())),OFFSET($BN$2,0,0,ROW()-1,60),ROW()-1,FALSE))</f>
        <v/>
      </c>
      <c r="BC187" t="str">
        <f ca="1">IF(AND(ISNUMBER($BC$492),$B$294=1),$BC$492,HLOOKUP(INDIRECT(ADDRESS(2,COLUMN())),OFFSET($BN$2,0,0,ROW()-1,60),ROW()-1,FALSE))</f>
        <v/>
      </c>
      <c r="BD187" t="str">
        <f ca="1">IF(AND(ISNUMBER($BD$492),$B$294=1),$BD$492,HLOOKUP(INDIRECT(ADDRESS(2,COLUMN())),OFFSET($BN$2,0,0,ROW()-1,60),ROW()-1,FALSE))</f>
        <v/>
      </c>
      <c r="BE187" t="str">
        <f ca="1">IF(AND(ISNUMBER($BE$492),$B$294=1),$BE$492,HLOOKUP(INDIRECT(ADDRESS(2,COLUMN())),OFFSET($BN$2,0,0,ROW()-1,60),ROW()-1,FALSE))</f>
        <v/>
      </c>
      <c r="BF187" t="str">
        <f ca="1">IF(AND(ISNUMBER($BF$492),$B$294=1),$BF$492,HLOOKUP(INDIRECT(ADDRESS(2,COLUMN())),OFFSET($BN$2,0,0,ROW()-1,60),ROW()-1,FALSE))</f>
        <v/>
      </c>
      <c r="BG187" t="str">
        <f ca="1">IF(AND(ISNUMBER($BG$492),$B$294=1),$BG$492,HLOOKUP(INDIRECT(ADDRESS(2,COLUMN())),OFFSET($BN$2,0,0,ROW()-1,60),ROW()-1,FALSE))</f>
        <v/>
      </c>
      <c r="BH187" t="str">
        <f ca="1">IF(AND(ISNUMBER($BH$492),$B$294=1),$BH$492,HLOOKUP(INDIRECT(ADDRESS(2,COLUMN())),OFFSET($BN$2,0,0,ROW()-1,60),ROW()-1,FALSE))</f>
        <v/>
      </c>
      <c r="BI187" t="str">
        <f ca="1">IF(AND(ISNUMBER($BI$492),$B$294=1),$BI$492,HLOOKUP(INDIRECT(ADDRESS(2,COLUMN())),OFFSET($BN$2,0,0,ROW()-1,60),ROW()-1,FALSE))</f>
        <v/>
      </c>
      <c r="BJ187" t="str">
        <f ca="1">IF(AND(ISNUMBER($BJ$492),$B$294=1),$BJ$492,HLOOKUP(INDIRECT(ADDRESS(2,COLUMN())),OFFSET($BN$2,0,0,ROW()-1,60),ROW()-1,FALSE))</f>
        <v/>
      </c>
      <c r="BK187" t="str">
        <f ca="1">IF(AND(ISNUMBER($BK$492),$B$294=1),$BK$492,HLOOKUP(INDIRECT(ADDRESS(2,COLUMN())),OFFSET($BN$2,0,0,ROW()-1,60),ROW()-1,FALSE))</f>
        <v/>
      </c>
      <c r="BL187" t="str">
        <f ca="1">IF(AND(ISNUMBER($BL$492),$B$294=1),$BL$492,HLOOKUP(INDIRECT(ADDRESS(2,COLUMN())),OFFSET($BN$2,0,0,ROW()-1,60),ROW()-1,FALSE))</f>
        <v/>
      </c>
      <c r="BM187" t="str">
        <f ca="1">IF(AND(ISNUMBER($BM$492),$B$294=1),$BM$492,HLOOKUP(INDIRECT(ADDRESS(2,COLUMN())),OFFSET($BN$2,0,0,ROW()-1,60),ROW()-1,FALSE))</f>
        <v/>
      </c>
      <c r="BN187" t="str">
        <f>""</f>
        <v/>
      </c>
      <c r="BO187">
        <f>9.011959188</f>
        <v>9.0119591880000005</v>
      </c>
      <c r="BP187">
        <f>8.776835689</f>
        <v>8.7768356890000003</v>
      </c>
      <c r="BQ187">
        <f>9.475291765</f>
        <v>9.4752917649999997</v>
      </c>
      <c r="BR187">
        <f>8.652675931</f>
        <v>8.6526759309999992</v>
      </c>
      <c r="BS187">
        <f>7.804732748</f>
        <v>7.8047327480000002</v>
      </c>
      <c r="BT187">
        <f>8.48255046</f>
        <v>8.4825504600000006</v>
      </c>
      <c r="BU187">
        <f>7.992085048</f>
        <v>7.9920850479999999</v>
      </c>
      <c r="BV187">
        <f>7.766051621</f>
        <v>7.7660516209999999</v>
      </c>
      <c r="BW187">
        <f>7.703158625</f>
        <v>7.7031586250000004</v>
      </c>
      <c r="BX187">
        <f>7.573500803</f>
        <v>7.5735008029999999</v>
      </c>
      <c r="BY187">
        <f>7.64954919</f>
        <v>7.6495491900000001</v>
      </c>
      <c r="BZ187">
        <f>7.65689384</f>
        <v>7.6568938400000004</v>
      </c>
      <c r="CA187">
        <f>7.827332304</f>
        <v>7.8273323039999996</v>
      </c>
      <c r="CB187">
        <f>7.682159822</f>
        <v>7.682159822</v>
      </c>
      <c r="CC187">
        <f>7.301387635</f>
        <v>7.3013876350000002</v>
      </c>
      <c r="CD187">
        <f>7.237167535</f>
        <v>7.2371675350000002</v>
      </c>
      <c r="CE187">
        <f>6.525334105</f>
        <v>6.5253341049999998</v>
      </c>
      <c r="CF187">
        <f>5.942085488</f>
        <v>5.942085488</v>
      </c>
      <c r="CG187">
        <f>6.206860021</f>
        <v>6.2068600209999998</v>
      </c>
      <c r="CH187">
        <f>6.375162009</f>
        <v>6.3751620090000003</v>
      </c>
      <c r="CI187">
        <f>5.786080369</f>
        <v>5.7860803689999996</v>
      </c>
      <c r="CJ187">
        <f>5.156315902</f>
        <v>5.1563159020000002</v>
      </c>
      <c r="CK187">
        <f>4.809543591</f>
        <v>4.8095435909999997</v>
      </c>
      <c r="CL187">
        <f>4.759179718</f>
        <v>4.7591797180000004</v>
      </c>
      <c r="CM187">
        <f>4.738526635</f>
        <v>4.7385266350000004</v>
      </c>
      <c r="CN187">
        <f>4.632708505</f>
        <v>4.6327085050000001</v>
      </c>
      <c r="CO187">
        <f>4.648312714</f>
        <v>4.6483127140000002</v>
      </c>
      <c r="CP187">
        <f>4.650037252</f>
        <v>4.6500372519999997</v>
      </c>
      <c r="CQ187">
        <f>5.052273671</f>
        <v>5.052273671</v>
      </c>
      <c r="CR187">
        <f>4.971282422</f>
        <v>4.9712824219999998</v>
      </c>
      <c r="CS187">
        <f>4.802406622</f>
        <v>4.8024066220000003</v>
      </c>
      <c r="CT187">
        <f>4.840199534</f>
        <v>4.8401995339999999</v>
      </c>
      <c r="CU187">
        <f>4.869198372</f>
        <v>4.8691983719999996</v>
      </c>
      <c r="CV187" t="str">
        <f>""</f>
        <v/>
      </c>
      <c r="CW187" t="str">
        <f>""</f>
        <v/>
      </c>
      <c r="CX187" t="str">
        <f>""</f>
        <v/>
      </c>
      <c r="CY187" t="str">
        <f>""</f>
        <v/>
      </c>
      <c r="CZ187" t="str">
        <f>""</f>
        <v/>
      </c>
      <c r="DA187" t="str">
        <f>""</f>
        <v/>
      </c>
      <c r="DB187" t="str">
        <f>""</f>
        <v/>
      </c>
      <c r="DC187" t="str">
        <f>""</f>
        <v/>
      </c>
      <c r="DD187" t="str">
        <f>""</f>
        <v/>
      </c>
      <c r="DE187" t="str">
        <f>""</f>
        <v/>
      </c>
      <c r="DF187" t="str">
        <f>""</f>
        <v/>
      </c>
      <c r="DG187" t="str">
        <f>""</f>
        <v/>
      </c>
      <c r="DH187" t="str">
        <f>""</f>
        <v/>
      </c>
      <c r="DI187" t="str">
        <f>""</f>
        <v/>
      </c>
      <c r="DJ187" t="str">
        <f>""</f>
        <v/>
      </c>
      <c r="DK187" t="str">
        <f>""</f>
        <v/>
      </c>
      <c r="DL187" t="str">
        <f>""</f>
        <v/>
      </c>
      <c r="DM187" t="str">
        <f>""</f>
        <v/>
      </c>
      <c r="DN187" t="str">
        <f>""</f>
        <v/>
      </c>
      <c r="DO187" t="str">
        <f>""</f>
        <v/>
      </c>
      <c r="DP187" t="str">
        <f>""</f>
        <v/>
      </c>
      <c r="DQ187" t="str">
        <f>""</f>
        <v/>
      </c>
      <c r="DR187" t="str">
        <f>""</f>
        <v/>
      </c>
      <c r="DS187" t="str">
        <f>""</f>
        <v/>
      </c>
      <c r="DT187" t="str">
        <f>""</f>
        <v/>
      </c>
      <c r="DU187" t="str">
        <f>""</f>
        <v/>
      </c>
    </row>
    <row r="188" spans="1:125">
      <c r="A188" t="str">
        <f>"    Piedmont Office Realty Trust I"</f>
        <v xml:space="preserve">    Piedmont Office Realty Trust I</v>
      </c>
      <c r="B188" t="str">
        <f>"PDM US Equity"</f>
        <v>PDM US Equity</v>
      </c>
      <c r="C188" t="str">
        <f t="shared" si="48"/>
        <v>F1178</v>
      </c>
      <c r="D188" t="str">
        <f t="shared" si="49"/>
        <v>NET_DEBT_EBITDA_ADJUSTED</v>
      </c>
      <c r="E188" t="str">
        <f t="shared" si="50"/>
        <v>动态</v>
      </c>
      <c r="F188" t="str">
        <f ca="1">IF(AND(ISNUMBER($F$493),$B$294=1),$F$493,HLOOKUP(INDIRECT(ADDRESS(2,COLUMN())),OFFSET($BN$2,0,0,ROW()-1,60),ROW()-1,FALSE))</f>
        <v/>
      </c>
      <c r="G188">
        <f ca="1">IF(AND(ISNUMBER($G$493),$B$294=1),$G$493,HLOOKUP(INDIRECT(ADDRESS(2,COLUMN())),OFFSET($BN$2,0,0,ROW()-1,60),ROW()-1,FALSE))</f>
        <v>5.3419438020000003</v>
      </c>
      <c r="H188">
        <f ca="1">IF(AND(ISNUMBER($H$493),$B$294=1),$H$493,HLOOKUP(INDIRECT(ADDRESS(2,COLUMN())),OFFSET($BN$2,0,0,ROW()-1,60),ROW()-1,FALSE))</f>
        <v>5.1134417059999997</v>
      </c>
      <c r="I188">
        <f ca="1">IF(AND(ISNUMBER($I$493),$B$294=1),$I$493,HLOOKUP(INDIRECT(ADDRESS(2,COLUMN())),OFFSET($BN$2,0,0,ROW()-1,60),ROW()-1,FALSE))</f>
        <v>6.2842637100000003</v>
      </c>
      <c r="J188">
        <f ca="1">IF(AND(ISNUMBER($J$493),$B$294=1),$J$493,HLOOKUP(INDIRECT(ADDRESS(2,COLUMN())),OFFSET($BN$2,0,0,ROW()-1,60),ROW()-1,FALSE))</f>
        <v>6.5311362050000001</v>
      </c>
      <c r="K188">
        <f ca="1">IF(AND(ISNUMBER($K$493),$B$294=1),$K$493,HLOOKUP(INDIRECT(ADDRESS(2,COLUMN())),OFFSET($BN$2,0,0,ROW()-1,60),ROW()-1,FALSE))</f>
        <v>6.5630445479999997</v>
      </c>
      <c r="L188">
        <f ca="1">IF(AND(ISNUMBER($L$493),$B$294=1),$L$493,HLOOKUP(INDIRECT(ADDRESS(2,COLUMN())),OFFSET($BN$2,0,0,ROW()-1,60),ROW()-1,FALSE))</f>
        <v>6.55203939</v>
      </c>
      <c r="M188">
        <f ca="1">IF(AND(ISNUMBER($M$493),$B$294=1),$M$493,HLOOKUP(INDIRECT(ADDRESS(2,COLUMN())),OFFSET($BN$2,0,0,ROW()-1,60),ROW()-1,FALSE))</f>
        <v>6.0780997179999998</v>
      </c>
      <c r="N188">
        <f ca="1">IF(AND(ISNUMBER($N$493),$B$294=1),$N$493,HLOOKUP(INDIRECT(ADDRESS(2,COLUMN())),OFFSET($BN$2,0,0,ROW()-1,60),ROW()-1,FALSE))</f>
        <v>6.4599105779999997</v>
      </c>
      <c r="O188">
        <f ca="1">IF(AND(ISNUMBER($O$493),$B$294=1),$O$493,HLOOKUP(INDIRECT(ADDRESS(2,COLUMN())),OFFSET($BN$2,0,0,ROW()-1,60),ROW()-1,FALSE))</f>
        <v>6.4721744360000004</v>
      </c>
      <c r="P188">
        <f ca="1">IF(AND(ISNUMBER($P$493),$B$294=1),$P$493,HLOOKUP(INDIRECT(ADDRESS(2,COLUMN())),OFFSET($BN$2,0,0,ROW()-1,60),ROW()-1,FALSE))</f>
        <v>7.7044075799999998</v>
      </c>
      <c r="Q188">
        <f ca="1">IF(AND(ISNUMBER($Q$493),$B$294=1),$Q$493,HLOOKUP(INDIRECT(ADDRESS(2,COLUMN())),OFFSET($BN$2,0,0,ROW()-1,60),ROW()-1,FALSE))</f>
        <v>7.4073653879999997</v>
      </c>
      <c r="R188">
        <f ca="1">IF(AND(ISNUMBER($R$493),$B$294=1),$R$493,HLOOKUP(INDIRECT(ADDRESS(2,COLUMN())),OFFSET($BN$2,0,0,ROW()-1,60),ROW()-1,FALSE))</f>
        <v>7.510243612</v>
      </c>
      <c r="S188">
        <f ca="1">IF(AND(ISNUMBER($S$493),$B$294=1),$S$493,HLOOKUP(INDIRECT(ADDRESS(2,COLUMN())),OFFSET($BN$2,0,0,ROW()-1,60),ROW()-1,FALSE))</f>
        <v>7.4551344500000001</v>
      </c>
      <c r="T188">
        <f ca="1">IF(AND(ISNUMBER($T$493),$B$294=1),$T$493,HLOOKUP(INDIRECT(ADDRESS(2,COLUMN())),OFFSET($BN$2,0,0,ROW()-1,60),ROW()-1,FALSE))</f>
        <v>7.3487948110000003</v>
      </c>
      <c r="U188">
        <f ca="1">IF(AND(ISNUMBER($U$493),$B$294=1),$U$493,HLOOKUP(INDIRECT(ADDRESS(2,COLUMN())),OFFSET($BN$2,0,0,ROW()-1,60),ROW()-1,FALSE))</f>
        <v>6.876093987</v>
      </c>
      <c r="V188">
        <f ca="1">IF(AND(ISNUMBER($V$493),$B$294=1),$V$493,HLOOKUP(INDIRECT(ADDRESS(2,COLUMN())),OFFSET($BN$2,0,0,ROW()-1,60),ROW()-1,FALSE))</f>
        <v>6.6144778280000001</v>
      </c>
      <c r="W188">
        <f ca="1">IF(AND(ISNUMBER($W$493),$B$294=1),$W$493,HLOOKUP(INDIRECT(ADDRESS(2,COLUMN())),OFFSET($BN$2,0,0,ROW()-1,60),ROW()-1,FALSE))</f>
        <v>6.4699175709999999</v>
      </c>
      <c r="X188">
        <f ca="1">IF(AND(ISNUMBER($X$493),$B$294=1),$X$493,HLOOKUP(INDIRECT(ADDRESS(2,COLUMN())),OFFSET($BN$2,0,0,ROW()-1,60),ROW()-1,FALSE))</f>
        <v>5.986732612</v>
      </c>
      <c r="Y188">
        <f ca="1">IF(AND(ISNUMBER($Y$493),$B$294=1),$Y$493,HLOOKUP(INDIRECT(ADDRESS(2,COLUMN())),OFFSET($BN$2,0,0,ROW()-1,60),ROW()-1,FALSE))</f>
        <v>5.6617570099999996</v>
      </c>
      <c r="Z188">
        <f ca="1">IF(AND(ISNUMBER($Z$493),$B$294=1),$Z$493,HLOOKUP(INDIRECT(ADDRESS(2,COLUMN())),OFFSET($BN$2,0,0,ROW()-1,60),ROW()-1,FALSE))</f>
        <v>5.5997243340000002</v>
      </c>
      <c r="AA188">
        <f ca="1">IF(AND(ISNUMBER($AA$493),$B$294=1),$AA$493,HLOOKUP(INDIRECT(ADDRESS(2,COLUMN())),OFFSET($BN$2,0,0,ROW()-1,60),ROW()-1,FALSE))</f>
        <v>4.696343487</v>
      </c>
      <c r="AB188">
        <f ca="1">IF(AND(ISNUMBER($AB$493),$B$294=1),$AB$493,HLOOKUP(INDIRECT(ADDRESS(2,COLUMN())),OFFSET($BN$2,0,0,ROW()-1,60),ROW()-1,FALSE))</f>
        <v>4.7013204440000003</v>
      </c>
      <c r="AC188">
        <f ca="1">IF(AND(ISNUMBER($AC$493),$B$294=1),$AC$493,HLOOKUP(INDIRECT(ADDRESS(2,COLUMN())),OFFSET($BN$2,0,0,ROW()-1,60),ROW()-1,FALSE))</f>
        <v>4.5224582790000003</v>
      </c>
      <c r="AD188">
        <f ca="1">IF(AND(ISNUMBER($AD$493),$B$294=1),$AD$493,HLOOKUP(INDIRECT(ADDRESS(2,COLUMN())),OFFSET($BN$2,0,0,ROW()-1,60),ROW()-1,FALSE))</f>
        <v>4.3011059420000004</v>
      </c>
      <c r="AE188">
        <f ca="1">IF(AND(ISNUMBER($AE$493),$B$294=1),$AE$493,HLOOKUP(INDIRECT(ADDRESS(2,COLUMN())),OFFSET($BN$2,0,0,ROW()-1,60),ROW()-1,FALSE))</f>
        <v>4.2632302849999997</v>
      </c>
      <c r="AF188">
        <f ca="1">IF(AND(ISNUMBER($AF$493),$B$294=1),$AF$493,HLOOKUP(INDIRECT(ADDRESS(2,COLUMN())),OFFSET($BN$2,0,0,ROW()-1,60),ROW()-1,FALSE))</f>
        <v>4.8378782170000001</v>
      </c>
      <c r="AG188">
        <f ca="1">IF(AND(ISNUMBER($AG$493),$B$294=1),$AG$493,HLOOKUP(INDIRECT(ADDRESS(2,COLUMN())),OFFSET($BN$2,0,0,ROW()-1,60),ROW()-1,FALSE))</f>
        <v>5.027946</v>
      </c>
      <c r="AH188">
        <f ca="1">IF(AND(ISNUMBER($AH$493),$B$294=1),$AH$493,HLOOKUP(INDIRECT(ADDRESS(2,COLUMN())),OFFSET($BN$2,0,0,ROW()-1,60),ROW()-1,FALSE))</f>
        <v>4.8137326040000001</v>
      </c>
      <c r="AI188">
        <f ca="1">IF(AND(ISNUMBER($AI$493),$B$294=1),$AI$493,HLOOKUP(INDIRECT(ADDRESS(2,COLUMN())),OFFSET($BN$2,0,0,ROW()-1,60),ROW()-1,FALSE))</f>
        <v>4.0877907579999997</v>
      </c>
      <c r="AJ188">
        <f ca="1">IF(AND(ISNUMBER($AJ$493),$B$294=1),$AJ$493,HLOOKUP(INDIRECT(ADDRESS(2,COLUMN())),OFFSET($BN$2,0,0,ROW()-1,60),ROW()-1,FALSE))</f>
        <v>3.9546352659999999</v>
      </c>
      <c r="AK188">
        <f ca="1">IF(AND(ISNUMBER($AK$493),$B$294=1),$AK$493,HLOOKUP(INDIRECT(ADDRESS(2,COLUMN())),OFFSET($BN$2,0,0,ROW()-1,60),ROW()-1,FALSE))</f>
        <v>3.9119220370000001</v>
      </c>
      <c r="AL188">
        <f ca="1">IF(AND(ISNUMBER($AL$493),$B$294=1),$AL$493,HLOOKUP(INDIRECT(ADDRESS(2,COLUMN())),OFFSET($BN$2,0,0,ROW()-1,60),ROW()-1,FALSE))</f>
        <v>3.885786065</v>
      </c>
      <c r="AM188">
        <f ca="1">IF(AND(ISNUMBER($AM$493),$B$294=1),$AM$493,HLOOKUP(INDIRECT(ADDRESS(2,COLUMN())),OFFSET($BN$2,0,0,ROW()-1,60),ROW()-1,FALSE))</f>
        <v>4.4034098549999996</v>
      </c>
      <c r="AN188" t="str">
        <f ca="1">IF(AND(ISNUMBER($AN$493),$B$294=1),$AN$493,HLOOKUP(INDIRECT(ADDRESS(2,COLUMN())),OFFSET($BN$2,0,0,ROW()-1,60),ROW()-1,FALSE))</f>
        <v/>
      </c>
      <c r="AO188" t="str">
        <f ca="1">IF(AND(ISNUMBER($AO$493),$B$294=1),$AO$493,HLOOKUP(INDIRECT(ADDRESS(2,COLUMN())),OFFSET($BN$2,0,0,ROW()-1,60),ROW()-1,FALSE))</f>
        <v/>
      </c>
      <c r="AP188" t="str">
        <f ca="1">IF(AND(ISNUMBER($AP$493),$B$294=1),$AP$493,HLOOKUP(INDIRECT(ADDRESS(2,COLUMN())),OFFSET($BN$2,0,0,ROW()-1,60),ROW()-1,FALSE))</f>
        <v/>
      </c>
      <c r="AQ188" t="str">
        <f ca="1">IF(AND(ISNUMBER($AQ$493),$B$294=1),$AQ$493,HLOOKUP(INDIRECT(ADDRESS(2,COLUMN())),OFFSET($BN$2,0,0,ROW()-1,60),ROW()-1,FALSE))</f>
        <v/>
      </c>
      <c r="AR188" t="str">
        <f ca="1">IF(AND(ISNUMBER($AR$493),$B$294=1),$AR$493,HLOOKUP(INDIRECT(ADDRESS(2,COLUMN())),OFFSET($BN$2,0,0,ROW()-1,60),ROW()-1,FALSE))</f>
        <v/>
      </c>
      <c r="AS188" t="str">
        <f ca="1">IF(AND(ISNUMBER($AS$493),$B$294=1),$AS$493,HLOOKUP(INDIRECT(ADDRESS(2,COLUMN())),OFFSET($BN$2,0,0,ROW()-1,60),ROW()-1,FALSE))</f>
        <v/>
      </c>
      <c r="AT188" t="str">
        <f ca="1">IF(AND(ISNUMBER($AT$493),$B$294=1),$AT$493,HLOOKUP(INDIRECT(ADDRESS(2,COLUMN())),OFFSET($BN$2,0,0,ROW()-1,60),ROW()-1,FALSE))</f>
        <v/>
      </c>
      <c r="AU188" t="str">
        <f ca="1">IF(AND(ISNUMBER($AU$493),$B$294=1),$AU$493,HLOOKUP(INDIRECT(ADDRESS(2,COLUMN())),OFFSET($BN$2,0,0,ROW()-1,60),ROW()-1,FALSE))</f>
        <v/>
      </c>
      <c r="AV188" t="str">
        <f ca="1">IF(AND(ISNUMBER($AV$493),$B$294=1),$AV$493,HLOOKUP(INDIRECT(ADDRESS(2,COLUMN())),OFFSET($BN$2,0,0,ROW()-1,60),ROW()-1,FALSE))</f>
        <v/>
      </c>
      <c r="AW188" t="str">
        <f ca="1">IF(AND(ISNUMBER($AW$493),$B$294=1),$AW$493,HLOOKUP(INDIRECT(ADDRESS(2,COLUMN())),OFFSET($BN$2,0,0,ROW()-1,60),ROW()-1,FALSE))</f>
        <v/>
      </c>
      <c r="AX188" t="str">
        <f ca="1">IF(AND(ISNUMBER($AX$493),$B$294=1),$AX$493,HLOOKUP(INDIRECT(ADDRESS(2,COLUMN())),OFFSET($BN$2,0,0,ROW()-1,60),ROW()-1,FALSE))</f>
        <v/>
      </c>
      <c r="AY188" t="str">
        <f ca="1">IF(AND(ISNUMBER($AY$493),$B$294=1),$AY$493,HLOOKUP(INDIRECT(ADDRESS(2,COLUMN())),OFFSET($BN$2,0,0,ROW()-1,60),ROW()-1,FALSE))</f>
        <v/>
      </c>
      <c r="AZ188" t="str">
        <f ca="1">IF(AND(ISNUMBER($AZ$493),$B$294=1),$AZ$493,HLOOKUP(INDIRECT(ADDRESS(2,COLUMN())),OFFSET($BN$2,0,0,ROW()-1,60),ROW()-1,FALSE))</f>
        <v/>
      </c>
      <c r="BA188" t="str">
        <f ca="1">IF(AND(ISNUMBER($BA$493),$B$294=1),$BA$493,HLOOKUP(INDIRECT(ADDRESS(2,COLUMN())),OFFSET($BN$2,0,0,ROW()-1,60),ROW()-1,FALSE))</f>
        <v/>
      </c>
      <c r="BB188" t="str">
        <f ca="1">IF(AND(ISNUMBER($BB$493),$B$294=1),$BB$493,HLOOKUP(INDIRECT(ADDRESS(2,COLUMN())),OFFSET($BN$2,0,0,ROW()-1,60),ROW()-1,FALSE))</f>
        <v/>
      </c>
      <c r="BC188" t="str">
        <f ca="1">IF(AND(ISNUMBER($BC$493),$B$294=1),$BC$493,HLOOKUP(INDIRECT(ADDRESS(2,COLUMN())),OFFSET($BN$2,0,0,ROW()-1,60),ROW()-1,FALSE))</f>
        <v/>
      </c>
      <c r="BD188" t="str">
        <f ca="1">IF(AND(ISNUMBER($BD$493),$B$294=1),$BD$493,HLOOKUP(INDIRECT(ADDRESS(2,COLUMN())),OFFSET($BN$2,0,0,ROW()-1,60),ROW()-1,FALSE))</f>
        <v/>
      </c>
      <c r="BE188" t="str">
        <f ca="1">IF(AND(ISNUMBER($BE$493),$B$294=1),$BE$493,HLOOKUP(INDIRECT(ADDRESS(2,COLUMN())),OFFSET($BN$2,0,0,ROW()-1,60),ROW()-1,FALSE))</f>
        <v/>
      </c>
      <c r="BF188" t="str">
        <f ca="1">IF(AND(ISNUMBER($BF$493),$B$294=1),$BF$493,HLOOKUP(INDIRECT(ADDRESS(2,COLUMN())),OFFSET($BN$2,0,0,ROW()-1,60),ROW()-1,FALSE))</f>
        <v/>
      </c>
      <c r="BG188" t="str">
        <f ca="1">IF(AND(ISNUMBER($BG$493),$B$294=1),$BG$493,HLOOKUP(INDIRECT(ADDRESS(2,COLUMN())),OFFSET($BN$2,0,0,ROW()-1,60),ROW()-1,FALSE))</f>
        <v/>
      </c>
      <c r="BH188" t="str">
        <f ca="1">IF(AND(ISNUMBER($BH$493),$B$294=1),$BH$493,HLOOKUP(INDIRECT(ADDRESS(2,COLUMN())),OFFSET($BN$2,0,0,ROW()-1,60),ROW()-1,FALSE))</f>
        <v/>
      </c>
      <c r="BI188" t="str">
        <f ca="1">IF(AND(ISNUMBER($BI$493),$B$294=1),$BI$493,HLOOKUP(INDIRECT(ADDRESS(2,COLUMN())),OFFSET($BN$2,0,0,ROW()-1,60),ROW()-1,FALSE))</f>
        <v/>
      </c>
      <c r="BJ188" t="str">
        <f ca="1">IF(AND(ISNUMBER($BJ$493),$B$294=1),$BJ$493,HLOOKUP(INDIRECT(ADDRESS(2,COLUMN())),OFFSET($BN$2,0,0,ROW()-1,60),ROW()-1,FALSE))</f>
        <v/>
      </c>
      <c r="BK188" t="str">
        <f ca="1">IF(AND(ISNUMBER($BK$493),$B$294=1),$BK$493,HLOOKUP(INDIRECT(ADDRESS(2,COLUMN())),OFFSET($BN$2,0,0,ROW()-1,60),ROW()-1,FALSE))</f>
        <v/>
      </c>
      <c r="BL188" t="str">
        <f ca="1">IF(AND(ISNUMBER($BL$493),$B$294=1),$BL$493,HLOOKUP(INDIRECT(ADDRESS(2,COLUMN())),OFFSET($BN$2,0,0,ROW()-1,60),ROW()-1,FALSE))</f>
        <v/>
      </c>
      <c r="BM188" t="str">
        <f ca="1">IF(AND(ISNUMBER($BM$493),$B$294=1),$BM$493,HLOOKUP(INDIRECT(ADDRESS(2,COLUMN())),OFFSET($BN$2,0,0,ROW()-1,60),ROW()-1,FALSE))</f>
        <v/>
      </c>
      <c r="BN188" t="str">
        <f>""</f>
        <v/>
      </c>
      <c r="BO188">
        <f>5.341943802</f>
        <v>5.3419438020000003</v>
      </c>
      <c r="BP188">
        <f>5.113441706</f>
        <v>5.1134417059999997</v>
      </c>
      <c r="BQ188">
        <f>6.28426371</f>
        <v>6.2842637100000003</v>
      </c>
      <c r="BR188">
        <f>6.531136205</f>
        <v>6.5311362050000001</v>
      </c>
      <c r="BS188">
        <f>6.563044548</f>
        <v>6.5630445479999997</v>
      </c>
      <c r="BT188">
        <f>6.55203939</f>
        <v>6.55203939</v>
      </c>
      <c r="BU188">
        <f>6.078099718</f>
        <v>6.0780997179999998</v>
      </c>
      <c r="BV188">
        <f>6.459910578</f>
        <v>6.4599105779999997</v>
      </c>
      <c r="BW188">
        <f>6.472174436</f>
        <v>6.4721744360000004</v>
      </c>
      <c r="BX188">
        <f>7.70440758</f>
        <v>7.7044075799999998</v>
      </c>
      <c r="BY188">
        <f>7.407365388</f>
        <v>7.4073653879999997</v>
      </c>
      <c r="BZ188">
        <f>7.510243612</f>
        <v>7.510243612</v>
      </c>
      <c r="CA188">
        <f>7.45513445</f>
        <v>7.4551344500000001</v>
      </c>
      <c r="CB188">
        <f>7.348794811</f>
        <v>7.3487948110000003</v>
      </c>
      <c r="CC188">
        <f>6.876093987</f>
        <v>6.876093987</v>
      </c>
      <c r="CD188">
        <f>6.614477828</f>
        <v>6.6144778280000001</v>
      </c>
      <c r="CE188">
        <f>6.469917571</f>
        <v>6.4699175709999999</v>
      </c>
      <c r="CF188">
        <f>5.986732612</f>
        <v>5.986732612</v>
      </c>
      <c r="CG188">
        <f>5.66175701</f>
        <v>5.6617570099999996</v>
      </c>
      <c r="CH188">
        <f>5.599724334</f>
        <v>5.5997243340000002</v>
      </c>
      <c r="CI188">
        <f>4.696343487</f>
        <v>4.696343487</v>
      </c>
      <c r="CJ188">
        <f>4.701320444</f>
        <v>4.7013204440000003</v>
      </c>
      <c r="CK188">
        <f>4.522458279</f>
        <v>4.5224582790000003</v>
      </c>
      <c r="CL188">
        <f>4.301105942</f>
        <v>4.3011059420000004</v>
      </c>
      <c r="CM188">
        <f>4.263230285</f>
        <v>4.2632302849999997</v>
      </c>
      <c r="CN188">
        <f>4.837878217</f>
        <v>4.8378782170000001</v>
      </c>
      <c r="CO188">
        <f>5.027946</f>
        <v>5.027946</v>
      </c>
      <c r="CP188">
        <f>4.813732604</f>
        <v>4.8137326040000001</v>
      </c>
      <c r="CQ188">
        <f>4.087790758</f>
        <v>4.0877907579999997</v>
      </c>
      <c r="CR188">
        <f>3.954635266</f>
        <v>3.9546352659999999</v>
      </c>
      <c r="CS188">
        <f>3.911922037</f>
        <v>3.9119220370000001</v>
      </c>
      <c r="CT188">
        <f>3.885786065</f>
        <v>3.885786065</v>
      </c>
      <c r="CU188">
        <f>4.403409855</f>
        <v>4.4034098549999996</v>
      </c>
      <c r="CV188" t="str">
        <f>""</f>
        <v/>
      </c>
      <c r="CW188" t="str">
        <f>""</f>
        <v/>
      </c>
      <c r="CX188" t="str">
        <f>""</f>
        <v/>
      </c>
      <c r="CY188" t="str">
        <f>""</f>
        <v/>
      </c>
      <c r="CZ188" t="str">
        <f>""</f>
        <v/>
      </c>
      <c r="DA188" t="str">
        <f>""</f>
        <v/>
      </c>
      <c r="DB188" t="str">
        <f>""</f>
        <v/>
      </c>
      <c r="DC188" t="str">
        <f>""</f>
        <v/>
      </c>
      <c r="DD188" t="str">
        <f>""</f>
        <v/>
      </c>
      <c r="DE188" t="str">
        <f>""</f>
        <v/>
      </c>
      <c r="DF188" t="str">
        <f>""</f>
        <v/>
      </c>
      <c r="DG188" t="str">
        <f>""</f>
        <v/>
      </c>
      <c r="DH188" t="str">
        <f>""</f>
        <v/>
      </c>
      <c r="DI188" t="str">
        <f>""</f>
        <v/>
      </c>
      <c r="DJ188" t="str">
        <f>""</f>
        <v/>
      </c>
      <c r="DK188" t="str">
        <f>""</f>
        <v/>
      </c>
      <c r="DL188" t="str">
        <f>""</f>
        <v/>
      </c>
      <c r="DM188" t="str">
        <f>""</f>
        <v/>
      </c>
      <c r="DN188" t="str">
        <f>""</f>
        <v/>
      </c>
      <c r="DO188" t="str">
        <f>""</f>
        <v/>
      </c>
      <c r="DP188" t="str">
        <f>""</f>
        <v/>
      </c>
      <c r="DQ188" t="str">
        <f>""</f>
        <v/>
      </c>
      <c r="DR188" t="str">
        <f>""</f>
        <v/>
      </c>
      <c r="DS188" t="str">
        <f>""</f>
        <v/>
      </c>
      <c r="DT188" t="str">
        <f>""</f>
        <v/>
      </c>
      <c r="DU188" t="str">
        <f>""</f>
        <v/>
      </c>
    </row>
    <row r="189" spans="1:125">
      <c r="A189" t="str">
        <f>"    SL Green Realty Corp"</f>
        <v xml:space="preserve">    SL Green Realty Corp</v>
      </c>
      <c r="B189" t="str">
        <f>"SLG US Equity"</f>
        <v>SLG US Equity</v>
      </c>
      <c r="C189" t="str">
        <f t="shared" si="48"/>
        <v>F1178</v>
      </c>
      <c r="D189" t="str">
        <f t="shared" si="49"/>
        <v>NET_DEBT_EBITDA_ADJUSTED</v>
      </c>
      <c r="E189" t="str">
        <f t="shared" si="50"/>
        <v>动态</v>
      </c>
      <c r="F189" t="str">
        <f ca="1">IF(AND(ISNUMBER($F$494),$B$294=1),$F$494,HLOOKUP(INDIRECT(ADDRESS(2,COLUMN())),OFFSET($BN$2,0,0,ROW()-1,60),ROW()-1,FALSE))</f>
        <v/>
      </c>
      <c r="G189">
        <f ca="1">IF(AND(ISNUMBER($G$494),$B$294=1),$G$494,HLOOKUP(INDIRECT(ADDRESS(2,COLUMN())),OFFSET($BN$2,0,0,ROW()-1,60),ROW()-1,FALSE))</f>
        <v>6.7219955059999998</v>
      </c>
      <c r="H189">
        <f ca="1">IF(AND(ISNUMBER($H$494),$B$294=1),$H$494,HLOOKUP(INDIRECT(ADDRESS(2,COLUMN())),OFFSET($BN$2,0,0,ROW()-1,60),ROW()-1,FALSE))</f>
        <v>7.2299711210000002</v>
      </c>
      <c r="I189">
        <f ca="1">IF(AND(ISNUMBER($I$494),$B$294=1),$I$494,HLOOKUP(INDIRECT(ADDRESS(2,COLUMN())),OFFSET($BN$2,0,0,ROW()-1,60),ROW()-1,FALSE))</f>
        <v>6.8563524569999998</v>
      </c>
      <c r="J189">
        <f ca="1">IF(AND(ISNUMBER($J$494),$B$294=1),$J$494,HLOOKUP(INDIRECT(ADDRESS(2,COLUMN())),OFFSET($BN$2,0,0,ROW()-1,60),ROW()-1,FALSE))</f>
        <v>5.5331014749999996</v>
      </c>
      <c r="K189">
        <f ca="1">IF(AND(ISNUMBER($K$494),$B$294=1),$K$494,HLOOKUP(INDIRECT(ADDRESS(2,COLUMN())),OFFSET($BN$2,0,0,ROW()-1,60),ROW()-1,FALSE))</f>
        <v>5.2617274070000004</v>
      </c>
      <c r="L189">
        <f ca="1">IF(AND(ISNUMBER($L$494),$B$294=1),$L$494,HLOOKUP(INDIRECT(ADDRESS(2,COLUMN())),OFFSET($BN$2,0,0,ROW()-1,60),ROW()-1,FALSE))</f>
        <v>4.8042639789999999</v>
      </c>
      <c r="M189">
        <f ca="1">IF(AND(ISNUMBER($M$494),$B$294=1),$M$494,HLOOKUP(INDIRECT(ADDRESS(2,COLUMN())),OFFSET($BN$2,0,0,ROW()-1,60),ROW()-1,FALSE))</f>
        <v>6.0940612490000001</v>
      </c>
      <c r="N189">
        <f ca="1">IF(AND(ISNUMBER($N$494),$B$294=1),$N$494,HLOOKUP(INDIRECT(ADDRESS(2,COLUMN())),OFFSET($BN$2,0,0,ROW()-1,60),ROW()-1,FALSE))</f>
        <v>8.5508000000000006</v>
      </c>
      <c r="O189">
        <f ca="1">IF(AND(ISNUMBER($O$494),$B$294=1),$O$494,HLOOKUP(INDIRECT(ADDRESS(2,COLUMN())),OFFSET($BN$2,0,0,ROW()-1,60),ROW()-1,FALSE))</f>
        <v>9.8959828549999997</v>
      </c>
      <c r="P189">
        <f ca="1">IF(AND(ISNUMBER($P$494),$B$294=1),$P$494,HLOOKUP(INDIRECT(ADDRESS(2,COLUMN())),OFFSET($BN$2,0,0,ROW()-1,60),ROW()-1,FALSE))</f>
        <v>10.098267570000001</v>
      </c>
      <c r="Q189">
        <f ca="1">IF(AND(ISNUMBER($Q$494),$B$294=1),$Q$494,HLOOKUP(INDIRECT(ADDRESS(2,COLUMN())),OFFSET($BN$2,0,0,ROW()-1,60),ROW()-1,FALSE))</f>
        <v>8.3626850029999993</v>
      </c>
      <c r="R189">
        <f ca="1">IF(AND(ISNUMBER($R$494),$B$294=1),$R$494,HLOOKUP(INDIRECT(ADDRESS(2,COLUMN())),OFFSET($BN$2,0,0,ROW()-1,60),ROW()-1,FALSE))</f>
        <v>8.3042595030000008</v>
      </c>
      <c r="S189">
        <f ca="1">IF(AND(ISNUMBER($S$494),$B$294=1),$S$494,HLOOKUP(INDIRECT(ADDRESS(2,COLUMN())),OFFSET($BN$2,0,0,ROW()-1,60),ROW()-1,FALSE))</f>
        <v>8.6562207230000006</v>
      </c>
      <c r="T189">
        <f ca="1">IF(AND(ISNUMBER($T$494),$B$294=1),$T$494,HLOOKUP(INDIRECT(ADDRESS(2,COLUMN())),OFFSET($BN$2,0,0,ROW()-1,60),ROW()-1,FALSE))</f>
        <v>9.1221650899999993</v>
      </c>
      <c r="U189">
        <f ca="1">IF(AND(ISNUMBER($U$494),$B$294=1),$U$494,HLOOKUP(INDIRECT(ADDRESS(2,COLUMN())),OFFSET($BN$2,0,0,ROW()-1,60),ROW()-1,FALSE))</f>
        <v>9.3846535000000006</v>
      </c>
      <c r="V189">
        <f ca="1">IF(AND(ISNUMBER($V$494),$B$294=1),$V$494,HLOOKUP(INDIRECT(ADDRESS(2,COLUMN())),OFFSET($BN$2,0,0,ROW()-1,60),ROW()-1,FALSE))</f>
        <v>8.3032156449999999</v>
      </c>
      <c r="W189">
        <f ca="1">IF(AND(ISNUMBER($W$494),$B$294=1),$W$494,HLOOKUP(INDIRECT(ADDRESS(2,COLUMN())),OFFSET($BN$2,0,0,ROW()-1,60),ROW()-1,FALSE))</f>
        <v>8.3065335339999997</v>
      </c>
      <c r="X189">
        <f ca="1">IF(AND(ISNUMBER($X$494),$B$294=1),$X$494,HLOOKUP(INDIRECT(ADDRESS(2,COLUMN())),OFFSET($BN$2,0,0,ROW()-1,60),ROW()-1,FALSE))</f>
        <v>8.1876953760000006</v>
      </c>
      <c r="Y189">
        <f ca="1">IF(AND(ISNUMBER($Y$494),$B$294=1),$Y$494,HLOOKUP(INDIRECT(ADDRESS(2,COLUMN())),OFFSET($BN$2,0,0,ROW()-1,60),ROW()-1,FALSE))</f>
        <v>8.0324435080000001</v>
      </c>
      <c r="Z189">
        <f ca="1">IF(AND(ISNUMBER($Z$494),$B$294=1),$Z$494,HLOOKUP(INDIRECT(ADDRESS(2,COLUMN())),OFFSET($BN$2,0,0,ROW()-1,60),ROW()-1,FALSE))</f>
        <v>8.0641285319999998</v>
      </c>
      <c r="AA189">
        <f ca="1">IF(AND(ISNUMBER($AA$494),$B$294=1),$AA$494,HLOOKUP(INDIRECT(ADDRESS(2,COLUMN())),OFFSET($BN$2,0,0,ROW()-1,60),ROW()-1,FALSE))</f>
        <v>8.1507620280000008</v>
      </c>
      <c r="AB189">
        <f ca="1">IF(AND(ISNUMBER($AB$494),$B$294=1),$AB$494,HLOOKUP(INDIRECT(ADDRESS(2,COLUMN())),OFFSET($BN$2,0,0,ROW()-1,60),ROW()-1,FALSE))</f>
        <v>8.1228210369999996</v>
      </c>
      <c r="AC189">
        <f ca="1">IF(AND(ISNUMBER($AC$494),$B$294=1),$AC$494,HLOOKUP(INDIRECT(ADDRESS(2,COLUMN())),OFFSET($BN$2,0,0,ROW()-1,60),ROW()-1,FALSE))</f>
        <v>8.1620462820000004</v>
      </c>
      <c r="AD189">
        <f ca="1">IF(AND(ISNUMBER($AD$494),$B$294=1),$AD$494,HLOOKUP(INDIRECT(ADDRESS(2,COLUMN())),OFFSET($BN$2,0,0,ROW()-1,60),ROW()-1,FALSE))</f>
        <v>8.5684193739999994</v>
      </c>
      <c r="AE189">
        <f ca="1">IF(AND(ISNUMBER($AE$494),$B$294=1),$AE$494,HLOOKUP(INDIRECT(ADDRESS(2,COLUMN())),OFFSET($BN$2,0,0,ROW()-1,60),ROW()-1,FALSE))</f>
        <v>8.3091691000000001</v>
      </c>
      <c r="AF189">
        <f ca="1">IF(AND(ISNUMBER($AF$494),$B$294=1),$AF$494,HLOOKUP(INDIRECT(ADDRESS(2,COLUMN())),OFFSET($BN$2,0,0,ROW()-1,60),ROW()-1,FALSE))</f>
        <v>8.2275044170000005</v>
      </c>
      <c r="AG189">
        <f ca="1">IF(AND(ISNUMBER($AG$494),$B$294=1),$AG$494,HLOOKUP(INDIRECT(ADDRESS(2,COLUMN())),OFFSET($BN$2,0,0,ROW()-1,60),ROW()-1,FALSE))</f>
        <v>7.4620046330000003</v>
      </c>
      <c r="AH189">
        <f ca="1">IF(AND(ISNUMBER($AH$494),$B$294=1),$AH$494,HLOOKUP(INDIRECT(ADDRESS(2,COLUMN())),OFFSET($BN$2,0,0,ROW()-1,60),ROW()-1,FALSE))</f>
        <v>7.0135573009999996</v>
      </c>
      <c r="AI189">
        <f ca="1">IF(AND(ISNUMBER($AI$494),$B$294=1),$AI$494,HLOOKUP(INDIRECT(ADDRESS(2,COLUMN())),OFFSET($BN$2,0,0,ROW()-1,60),ROW()-1,FALSE))</f>
        <v>8.3312265669999999</v>
      </c>
      <c r="AJ189">
        <f ca="1">IF(AND(ISNUMBER($AJ$494),$B$294=1),$AJ$494,HLOOKUP(INDIRECT(ADDRESS(2,COLUMN())),OFFSET($BN$2,0,0,ROW()-1,60),ROW()-1,FALSE))</f>
        <v>7.8056454190000002</v>
      </c>
      <c r="AK189">
        <f ca="1">IF(AND(ISNUMBER($AK$494),$B$294=1),$AK$494,HLOOKUP(INDIRECT(ADDRESS(2,COLUMN())),OFFSET($BN$2,0,0,ROW()-1,60),ROW()-1,FALSE))</f>
        <v>8.825193895</v>
      </c>
      <c r="AL189">
        <f ca="1">IF(AND(ISNUMBER($AL$494),$B$294=1),$AL$494,HLOOKUP(INDIRECT(ADDRESS(2,COLUMN())),OFFSET($BN$2,0,0,ROW()-1,60),ROW()-1,FALSE))</f>
        <v>10.43888112</v>
      </c>
      <c r="AM189">
        <f ca="1">IF(AND(ISNUMBER($AM$494),$B$294=1),$AM$494,HLOOKUP(INDIRECT(ADDRESS(2,COLUMN())),OFFSET($BN$2,0,0,ROW()-1,60),ROW()-1,FALSE))</f>
        <v>11.4058005</v>
      </c>
      <c r="AN189" t="str">
        <f ca="1">IF(AND(ISNUMBER($AN$494),$B$294=1),$AN$494,HLOOKUP(INDIRECT(ADDRESS(2,COLUMN())),OFFSET($BN$2,0,0,ROW()-1,60),ROW()-1,FALSE))</f>
        <v/>
      </c>
      <c r="AO189" t="str">
        <f ca="1">IF(AND(ISNUMBER($AO$494),$B$294=1),$AO$494,HLOOKUP(INDIRECT(ADDRESS(2,COLUMN())),OFFSET($BN$2,0,0,ROW()-1,60),ROW()-1,FALSE))</f>
        <v/>
      </c>
      <c r="AP189" t="str">
        <f ca="1">IF(AND(ISNUMBER($AP$494),$B$294=1),$AP$494,HLOOKUP(INDIRECT(ADDRESS(2,COLUMN())),OFFSET($BN$2,0,0,ROW()-1,60),ROW()-1,FALSE))</f>
        <v/>
      </c>
      <c r="AQ189" t="str">
        <f ca="1">IF(AND(ISNUMBER($AQ$494),$B$294=1),$AQ$494,HLOOKUP(INDIRECT(ADDRESS(2,COLUMN())),OFFSET($BN$2,0,0,ROW()-1,60),ROW()-1,FALSE))</f>
        <v/>
      </c>
      <c r="AR189" t="str">
        <f ca="1">IF(AND(ISNUMBER($AR$494),$B$294=1),$AR$494,HLOOKUP(INDIRECT(ADDRESS(2,COLUMN())),OFFSET($BN$2,0,0,ROW()-1,60),ROW()-1,FALSE))</f>
        <v/>
      </c>
      <c r="AS189" t="str">
        <f ca="1">IF(AND(ISNUMBER($AS$494),$B$294=1),$AS$494,HLOOKUP(INDIRECT(ADDRESS(2,COLUMN())),OFFSET($BN$2,0,0,ROW()-1,60),ROW()-1,FALSE))</f>
        <v/>
      </c>
      <c r="AT189" t="str">
        <f ca="1">IF(AND(ISNUMBER($AT$494),$B$294=1),$AT$494,HLOOKUP(INDIRECT(ADDRESS(2,COLUMN())),OFFSET($BN$2,0,0,ROW()-1,60),ROW()-1,FALSE))</f>
        <v/>
      </c>
      <c r="AU189" t="str">
        <f ca="1">IF(AND(ISNUMBER($AU$494),$B$294=1),$AU$494,HLOOKUP(INDIRECT(ADDRESS(2,COLUMN())),OFFSET($BN$2,0,0,ROW()-1,60),ROW()-1,FALSE))</f>
        <v/>
      </c>
      <c r="AV189" t="str">
        <f ca="1">IF(AND(ISNUMBER($AV$494),$B$294=1),$AV$494,HLOOKUP(INDIRECT(ADDRESS(2,COLUMN())),OFFSET($BN$2,0,0,ROW()-1,60),ROW()-1,FALSE))</f>
        <v/>
      </c>
      <c r="AW189" t="str">
        <f ca="1">IF(AND(ISNUMBER($AW$494),$B$294=1),$AW$494,HLOOKUP(INDIRECT(ADDRESS(2,COLUMN())),OFFSET($BN$2,0,0,ROW()-1,60),ROW()-1,FALSE))</f>
        <v/>
      </c>
      <c r="AX189" t="str">
        <f ca="1">IF(AND(ISNUMBER($AX$494),$B$294=1),$AX$494,HLOOKUP(INDIRECT(ADDRESS(2,COLUMN())),OFFSET($BN$2,0,0,ROW()-1,60),ROW()-1,FALSE))</f>
        <v/>
      </c>
      <c r="AY189" t="str">
        <f ca="1">IF(AND(ISNUMBER($AY$494),$B$294=1),$AY$494,HLOOKUP(INDIRECT(ADDRESS(2,COLUMN())),OFFSET($BN$2,0,0,ROW()-1,60),ROW()-1,FALSE))</f>
        <v/>
      </c>
      <c r="AZ189" t="str">
        <f ca="1">IF(AND(ISNUMBER($AZ$494),$B$294=1),$AZ$494,HLOOKUP(INDIRECT(ADDRESS(2,COLUMN())),OFFSET($BN$2,0,0,ROW()-1,60),ROW()-1,FALSE))</f>
        <v/>
      </c>
      <c r="BA189" t="str">
        <f ca="1">IF(AND(ISNUMBER($BA$494),$B$294=1),$BA$494,HLOOKUP(INDIRECT(ADDRESS(2,COLUMN())),OFFSET($BN$2,0,0,ROW()-1,60),ROW()-1,FALSE))</f>
        <v/>
      </c>
      <c r="BB189" t="str">
        <f ca="1">IF(AND(ISNUMBER($BB$494),$B$294=1),$BB$494,HLOOKUP(INDIRECT(ADDRESS(2,COLUMN())),OFFSET($BN$2,0,0,ROW()-1,60),ROW()-1,FALSE))</f>
        <v/>
      </c>
      <c r="BC189" t="str">
        <f ca="1">IF(AND(ISNUMBER($BC$494),$B$294=1),$BC$494,HLOOKUP(INDIRECT(ADDRESS(2,COLUMN())),OFFSET($BN$2,0,0,ROW()-1,60),ROW()-1,FALSE))</f>
        <v/>
      </c>
      <c r="BD189" t="str">
        <f ca="1">IF(AND(ISNUMBER($BD$494),$B$294=1),$BD$494,HLOOKUP(INDIRECT(ADDRESS(2,COLUMN())),OFFSET($BN$2,0,0,ROW()-1,60),ROW()-1,FALSE))</f>
        <v/>
      </c>
      <c r="BE189" t="str">
        <f ca="1">IF(AND(ISNUMBER($BE$494),$B$294=1),$BE$494,HLOOKUP(INDIRECT(ADDRESS(2,COLUMN())),OFFSET($BN$2,0,0,ROW()-1,60),ROW()-1,FALSE))</f>
        <v/>
      </c>
      <c r="BF189" t="str">
        <f ca="1">IF(AND(ISNUMBER($BF$494),$B$294=1),$BF$494,HLOOKUP(INDIRECT(ADDRESS(2,COLUMN())),OFFSET($BN$2,0,0,ROW()-1,60),ROW()-1,FALSE))</f>
        <v/>
      </c>
      <c r="BG189" t="str">
        <f ca="1">IF(AND(ISNUMBER($BG$494),$B$294=1),$BG$494,HLOOKUP(INDIRECT(ADDRESS(2,COLUMN())),OFFSET($BN$2,0,0,ROW()-1,60),ROW()-1,FALSE))</f>
        <v/>
      </c>
      <c r="BH189" t="str">
        <f ca="1">IF(AND(ISNUMBER($BH$494),$B$294=1),$BH$494,HLOOKUP(INDIRECT(ADDRESS(2,COLUMN())),OFFSET($BN$2,0,0,ROW()-1,60),ROW()-1,FALSE))</f>
        <v/>
      </c>
      <c r="BI189" t="str">
        <f ca="1">IF(AND(ISNUMBER($BI$494),$B$294=1),$BI$494,HLOOKUP(INDIRECT(ADDRESS(2,COLUMN())),OFFSET($BN$2,0,0,ROW()-1,60),ROW()-1,FALSE))</f>
        <v/>
      </c>
      <c r="BJ189" t="str">
        <f ca="1">IF(AND(ISNUMBER($BJ$494),$B$294=1),$BJ$494,HLOOKUP(INDIRECT(ADDRESS(2,COLUMN())),OFFSET($BN$2,0,0,ROW()-1,60),ROW()-1,FALSE))</f>
        <v/>
      </c>
      <c r="BK189" t="str">
        <f ca="1">IF(AND(ISNUMBER($BK$494),$B$294=1),$BK$494,HLOOKUP(INDIRECT(ADDRESS(2,COLUMN())),OFFSET($BN$2,0,0,ROW()-1,60),ROW()-1,FALSE))</f>
        <v/>
      </c>
      <c r="BL189" t="str">
        <f ca="1">IF(AND(ISNUMBER($BL$494),$B$294=1),$BL$494,HLOOKUP(INDIRECT(ADDRESS(2,COLUMN())),OFFSET($BN$2,0,0,ROW()-1,60),ROW()-1,FALSE))</f>
        <v/>
      </c>
      <c r="BM189" t="str">
        <f ca="1">IF(AND(ISNUMBER($BM$494),$B$294=1),$BM$494,HLOOKUP(INDIRECT(ADDRESS(2,COLUMN())),OFFSET($BN$2,0,0,ROW()-1,60),ROW()-1,FALSE))</f>
        <v/>
      </c>
      <c r="BN189" t="str">
        <f>""</f>
        <v/>
      </c>
      <c r="BO189">
        <f>6.721995506</f>
        <v>6.7219955059999998</v>
      </c>
      <c r="BP189">
        <f>7.229971121</f>
        <v>7.2299711210000002</v>
      </c>
      <c r="BQ189">
        <f>6.856352457</f>
        <v>6.8563524569999998</v>
      </c>
      <c r="BR189">
        <f>5.533101475</f>
        <v>5.5331014749999996</v>
      </c>
      <c r="BS189">
        <f>5.261727407</f>
        <v>5.2617274070000004</v>
      </c>
      <c r="BT189">
        <f>4.804263979</f>
        <v>4.8042639789999999</v>
      </c>
      <c r="BU189">
        <f>6.094061249</f>
        <v>6.0940612490000001</v>
      </c>
      <c r="BV189">
        <f>8.5508</f>
        <v>8.5508000000000006</v>
      </c>
      <c r="BW189">
        <f>9.895982855</f>
        <v>9.8959828549999997</v>
      </c>
      <c r="BX189">
        <f>10.09826757</f>
        <v>10.098267570000001</v>
      </c>
      <c r="BY189">
        <f>8.362685003</f>
        <v>8.3626850029999993</v>
      </c>
      <c r="BZ189">
        <f>8.304259503</f>
        <v>8.3042595030000008</v>
      </c>
      <c r="CA189">
        <f>8.656220723</f>
        <v>8.6562207230000006</v>
      </c>
      <c r="CB189">
        <f>9.12216509</f>
        <v>9.1221650899999993</v>
      </c>
      <c r="CC189">
        <f>9.3846535</f>
        <v>9.3846535000000006</v>
      </c>
      <c r="CD189">
        <f>8.303215645</f>
        <v>8.3032156449999999</v>
      </c>
      <c r="CE189">
        <f>8.306533534</f>
        <v>8.3065335339999997</v>
      </c>
      <c r="CF189">
        <f>8.187695376</f>
        <v>8.1876953760000006</v>
      </c>
      <c r="CG189">
        <f>8.032443508</f>
        <v>8.0324435080000001</v>
      </c>
      <c r="CH189">
        <f>8.064128532</f>
        <v>8.0641285319999998</v>
      </c>
      <c r="CI189">
        <f>8.150762028</f>
        <v>8.1507620280000008</v>
      </c>
      <c r="CJ189">
        <f>8.122821037</f>
        <v>8.1228210369999996</v>
      </c>
      <c r="CK189">
        <f>8.162046282</f>
        <v>8.1620462820000004</v>
      </c>
      <c r="CL189">
        <f>8.568419374</f>
        <v>8.5684193739999994</v>
      </c>
      <c r="CM189">
        <f>8.3091691</f>
        <v>8.3091691000000001</v>
      </c>
      <c r="CN189">
        <f>8.227504417</f>
        <v>8.2275044170000005</v>
      </c>
      <c r="CO189">
        <f>7.462004633</f>
        <v>7.4620046330000003</v>
      </c>
      <c r="CP189">
        <f>7.013557301</f>
        <v>7.0135573009999996</v>
      </c>
      <c r="CQ189">
        <f>8.331226567</f>
        <v>8.3312265669999999</v>
      </c>
      <c r="CR189">
        <f>7.805645419</f>
        <v>7.8056454190000002</v>
      </c>
      <c r="CS189">
        <f>8.825193895</f>
        <v>8.825193895</v>
      </c>
      <c r="CT189">
        <f>10.43888112</f>
        <v>10.43888112</v>
      </c>
      <c r="CU189">
        <f>11.4058005</f>
        <v>11.4058005</v>
      </c>
      <c r="CV189" t="str">
        <f>""</f>
        <v/>
      </c>
      <c r="CW189" t="str">
        <f>""</f>
        <v/>
      </c>
      <c r="CX189" t="str">
        <f>""</f>
        <v/>
      </c>
      <c r="CY189" t="str">
        <f>""</f>
        <v/>
      </c>
      <c r="CZ189" t="str">
        <f>""</f>
        <v/>
      </c>
      <c r="DA189" t="str">
        <f>""</f>
        <v/>
      </c>
      <c r="DB189" t="str">
        <f>""</f>
        <v/>
      </c>
      <c r="DC189" t="str">
        <f>""</f>
        <v/>
      </c>
      <c r="DD189" t="str">
        <f>""</f>
        <v/>
      </c>
      <c r="DE189" t="str">
        <f>""</f>
        <v/>
      </c>
      <c r="DF189" t="str">
        <f>""</f>
        <v/>
      </c>
      <c r="DG189" t="str">
        <f>""</f>
        <v/>
      </c>
      <c r="DH189" t="str">
        <f>""</f>
        <v/>
      </c>
      <c r="DI189" t="str">
        <f>""</f>
        <v/>
      </c>
      <c r="DJ189" t="str">
        <f>""</f>
        <v/>
      </c>
      <c r="DK189" t="str">
        <f>""</f>
        <v/>
      </c>
      <c r="DL189" t="str">
        <f>""</f>
        <v/>
      </c>
      <c r="DM189" t="str">
        <f>""</f>
        <v/>
      </c>
      <c r="DN189" t="str">
        <f>""</f>
        <v/>
      </c>
      <c r="DO189" t="str">
        <f>""</f>
        <v/>
      </c>
      <c r="DP189" t="str">
        <f>""</f>
        <v/>
      </c>
      <c r="DQ189" t="str">
        <f>""</f>
        <v/>
      </c>
      <c r="DR189" t="str">
        <f>""</f>
        <v/>
      </c>
      <c r="DS189" t="str">
        <f>""</f>
        <v/>
      </c>
      <c r="DT189" t="str">
        <f>""</f>
        <v/>
      </c>
      <c r="DU189" t="str">
        <f>""</f>
        <v/>
      </c>
    </row>
    <row r="190" spans="1:125">
      <c r="A190" t="str">
        <f>"    Vornado Realty Trust"</f>
        <v xml:space="preserve">    Vornado Realty Trust</v>
      </c>
      <c r="B190" t="str">
        <f>"VNO US Equity"</f>
        <v>VNO US Equity</v>
      </c>
      <c r="C190" t="str">
        <f t="shared" si="48"/>
        <v>F1178</v>
      </c>
      <c r="D190" t="str">
        <f t="shared" si="49"/>
        <v>NET_DEBT_EBITDA_ADJUSTED</v>
      </c>
      <c r="E190" t="str">
        <f t="shared" si="50"/>
        <v>动态</v>
      </c>
      <c r="F190" t="str">
        <f ca="1">IF(AND(ISNUMBER($F$495),$B$294=1),$F$495,HLOOKUP(INDIRECT(ADDRESS(2,COLUMN())),OFFSET($BN$2,0,0,ROW()-1,60),ROW()-1,FALSE))</f>
        <v/>
      </c>
      <c r="G190">
        <f ca="1">IF(AND(ISNUMBER($G$495),$B$294=1),$G$495,HLOOKUP(INDIRECT(ADDRESS(2,COLUMN())),OFFSET($BN$2,0,0,ROW()-1,60),ROW()-1,FALSE))</f>
        <v>7.31001134</v>
      </c>
      <c r="H190">
        <f ca="1">IF(AND(ISNUMBER($H$495),$B$294=1),$H$495,HLOOKUP(INDIRECT(ADDRESS(2,COLUMN())),OFFSET($BN$2,0,0,ROW()-1,60),ROW()-1,FALSE))</f>
        <v>6.9354403700000002</v>
      </c>
      <c r="I190">
        <f ca="1">IF(AND(ISNUMBER($I$495),$B$294=1),$I$495,HLOOKUP(INDIRECT(ADDRESS(2,COLUMN())),OFFSET($BN$2,0,0,ROW()-1,60),ROW()-1,FALSE))</f>
        <v>7.9525425969999999</v>
      </c>
      <c r="J190">
        <f ca="1">IF(AND(ISNUMBER($J$495),$B$294=1),$J$495,HLOOKUP(INDIRECT(ADDRESS(2,COLUMN())),OFFSET($BN$2,0,0,ROW()-1,60),ROW()-1,FALSE))</f>
        <v>7.3939294560000004</v>
      </c>
      <c r="K190">
        <f ca="1">IF(AND(ISNUMBER($K$495),$B$294=1),$K$495,HLOOKUP(INDIRECT(ADDRESS(2,COLUMN())),OFFSET($BN$2,0,0,ROW()-1,60),ROW()-1,FALSE))</f>
        <v>7.3588832110000002</v>
      </c>
      <c r="L190">
        <f ca="1">IF(AND(ISNUMBER($L$495),$B$294=1),$L$495,HLOOKUP(INDIRECT(ADDRESS(2,COLUMN())),OFFSET($BN$2,0,0,ROW()-1,60),ROW()-1,FALSE))</f>
        <v>7.8091126949999996</v>
      </c>
      <c r="M190">
        <f ca="1">IF(AND(ISNUMBER($M$495),$B$294=1),$M$495,HLOOKUP(INDIRECT(ADDRESS(2,COLUMN())),OFFSET($BN$2,0,0,ROW()-1,60),ROW()-1,FALSE))</f>
        <v>7.509010698</v>
      </c>
      <c r="N190">
        <f ca="1">IF(AND(ISNUMBER($N$495),$B$294=1),$N$495,HLOOKUP(INDIRECT(ADDRESS(2,COLUMN())),OFFSET($BN$2,0,0,ROW()-1,60),ROW()-1,FALSE))</f>
        <v>7.4797460500000001</v>
      </c>
      <c r="O190">
        <f ca="1">IF(AND(ISNUMBER($O$495),$B$294=1),$O$495,HLOOKUP(INDIRECT(ADDRESS(2,COLUMN())),OFFSET($BN$2,0,0,ROW()-1,60),ROW()-1,FALSE))</f>
        <v>7.4078989389999998</v>
      </c>
      <c r="P190">
        <f ca="1">IF(AND(ISNUMBER($P$495),$B$294=1),$P$495,HLOOKUP(INDIRECT(ADDRESS(2,COLUMN())),OFFSET($BN$2,0,0,ROW()-1,60),ROW()-1,FALSE))</f>
        <v>7.3888510849999998</v>
      </c>
      <c r="Q190">
        <f ca="1">IF(AND(ISNUMBER($Q$495),$B$294=1),$Q$495,HLOOKUP(INDIRECT(ADDRESS(2,COLUMN())),OFFSET($BN$2,0,0,ROW()-1,60),ROW()-1,FALSE))</f>
        <v>7.5169027269999997</v>
      </c>
      <c r="R190">
        <f ca="1">IF(AND(ISNUMBER($R$495),$B$294=1),$R$495,HLOOKUP(INDIRECT(ADDRESS(2,COLUMN())),OFFSET($BN$2,0,0,ROW()-1,60),ROW()-1,FALSE))</f>
        <v>6.9904159579999998</v>
      </c>
      <c r="S190">
        <f ca="1">IF(AND(ISNUMBER($S$495),$B$294=1),$S$495,HLOOKUP(INDIRECT(ADDRESS(2,COLUMN())),OFFSET($BN$2,0,0,ROW()-1,60),ROW()-1,FALSE))</f>
        <v>6.7931170840000004</v>
      </c>
      <c r="T190">
        <f ca="1">IF(AND(ISNUMBER($T$495),$B$294=1),$T$495,HLOOKUP(INDIRECT(ADDRESS(2,COLUMN())),OFFSET($BN$2,0,0,ROW()-1,60),ROW()-1,FALSE))</f>
        <v>7.8129509160000001</v>
      </c>
      <c r="U190">
        <f ca="1">IF(AND(ISNUMBER($U$495),$B$294=1),$U$495,HLOOKUP(INDIRECT(ADDRESS(2,COLUMN())),OFFSET($BN$2,0,0,ROW()-1,60),ROW()-1,FALSE))</f>
        <v>7.5565245409999999</v>
      </c>
      <c r="V190">
        <f ca="1">IF(AND(ISNUMBER($V$495),$B$294=1),$V$495,HLOOKUP(INDIRECT(ADDRESS(2,COLUMN())),OFFSET($BN$2,0,0,ROW()-1,60),ROW()-1,FALSE))</f>
        <v>7.1884885120000002</v>
      </c>
      <c r="W190">
        <f ca="1">IF(AND(ISNUMBER($W$495),$B$294=1),$W$495,HLOOKUP(INDIRECT(ADDRESS(2,COLUMN())),OFFSET($BN$2,0,0,ROW()-1,60),ROW()-1,FALSE))</f>
        <v>6.816747758</v>
      </c>
      <c r="X190">
        <f ca="1">IF(AND(ISNUMBER($X$495),$B$294=1),$X$495,HLOOKUP(INDIRECT(ADDRESS(2,COLUMN())),OFFSET($BN$2,0,0,ROW()-1,60),ROW()-1,FALSE))</f>
        <v>7.1351885790000003</v>
      </c>
      <c r="Y190">
        <f ca="1">IF(AND(ISNUMBER($Y$495),$B$294=1),$Y$495,HLOOKUP(INDIRECT(ADDRESS(2,COLUMN())),OFFSET($BN$2,0,0,ROW()-1,60),ROW()-1,FALSE))</f>
        <v>7.4163943950000002</v>
      </c>
      <c r="Z190">
        <f ca="1">IF(AND(ISNUMBER($Z$495),$B$294=1),$Z$495,HLOOKUP(INDIRECT(ADDRESS(2,COLUMN())),OFFSET($BN$2,0,0,ROW()-1,60),ROW()-1,FALSE))</f>
        <v>7.8400793310000001</v>
      </c>
      <c r="AA190">
        <f ca="1">IF(AND(ISNUMBER($AA$495),$B$294=1),$AA$495,HLOOKUP(INDIRECT(ADDRESS(2,COLUMN())),OFFSET($BN$2,0,0,ROW()-1,60),ROW()-1,FALSE))</f>
        <v>8.8416801110000005</v>
      </c>
      <c r="AB190">
        <f ca="1">IF(AND(ISNUMBER($AB$495),$B$294=1),$AB$495,HLOOKUP(INDIRECT(ADDRESS(2,COLUMN())),OFFSET($BN$2,0,0,ROW()-1,60),ROW()-1,FALSE))</f>
        <v>7.0910460940000002</v>
      </c>
      <c r="AC190">
        <f ca="1">IF(AND(ISNUMBER($AC$495),$B$294=1),$AC$495,HLOOKUP(INDIRECT(ADDRESS(2,COLUMN())),OFFSET($BN$2,0,0,ROW()-1,60),ROW()-1,FALSE))</f>
        <v>7.2773880240000004</v>
      </c>
      <c r="AD190">
        <f ca="1">IF(AND(ISNUMBER($AD$495),$B$294=1),$AD$495,HLOOKUP(INDIRECT(ADDRESS(2,COLUMN())),OFFSET($BN$2,0,0,ROW()-1,60),ROW()-1,FALSE))</f>
        <v>7.1209674510000003</v>
      </c>
      <c r="AE190">
        <f ca="1">IF(AND(ISNUMBER($AE$495),$B$294=1),$AE$495,HLOOKUP(INDIRECT(ADDRESS(2,COLUMN())),OFFSET($BN$2,0,0,ROW()-1,60),ROW()-1,FALSE))</f>
        <v>6.9531724490000002</v>
      </c>
      <c r="AF190">
        <f ca="1">IF(AND(ISNUMBER($AF$495),$B$294=1),$AF$495,HLOOKUP(INDIRECT(ADDRESS(2,COLUMN())),OFFSET($BN$2,0,0,ROW()-1,60),ROW()-1,FALSE))</f>
        <v>7.2453431909999999</v>
      </c>
      <c r="AG190">
        <f ca="1">IF(AND(ISNUMBER($AG$495),$B$294=1),$AG$495,HLOOKUP(INDIRECT(ADDRESS(2,COLUMN())),OFFSET($BN$2,0,0,ROW()-1,60),ROW()-1,FALSE))</f>
        <v>7.3015309049999999</v>
      </c>
      <c r="AH190">
        <f ca="1">IF(AND(ISNUMBER($AH$495),$B$294=1),$AH$495,HLOOKUP(INDIRECT(ADDRESS(2,COLUMN())),OFFSET($BN$2,0,0,ROW()-1,60),ROW()-1,FALSE))</f>
        <v>7.4897502889999998</v>
      </c>
      <c r="AI190">
        <f ca="1">IF(AND(ISNUMBER($AI$495),$B$294=1),$AI$495,HLOOKUP(INDIRECT(ADDRESS(2,COLUMN())),OFFSET($BN$2,0,0,ROW()-1,60),ROW()-1,FALSE))</f>
        <v>7.2055324599999997</v>
      </c>
      <c r="AJ190">
        <f ca="1">IF(AND(ISNUMBER($AJ$495),$B$294=1),$AJ$495,HLOOKUP(INDIRECT(ADDRESS(2,COLUMN())),OFFSET($BN$2,0,0,ROW()-1,60),ROW()-1,FALSE))</f>
        <v>7.7167655230000003</v>
      </c>
      <c r="AK190">
        <f ca="1">IF(AND(ISNUMBER($AK$495),$B$294=1),$AK$495,HLOOKUP(INDIRECT(ADDRESS(2,COLUMN())),OFFSET($BN$2,0,0,ROW()-1,60),ROW()-1,FALSE))</f>
        <v>7.5795666309999996</v>
      </c>
      <c r="AL190">
        <f ca="1">IF(AND(ISNUMBER($AL$495),$B$294=1),$AL$495,HLOOKUP(INDIRECT(ADDRESS(2,COLUMN())),OFFSET($BN$2,0,0,ROW()-1,60),ROW()-1,FALSE))</f>
        <v>7.9222025049999996</v>
      </c>
      <c r="AM190">
        <f ca="1">IF(AND(ISNUMBER($AM$495),$B$294=1),$AM$495,HLOOKUP(INDIRECT(ADDRESS(2,COLUMN())),OFFSET($BN$2,0,0,ROW()-1,60),ROW()-1,FALSE))</f>
        <v>7.6431590739999997</v>
      </c>
      <c r="AN190" t="str">
        <f ca="1">IF(AND(ISNUMBER($AN$495),$B$294=1),$AN$495,HLOOKUP(INDIRECT(ADDRESS(2,COLUMN())),OFFSET($BN$2,0,0,ROW()-1,60),ROW()-1,FALSE))</f>
        <v/>
      </c>
      <c r="AO190" t="str">
        <f ca="1">IF(AND(ISNUMBER($AO$495),$B$294=1),$AO$495,HLOOKUP(INDIRECT(ADDRESS(2,COLUMN())),OFFSET($BN$2,0,0,ROW()-1,60),ROW()-1,FALSE))</f>
        <v/>
      </c>
      <c r="AP190" t="str">
        <f ca="1">IF(AND(ISNUMBER($AP$495),$B$294=1),$AP$495,HLOOKUP(INDIRECT(ADDRESS(2,COLUMN())),OFFSET($BN$2,0,0,ROW()-1,60),ROW()-1,FALSE))</f>
        <v/>
      </c>
      <c r="AQ190" t="str">
        <f ca="1">IF(AND(ISNUMBER($AQ$495),$B$294=1),$AQ$495,HLOOKUP(INDIRECT(ADDRESS(2,COLUMN())),OFFSET($BN$2,0,0,ROW()-1,60),ROW()-1,FALSE))</f>
        <v/>
      </c>
      <c r="AR190" t="str">
        <f ca="1">IF(AND(ISNUMBER($AR$495),$B$294=1),$AR$495,HLOOKUP(INDIRECT(ADDRESS(2,COLUMN())),OFFSET($BN$2,0,0,ROW()-1,60),ROW()-1,FALSE))</f>
        <v/>
      </c>
      <c r="AS190" t="str">
        <f ca="1">IF(AND(ISNUMBER($AS$495),$B$294=1),$AS$495,HLOOKUP(INDIRECT(ADDRESS(2,COLUMN())),OFFSET($BN$2,0,0,ROW()-1,60),ROW()-1,FALSE))</f>
        <v/>
      </c>
      <c r="AT190" t="str">
        <f ca="1">IF(AND(ISNUMBER($AT$495),$B$294=1),$AT$495,HLOOKUP(INDIRECT(ADDRESS(2,COLUMN())),OFFSET($BN$2,0,0,ROW()-1,60),ROW()-1,FALSE))</f>
        <v/>
      </c>
      <c r="AU190" t="str">
        <f ca="1">IF(AND(ISNUMBER($AU$495),$B$294=1),$AU$495,HLOOKUP(INDIRECT(ADDRESS(2,COLUMN())),OFFSET($BN$2,0,0,ROW()-1,60),ROW()-1,FALSE))</f>
        <v/>
      </c>
      <c r="AV190" t="str">
        <f ca="1">IF(AND(ISNUMBER($AV$495),$B$294=1),$AV$495,HLOOKUP(INDIRECT(ADDRESS(2,COLUMN())),OFFSET($BN$2,0,0,ROW()-1,60),ROW()-1,FALSE))</f>
        <v/>
      </c>
      <c r="AW190" t="str">
        <f ca="1">IF(AND(ISNUMBER($AW$495),$B$294=1),$AW$495,HLOOKUP(INDIRECT(ADDRESS(2,COLUMN())),OFFSET($BN$2,0,0,ROW()-1,60),ROW()-1,FALSE))</f>
        <v/>
      </c>
      <c r="AX190" t="str">
        <f ca="1">IF(AND(ISNUMBER($AX$495),$B$294=1),$AX$495,HLOOKUP(INDIRECT(ADDRESS(2,COLUMN())),OFFSET($BN$2,0,0,ROW()-1,60),ROW()-1,FALSE))</f>
        <v/>
      </c>
      <c r="AY190" t="str">
        <f ca="1">IF(AND(ISNUMBER($AY$495),$B$294=1),$AY$495,HLOOKUP(INDIRECT(ADDRESS(2,COLUMN())),OFFSET($BN$2,0,0,ROW()-1,60),ROW()-1,FALSE))</f>
        <v/>
      </c>
      <c r="AZ190" t="str">
        <f ca="1">IF(AND(ISNUMBER($AZ$495),$B$294=1),$AZ$495,HLOOKUP(INDIRECT(ADDRESS(2,COLUMN())),OFFSET($BN$2,0,0,ROW()-1,60),ROW()-1,FALSE))</f>
        <v/>
      </c>
      <c r="BA190" t="str">
        <f ca="1">IF(AND(ISNUMBER($BA$495),$B$294=1),$BA$495,HLOOKUP(INDIRECT(ADDRESS(2,COLUMN())),OFFSET($BN$2,0,0,ROW()-1,60),ROW()-1,FALSE))</f>
        <v/>
      </c>
      <c r="BB190" t="str">
        <f ca="1">IF(AND(ISNUMBER($BB$495),$B$294=1),$BB$495,HLOOKUP(INDIRECT(ADDRESS(2,COLUMN())),OFFSET($BN$2,0,0,ROW()-1,60),ROW()-1,FALSE))</f>
        <v/>
      </c>
      <c r="BC190" t="str">
        <f ca="1">IF(AND(ISNUMBER($BC$495),$B$294=1),$BC$495,HLOOKUP(INDIRECT(ADDRESS(2,COLUMN())),OFFSET($BN$2,0,0,ROW()-1,60),ROW()-1,FALSE))</f>
        <v/>
      </c>
      <c r="BD190" t="str">
        <f ca="1">IF(AND(ISNUMBER($BD$495),$B$294=1),$BD$495,HLOOKUP(INDIRECT(ADDRESS(2,COLUMN())),OFFSET($BN$2,0,0,ROW()-1,60),ROW()-1,FALSE))</f>
        <v/>
      </c>
      <c r="BE190" t="str">
        <f ca="1">IF(AND(ISNUMBER($BE$495),$B$294=1),$BE$495,HLOOKUP(INDIRECT(ADDRESS(2,COLUMN())),OFFSET($BN$2,0,0,ROW()-1,60),ROW()-1,FALSE))</f>
        <v/>
      </c>
      <c r="BF190" t="str">
        <f ca="1">IF(AND(ISNUMBER($BF$495),$B$294=1),$BF$495,HLOOKUP(INDIRECT(ADDRESS(2,COLUMN())),OFFSET($BN$2,0,0,ROW()-1,60),ROW()-1,FALSE))</f>
        <v/>
      </c>
      <c r="BG190" t="str">
        <f ca="1">IF(AND(ISNUMBER($BG$495),$B$294=1),$BG$495,HLOOKUP(INDIRECT(ADDRESS(2,COLUMN())),OFFSET($BN$2,0,0,ROW()-1,60),ROW()-1,FALSE))</f>
        <v/>
      </c>
      <c r="BH190" t="str">
        <f ca="1">IF(AND(ISNUMBER($BH$495),$B$294=1),$BH$495,HLOOKUP(INDIRECT(ADDRESS(2,COLUMN())),OFFSET($BN$2,0,0,ROW()-1,60),ROW()-1,FALSE))</f>
        <v/>
      </c>
      <c r="BI190" t="str">
        <f ca="1">IF(AND(ISNUMBER($BI$495),$B$294=1),$BI$495,HLOOKUP(INDIRECT(ADDRESS(2,COLUMN())),OFFSET($BN$2,0,0,ROW()-1,60),ROW()-1,FALSE))</f>
        <v/>
      </c>
      <c r="BJ190" t="str">
        <f ca="1">IF(AND(ISNUMBER($BJ$495),$B$294=1),$BJ$495,HLOOKUP(INDIRECT(ADDRESS(2,COLUMN())),OFFSET($BN$2,0,0,ROW()-1,60),ROW()-1,FALSE))</f>
        <v/>
      </c>
      <c r="BK190" t="str">
        <f ca="1">IF(AND(ISNUMBER($BK$495),$B$294=1),$BK$495,HLOOKUP(INDIRECT(ADDRESS(2,COLUMN())),OFFSET($BN$2,0,0,ROW()-1,60),ROW()-1,FALSE))</f>
        <v/>
      </c>
      <c r="BL190" t="str">
        <f ca="1">IF(AND(ISNUMBER($BL$495),$B$294=1),$BL$495,HLOOKUP(INDIRECT(ADDRESS(2,COLUMN())),OFFSET($BN$2,0,0,ROW()-1,60),ROW()-1,FALSE))</f>
        <v/>
      </c>
      <c r="BM190" t="str">
        <f ca="1">IF(AND(ISNUMBER($BM$495),$B$294=1),$BM$495,HLOOKUP(INDIRECT(ADDRESS(2,COLUMN())),OFFSET($BN$2,0,0,ROW()-1,60),ROW()-1,FALSE))</f>
        <v/>
      </c>
      <c r="BN190" t="str">
        <f>""</f>
        <v/>
      </c>
      <c r="BO190">
        <f>7.31001134</f>
        <v>7.31001134</v>
      </c>
      <c r="BP190">
        <f>6.93544037</f>
        <v>6.9354403700000002</v>
      </c>
      <c r="BQ190">
        <f>7.952542597</f>
        <v>7.9525425969999999</v>
      </c>
      <c r="BR190">
        <f>7.393929456</f>
        <v>7.3939294560000004</v>
      </c>
      <c r="BS190">
        <f>7.358883211</f>
        <v>7.3588832110000002</v>
      </c>
      <c r="BT190">
        <f>7.809112695</f>
        <v>7.8091126949999996</v>
      </c>
      <c r="BU190">
        <f>7.509010698</f>
        <v>7.509010698</v>
      </c>
      <c r="BV190">
        <f>7.47974605</f>
        <v>7.4797460500000001</v>
      </c>
      <c r="BW190">
        <f>7.407898939</f>
        <v>7.4078989389999998</v>
      </c>
      <c r="BX190">
        <f>7.388851085</f>
        <v>7.3888510849999998</v>
      </c>
      <c r="BY190">
        <f>7.516902727</f>
        <v>7.5169027269999997</v>
      </c>
      <c r="BZ190">
        <f>6.990415958</f>
        <v>6.9904159579999998</v>
      </c>
      <c r="CA190">
        <f>6.793117084</f>
        <v>6.7931170840000004</v>
      </c>
      <c r="CB190">
        <f>7.812950916</f>
        <v>7.8129509160000001</v>
      </c>
      <c r="CC190">
        <f>7.556524541</f>
        <v>7.5565245409999999</v>
      </c>
      <c r="CD190">
        <f>7.188488512</f>
        <v>7.1884885120000002</v>
      </c>
      <c r="CE190">
        <f>6.816747758</f>
        <v>6.816747758</v>
      </c>
      <c r="CF190">
        <f>7.135188579</f>
        <v>7.1351885790000003</v>
      </c>
      <c r="CG190">
        <f>7.416394395</f>
        <v>7.4163943950000002</v>
      </c>
      <c r="CH190">
        <f>7.840079331</f>
        <v>7.8400793310000001</v>
      </c>
      <c r="CI190">
        <f>8.841680111</f>
        <v>8.8416801110000005</v>
      </c>
      <c r="CJ190">
        <f>7.091046094</f>
        <v>7.0910460940000002</v>
      </c>
      <c r="CK190">
        <f>7.277388024</f>
        <v>7.2773880240000004</v>
      </c>
      <c r="CL190">
        <f>7.120967451</f>
        <v>7.1209674510000003</v>
      </c>
      <c r="CM190">
        <f>6.953172449</f>
        <v>6.9531724490000002</v>
      </c>
      <c r="CN190">
        <f>7.245343191</f>
        <v>7.2453431909999999</v>
      </c>
      <c r="CO190">
        <f>7.301530905</f>
        <v>7.3015309049999999</v>
      </c>
      <c r="CP190">
        <f>7.489750289</f>
        <v>7.4897502889999998</v>
      </c>
      <c r="CQ190">
        <f>7.20553246</f>
        <v>7.2055324599999997</v>
      </c>
      <c r="CR190">
        <f>7.716765523</f>
        <v>7.7167655230000003</v>
      </c>
      <c r="CS190">
        <f>7.579566631</f>
        <v>7.5795666309999996</v>
      </c>
      <c r="CT190">
        <f>7.922202505</f>
        <v>7.9222025049999996</v>
      </c>
      <c r="CU190">
        <f>7.643159074</f>
        <v>7.6431590739999997</v>
      </c>
      <c r="CV190" t="str">
        <f>""</f>
        <v/>
      </c>
      <c r="CW190" t="str">
        <f>""</f>
        <v/>
      </c>
      <c r="CX190" t="str">
        <f>""</f>
        <v/>
      </c>
      <c r="CY190" t="str">
        <f>""</f>
        <v/>
      </c>
      <c r="CZ190" t="str">
        <f>""</f>
        <v/>
      </c>
      <c r="DA190" t="str">
        <f>""</f>
        <v/>
      </c>
      <c r="DB190" t="str">
        <f>""</f>
        <v/>
      </c>
      <c r="DC190" t="str">
        <f>""</f>
        <v/>
      </c>
      <c r="DD190" t="str">
        <f>""</f>
        <v/>
      </c>
      <c r="DE190" t="str">
        <f>""</f>
        <v/>
      </c>
      <c r="DF190" t="str">
        <f>""</f>
        <v/>
      </c>
      <c r="DG190" t="str">
        <f>""</f>
        <v/>
      </c>
      <c r="DH190" t="str">
        <f>""</f>
        <v/>
      </c>
      <c r="DI190" t="str">
        <f>""</f>
        <v/>
      </c>
      <c r="DJ190" t="str">
        <f>""</f>
        <v/>
      </c>
      <c r="DK190" t="str">
        <f>""</f>
        <v/>
      </c>
      <c r="DL190" t="str">
        <f>""</f>
        <v/>
      </c>
      <c r="DM190" t="str">
        <f>""</f>
        <v/>
      </c>
      <c r="DN190" t="str">
        <f>""</f>
        <v/>
      </c>
      <c r="DO190" t="str">
        <f>""</f>
        <v/>
      </c>
      <c r="DP190" t="str">
        <f>""</f>
        <v/>
      </c>
      <c r="DQ190" t="str">
        <f>""</f>
        <v/>
      </c>
      <c r="DR190" t="str">
        <f>""</f>
        <v/>
      </c>
      <c r="DS190" t="str">
        <f>""</f>
        <v/>
      </c>
      <c r="DT190" t="str">
        <f>""</f>
        <v/>
      </c>
      <c r="DU190" t="str">
        <f>""</f>
        <v/>
      </c>
    </row>
    <row r="191" spans="1:125">
      <c r="A191" t="str">
        <f>"债务/市值"</f>
        <v>债务/市值</v>
      </c>
      <c r="B191" t="str">
        <f>""</f>
        <v/>
      </c>
      <c r="E191" t="str">
        <f>"Median"</f>
        <v>Median</v>
      </c>
      <c r="F191">
        <f ca="1">IF(ISERROR(IF(MEDIAN($F$192:$F$201) = 0, "", MEDIAN($F$192:$F$201))), "", (IF(MEDIAN($F$192:$F$201) = 0, "", MEDIAN($F$192:$F$201))))</f>
        <v>0.68201662500000004</v>
      </c>
      <c r="G191">
        <f ca="1">IF(ISERROR(IF(MEDIAN($G$192:$G$201) = 0, "", MEDIAN($G$192:$G$201))), "", (IF(MEDIAN($G$192:$G$201) = 0, "", MEDIAN($G$192:$G$201))))</f>
        <v>0.59532984550000001</v>
      </c>
      <c r="H191">
        <f ca="1">IF(ISERROR(IF(MEDIAN($H$192:$H$201) = 0, "", MEDIAN($H$192:$H$201))), "", (IF(MEDIAN($H$192:$H$201) = 0, "", MEDIAN($H$192:$H$201))))</f>
        <v>0.57974349399999991</v>
      </c>
      <c r="I191">
        <f ca="1">IF(ISERROR(IF(MEDIAN($I$192:$I$201) = 0, "", MEDIAN($I$192:$I$201))), "", (IF(MEDIAN($I$192:$I$201) = 0, "", MEDIAN($I$192:$I$201))))</f>
        <v>0.56847092999999993</v>
      </c>
      <c r="J191">
        <f ca="1">IF(ISERROR(IF(MEDIAN($J$192:$J$201) = 0, "", MEDIAN($J$192:$J$201))), "", (IF(MEDIAN($J$192:$J$201) = 0, "", MEDIAN($J$192:$J$201))))</f>
        <v>0.57072264899999992</v>
      </c>
      <c r="K191">
        <f ca="1">IF(ISERROR(IF(MEDIAN($K$192:$K$201) = 0, "", MEDIAN($K$192:$K$201))), "", (IF(MEDIAN($K$192:$K$201) = 0, "", MEDIAN($K$192:$K$201))))</f>
        <v>0.5826292515</v>
      </c>
      <c r="L191">
        <f ca="1">IF(ISERROR(IF(MEDIAN($L$192:$L$201) = 0, "", MEDIAN($L$192:$L$201))), "", (IF(MEDIAN($L$192:$L$201) = 0, "", MEDIAN($L$192:$L$201))))</f>
        <v>0.58862460699999997</v>
      </c>
      <c r="M191">
        <f ca="1">IF(ISERROR(IF(MEDIAN($M$192:$M$201) = 0, "", MEDIAN($M$192:$M$201))), "", (IF(MEDIAN($M$192:$M$201) = 0, "", MEDIAN($M$192:$M$201))))</f>
        <v>0.63683704699999999</v>
      </c>
      <c r="N191">
        <f ca="1">IF(ISERROR(IF(MEDIAN($N$192:$N$201) = 0, "", MEDIAN($N$192:$N$201))), "", (IF(MEDIAN($N$192:$N$201) = 0, "", MEDIAN($N$192:$N$201))))</f>
        <v>0.69358129600000007</v>
      </c>
      <c r="O191">
        <f ca="1">IF(ISERROR(IF(MEDIAN($O$192:$O$201) = 0, "", MEDIAN($O$192:$O$201))), "", (IF(MEDIAN($O$192:$O$201) = 0, "", MEDIAN($O$192:$O$201))))</f>
        <v>0.6854389635</v>
      </c>
      <c r="P191">
        <f ca="1">IF(ISERROR(IF(MEDIAN($P$192:$P$201) = 0, "", MEDIAN($P$192:$P$201))), "", (IF(MEDIAN($P$192:$P$201) = 0, "", MEDIAN($P$192:$P$201))))</f>
        <v>0.85831266849999999</v>
      </c>
      <c r="Q191">
        <f ca="1">IF(ISERROR(IF(MEDIAN($Q$192:$Q$201) = 0, "", MEDIAN($Q$192:$Q$201))), "", (IF(MEDIAN($Q$192:$Q$201) = 0, "", MEDIAN($Q$192:$Q$201))))</f>
        <v>0.72586253450000005</v>
      </c>
      <c r="R191">
        <f ca="1">IF(ISERROR(IF(MEDIAN($R$192:$R$201) = 0, "", MEDIAN($R$192:$R$201))), "", (IF(MEDIAN($R$192:$R$201) = 0, "", MEDIAN($R$192:$R$201))))</f>
        <v>0.641297793</v>
      </c>
      <c r="S191">
        <f ca="1">IF(ISERROR(IF(MEDIAN($S$192:$S$201) = 0, "", MEDIAN($S$192:$S$201))), "", (IF(MEDIAN($S$192:$S$201) = 0, "", MEDIAN($S$192:$S$201))))</f>
        <v>0.62695850350000004</v>
      </c>
      <c r="T191">
        <f ca="1">IF(ISERROR(IF(MEDIAN($T$192:$T$201) = 0, "", MEDIAN($T$192:$T$201))), "", (IF(MEDIAN($T$192:$T$201) = 0, "", MEDIAN($T$192:$T$201))))</f>
        <v>0.73880303599999997</v>
      </c>
      <c r="U191">
        <f ca="1">IF(ISERROR(IF(MEDIAN($U$192:$U$201) = 0, "", MEDIAN($U$192:$U$201))), "", (IF(MEDIAN($U$192:$U$201) = 0, "", MEDIAN($U$192:$U$201))))</f>
        <v>0.65238916699999994</v>
      </c>
      <c r="V191">
        <f ca="1">IF(ISERROR(IF(MEDIAN($V$192:$V$201) = 0, "", MEDIAN($V$192:$V$201))), "", (IF(MEDIAN($V$192:$V$201) = 0, "", MEDIAN($V$192:$V$201))))</f>
        <v>0.66787299150000001</v>
      </c>
      <c r="W191">
        <f ca="1">IF(ISERROR(IF(MEDIAN($W$192:$W$201) = 0, "", MEDIAN($W$192:$W$201))), "", (IF(MEDIAN($W$192:$W$201) = 0, "", MEDIAN($W$192:$W$201))))</f>
        <v>0.74569408400000003</v>
      </c>
      <c r="X191">
        <f ca="1">IF(ISERROR(IF(MEDIAN($X$192:$X$201) = 0, "", MEDIAN($X$192:$X$201))), "", (IF(MEDIAN($X$192:$X$201) = 0, "", MEDIAN($X$192:$X$201))))</f>
        <v>0.69699848200000003</v>
      </c>
      <c r="Y191">
        <f ca="1">IF(ISERROR(IF(MEDIAN($Y$192:$Y$201) = 0, "", MEDIAN($Y$192:$Y$201))), "", (IF(MEDIAN($Y$192:$Y$201) = 0, "", MEDIAN($Y$192:$Y$201))))</f>
        <v>0.71015263699999998</v>
      </c>
      <c r="Z191">
        <f ca="1">IF(ISERROR(IF(MEDIAN($Z$192:$Z$201) = 0, "", MEDIAN($Z$192:$Z$201))), "", (IF(MEDIAN($Z$192:$Z$201) = 0, "", MEDIAN($Z$192:$Z$201))))</f>
        <v>0.66723345499999998</v>
      </c>
      <c r="AA191">
        <f ca="1">IF(ISERROR(IF(MEDIAN($AA$192:$AA$201) = 0, "", MEDIAN($AA$192:$AA$201))), "", (IF(MEDIAN($AA$192:$AA$201) = 0, "", MEDIAN($AA$192:$AA$201))))</f>
        <v>0.75781114699999996</v>
      </c>
      <c r="AB191">
        <f ca="1">IF(ISERROR(IF(MEDIAN($AB$192:$AB$201) = 0, "", MEDIAN($AB$192:$AB$201))), "", (IF(MEDIAN($AB$192:$AB$201) = 0, "", MEDIAN($AB$192:$AB$201))))</f>
        <v>0.708623161</v>
      </c>
      <c r="AC191">
        <f ca="1">IF(ISERROR(IF(MEDIAN($AC$192:$AC$201) = 0, "", MEDIAN($AC$192:$AC$201))), "", (IF(MEDIAN($AC$192:$AC$201) = 0, "", MEDIAN($AC$192:$AC$201))))</f>
        <v>0.73289328300000001</v>
      </c>
      <c r="AD191">
        <f ca="1">IF(ISERROR(IF(MEDIAN($AD$192:$AD$201) = 0, "", MEDIAN($AD$192:$AD$201))), "", (IF(MEDIAN($AD$192:$AD$201) = 0, "", MEDIAN($AD$192:$AD$201))))</f>
        <v>0.766956623</v>
      </c>
      <c r="AE191">
        <f ca="1">IF(ISERROR(IF(MEDIAN($AE$192:$AE$201) = 0, "", MEDIAN($AE$192:$AE$201))), "", (IF(MEDIAN($AE$192:$AE$201) = 0, "", MEDIAN($AE$192:$AE$201))))</f>
        <v>0.85136817799999998</v>
      </c>
      <c r="AF191">
        <f ca="1">IF(ISERROR(IF(MEDIAN($AF$192:$AF$201) = 0, "", MEDIAN($AF$192:$AF$201))), "", (IF(MEDIAN($AF$192:$AF$201) = 0, "", MEDIAN($AF$192:$AF$201))))</f>
        <v>0.925696242</v>
      </c>
      <c r="AG191">
        <f ca="1">IF(ISERROR(IF(MEDIAN($AG$192:$AG$201) = 0, "", MEDIAN($AG$192:$AG$201))), "", (IF(MEDIAN($AG$192:$AG$201) = 0, "", MEDIAN($AG$192:$AG$201))))</f>
        <v>0.67592423999999995</v>
      </c>
      <c r="AH191">
        <f ca="1">IF(ISERROR(IF(MEDIAN($AH$192:$AH$201) = 0, "", MEDIAN($AH$192:$AH$201))), "", (IF(MEDIAN($AH$192:$AH$201) = 0, "", MEDIAN($AH$192:$AH$201))))</f>
        <v>0.677791794</v>
      </c>
      <c r="AI191">
        <f ca="1">IF(ISERROR(IF(MEDIAN($AI$192:$AI$201) = 0, "", MEDIAN($AI$192:$AI$201))), "", (IF(MEDIAN($AI$192:$AI$201) = 0, "", MEDIAN($AI$192:$AI$201))))</f>
        <v>0.74784244300000002</v>
      </c>
      <c r="AJ191">
        <f ca="1">IF(ISERROR(IF(MEDIAN($AJ$192:$AJ$201) = 0, "", MEDIAN($AJ$192:$AJ$201))), "", (IF(MEDIAN($AJ$192:$AJ$201) = 0, "", MEDIAN($AJ$192:$AJ$201))))</f>
        <v>0.72925673700000004</v>
      </c>
      <c r="AK191">
        <f ca="1">IF(ISERROR(IF(MEDIAN($AK$192:$AK$201) = 0, "", MEDIAN($AK$192:$AK$201))), "", (IF(MEDIAN($AK$192:$AK$201) = 0, "", MEDIAN($AK$192:$AK$201))))</f>
        <v>0.82364174099999998</v>
      </c>
      <c r="AL191">
        <f ca="1">IF(ISERROR(IF(MEDIAN($AL$192:$AL$201) = 0, "", MEDIAN($AL$192:$AL$201))), "", (IF(MEDIAN($AL$192:$AL$201) = 0, "", MEDIAN($AL$192:$AL$201))))</f>
        <v>0.82845737600000002</v>
      </c>
      <c r="AM191">
        <f ca="1">IF(ISERROR(IF(MEDIAN($AM$192:$AM$201) = 0, "", MEDIAN($AM$192:$AM$201))), "", (IF(MEDIAN($AM$192:$AM$201) = 0, "", MEDIAN($AM$192:$AM$201))))</f>
        <v>0.85371676749999992</v>
      </c>
      <c r="AN191">
        <f ca="1">IF(ISERROR(IF(MEDIAN($AN$192:$AN$201) = 0, "", MEDIAN($AN$192:$AN$201))), "", (IF(MEDIAN($AN$192:$AN$201) = 0, "", MEDIAN($AN$192:$AN$201))))</f>
        <v>0.90505620799999997</v>
      </c>
      <c r="AO191">
        <f ca="1">IF(ISERROR(IF(MEDIAN($AO$192:$AO$201) = 0, "", MEDIAN($AO$192:$AO$201))), "", (IF(MEDIAN($AO$192:$AO$201) = 0, "", MEDIAN($AO$192:$AO$201))))</f>
        <v>1.1350292479999999</v>
      </c>
      <c r="AP191">
        <f ca="1">IF(ISERROR(IF(MEDIAN($AP$192:$AP$201) = 0, "", MEDIAN($AP$192:$AP$201))), "", (IF(MEDIAN($AP$192:$AP$201) = 0, "", MEDIAN($AP$192:$AP$201))))</f>
        <v>1.8807197035000001</v>
      </c>
      <c r="AQ191">
        <f ca="1">IF(ISERROR(IF(MEDIAN($AQ$192:$AQ$201) = 0, "", MEDIAN($AQ$192:$AQ$201))), "", (IF(MEDIAN($AQ$192:$AQ$201) = 0, "", MEDIAN($AQ$192:$AQ$201))))</f>
        <v>1.253725786</v>
      </c>
      <c r="AR191">
        <f ca="1">IF(ISERROR(IF(MEDIAN($AR$192:$AR$201) = 0, "", MEDIAN($AR$192:$AR$201))), "", (IF(MEDIAN($AR$192:$AR$201) = 0, "", MEDIAN($AR$192:$AR$201))))</f>
        <v>0.88691640250000003</v>
      </c>
      <c r="AS191">
        <f ca="1">IF(ISERROR(IF(MEDIAN($AS$192:$AS$201) = 0, "", MEDIAN($AS$192:$AS$201))), "", (IF(MEDIAN($AS$192:$AS$201) = 0, "", MEDIAN($AS$192:$AS$201))))</f>
        <v>0.978699125</v>
      </c>
      <c r="AT191">
        <f ca="1">IF(ISERROR(IF(MEDIAN($AT$192:$AT$201) = 0, "", MEDIAN($AT$192:$AT$201))), "", (IF(MEDIAN($AT$192:$AT$201) = 0, "", MEDIAN($AT$192:$AT$201))))</f>
        <v>0.957091735</v>
      </c>
      <c r="AU191">
        <f ca="1">IF(ISERROR(IF(MEDIAN($AU$192:$AU$201) = 0, "", MEDIAN($AU$192:$AU$201))), "", (IF(MEDIAN($AU$192:$AU$201) = 0, "", MEDIAN($AU$192:$AU$201))))</f>
        <v>0.96782230899999999</v>
      </c>
      <c r="AV191">
        <f ca="1">IF(ISERROR(IF(MEDIAN($AV$192:$AV$201) = 0, "", MEDIAN($AV$192:$AV$201))), "", (IF(MEDIAN($AV$192:$AV$201) = 0, "", MEDIAN($AV$192:$AV$201))))</f>
        <v>0.7638893135</v>
      </c>
      <c r="AW191">
        <f ca="1">IF(ISERROR(IF(MEDIAN($AW$192:$AW$201) = 0, "", MEDIAN($AW$192:$AW$201))), "", (IF(MEDIAN($AW$192:$AW$201) = 0, "", MEDIAN($AW$192:$AW$201))))</f>
        <v>0.722552317</v>
      </c>
      <c r="AX191">
        <f ca="1">IF(ISERROR(IF(MEDIAN($AX$192:$AX$201) = 0, "", MEDIAN($AX$192:$AX$201))), "", (IF(MEDIAN($AX$192:$AX$201) = 0, "", MEDIAN($AX$192:$AX$201))))</f>
        <v>0.63057913700000001</v>
      </c>
      <c r="AY191">
        <f ca="1">IF(ISERROR(IF(MEDIAN($AY$192:$AY$201) = 0, "", MEDIAN($AY$192:$AY$201))), "", (IF(MEDIAN($AY$192:$AY$201) = 0, "", MEDIAN($AY$192:$AY$201))))</f>
        <v>0.579993745</v>
      </c>
      <c r="AZ191">
        <f ca="1">IF(ISERROR(IF(MEDIAN($AZ$192:$AZ$201) = 0, "", MEDIAN($AZ$192:$AZ$201))), "", (IF(MEDIAN($AZ$192:$AZ$201) = 0, "", MEDIAN($AZ$192:$AZ$201))))</f>
        <v>0.60160841600000003</v>
      </c>
      <c r="BA191">
        <f ca="1">IF(ISERROR(IF(MEDIAN($BA$192:$BA$201) = 0, "", MEDIAN($BA$192:$BA$201))), "", (IF(MEDIAN($BA$192:$BA$201) = 0, "", MEDIAN($BA$192:$BA$201))))</f>
        <v>0.6334016885</v>
      </c>
      <c r="BB191">
        <f ca="1">IF(ISERROR(IF(MEDIAN($BB$192:$BB$201) = 0, "", MEDIAN($BB$192:$BB$201))), "", (IF(MEDIAN($BB$192:$BB$201) = 0, "", MEDIAN($BB$192:$BB$201))))</f>
        <v>0.60871810750000011</v>
      </c>
      <c r="BC191">
        <f ca="1">IF(ISERROR(IF(MEDIAN($BC$192:$BC$201) = 0, "", MEDIAN($BC$192:$BC$201))), "", (IF(MEDIAN($BC$192:$BC$201) = 0, "", MEDIAN($BC$192:$BC$201))))</f>
        <v>0.68727142600000002</v>
      </c>
      <c r="BD191">
        <f ca="1">IF(ISERROR(IF(MEDIAN($BD$192:$BD$201) = 0, "", MEDIAN($BD$192:$BD$201))), "", (IF(MEDIAN($BD$192:$BD$201) = 0, "", MEDIAN($BD$192:$BD$201))))</f>
        <v>0.67300184100000005</v>
      </c>
      <c r="BE191">
        <f ca="1">IF(ISERROR(IF(MEDIAN($BE$192:$BE$201) = 0, "", MEDIAN($BE$192:$BE$201))), "", (IF(MEDIAN($BE$192:$BE$201) = 0, "", MEDIAN($BE$192:$BE$201))))</f>
        <v>0.66849923899999997</v>
      </c>
      <c r="BF191">
        <f ca="1">IF(ISERROR(IF(MEDIAN($BF$192:$BF$201) = 0, "", MEDIAN($BF$192:$BF$201))), "", (IF(MEDIAN($BF$192:$BF$201) = 0, "", MEDIAN($BF$192:$BF$201))))</f>
        <v>0.77438527499999998</v>
      </c>
      <c r="BG191">
        <f ca="1">IF(ISERROR(IF(MEDIAN($BG$192:$BG$201) = 0, "", MEDIAN($BG$192:$BG$201))), "", (IF(MEDIAN($BG$192:$BG$201) = 0, "", MEDIAN($BG$192:$BG$201))))</f>
        <v>0.68360222049999997</v>
      </c>
      <c r="BH191">
        <f ca="1">IF(ISERROR(IF(MEDIAN($BH$192:$BH$201) = 0, "", MEDIAN($BH$192:$BH$201))), "", (IF(MEDIAN($BH$192:$BH$201) = 0, "", MEDIAN($BH$192:$BH$201))))</f>
        <v>0.75652042399999997</v>
      </c>
      <c r="BI191">
        <f ca="1">IF(ISERROR(IF(MEDIAN($BI$192:$BI$201) = 0, "", MEDIAN($BI$192:$BI$201))), "", (IF(MEDIAN($BI$192:$BI$201) = 0, "", MEDIAN($BI$192:$BI$201))))</f>
        <v>0.72788851250000008</v>
      </c>
      <c r="BJ191">
        <f ca="1">IF(ISERROR(IF(MEDIAN($BJ$192:$BJ$201) = 0, "", MEDIAN($BJ$192:$BJ$201))), "", (IF(MEDIAN($BJ$192:$BJ$201) = 0, "", MEDIAN($BJ$192:$BJ$201))))</f>
        <v>0.67643346299999996</v>
      </c>
      <c r="BK191">
        <f ca="1">IF(ISERROR(IF(MEDIAN($BK$192:$BK$201) = 0, "", MEDIAN($BK$192:$BK$201))), "", (IF(MEDIAN($BK$192:$BK$201) = 0, "", MEDIAN($BK$192:$BK$201))))</f>
        <v>0.84337680900000001</v>
      </c>
      <c r="BL191">
        <f ca="1">IF(ISERROR(IF(MEDIAN($BL$192:$BL$201) = 0, "", MEDIAN($BL$192:$BL$201))), "", (IF(MEDIAN($BL$192:$BL$201) = 0, "", MEDIAN($BL$192:$BL$201))))</f>
        <v>0.96730167450000004</v>
      </c>
      <c r="BM191">
        <f ca="1">IF(ISERROR(IF(MEDIAN($BM$192:$BM$201) = 0, "", MEDIAN($BM$192:$BM$201))), "", (IF(MEDIAN($BM$192:$BM$201) = 0, "", MEDIAN($BM$192:$BM$201))))</f>
        <v>1.0181704745000002</v>
      </c>
      <c r="BN191">
        <f>0.682016625</f>
        <v>0.68201662500000004</v>
      </c>
      <c r="BO191">
        <f>0.595329845</f>
        <v>0.59532984499999997</v>
      </c>
      <c r="BP191">
        <f>0.579743494</f>
        <v>0.57974349400000003</v>
      </c>
      <c r="BQ191">
        <f>0.56847093</f>
        <v>0.56847093000000004</v>
      </c>
      <c r="BR191">
        <f>0.570722649</f>
        <v>0.57072264900000003</v>
      </c>
      <c r="BS191">
        <f>0.582629251</f>
        <v>0.58262925099999996</v>
      </c>
      <c r="BT191">
        <f>0.588624607</f>
        <v>0.58862460699999997</v>
      </c>
      <c r="BU191">
        <f>0.636837047</f>
        <v>0.63683704699999999</v>
      </c>
      <c r="BV191">
        <f>0.693581296</f>
        <v>0.69358129599999996</v>
      </c>
      <c r="BW191">
        <f>0.685438963</f>
        <v>0.68543896299999996</v>
      </c>
      <c r="BX191">
        <f>0.858312668</f>
        <v>0.85831266799999995</v>
      </c>
      <c r="BY191">
        <f>0.725862535</f>
        <v>0.72586253499999998</v>
      </c>
      <c r="BZ191">
        <f>0.641297793</f>
        <v>0.641297793</v>
      </c>
      <c r="CA191">
        <f>0.626958504</f>
        <v>0.62695850399999997</v>
      </c>
      <c r="CB191">
        <f>0.738803036</f>
        <v>0.73880303599999997</v>
      </c>
      <c r="CC191">
        <f>0.652389167</f>
        <v>0.65238916700000005</v>
      </c>
      <c r="CD191">
        <f>0.667872992</f>
        <v>0.66787299200000005</v>
      </c>
      <c r="CE191">
        <f>0.745694084</f>
        <v>0.74569408400000003</v>
      </c>
      <c r="CF191">
        <f>0.696998482</f>
        <v>0.69699848200000003</v>
      </c>
      <c r="CG191">
        <f>0.710152637</f>
        <v>0.71015263699999998</v>
      </c>
      <c r="CH191">
        <f>0.667233455</f>
        <v>0.66723345499999998</v>
      </c>
      <c r="CI191">
        <f>0.757811147</f>
        <v>0.75781114699999996</v>
      </c>
      <c r="CJ191">
        <f>0.708623161</f>
        <v>0.708623161</v>
      </c>
      <c r="CK191">
        <f>0.732893283</f>
        <v>0.73289328300000001</v>
      </c>
      <c r="CL191">
        <f>0.766956623</f>
        <v>0.766956623</v>
      </c>
      <c r="CM191">
        <f>0.851368178</f>
        <v>0.85136817799999998</v>
      </c>
      <c r="CN191">
        <f>0.925696242</f>
        <v>0.925696242</v>
      </c>
      <c r="CO191">
        <f>0.67592424</f>
        <v>0.67592423999999995</v>
      </c>
      <c r="CP191">
        <f>0.677791794</f>
        <v>0.677791794</v>
      </c>
      <c r="CQ191">
        <f>0.747842443</f>
        <v>0.74784244300000002</v>
      </c>
      <c r="CR191">
        <f>0.729256737</f>
        <v>0.72925673700000004</v>
      </c>
      <c r="CS191">
        <f>0.823641741</f>
        <v>0.82364174099999998</v>
      </c>
      <c r="CT191">
        <f>0.828457376</f>
        <v>0.82845737600000002</v>
      </c>
      <c r="CU191">
        <f>0.853716767</f>
        <v>0.85371676699999999</v>
      </c>
      <c r="CV191">
        <f>0.905056208</f>
        <v>0.90505620799999997</v>
      </c>
      <c r="CW191">
        <f>1.135029248</f>
        <v>1.1350292479999999</v>
      </c>
      <c r="CX191">
        <f>1.880719704</f>
        <v>1.8807197040000001</v>
      </c>
      <c r="CY191">
        <f>1.253725786</f>
        <v>1.253725786</v>
      </c>
      <c r="CZ191">
        <f>0.886916403</f>
        <v>0.88691640299999996</v>
      </c>
      <c r="DA191">
        <f>0.978699125</f>
        <v>0.978699125</v>
      </c>
      <c r="DB191">
        <f>0.957091735</f>
        <v>0.957091735</v>
      </c>
      <c r="DC191">
        <f>0.967822309</f>
        <v>0.96782230899999999</v>
      </c>
      <c r="DD191">
        <f>0.763889313</f>
        <v>0.76388931299999996</v>
      </c>
      <c r="DE191">
        <f>0.722552317</f>
        <v>0.722552317</v>
      </c>
      <c r="DF191">
        <f>0.630579137</f>
        <v>0.63057913700000001</v>
      </c>
      <c r="DG191">
        <f>0.579993745</f>
        <v>0.579993745</v>
      </c>
      <c r="DH191">
        <f>0.601608416</f>
        <v>0.60160841600000003</v>
      </c>
      <c r="DI191">
        <f>0.633401689</f>
        <v>0.63340168900000005</v>
      </c>
      <c r="DJ191">
        <f>0.608718108</f>
        <v>0.60871810800000004</v>
      </c>
      <c r="DK191">
        <f>0.687271425</f>
        <v>0.68727142500000005</v>
      </c>
      <c r="DL191">
        <f>0.673001841</f>
        <v>0.67300184100000005</v>
      </c>
      <c r="DM191">
        <f>0.668499239</f>
        <v>0.66849923899999997</v>
      </c>
      <c r="DN191">
        <f>0.774385275</f>
        <v>0.77438527499999998</v>
      </c>
      <c r="DO191">
        <f>0.683602221</f>
        <v>0.68360222100000001</v>
      </c>
      <c r="DP191">
        <f>0.756520424</f>
        <v>0.75652042399999997</v>
      </c>
      <c r="DQ191">
        <f>0.727888512</f>
        <v>0.72788851200000004</v>
      </c>
      <c r="DR191">
        <f>0.676433463</f>
        <v>0.67643346299999996</v>
      </c>
      <c r="DS191">
        <f>0.843376809</f>
        <v>0.84337680900000001</v>
      </c>
      <c r="DT191">
        <f>0.967301675</f>
        <v>0.96730167499999997</v>
      </c>
      <c r="DU191">
        <f>1.018170475</f>
        <v>1.018170475</v>
      </c>
    </row>
    <row r="192" spans="1:125">
      <c r="A192" t="str">
        <f>"    Boston Properties Inc"</f>
        <v xml:space="preserve">    Boston Properties Inc</v>
      </c>
      <c r="B192" t="str">
        <f>"BXP US Equity"</f>
        <v>BXP US Equity</v>
      </c>
      <c r="C192" t="str">
        <f t="shared" ref="C192:C201" si="51">"RR263"</f>
        <v>RR263</v>
      </c>
      <c r="D192" t="str">
        <f t="shared" ref="D192:D201" si="52">"DEBT_TO_MKT_CAP"</f>
        <v>DEBT_TO_MKT_CAP</v>
      </c>
      <c r="E192" t="str">
        <f t="shared" ref="E192:E201" si="53">"动态"</f>
        <v>动态</v>
      </c>
      <c r="F192">
        <f ca="1">IF(AND(ISNUMBER($F$496),$B$294=1),$F$496,HLOOKUP(INDIRECT(ADDRESS(2,COLUMN())),OFFSET($BN$2,0,0,ROW()-1,60),ROW()-1,FALSE))</f>
        <v>0.53004147999999995</v>
      </c>
      <c r="G192">
        <f ca="1">IF(AND(ISNUMBER($G$496),$B$294=1),$G$496,HLOOKUP(INDIRECT(ADDRESS(2,COLUMN())),OFFSET($BN$2,0,0,ROW()-1,60),ROW()-1,FALSE))</f>
        <v>0.51187793500000001</v>
      </c>
      <c r="H192">
        <f ca="1">IF(AND(ISNUMBER($H$496),$B$294=1),$H$496,HLOOKUP(INDIRECT(ADDRESS(2,COLUMN())),OFFSET($BN$2,0,0,ROW()-1,60),ROW()-1,FALSE))</f>
        <v>0.53972847000000002</v>
      </c>
      <c r="I192">
        <f ca="1">IF(AND(ISNUMBER($I$496),$B$294=1),$I$496,HLOOKUP(INDIRECT(ADDRESS(2,COLUMN())),OFFSET($BN$2,0,0,ROW()-1,60),ROW()-1,FALSE))</f>
        <v>0.54083334800000005</v>
      </c>
      <c r="J192">
        <f ca="1">IF(AND(ISNUMBER($J$496),$B$294=1),$J$496,HLOOKUP(INDIRECT(ADDRESS(2,COLUMN())),OFFSET($BN$2,0,0,ROW()-1,60),ROW()-1,FALSE))</f>
        <v>0.47653916800000001</v>
      </c>
      <c r="K192">
        <f ca="1">IF(AND(ISNUMBER($K$496),$B$294=1),$K$496,HLOOKUP(INDIRECT(ADDRESS(2,COLUMN())),OFFSET($BN$2,0,0,ROW()-1,60),ROW()-1,FALSE))</f>
        <v>0.49717296500000002</v>
      </c>
      <c r="L192">
        <f ca="1">IF(AND(ISNUMBER($L$496),$B$294=1),$L$496,HLOOKUP(INDIRECT(ADDRESS(2,COLUMN())),OFFSET($BN$2,0,0,ROW()-1,60),ROW()-1,FALSE))</f>
        <v>0.45968281900000002</v>
      </c>
      <c r="M192">
        <f ca="1">IF(AND(ISNUMBER($M$496),$B$294=1),$M$496,HLOOKUP(INDIRECT(ADDRESS(2,COLUMN())),OFFSET($BN$2,0,0,ROW()-1,60),ROW()-1,FALSE))</f>
        <v>0.48141370700000002</v>
      </c>
      <c r="N192">
        <f ca="1">IF(AND(ISNUMBER($N$496),$B$294=1),$N$496,HLOOKUP(INDIRECT(ADDRESS(2,COLUMN())),OFFSET($BN$2,0,0,ROW()-1,60),ROW()-1,FALSE))</f>
        <v>0.51132767499999998</v>
      </c>
      <c r="O192">
        <f ca="1">IF(AND(ISNUMBER($O$496),$B$294=1),$O$496,HLOOKUP(INDIRECT(ADDRESS(2,COLUMN())),OFFSET($BN$2,0,0,ROW()-1,60),ROW()-1,FALSE))</f>
        <v>0.45992180799999999</v>
      </c>
      <c r="P192">
        <f ca="1">IF(AND(ISNUMBER($P$496),$B$294=1),$P$496,HLOOKUP(INDIRECT(ADDRESS(2,COLUMN())),OFFSET($BN$2,0,0,ROW()-1,60),ROW()-1,FALSE))</f>
        <v>0.53510055400000001</v>
      </c>
      <c r="Q192">
        <f ca="1">IF(AND(ISNUMBER($Q$496),$B$294=1),$Q$496,HLOOKUP(INDIRECT(ADDRESS(2,COLUMN())),OFFSET($BN$2,0,0,ROW()-1,60),ROW()-1,FALSE))</f>
        <v>0.53141181000000004</v>
      </c>
      <c r="R192">
        <f ca="1">IF(AND(ISNUMBER($R$496),$B$294=1),$R$496,HLOOKUP(INDIRECT(ADDRESS(2,COLUMN())),OFFSET($BN$2,0,0,ROW()-1,60),ROW()-1,FALSE))</f>
        <v>0.45942246599999997</v>
      </c>
      <c r="S192">
        <f ca="1">IF(AND(ISNUMBER($S$496),$B$294=1),$S$496,HLOOKUP(INDIRECT(ADDRESS(2,COLUMN())),OFFSET($BN$2,0,0,ROW()-1,60),ROW()-1,FALSE))</f>
        <v>0.50283101600000002</v>
      </c>
      <c r="T192">
        <f ca="1">IF(AND(ISNUMBER($T$496),$B$294=1),$T$496,HLOOKUP(INDIRECT(ADDRESS(2,COLUMN())),OFFSET($BN$2,0,0,ROW()-1,60),ROW()-1,FALSE))</f>
        <v>0.59109464700000003</v>
      </c>
      <c r="U192">
        <f ca="1">IF(AND(ISNUMBER($U$496),$B$294=1),$U$496,HLOOKUP(INDIRECT(ADDRESS(2,COLUMN())),OFFSET($BN$2,0,0,ROW()-1,60),ROW()-1,FALSE))</f>
        <v>0.58363923500000003</v>
      </c>
      <c r="V192">
        <f ca="1">IF(AND(ISNUMBER($V$496),$B$294=1),$V$496,HLOOKUP(INDIRECT(ADDRESS(2,COLUMN())),OFFSET($BN$2,0,0,ROW()-1,60),ROW()-1,FALSE))</f>
        <v>0.60358643099999998</v>
      </c>
      <c r="W192">
        <f ca="1">IF(AND(ISNUMBER($W$496),$B$294=1),$W$496,HLOOKUP(INDIRECT(ADDRESS(2,COLUMN())),OFFSET($BN$2,0,0,ROW()-1,60),ROW()-1,FALSE))</f>
        <v>0.73912808100000005</v>
      </c>
      <c r="X192">
        <f ca="1">IF(AND(ISNUMBER($X$496),$B$294=1),$X$496,HLOOKUP(INDIRECT(ADDRESS(2,COLUMN())),OFFSET($BN$2,0,0,ROW()-1,60),ROW()-1,FALSE))</f>
        <v>0.69699848200000003</v>
      </c>
      <c r="Y192">
        <f ca="1">IF(AND(ISNUMBER($Y$496),$B$294=1),$Y$496,HLOOKUP(INDIRECT(ADDRESS(2,COLUMN())),OFFSET($BN$2,0,0,ROW()-1,60),ROW()-1,FALSE))</f>
        <v>0.71015263699999998</v>
      </c>
      <c r="Z192">
        <f ca="1">IF(AND(ISNUMBER($Z$496),$B$294=1),$Z$496,HLOOKUP(INDIRECT(ADDRESS(2,COLUMN())),OFFSET($BN$2,0,0,ROW()-1,60),ROW()-1,FALSE))</f>
        <v>0.57890443999999996</v>
      </c>
      <c r="AA192">
        <f ca="1">IF(AND(ISNUMBER($AA$496),$B$294=1),$AA$496,HLOOKUP(INDIRECT(ADDRESS(2,COLUMN())),OFFSET($BN$2,0,0,ROW()-1,60),ROW()-1,FALSE))</f>
        <v>0.55832103899999996</v>
      </c>
      <c r="AB192">
        <f ca="1">IF(AND(ISNUMBER($AB$496),$B$294=1),$AB$496,HLOOKUP(INDIRECT(ADDRESS(2,COLUMN())),OFFSET($BN$2,0,0,ROW()-1,60),ROW()-1,FALSE))</f>
        <v>0.51876422499999997</v>
      </c>
      <c r="AC192">
        <f ca="1">IF(AND(ISNUMBER($AC$496),$B$294=1),$AC$496,HLOOKUP(INDIRECT(ADDRESS(2,COLUMN())),OFFSET($BN$2,0,0,ROW()-1,60),ROW()-1,FALSE))</f>
        <v>0.54794800600000004</v>
      </c>
      <c r="AD192">
        <f ca="1">IF(AND(ISNUMBER($AD$496),$B$294=1),$AD$496,HLOOKUP(INDIRECT(ADDRESS(2,COLUMN())),OFFSET($BN$2,0,0,ROW()-1,60),ROW()-1,FALSE))</f>
        <v>0.51134817600000004</v>
      </c>
      <c r="AE192">
        <f ca="1">IF(AND(ISNUMBER($AE$496),$B$294=1),$AE$496,HLOOKUP(INDIRECT(ADDRESS(2,COLUMN())),OFFSET($BN$2,0,0,ROW()-1,60),ROW()-1,FALSE))</f>
        <v>0.595746895</v>
      </c>
      <c r="AF192">
        <f ca="1">IF(AND(ISNUMBER($AF$496),$B$294=1),$AF$496,HLOOKUP(INDIRECT(ADDRESS(2,COLUMN())),OFFSET($BN$2,0,0,ROW()-1,60),ROW()-1,FALSE))</f>
        <v>0.61165044300000004</v>
      </c>
      <c r="AG192">
        <f ca="1">IF(AND(ISNUMBER($AG$496),$B$294=1),$AG$496,HLOOKUP(INDIRECT(ADDRESS(2,COLUMN())),OFFSET($BN$2,0,0,ROW()-1,60),ROW()-1,FALSE))</f>
        <v>0.51380555900000002</v>
      </c>
      <c r="AH192">
        <f ca="1">IF(AND(ISNUMBER($AH$496),$B$294=1),$AH$496,HLOOKUP(INDIRECT(ADDRESS(2,COLUMN())),OFFSET($BN$2,0,0,ROW()-1,60),ROW()-1,FALSE))</f>
        <v>0.58987467699999996</v>
      </c>
      <c r="AI192">
        <f ca="1">IF(AND(ISNUMBER($AI$496),$B$294=1),$AI$496,HLOOKUP(INDIRECT(ADDRESS(2,COLUMN())),OFFSET($BN$2,0,0,ROW()-1,60),ROW()-1,FALSE))</f>
        <v>0.64543853699999998</v>
      </c>
      <c r="AJ192">
        <f ca="1">IF(AND(ISNUMBER($AJ$496),$B$294=1),$AJ$496,HLOOKUP(INDIRECT(ADDRESS(2,COLUMN())),OFFSET($BN$2,0,0,ROW()-1,60),ROW()-1,FALSE))</f>
        <v>0.64276114399999995</v>
      </c>
      <c r="AK192">
        <f ca="1">IF(AND(ISNUMBER($AK$496),$B$294=1),$AK$496,HLOOKUP(INDIRECT(ADDRESS(2,COLUMN())),OFFSET($BN$2,0,0,ROW()-1,60),ROW()-1,FALSE))</f>
        <v>0.72894051500000001</v>
      </c>
      <c r="AL192">
        <f ca="1">IF(AND(ISNUMBER($AL$496),$B$294=1),$AL$496,HLOOKUP(INDIRECT(ADDRESS(2,COLUMN())),OFFSET($BN$2,0,0,ROW()-1,60),ROW()-1,FALSE))</f>
        <v>0.63670032499999996</v>
      </c>
      <c r="AM192">
        <f ca="1">IF(AND(ISNUMBER($AM$496),$B$294=1),$AM$496,HLOOKUP(INDIRECT(ADDRESS(2,COLUMN())),OFFSET($BN$2,0,0,ROW()-1,60),ROW()-1,FALSE))</f>
        <v>0.72225391000000005</v>
      </c>
      <c r="AN192">
        <f ca="1">IF(AND(ISNUMBER($AN$496),$B$294=1),$AN$496,HLOOKUP(INDIRECT(ADDRESS(2,COLUMN())),OFFSET($BN$2,0,0,ROW()-1,60),ROW()-1,FALSE))</f>
        <v>0.66148033399999995</v>
      </c>
      <c r="AO192">
        <f ca="1">IF(AND(ISNUMBER($AO$496),$B$294=1),$AO$496,HLOOKUP(INDIRECT(ADDRESS(2,COLUMN())),OFFSET($BN$2,0,0,ROW()-1,60),ROW()-1,FALSE))</f>
        <v>0.90157920000000003</v>
      </c>
      <c r="AP192">
        <f ca="1">IF(AND(ISNUMBER($AP$496),$B$294=1),$AP$496,HLOOKUP(INDIRECT(ADDRESS(2,COLUMN())),OFFSET($BN$2,0,0,ROW()-1,60),ROW()-1,FALSE))</f>
        <v>1.439000686</v>
      </c>
      <c r="AQ192">
        <f ca="1">IF(AND(ISNUMBER($AQ$496),$B$294=1),$AQ$496,HLOOKUP(INDIRECT(ADDRESS(2,COLUMN())),OFFSET($BN$2,0,0,ROW()-1,60),ROW()-1,FALSE))</f>
        <v>0.92539006599999996</v>
      </c>
      <c r="AR192">
        <f ca="1">IF(AND(ISNUMBER($AR$496),$B$294=1),$AR$496,HLOOKUP(INDIRECT(ADDRESS(2,COLUMN())),OFFSET($BN$2,0,0,ROW()-1,60),ROW()-1,FALSE))</f>
        <v>0.544622312</v>
      </c>
      <c r="AS192">
        <f ca="1">IF(AND(ISNUMBER($AS$496),$B$294=1),$AS$496,HLOOKUP(INDIRECT(ADDRESS(2,COLUMN())),OFFSET($BN$2,0,0,ROW()-1,60),ROW()-1,FALSE))</f>
        <v>0.50965163800000002</v>
      </c>
      <c r="AT192">
        <f ca="1">IF(AND(ISNUMBER($AT$496),$B$294=1),$AT$496,HLOOKUP(INDIRECT(ADDRESS(2,COLUMN())),OFFSET($BN$2,0,0,ROW()-1,60),ROW()-1,FALSE))</f>
        <v>0.50246842000000003</v>
      </c>
      <c r="AU192">
        <f ca="1">IF(AND(ISNUMBER($AU$496),$B$294=1),$AU$496,HLOOKUP(INDIRECT(ADDRESS(2,COLUMN())),OFFSET($BN$2,0,0,ROW()-1,60),ROW()-1,FALSE))</f>
        <v>0.50157881500000001</v>
      </c>
      <c r="AV192">
        <f ca="1">IF(AND(ISNUMBER($AV$496),$B$294=1),$AV$496,HLOOKUP(INDIRECT(ADDRESS(2,COLUMN())),OFFSET($BN$2,0,0,ROW()-1,60),ROW()-1,FALSE))</f>
        <v>0.437371116</v>
      </c>
      <c r="AW192">
        <f ca="1">IF(AND(ISNUMBER($AW$496),$B$294=1),$AW$496,HLOOKUP(INDIRECT(ADDRESS(2,COLUMN())),OFFSET($BN$2,0,0,ROW()-1,60),ROW()-1,FALSE))</f>
        <v>0.462369523</v>
      </c>
      <c r="AX192">
        <f ca="1">IF(AND(ISNUMBER($AX$496),$B$294=1),$AX$496,HLOOKUP(INDIRECT(ADDRESS(2,COLUMN())),OFFSET($BN$2,0,0,ROW()-1,60),ROW()-1,FALSE))</f>
        <v>0.41078043800000003</v>
      </c>
      <c r="AY192">
        <f ca="1">IF(AND(ISNUMBER($AY$496),$B$294=1),$AY$496,HLOOKUP(INDIRECT(ADDRESS(2,COLUMN())),OFFSET($BN$2,0,0,ROW()-1,60),ROW()-1,FALSE))</f>
        <v>0.35201548300000002</v>
      </c>
      <c r="AZ192">
        <f ca="1">IF(AND(ISNUMBER($AZ$496),$B$294=1),$AZ$496,HLOOKUP(INDIRECT(ADDRESS(2,COLUMN())),OFFSET($BN$2,0,0,ROW()-1,60),ROW()-1,FALSE))</f>
        <v>0.40074085300000001</v>
      </c>
      <c r="BA192">
        <f ca="1">IF(AND(ISNUMBER($BA$496),$B$294=1),$BA$496,HLOOKUP(INDIRECT(ADDRESS(2,COLUMN())),OFFSET($BN$2,0,0,ROW()-1,60),ROW()-1,FALSE))</f>
        <v>0.46837943999999998</v>
      </c>
      <c r="BB192">
        <f ca="1">IF(AND(ISNUMBER($BB$496),$B$294=1),$BB$496,HLOOKUP(INDIRECT(ADDRESS(2,COLUMN())),OFFSET($BN$2,0,0,ROW()-1,60),ROW()-1,FALSE))</f>
        <v>0.447192965</v>
      </c>
      <c r="BC192">
        <f ca="1">IF(AND(ISNUMBER($BC$496),$B$294=1),$BC$496,HLOOKUP(INDIRECT(ADDRESS(2,COLUMN())),OFFSET($BN$2,0,0,ROW()-1,60),ROW()-1,FALSE))</f>
        <v>0.57866520399999999</v>
      </c>
      <c r="BD192">
        <f ca="1">IF(AND(ISNUMBER($BD$496),$B$294=1),$BD$496,HLOOKUP(INDIRECT(ADDRESS(2,COLUMN())),OFFSET($BN$2,0,0,ROW()-1,60),ROW()-1,FALSE))</f>
        <v>0.62196917500000004</v>
      </c>
      <c r="BE192">
        <f ca="1">IF(AND(ISNUMBER($BE$496),$B$294=1),$BE$496,HLOOKUP(INDIRECT(ADDRESS(2,COLUMN())),OFFSET($BN$2,0,0,ROW()-1,60),ROW()-1,FALSE))</f>
        <v>0.63186815900000004</v>
      </c>
      <c r="BF192">
        <f ca="1">IF(AND(ISNUMBER($BF$496),$B$294=1),$BF$496,HLOOKUP(INDIRECT(ADDRESS(2,COLUMN())),OFFSET($BN$2,0,0,ROW()-1,60),ROW()-1,FALSE))</f>
        <v>0.75378198200000002</v>
      </c>
      <c r="BG192">
        <f ca="1">IF(AND(ISNUMBER($BG$496),$B$294=1),$BG$496,HLOOKUP(INDIRECT(ADDRESS(2,COLUMN())),OFFSET($BN$2,0,0,ROW()-1,60),ROW()-1,FALSE))</f>
        <v>0.71005275999999995</v>
      </c>
      <c r="BH192">
        <f ca="1">IF(AND(ISNUMBER($BH$496),$B$294=1),$BH$496,HLOOKUP(INDIRECT(ADDRESS(2,COLUMN())),OFFSET($BN$2,0,0,ROW()-1,60),ROW()-1,FALSE))</f>
        <v>0.83670605799999997</v>
      </c>
      <c r="BI192">
        <f ca="1">IF(AND(ISNUMBER($BI$496),$B$294=1),$BI$496,HLOOKUP(INDIRECT(ADDRESS(2,COLUMN())),OFFSET($BN$2,0,0,ROW()-1,60),ROW()-1,FALSE))</f>
        <v>0.93665550600000003</v>
      </c>
      <c r="BJ192">
        <f ca="1">IF(AND(ISNUMBER($BJ$496),$B$294=1),$BJ$496,HLOOKUP(INDIRECT(ADDRESS(2,COLUMN())),OFFSET($BN$2,0,0,ROW()-1,60),ROW()-1,FALSE))</f>
        <v>0.85840472999999995</v>
      </c>
      <c r="BK192">
        <f ca="1">IF(AND(ISNUMBER($BK$496),$B$294=1),$BK$496,HLOOKUP(INDIRECT(ADDRESS(2,COLUMN())),OFFSET($BN$2,0,0,ROW()-1,60),ROW()-1,FALSE))</f>
        <v>1.0605876759999999</v>
      </c>
      <c r="BL192">
        <f ca="1">IF(AND(ISNUMBER($BL$496),$B$294=1),$BL$496,HLOOKUP(INDIRECT(ADDRESS(2,COLUMN())),OFFSET($BN$2,0,0,ROW()-1,60),ROW()-1,FALSE))</f>
        <v>1.162961326</v>
      </c>
      <c r="BM192">
        <f ca="1">IF(AND(ISNUMBER($BM$496),$B$294=1),$BM$496,HLOOKUP(INDIRECT(ADDRESS(2,COLUMN())),OFFSET($BN$2,0,0,ROW()-1,60),ROW()-1,FALSE))</f>
        <v>1.1418870720000001</v>
      </c>
      <c r="BN192">
        <f>0.53004148</f>
        <v>0.53004147999999995</v>
      </c>
      <c r="BO192">
        <f>0.511877935</f>
        <v>0.51187793500000001</v>
      </c>
      <c r="BP192">
        <f>0.53972847</f>
        <v>0.53972847000000002</v>
      </c>
      <c r="BQ192">
        <f>0.540833348</f>
        <v>0.54083334800000005</v>
      </c>
      <c r="BR192">
        <f>0.476539168</f>
        <v>0.47653916800000001</v>
      </c>
      <c r="BS192">
        <f>0.497172965</f>
        <v>0.49717296500000002</v>
      </c>
      <c r="BT192">
        <f>0.459682819</f>
        <v>0.45968281900000002</v>
      </c>
      <c r="BU192">
        <f>0.481413707</f>
        <v>0.48141370700000002</v>
      </c>
      <c r="BV192">
        <f>0.511327675</f>
        <v>0.51132767499999998</v>
      </c>
      <c r="BW192">
        <f>0.459921808</f>
        <v>0.45992180799999999</v>
      </c>
      <c r="BX192">
        <f>0.535100554</f>
        <v>0.53510055400000001</v>
      </c>
      <c r="BY192">
        <f>0.53141181</f>
        <v>0.53141181000000004</v>
      </c>
      <c r="BZ192">
        <f>0.459422466</f>
        <v>0.45942246599999997</v>
      </c>
      <c r="CA192">
        <f>0.502831016</f>
        <v>0.50283101600000002</v>
      </c>
      <c r="CB192">
        <f>0.591094647</f>
        <v>0.59109464700000003</v>
      </c>
      <c r="CC192">
        <f>0.583639235</f>
        <v>0.58363923500000003</v>
      </c>
      <c r="CD192">
        <f>0.603586431</f>
        <v>0.60358643099999998</v>
      </c>
      <c r="CE192">
        <f>0.739128081</f>
        <v>0.73912808100000005</v>
      </c>
      <c r="CF192">
        <f>0.696998482</f>
        <v>0.69699848200000003</v>
      </c>
      <c r="CG192">
        <f>0.710152637</f>
        <v>0.71015263699999998</v>
      </c>
      <c r="CH192">
        <f>0.57890444</f>
        <v>0.57890443999999996</v>
      </c>
      <c r="CI192">
        <f>0.558321039</f>
        <v>0.55832103899999996</v>
      </c>
      <c r="CJ192">
        <f>0.518764225</f>
        <v>0.51876422499999997</v>
      </c>
      <c r="CK192">
        <f>0.547948006</f>
        <v>0.54794800600000004</v>
      </c>
      <c r="CL192">
        <f>0.511348176</f>
        <v>0.51134817600000004</v>
      </c>
      <c r="CM192">
        <f>0.595746895</f>
        <v>0.595746895</v>
      </c>
      <c r="CN192">
        <f>0.611650443</f>
        <v>0.61165044300000004</v>
      </c>
      <c r="CO192">
        <f>0.513805559</f>
        <v>0.51380555900000002</v>
      </c>
      <c r="CP192">
        <f>0.589874677</f>
        <v>0.58987467699999996</v>
      </c>
      <c r="CQ192">
        <f>0.645438537</f>
        <v>0.64543853699999998</v>
      </c>
      <c r="CR192">
        <f>0.642761144</f>
        <v>0.64276114399999995</v>
      </c>
      <c r="CS192">
        <f>0.728940515</f>
        <v>0.72894051500000001</v>
      </c>
      <c r="CT192">
        <f>0.636700325</f>
        <v>0.63670032499999996</v>
      </c>
      <c r="CU192">
        <f>0.72225391</f>
        <v>0.72225391000000005</v>
      </c>
      <c r="CV192">
        <f>0.661480334</f>
        <v>0.66148033399999995</v>
      </c>
      <c r="CW192">
        <f>0.9015792</f>
        <v>0.90157920000000003</v>
      </c>
      <c r="CX192">
        <f>1.439000686</f>
        <v>1.439000686</v>
      </c>
      <c r="CY192">
        <f>0.925390066</f>
        <v>0.92539006599999996</v>
      </c>
      <c r="CZ192">
        <f>0.544622312</f>
        <v>0.544622312</v>
      </c>
      <c r="DA192">
        <f>0.509651638</f>
        <v>0.50965163800000002</v>
      </c>
      <c r="DB192">
        <f>0.50246842</f>
        <v>0.50246842000000003</v>
      </c>
      <c r="DC192">
        <f>0.501578815</f>
        <v>0.50157881500000001</v>
      </c>
      <c r="DD192">
        <f>0.437371116</f>
        <v>0.437371116</v>
      </c>
      <c r="DE192">
        <f>0.462369523</f>
        <v>0.462369523</v>
      </c>
      <c r="DF192">
        <f>0.410780438</f>
        <v>0.41078043800000003</v>
      </c>
      <c r="DG192">
        <f>0.352015483</f>
        <v>0.35201548300000002</v>
      </c>
      <c r="DH192">
        <f>0.400740853</f>
        <v>0.40074085300000001</v>
      </c>
      <c r="DI192">
        <f>0.46837944</f>
        <v>0.46837943999999998</v>
      </c>
      <c r="DJ192">
        <f>0.447192965</f>
        <v>0.447192965</v>
      </c>
      <c r="DK192">
        <f>0.578665204</f>
        <v>0.57866520399999999</v>
      </c>
      <c r="DL192">
        <f>0.621969175</f>
        <v>0.62196917500000004</v>
      </c>
      <c r="DM192">
        <f>0.631868159</f>
        <v>0.63186815900000004</v>
      </c>
      <c r="DN192">
        <f>0.753781982</f>
        <v>0.75378198200000002</v>
      </c>
      <c r="DO192">
        <f>0.71005276</f>
        <v>0.71005275999999995</v>
      </c>
      <c r="DP192">
        <f>0.836706058</f>
        <v>0.83670605799999997</v>
      </c>
      <c r="DQ192">
        <f>0.936655506</f>
        <v>0.93665550600000003</v>
      </c>
      <c r="DR192">
        <f>0.85840473</f>
        <v>0.85840472999999995</v>
      </c>
      <c r="DS192">
        <f>1.060587676</f>
        <v>1.0605876759999999</v>
      </c>
      <c r="DT192">
        <f>1.162961326</f>
        <v>1.162961326</v>
      </c>
      <c r="DU192">
        <f>1.141887072</f>
        <v>1.1418870720000001</v>
      </c>
    </row>
    <row r="193" spans="1:125">
      <c r="A193" t="str">
        <f>"    Brandywine Realty Trust"</f>
        <v xml:space="preserve">    Brandywine Realty Trust</v>
      </c>
      <c r="B193" t="str">
        <f>"BDN US Equity"</f>
        <v>BDN US Equity</v>
      </c>
      <c r="C193" t="str">
        <f t="shared" si="51"/>
        <v>RR263</v>
      </c>
      <c r="D193" t="str">
        <f t="shared" si="52"/>
        <v>DEBT_TO_MKT_CAP</v>
      </c>
      <c r="E193" t="str">
        <f t="shared" si="53"/>
        <v>动态</v>
      </c>
      <c r="F193">
        <f ca="1">IF(AND(ISNUMBER($F$497),$B$294=1),$F$497,HLOOKUP(INDIRECT(ADDRESS(2,COLUMN())),OFFSET($BN$2,0,0,ROW()-1,60),ROW()-1,FALSE))</f>
        <v>0.67459149100000004</v>
      </c>
      <c r="G193">
        <f ca="1">IF(AND(ISNUMBER($G$497),$B$294=1),$G$497,HLOOKUP(INDIRECT(ADDRESS(2,COLUMN())),OFFSET($BN$2,0,0,ROW()-1,60),ROW()-1,FALSE))</f>
        <v>0.60490817799999996</v>
      </c>
      <c r="H193">
        <f ca="1">IF(AND(ISNUMBER($H$497),$B$294=1),$H$497,HLOOKUP(INDIRECT(ADDRESS(2,COLUMN())),OFFSET($BN$2,0,0,ROW()-1,60),ROW()-1,FALSE))</f>
        <v>0.61600593199999998</v>
      </c>
      <c r="I193">
        <f ca="1">IF(AND(ISNUMBER($I$497),$B$294=1),$I$497,HLOOKUP(INDIRECT(ADDRESS(2,COLUMN())),OFFSET($BN$2,0,0,ROW()-1,60),ROW()-1,FALSE))</f>
        <v>0.62215007300000003</v>
      </c>
      <c r="J193">
        <f ca="1">IF(AND(ISNUMBER($J$497),$B$294=1),$J$497,HLOOKUP(INDIRECT(ADDRESS(2,COLUMN())),OFFSET($BN$2,0,0,ROW()-1,60),ROW()-1,FALSE))</f>
        <v>0.70786967899999997</v>
      </c>
      <c r="K193">
        <f ca="1">IF(AND(ISNUMBER($K$497),$B$294=1),$K$497,HLOOKUP(INDIRECT(ADDRESS(2,COLUMN())),OFFSET($BN$2,0,0,ROW()-1,60),ROW()-1,FALSE))</f>
        <v>0.69619937399999998</v>
      </c>
      <c r="L193">
        <f ca="1">IF(AND(ISNUMBER($L$497),$B$294=1),$L$497,HLOOKUP(INDIRECT(ADDRESS(2,COLUMN())),OFFSET($BN$2,0,0,ROW()-1,60),ROW()-1,FALSE))</f>
        <v>0.73617794599999997</v>
      </c>
      <c r="M193">
        <f ca="1">IF(AND(ISNUMBER($M$497),$B$294=1),$M$497,HLOOKUP(INDIRECT(ADDRESS(2,COLUMN())),OFFSET($BN$2,0,0,ROW()-1,60),ROW()-1,FALSE))</f>
        <v>0.69198707999999998</v>
      </c>
      <c r="N193">
        <f ca="1">IF(AND(ISNUMBER($N$497),$B$294=1),$N$497,HLOOKUP(INDIRECT(ADDRESS(2,COLUMN())),OFFSET($BN$2,0,0,ROW()-1,60),ROW()-1,FALSE))</f>
        <v>0.89081259599999996</v>
      </c>
      <c r="O193">
        <f ca="1">IF(AND(ISNUMBER($O$497),$B$294=1),$O$497,HLOOKUP(INDIRECT(ADDRESS(2,COLUMN())),OFFSET($BN$2,0,0,ROW()-1,60),ROW()-1,FALSE))</f>
        <v>0.996460813</v>
      </c>
      <c r="P193">
        <f ca="1">IF(AND(ISNUMBER($P$497),$B$294=1),$P$497,HLOOKUP(INDIRECT(ADDRESS(2,COLUMN())),OFFSET($BN$2,0,0,ROW()-1,60),ROW()-1,FALSE))</f>
        <v>1.100883963</v>
      </c>
      <c r="Q193">
        <f ca="1">IF(AND(ISNUMBER($Q$497),$B$294=1),$Q$497,HLOOKUP(INDIRECT(ADDRESS(2,COLUMN())),OFFSET($BN$2,0,0,ROW()-1,60),ROW()-1,FALSE))</f>
        <v>1.0230787699999999</v>
      </c>
      <c r="R193">
        <f ca="1">IF(AND(ISNUMBER($R$497),$B$294=1),$R$497,HLOOKUP(INDIRECT(ADDRESS(2,COLUMN())),OFFSET($BN$2,0,0,ROW()-1,60),ROW()-1,FALSE))</f>
        <v>0.85232616800000005</v>
      </c>
      <c r="S193">
        <f ca="1">IF(AND(ISNUMBER($S$497),$B$294=1),$S$497,HLOOKUP(INDIRECT(ADDRESS(2,COLUMN())),OFFSET($BN$2,0,0,ROW()-1,60),ROW()-1,FALSE))</f>
        <v>0.84868096800000004</v>
      </c>
      <c r="T193">
        <f ca="1">IF(AND(ISNUMBER($T$497),$B$294=1),$T$497,HLOOKUP(INDIRECT(ADDRESS(2,COLUMN())),OFFSET($BN$2,0,0,ROW()-1,60),ROW()-1,FALSE))</f>
        <v>1.0777240260000001</v>
      </c>
      <c r="U193">
        <f ca="1">IF(AND(ISNUMBER($U$497),$B$294=1),$U$497,HLOOKUP(INDIRECT(ADDRESS(2,COLUMN())),OFFSET($BN$2,0,0,ROW()-1,60),ROW()-1,FALSE))</f>
        <v>1.056523401</v>
      </c>
      <c r="V193">
        <f ca="1">IF(AND(ISNUMBER($V$497),$B$294=1),$V$497,HLOOKUP(INDIRECT(ADDRESS(2,COLUMN())),OFFSET($BN$2,0,0,ROW()-1,60),ROW()-1,FALSE))</f>
        <v>1.143555528</v>
      </c>
      <c r="W193">
        <f ca="1">IF(AND(ISNUMBER($W$497),$B$294=1),$W$497,HLOOKUP(INDIRECT(ADDRESS(2,COLUMN())),OFFSET($BN$2,0,0,ROW()-1,60),ROW()-1,FALSE))</f>
        <v>1.175418699</v>
      </c>
      <c r="X193">
        <f ca="1">IF(AND(ISNUMBER($X$497),$B$294=1),$X$497,HLOOKUP(INDIRECT(ADDRESS(2,COLUMN())),OFFSET($BN$2,0,0,ROW()-1,60),ROW()-1,FALSE))</f>
        <v>1.1509836360000001</v>
      </c>
      <c r="Y193">
        <f ca="1">IF(AND(ISNUMBER($Y$497),$B$294=1),$Y$497,HLOOKUP(INDIRECT(ADDRESS(2,COLUMN())),OFFSET($BN$2,0,0,ROW()-1,60),ROW()-1,FALSE))</f>
        <v>1.124270594</v>
      </c>
      <c r="Z193">
        <f ca="1">IF(AND(ISNUMBER($Z$497),$B$294=1),$Z$497,HLOOKUP(INDIRECT(ADDRESS(2,COLUMN())),OFFSET($BN$2,0,0,ROW()-1,60),ROW()-1,FALSE))</f>
        <v>1.122819287</v>
      </c>
      <c r="AA193">
        <f ca="1">IF(AND(ISNUMBER($AA$497),$B$294=1),$AA$497,HLOOKUP(INDIRECT(ADDRESS(2,COLUMN())),OFFSET($BN$2,0,0,ROW()-1,60),ROW()-1,FALSE))</f>
        <v>1.40990708</v>
      </c>
      <c r="AB193">
        <f ca="1">IF(AND(ISNUMBER($AB$497),$B$294=1),$AB$497,HLOOKUP(INDIRECT(ADDRESS(2,COLUMN())),OFFSET($BN$2,0,0,ROW()-1,60),ROW()-1,FALSE))</f>
        <v>1.4338477089999999</v>
      </c>
      <c r="AC193">
        <f ca="1">IF(AND(ISNUMBER($AC$497),$B$294=1),$AC$497,HLOOKUP(INDIRECT(ADDRESS(2,COLUMN())),OFFSET($BN$2,0,0,ROW()-1,60),ROW()-1,FALSE))</f>
        <v>1.419645896</v>
      </c>
      <c r="AD193">
        <f ca="1">IF(AND(ISNUMBER($AD$497),$B$294=1),$AD$497,HLOOKUP(INDIRECT(ADDRESS(2,COLUMN())),OFFSET($BN$2,0,0,ROW()-1,60),ROW()-1,FALSE))</f>
        <v>1.6322342839999999</v>
      </c>
      <c r="AE193">
        <f ca="1">IF(AND(ISNUMBER($AE$497),$B$294=1),$AE$497,HLOOKUP(INDIRECT(ADDRESS(2,COLUMN())),OFFSET($BN$2,0,0,ROW()-1,60),ROW()-1,FALSE))</f>
        <v>1.8586827530000001</v>
      </c>
      <c r="AF193">
        <f ca="1">IF(AND(ISNUMBER($AF$497),$B$294=1),$AF$497,HLOOKUP(INDIRECT(ADDRESS(2,COLUMN())),OFFSET($BN$2,0,0,ROW()-1,60),ROW()-1,FALSE))</f>
        <v>2.2956153000000001</v>
      </c>
      <c r="AG193">
        <f ca="1">IF(AND(ISNUMBER($AG$497),$B$294=1),$AG$497,HLOOKUP(INDIRECT(ADDRESS(2,COLUMN())),OFFSET($BN$2,0,0,ROW()-1,60),ROW()-1,FALSE))</f>
        <v>1.572109057</v>
      </c>
      <c r="AH193">
        <f ca="1">IF(AND(ISNUMBER($AH$497),$B$294=1),$AH$497,HLOOKUP(INDIRECT(ADDRESS(2,COLUMN())),OFFSET($BN$2,0,0,ROW()-1,60),ROW()-1,FALSE))</f>
        <v>1.494557208</v>
      </c>
      <c r="AI193">
        <f ca="1">IF(AND(ISNUMBER($AI$497),$B$294=1),$AI$497,HLOOKUP(INDIRECT(ADDRESS(2,COLUMN())),OFFSET($BN$2,0,0,ROW()-1,60),ROW()-1,FALSE))</f>
        <v>1.551588784</v>
      </c>
      <c r="AJ193">
        <f ca="1">IF(AND(ISNUMBER($AJ$497),$B$294=1),$AJ$497,HLOOKUP(INDIRECT(ADDRESS(2,COLUMN())),OFFSET($BN$2,0,0,ROW()-1,60),ROW()-1,FALSE))</f>
        <v>1.5614200140000001</v>
      </c>
      <c r="AK193">
        <f ca="1">IF(AND(ISNUMBER($AK$497),$B$294=1),$AK$497,HLOOKUP(INDIRECT(ADDRESS(2,COLUMN())),OFFSET($BN$2,0,0,ROW()-1,60),ROW()-1,FALSE))</f>
        <v>1.7063476799999999</v>
      </c>
      <c r="AL193">
        <f ca="1">IF(AND(ISNUMBER($AL$497),$B$294=1),$AL$497,HLOOKUP(INDIRECT(ADDRESS(2,COLUMN())),OFFSET($BN$2,0,0,ROW()-1,60),ROW()-1,FALSE))</f>
        <v>1.547539225</v>
      </c>
      <c r="AM193">
        <f ca="1">IF(AND(ISNUMBER($AM$497),$B$294=1),$AM$497,HLOOKUP(INDIRECT(ADDRESS(2,COLUMN())),OFFSET($BN$2,0,0,ROW()-1,60),ROW()-1,FALSE))</f>
        <v>1.674521004</v>
      </c>
      <c r="AN193">
        <f ca="1">IF(AND(ISNUMBER($AN$497),$B$294=1),$AN$497,HLOOKUP(INDIRECT(ADDRESS(2,COLUMN())),OFFSET($BN$2,0,0,ROW()-1,60),ROW()-1,FALSE))</f>
        <v>1.7678288010000001</v>
      </c>
      <c r="AO193">
        <f ca="1">IF(AND(ISNUMBER($AO$497),$B$294=1),$AO$497,HLOOKUP(INDIRECT(ADDRESS(2,COLUMN())),OFFSET($BN$2,0,0,ROW()-1,60),ROW()-1,FALSE))</f>
        <v>2.5940072980000002</v>
      </c>
      <c r="AP193">
        <f ca="1">IF(AND(ISNUMBER($AP$497),$B$294=1),$AP$497,HLOOKUP(INDIRECT(ADDRESS(2,COLUMN())),OFFSET($BN$2,0,0,ROW()-1,60),ROW()-1,FALSE))</f>
        <v>10.73750231</v>
      </c>
      <c r="AQ193">
        <f ca="1">IF(AND(ISNUMBER($AQ$497),$B$294=1),$AQ$497,HLOOKUP(INDIRECT(ADDRESS(2,COLUMN())),OFFSET($BN$2,0,0,ROW()-1,60),ROW()-1,FALSE))</f>
        <v>4.0335148079999996</v>
      </c>
      <c r="AR193">
        <f ca="1">IF(AND(ISNUMBER($AR$497),$B$294=1),$AR$497,HLOOKUP(INDIRECT(ADDRESS(2,COLUMN())),OFFSET($BN$2,0,0,ROW()-1,60),ROW()-1,FALSE))</f>
        <v>2.1302489499999999</v>
      </c>
      <c r="AS193">
        <f ca="1">IF(AND(ISNUMBER($AS$497),$B$294=1),$AS$497,HLOOKUP(INDIRECT(ADDRESS(2,COLUMN())),OFFSET($BN$2,0,0,ROW()-1,60),ROW()-1,FALSE))</f>
        <v>2.184954421</v>
      </c>
      <c r="AT193">
        <f ca="1">IF(AND(ISNUMBER($AT$497),$B$294=1),$AT$497,HLOOKUP(INDIRECT(ADDRESS(2,COLUMN())),OFFSET($BN$2,0,0,ROW()-1,60),ROW()-1,FALSE))</f>
        <v>2.086599036</v>
      </c>
      <c r="AU193">
        <f ca="1">IF(AND(ISNUMBER($AU$497),$B$294=1),$AU$497,HLOOKUP(INDIRECT(ADDRESS(2,COLUMN())),OFFSET($BN$2,0,0,ROW()-1,60),ROW()-1,FALSE))</f>
        <v>1.991509148</v>
      </c>
      <c r="AV193">
        <f ca="1">IF(AND(ISNUMBER($AV$497),$B$294=1),$AV$497,HLOOKUP(INDIRECT(ADDRESS(2,COLUMN())),OFFSET($BN$2,0,0,ROW()-1,60),ROW()-1,FALSE))</f>
        <v>1.48704339</v>
      </c>
      <c r="AW193">
        <f ca="1">IF(AND(ISNUMBER($AW$497),$B$294=1),$AW$497,HLOOKUP(INDIRECT(ADDRESS(2,COLUMN())),OFFSET($BN$2,0,0,ROW()-1,60),ROW()-1,FALSE))</f>
        <v>1.2763288939999999</v>
      </c>
      <c r="AX193">
        <f ca="1">IF(AND(ISNUMBER($AX$497),$B$294=1),$AX$497,HLOOKUP(INDIRECT(ADDRESS(2,COLUMN())),OFFSET($BN$2,0,0,ROW()-1,60),ROW()-1,FALSE))</f>
        <v>1.0830860090000001</v>
      </c>
      <c r="AY193">
        <f ca="1">IF(AND(ISNUMBER($AY$497),$B$294=1),$AY$497,HLOOKUP(INDIRECT(ADDRESS(2,COLUMN())),OFFSET($BN$2,0,0,ROW()-1,60),ROW()-1,FALSE))</f>
        <v>1.081366316</v>
      </c>
      <c r="AZ193">
        <f ca="1">IF(AND(ISNUMBER($AZ$497),$B$294=1),$AZ$497,HLOOKUP(INDIRECT(ADDRESS(2,COLUMN())),OFFSET($BN$2,0,0,ROW()-1,60),ROW()-1,FALSE))</f>
        <v>1.087909217</v>
      </c>
      <c r="BA193">
        <f ca="1">IF(AND(ISNUMBER($BA$497),$B$294=1),$BA$497,HLOOKUP(INDIRECT(ADDRESS(2,COLUMN())),OFFSET($BN$2,0,0,ROW()-1,60),ROW()-1,FALSE))</f>
        <v>1.0747876220000001</v>
      </c>
      <c r="BB193">
        <f ca="1">IF(AND(ISNUMBER($BB$497),$B$294=1),$BB$497,HLOOKUP(INDIRECT(ADDRESS(2,COLUMN())),OFFSET($BN$2,0,0,ROW()-1,60),ROW()-1,FALSE))</f>
        <v>1.0667348430000001</v>
      </c>
      <c r="BC193">
        <f ca="1">IF(AND(ISNUMBER($BC$497),$B$294=1),$BC$497,HLOOKUP(INDIRECT(ADDRESS(2,COLUMN())),OFFSET($BN$2,0,0,ROW()-1,60),ROW()-1,FALSE))</f>
        <v>0.97029597599999995</v>
      </c>
      <c r="BD193">
        <f ca="1">IF(AND(ISNUMBER($BD$497),$B$294=1),$BD$497,HLOOKUP(INDIRECT(ADDRESS(2,COLUMN())),OFFSET($BN$2,0,0,ROW()-1,60),ROW()-1,FALSE))</f>
        <v>0.84800944599999994</v>
      </c>
      <c r="BE193">
        <f ca="1">IF(AND(ISNUMBER($BE$497),$B$294=1),$BE$497,HLOOKUP(INDIRECT(ADDRESS(2,COLUMN())),OFFSET($BN$2,0,0,ROW()-1,60),ROW()-1,FALSE))</f>
        <v>0.82685056599999995</v>
      </c>
      <c r="BF193">
        <f ca="1">IF(AND(ISNUMBER($BF$497),$B$294=1),$BF$497,HLOOKUP(INDIRECT(ADDRESS(2,COLUMN())),OFFSET($BN$2,0,0,ROW()-1,60),ROW()-1,FALSE))</f>
        <v>0.85443865600000002</v>
      </c>
      <c r="BG193">
        <f ca="1">IF(AND(ISNUMBER($BG$497),$B$294=1),$BG$497,HLOOKUP(INDIRECT(ADDRESS(2,COLUMN())),OFFSET($BN$2,0,0,ROW()-1,60),ROW()-1,FALSE))</f>
        <v>0.83010133799999997</v>
      </c>
      <c r="BH193">
        <f ca="1">IF(AND(ISNUMBER($BH$497),$B$294=1),$BH$497,HLOOKUP(INDIRECT(ADDRESS(2,COLUMN())),OFFSET($BN$2,0,0,ROW()-1,60),ROW()-1,FALSE))</f>
        <v>0.83764461400000001</v>
      </c>
      <c r="BI193">
        <f ca="1">IF(AND(ISNUMBER($BI$497),$B$294=1),$BI$497,HLOOKUP(INDIRECT(ADDRESS(2,COLUMN())),OFFSET($BN$2,0,0,ROW()-1,60),ROW()-1,FALSE))</f>
        <v>0.66049703999999998</v>
      </c>
      <c r="BJ193">
        <f ca="1">IF(AND(ISNUMBER($BJ$497),$B$294=1),$BJ$497,HLOOKUP(INDIRECT(ADDRESS(2,COLUMN())),OFFSET($BN$2,0,0,ROW()-1,60),ROW()-1,FALSE))</f>
        <v>0.58568727600000003</v>
      </c>
      <c r="BK193">
        <f ca="1">IF(AND(ISNUMBER($BK$497),$B$294=1),$BK$497,HLOOKUP(INDIRECT(ADDRESS(2,COLUMN())),OFFSET($BN$2,0,0,ROW()-1,60),ROW()-1,FALSE))</f>
        <v>0.85826518100000004</v>
      </c>
      <c r="BL193">
        <f ca="1">IF(AND(ISNUMBER($BL$497),$B$294=1),$BL$497,HLOOKUP(INDIRECT(ADDRESS(2,COLUMN())),OFFSET($BN$2,0,0,ROW()-1,60),ROW()-1,FALSE))</f>
        <v>0.98415177799999998</v>
      </c>
      <c r="BM193">
        <f ca="1">IF(AND(ISNUMBER($BM$497),$B$294=1),$BM$497,HLOOKUP(INDIRECT(ADDRESS(2,COLUMN())),OFFSET($BN$2,0,0,ROW()-1,60),ROW()-1,FALSE))</f>
        <v>1.0233715000000001</v>
      </c>
      <c r="BN193">
        <f>0.674591491</f>
        <v>0.67459149100000004</v>
      </c>
      <c r="BO193">
        <f>0.604908178</f>
        <v>0.60490817799999996</v>
      </c>
      <c r="BP193">
        <f>0.616005932</f>
        <v>0.61600593199999998</v>
      </c>
      <c r="BQ193">
        <f>0.622150073</f>
        <v>0.62215007300000003</v>
      </c>
      <c r="BR193">
        <f>0.707869679</f>
        <v>0.70786967899999997</v>
      </c>
      <c r="BS193">
        <f>0.696199374</f>
        <v>0.69619937399999998</v>
      </c>
      <c r="BT193">
        <f>0.736177946</f>
        <v>0.73617794599999997</v>
      </c>
      <c r="BU193">
        <f>0.69198708</f>
        <v>0.69198707999999998</v>
      </c>
      <c r="BV193">
        <f>0.890812596</f>
        <v>0.89081259599999996</v>
      </c>
      <c r="BW193">
        <f>0.996460813</f>
        <v>0.996460813</v>
      </c>
      <c r="BX193">
        <f>1.100883963</f>
        <v>1.100883963</v>
      </c>
      <c r="BY193">
        <f>1.02307877</f>
        <v>1.0230787699999999</v>
      </c>
      <c r="BZ193">
        <f>0.852326168</f>
        <v>0.85232616800000005</v>
      </c>
      <c r="CA193">
        <f>0.848680968</f>
        <v>0.84868096800000004</v>
      </c>
      <c r="CB193">
        <f>1.077724026</f>
        <v>1.0777240260000001</v>
      </c>
      <c r="CC193">
        <f>1.056523401</f>
        <v>1.056523401</v>
      </c>
      <c r="CD193">
        <f>1.143555528</f>
        <v>1.143555528</v>
      </c>
      <c r="CE193">
        <f>1.175418699</f>
        <v>1.175418699</v>
      </c>
      <c r="CF193">
        <f>1.150983636</f>
        <v>1.1509836360000001</v>
      </c>
      <c r="CG193">
        <f>1.124270594</f>
        <v>1.124270594</v>
      </c>
      <c r="CH193">
        <f>1.122819287</f>
        <v>1.122819287</v>
      </c>
      <c r="CI193">
        <f>1.40990708</f>
        <v>1.40990708</v>
      </c>
      <c r="CJ193">
        <f>1.433847709</f>
        <v>1.4338477089999999</v>
      </c>
      <c r="CK193">
        <f>1.419645896</f>
        <v>1.419645896</v>
      </c>
      <c r="CL193">
        <f>1.632234284</f>
        <v>1.6322342839999999</v>
      </c>
      <c r="CM193">
        <f>1.858682753</f>
        <v>1.8586827530000001</v>
      </c>
      <c r="CN193">
        <f>2.2956153</f>
        <v>2.2956153000000001</v>
      </c>
      <c r="CO193">
        <f>1.572109057</f>
        <v>1.572109057</v>
      </c>
      <c r="CP193">
        <f>1.494557208</f>
        <v>1.494557208</v>
      </c>
      <c r="CQ193">
        <f>1.551588784</f>
        <v>1.551588784</v>
      </c>
      <c r="CR193">
        <f>1.561420014</f>
        <v>1.5614200140000001</v>
      </c>
      <c r="CS193">
        <f>1.70634768</f>
        <v>1.7063476799999999</v>
      </c>
      <c r="CT193">
        <f>1.547539225</f>
        <v>1.547539225</v>
      </c>
      <c r="CU193">
        <f>1.674521004</f>
        <v>1.674521004</v>
      </c>
      <c r="CV193">
        <f>1.767828801</f>
        <v>1.7678288010000001</v>
      </c>
      <c r="CW193">
        <f>2.594007298</f>
        <v>2.5940072980000002</v>
      </c>
      <c r="CX193">
        <f>10.73750231</f>
        <v>10.73750231</v>
      </c>
      <c r="CY193">
        <f>4.033514808</f>
        <v>4.0335148079999996</v>
      </c>
      <c r="CZ193">
        <f>2.13024895</f>
        <v>2.1302489499999999</v>
      </c>
      <c r="DA193">
        <f>2.184954421</f>
        <v>2.184954421</v>
      </c>
      <c r="DB193">
        <f>2.086599036</f>
        <v>2.086599036</v>
      </c>
      <c r="DC193">
        <f>1.991509148</f>
        <v>1.991509148</v>
      </c>
      <c r="DD193">
        <f>1.48704339</f>
        <v>1.48704339</v>
      </c>
      <c r="DE193">
        <f>1.276328894</f>
        <v>1.2763288939999999</v>
      </c>
      <c r="DF193">
        <f>1.083086009</f>
        <v>1.0830860090000001</v>
      </c>
      <c r="DG193">
        <f>1.081366316</f>
        <v>1.081366316</v>
      </c>
      <c r="DH193">
        <f>1.087909217</f>
        <v>1.087909217</v>
      </c>
      <c r="DI193">
        <f>1.074787622</f>
        <v>1.0747876220000001</v>
      </c>
      <c r="DJ193">
        <f>1.066734843</f>
        <v>1.0667348430000001</v>
      </c>
      <c r="DK193">
        <f>0.970295976</f>
        <v>0.97029597599999995</v>
      </c>
      <c r="DL193">
        <f>0.848009446</f>
        <v>0.84800944599999994</v>
      </c>
      <c r="DM193">
        <f>0.826850566</f>
        <v>0.82685056599999995</v>
      </c>
      <c r="DN193">
        <f>0.854438656</f>
        <v>0.85443865600000002</v>
      </c>
      <c r="DO193">
        <f>0.830101338</f>
        <v>0.83010133799999997</v>
      </c>
      <c r="DP193">
        <f>0.837644614</f>
        <v>0.83764461400000001</v>
      </c>
      <c r="DQ193">
        <f>0.66049704</f>
        <v>0.66049703999999998</v>
      </c>
      <c r="DR193">
        <f>0.585687276</f>
        <v>0.58568727600000003</v>
      </c>
      <c r="DS193">
        <f>0.858265181</f>
        <v>0.85826518100000004</v>
      </c>
      <c r="DT193">
        <f>0.984151778</f>
        <v>0.98415177799999998</v>
      </c>
      <c r="DU193">
        <f>1.0233715</f>
        <v>1.0233715000000001</v>
      </c>
    </row>
    <row r="194" spans="1:125">
      <c r="A194" t="str">
        <f>"    Columbia Property Trust Inc"</f>
        <v xml:space="preserve">    Columbia Property Trust Inc</v>
      </c>
      <c r="B194" t="str">
        <f>"CXP US Equity"</f>
        <v>CXP US Equity</v>
      </c>
      <c r="C194" t="str">
        <f t="shared" si="51"/>
        <v>RR263</v>
      </c>
      <c r="D194" t="str">
        <f t="shared" si="52"/>
        <v>DEBT_TO_MKT_CAP</v>
      </c>
      <c r="E194" t="str">
        <f t="shared" si="53"/>
        <v>动态</v>
      </c>
      <c r="F194">
        <f ca="1">IF(AND(ISNUMBER($F$498),$B$294=1),$F$498,HLOOKUP(INDIRECT(ADDRESS(2,COLUMN())),OFFSET($BN$2,0,0,ROW()-1,60),ROW()-1,FALSE))</f>
        <v>0.70538689600000004</v>
      </c>
      <c r="G194">
        <f ca="1">IF(AND(ISNUMBER($G$498),$B$294=1),$G$498,HLOOKUP(INDIRECT(ADDRESS(2,COLUMN())),OFFSET($BN$2,0,0,ROW()-1,60),ROW()-1,FALSE))</f>
        <v>0.64918918800000003</v>
      </c>
      <c r="H194">
        <f ca="1">IF(AND(ISNUMBER($H$498),$B$294=1),$H$498,HLOOKUP(INDIRECT(ADDRESS(2,COLUMN())),OFFSET($BN$2,0,0,ROW()-1,60),ROW()-1,FALSE))</f>
        <v>0.505410778</v>
      </c>
      <c r="I194">
        <f ca="1">IF(AND(ISNUMBER($I$498),$B$294=1),$I$498,HLOOKUP(INDIRECT(ADDRESS(2,COLUMN())),OFFSET($BN$2,0,0,ROW()-1,60),ROW()-1,FALSE))</f>
        <v>0.53258675499999997</v>
      </c>
      <c r="J194">
        <f ca="1">IF(AND(ISNUMBER($J$498),$B$294=1),$J$498,HLOOKUP(INDIRECT(ADDRESS(2,COLUMN())),OFFSET($BN$2,0,0,ROW()-1,60),ROW()-1,FALSE))</f>
        <v>0.536068824</v>
      </c>
      <c r="K194">
        <f ca="1">IF(AND(ISNUMBER($K$498),$B$294=1),$K$498,HLOOKUP(INDIRECT(ADDRESS(2,COLUMN())),OFFSET($BN$2,0,0,ROW()-1,60),ROW()-1,FALSE))</f>
        <v>0.57531165799999995</v>
      </c>
      <c r="L194">
        <f ca="1">IF(AND(ISNUMBER($L$498),$B$294=1),$L$498,HLOOKUP(INDIRECT(ADDRESS(2,COLUMN())),OFFSET($BN$2,0,0,ROW()-1,60),ROW()-1,FALSE))</f>
        <v>0.59118777499999997</v>
      </c>
      <c r="M194">
        <f ca="1">IF(AND(ISNUMBER($M$498),$B$294=1),$M$498,HLOOKUP(INDIRECT(ADDRESS(2,COLUMN())),OFFSET($BN$2,0,0,ROW()-1,60),ROW()-1,FALSE))</f>
        <v>0.67084703000000001</v>
      </c>
      <c r="N194">
        <f ca="1">IF(AND(ISNUMBER($N$498),$B$294=1),$N$498,HLOOKUP(INDIRECT(ADDRESS(2,COLUMN())),OFFSET($BN$2,0,0,ROW()-1,60),ROW()-1,FALSE))</f>
        <v>0.707338668</v>
      </c>
      <c r="O194">
        <f ca="1">IF(AND(ISNUMBER($O$498),$B$294=1),$O$498,HLOOKUP(INDIRECT(ADDRESS(2,COLUMN())),OFFSET($BN$2,0,0,ROW()-1,60),ROW()-1,FALSE))</f>
        <v>0.63212122000000004</v>
      </c>
      <c r="P194">
        <f ca="1">IF(AND(ISNUMBER($P$498),$B$294=1),$P$498,HLOOKUP(INDIRECT(ADDRESS(2,COLUMN())),OFFSET($BN$2,0,0,ROW()-1,60),ROW()-1,FALSE))</f>
        <v>0.81957615399999995</v>
      </c>
      <c r="Q194">
        <f ca="1">IF(AND(ISNUMBER($Q$498),$B$294=1),$Q$498,HLOOKUP(INDIRECT(ADDRESS(2,COLUMN())),OFFSET($BN$2,0,0,ROW()-1,60),ROW()-1,FALSE))</f>
        <v>0.72835334100000004</v>
      </c>
      <c r="R194">
        <f ca="1">IF(AND(ISNUMBER($R$498),$B$294=1),$R$498,HLOOKUP(INDIRECT(ADDRESS(2,COLUMN())),OFFSET($BN$2,0,0,ROW()-1,60),ROW()-1,FALSE))</f>
        <v>0.66687903599999998</v>
      </c>
      <c r="S194">
        <f ca="1">IF(AND(ISNUMBER($S$498),$B$294=1),$S$498,HLOOKUP(INDIRECT(ADDRESS(2,COLUMN())),OFFSET($BN$2,0,0,ROW()-1,60),ROW()-1,FALSE))</f>
        <v>0.56672172200000004</v>
      </c>
      <c r="T194">
        <f ca="1">IF(AND(ISNUMBER($T$498),$B$294=1),$T$498,HLOOKUP(INDIRECT(ADDRESS(2,COLUMN())),OFFSET($BN$2,0,0,ROW()-1,60),ROW()-1,FALSE))</f>
        <v>0.65703436500000001</v>
      </c>
      <c r="U194">
        <f ca="1">IF(AND(ISNUMBER($U$498),$B$294=1),$U$498,HLOOKUP(INDIRECT(ADDRESS(2,COLUMN())),OFFSET($BN$2,0,0,ROW()-1,60),ROW()-1,FALSE))</f>
        <v>0.54015390399999996</v>
      </c>
      <c r="V194">
        <f ca="1">IF(AND(ISNUMBER($V$498),$B$294=1),$V$498,HLOOKUP(INDIRECT(ADDRESS(2,COLUMN())),OFFSET($BN$2,0,0,ROW()-1,60),ROW()-1,FALSE))</f>
        <v>0.473635321</v>
      </c>
      <c r="W194">
        <f ca="1">IF(AND(ISNUMBER($W$498),$B$294=1),$W$498,HLOOKUP(INDIRECT(ADDRESS(2,COLUMN())),OFFSET($BN$2,0,0,ROW()-1,60),ROW()-1,FALSE))</f>
        <v>0.51649809199999996</v>
      </c>
      <c r="X194" t="str">
        <f ca="1">IF(AND(ISNUMBER($X$498),$B$294=1),$X$498,HLOOKUP(INDIRECT(ADDRESS(2,COLUMN())),OFFSET($BN$2,0,0,ROW()-1,60),ROW()-1,FALSE))</f>
        <v/>
      </c>
      <c r="Y194" t="str">
        <f ca="1">IF(AND(ISNUMBER($Y$498),$B$294=1),$Y$498,HLOOKUP(INDIRECT(ADDRESS(2,COLUMN())),OFFSET($BN$2,0,0,ROW()-1,60),ROW()-1,FALSE))</f>
        <v/>
      </c>
      <c r="Z194" t="str">
        <f ca="1">IF(AND(ISNUMBER($Z$498),$B$294=1),$Z$498,HLOOKUP(INDIRECT(ADDRESS(2,COLUMN())),OFFSET($BN$2,0,0,ROW()-1,60),ROW()-1,FALSE))</f>
        <v/>
      </c>
      <c r="AA194" t="str">
        <f ca="1">IF(AND(ISNUMBER($AA$498),$B$294=1),$AA$498,HLOOKUP(INDIRECT(ADDRESS(2,COLUMN())),OFFSET($BN$2,0,0,ROW()-1,60),ROW()-1,FALSE))</f>
        <v/>
      </c>
      <c r="AB194" t="str">
        <f ca="1">IF(AND(ISNUMBER($AB$498),$B$294=1),$AB$498,HLOOKUP(INDIRECT(ADDRESS(2,COLUMN())),OFFSET($BN$2,0,0,ROW()-1,60),ROW()-1,FALSE))</f>
        <v/>
      </c>
      <c r="AC194" t="str">
        <f ca="1">IF(AND(ISNUMBER($AC$498),$B$294=1),$AC$498,HLOOKUP(INDIRECT(ADDRESS(2,COLUMN())),OFFSET($BN$2,0,0,ROW()-1,60),ROW()-1,FALSE))</f>
        <v/>
      </c>
      <c r="AD194" t="str">
        <f ca="1">IF(AND(ISNUMBER($AD$498),$B$294=1),$AD$498,HLOOKUP(INDIRECT(ADDRESS(2,COLUMN())),OFFSET($BN$2,0,0,ROW()-1,60),ROW()-1,FALSE))</f>
        <v/>
      </c>
      <c r="AE194" t="str">
        <f ca="1">IF(AND(ISNUMBER($AE$498),$B$294=1),$AE$498,HLOOKUP(INDIRECT(ADDRESS(2,COLUMN())),OFFSET($BN$2,0,0,ROW()-1,60),ROW()-1,FALSE))</f>
        <v/>
      </c>
      <c r="AF194" t="str">
        <f ca="1">IF(AND(ISNUMBER($AF$498),$B$294=1),$AF$498,HLOOKUP(INDIRECT(ADDRESS(2,COLUMN())),OFFSET($BN$2,0,0,ROW()-1,60),ROW()-1,FALSE))</f>
        <v/>
      </c>
      <c r="AG194" t="str">
        <f ca="1">IF(AND(ISNUMBER($AG$498),$B$294=1),$AG$498,HLOOKUP(INDIRECT(ADDRESS(2,COLUMN())),OFFSET($BN$2,0,0,ROW()-1,60),ROW()-1,FALSE))</f>
        <v/>
      </c>
      <c r="AH194" t="str">
        <f ca="1">IF(AND(ISNUMBER($AH$498),$B$294=1),$AH$498,HLOOKUP(INDIRECT(ADDRESS(2,COLUMN())),OFFSET($BN$2,0,0,ROW()-1,60),ROW()-1,FALSE))</f>
        <v/>
      </c>
      <c r="AI194" t="str">
        <f ca="1">IF(AND(ISNUMBER($AI$498),$B$294=1),$AI$498,HLOOKUP(INDIRECT(ADDRESS(2,COLUMN())),OFFSET($BN$2,0,0,ROW()-1,60),ROW()-1,FALSE))</f>
        <v/>
      </c>
      <c r="AJ194" t="str">
        <f ca="1">IF(AND(ISNUMBER($AJ$498),$B$294=1),$AJ$498,HLOOKUP(INDIRECT(ADDRESS(2,COLUMN())),OFFSET($BN$2,0,0,ROW()-1,60),ROW()-1,FALSE))</f>
        <v/>
      </c>
      <c r="AK194" t="str">
        <f ca="1">IF(AND(ISNUMBER($AK$498),$B$294=1),$AK$498,HLOOKUP(INDIRECT(ADDRESS(2,COLUMN())),OFFSET($BN$2,0,0,ROW()-1,60),ROW()-1,FALSE))</f>
        <v/>
      </c>
      <c r="AL194" t="str">
        <f ca="1">IF(AND(ISNUMBER($AL$498),$B$294=1),$AL$498,HLOOKUP(INDIRECT(ADDRESS(2,COLUMN())),OFFSET($BN$2,0,0,ROW()-1,60),ROW()-1,FALSE))</f>
        <v/>
      </c>
      <c r="AM194" t="str">
        <f ca="1">IF(AND(ISNUMBER($AM$498),$B$294=1),$AM$498,HLOOKUP(INDIRECT(ADDRESS(2,COLUMN())),OFFSET($BN$2,0,0,ROW()-1,60),ROW()-1,FALSE))</f>
        <v/>
      </c>
      <c r="AN194" t="str">
        <f ca="1">IF(AND(ISNUMBER($AN$498),$B$294=1),$AN$498,HLOOKUP(INDIRECT(ADDRESS(2,COLUMN())),OFFSET($BN$2,0,0,ROW()-1,60),ROW()-1,FALSE))</f>
        <v/>
      </c>
      <c r="AO194" t="str">
        <f ca="1">IF(AND(ISNUMBER($AO$498),$B$294=1),$AO$498,HLOOKUP(INDIRECT(ADDRESS(2,COLUMN())),OFFSET($BN$2,0,0,ROW()-1,60),ROW()-1,FALSE))</f>
        <v/>
      </c>
      <c r="AP194" t="str">
        <f ca="1">IF(AND(ISNUMBER($AP$498),$B$294=1),$AP$498,HLOOKUP(INDIRECT(ADDRESS(2,COLUMN())),OFFSET($BN$2,0,0,ROW()-1,60),ROW()-1,FALSE))</f>
        <v/>
      </c>
      <c r="AQ194" t="str">
        <f ca="1">IF(AND(ISNUMBER($AQ$498),$B$294=1),$AQ$498,HLOOKUP(INDIRECT(ADDRESS(2,COLUMN())),OFFSET($BN$2,0,0,ROW()-1,60),ROW()-1,FALSE))</f>
        <v/>
      </c>
      <c r="AR194" t="str">
        <f ca="1">IF(AND(ISNUMBER($AR$498),$B$294=1),$AR$498,HLOOKUP(INDIRECT(ADDRESS(2,COLUMN())),OFFSET($BN$2,0,0,ROW()-1,60),ROW()-1,FALSE))</f>
        <v/>
      </c>
      <c r="AS194" t="str">
        <f ca="1">IF(AND(ISNUMBER($AS$498),$B$294=1),$AS$498,HLOOKUP(INDIRECT(ADDRESS(2,COLUMN())),OFFSET($BN$2,0,0,ROW()-1,60),ROW()-1,FALSE))</f>
        <v/>
      </c>
      <c r="AT194" t="str">
        <f ca="1">IF(AND(ISNUMBER($AT$498),$B$294=1),$AT$498,HLOOKUP(INDIRECT(ADDRESS(2,COLUMN())),OFFSET($BN$2,0,0,ROW()-1,60),ROW()-1,FALSE))</f>
        <v/>
      </c>
      <c r="AU194" t="str">
        <f ca="1">IF(AND(ISNUMBER($AU$498),$B$294=1),$AU$498,HLOOKUP(INDIRECT(ADDRESS(2,COLUMN())),OFFSET($BN$2,0,0,ROW()-1,60),ROW()-1,FALSE))</f>
        <v/>
      </c>
      <c r="AV194" t="str">
        <f ca="1">IF(AND(ISNUMBER($AV$498),$B$294=1),$AV$498,HLOOKUP(INDIRECT(ADDRESS(2,COLUMN())),OFFSET($BN$2,0,0,ROW()-1,60),ROW()-1,FALSE))</f>
        <v/>
      </c>
      <c r="AW194" t="str">
        <f ca="1">IF(AND(ISNUMBER($AW$498),$B$294=1),$AW$498,HLOOKUP(INDIRECT(ADDRESS(2,COLUMN())),OFFSET($BN$2,0,0,ROW()-1,60),ROW()-1,FALSE))</f>
        <v/>
      </c>
      <c r="AX194" t="str">
        <f ca="1">IF(AND(ISNUMBER($AX$498),$B$294=1),$AX$498,HLOOKUP(INDIRECT(ADDRESS(2,COLUMN())),OFFSET($BN$2,0,0,ROW()-1,60),ROW()-1,FALSE))</f>
        <v/>
      </c>
      <c r="AY194" t="str">
        <f ca="1">IF(AND(ISNUMBER($AY$498),$B$294=1),$AY$498,HLOOKUP(INDIRECT(ADDRESS(2,COLUMN())),OFFSET($BN$2,0,0,ROW()-1,60),ROW()-1,FALSE))</f>
        <v/>
      </c>
      <c r="AZ194" t="str">
        <f ca="1">IF(AND(ISNUMBER($AZ$498),$B$294=1),$AZ$498,HLOOKUP(INDIRECT(ADDRESS(2,COLUMN())),OFFSET($BN$2,0,0,ROW()-1,60),ROW()-1,FALSE))</f>
        <v/>
      </c>
      <c r="BA194" t="str">
        <f ca="1">IF(AND(ISNUMBER($BA$498),$B$294=1),$BA$498,HLOOKUP(INDIRECT(ADDRESS(2,COLUMN())),OFFSET($BN$2,0,0,ROW()-1,60),ROW()-1,FALSE))</f>
        <v/>
      </c>
      <c r="BB194" t="str">
        <f ca="1">IF(AND(ISNUMBER($BB$498),$B$294=1),$BB$498,HLOOKUP(INDIRECT(ADDRESS(2,COLUMN())),OFFSET($BN$2,0,0,ROW()-1,60),ROW()-1,FALSE))</f>
        <v/>
      </c>
      <c r="BC194" t="str">
        <f ca="1">IF(AND(ISNUMBER($BC$498),$B$294=1),$BC$498,HLOOKUP(INDIRECT(ADDRESS(2,COLUMN())),OFFSET($BN$2,0,0,ROW()-1,60),ROW()-1,FALSE))</f>
        <v/>
      </c>
      <c r="BD194" t="str">
        <f ca="1">IF(AND(ISNUMBER($BD$498),$B$294=1),$BD$498,HLOOKUP(INDIRECT(ADDRESS(2,COLUMN())),OFFSET($BN$2,0,0,ROW()-1,60),ROW()-1,FALSE))</f>
        <v/>
      </c>
      <c r="BE194" t="str">
        <f ca="1">IF(AND(ISNUMBER($BE$498),$B$294=1),$BE$498,HLOOKUP(INDIRECT(ADDRESS(2,COLUMN())),OFFSET($BN$2,0,0,ROW()-1,60),ROW()-1,FALSE))</f>
        <v/>
      </c>
      <c r="BF194" t="str">
        <f ca="1">IF(AND(ISNUMBER($BF$498),$B$294=1),$BF$498,HLOOKUP(INDIRECT(ADDRESS(2,COLUMN())),OFFSET($BN$2,0,0,ROW()-1,60),ROW()-1,FALSE))</f>
        <v/>
      </c>
      <c r="BG194" t="str">
        <f ca="1">IF(AND(ISNUMBER($BG$498),$B$294=1),$BG$498,HLOOKUP(INDIRECT(ADDRESS(2,COLUMN())),OFFSET($BN$2,0,0,ROW()-1,60),ROW()-1,FALSE))</f>
        <v/>
      </c>
      <c r="BH194" t="str">
        <f ca="1">IF(AND(ISNUMBER($BH$498),$B$294=1),$BH$498,HLOOKUP(INDIRECT(ADDRESS(2,COLUMN())),OFFSET($BN$2,0,0,ROW()-1,60),ROW()-1,FALSE))</f>
        <v/>
      </c>
      <c r="BI194" t="str">
        <f ca="1">IF(AND(ISNUMBER($BI$498),$B$294=1),$BI$498,HLOOKUP(INDIRECT(ADDRESS(2,COLUMN())),OFFSET($BN$2,0,0,ROW()-1,60),ROW()-1,FALSE))</f>
        <v/>
      </c>
      <c r="BJ194" t="str">
        <f ca="1">IF(AND(ISNUMBER($BJ$498),$B$294=1),$BJ$498,HLOOKUP(INDIRECT(ADDRESS(2,COLUMN())),OFFSET($BN$2,0,0,ROW()-1,60),ROW()-1,FALSE))</f>
        <v/>
      </c>
      <c r="BK194" t="str">
        <f ca="1">IF(AND(ISNUMBER($BK$498),$B$294=1),$BK$498,HLOOKUP(INDIRECT(ADDRESS(2,COLUMN())),OFFSET($BN$2,0,0,ROW()-1,60),ROW()-1,FALSE))</f>
        <v/>
      </c>
      <c r="BL194" t="str">
        <f ca="1">IF(AND(ISNUMBER($BL$498),$B$294=1),$BL$498,HLOOKUP(INDIRECT(ADDRESS(2,COLUMN())),OFFSET($BN$2,0,0,ROW()-1,60),ROW()-1,FALSE))</f>
        <v/>
      </c>
      <c r="BM194" t="str">
        <f ca="1">IF(AND(ISNUMBER($BM$498),$B$294=1),$BM$498,HLOOKUP(INDIRECT(ADDRESS(2,COLUMN())),OFFSET($BN$2,0,0,ROW()-1,60),ROW()-1,FALSE))</f>
        <v/>
      </c>
      <c r="BN194">
        <f>0.705386896</f>
        <v>0.70538689600000004</v>
      </c>
      <c r="BO194">
        <f>0.649189188</f>
        <v>0.64918918800000003</v>
      </c>
      <c r="BP194">
        <f>0.505410778</f>
        <v>0.505410778</v>
      </c>
      <c r="BQ194">
        <f>0.532586755</f>
        <v>0.53258675499999997</v>
      </c>
      <c r="BR194">
        <f>0.536068824</f>
        <v>0.536068824</v>
      </c>
      <c r="BS194">
        <f>0.575311658</f>
        <v>0.57531165799999995</v>
      </c>
      <c r="BT194">
        <f>0.591187775</f>
        <v>0.59118777499999997</v>
      </c>
      <c r="BU194">
        <f>0.67084703</f>
        <v>0.67084703000000001</v>
      </c>
      <c r="BV194">
        <f>0.707338668</f>
        <v>0.707338668</v>
      </c>
      <c r="BW194">
        <f>0.63212122</f>
        <v>0.63212122000000004</v>
      </c>
      <c r="BX194">
        <f>0.819576154</f>
        <v>0.81957615399999995</v>
      </c>
      <c r="BY194">
        <f>0.728353341</f>
        <v>0.72835334100000004</v>
      </c>
      <c r="BZ194">
        <f>0.666879036</f>
        <v>0.66687903599999998</v>
      </c>
      <c r="CA194">
        <f>0.566721722</f>
        <v>0.56672172200000004</v>
      </c>
      <c r="CB194">
        <f>0.657034365</f>
        <v>0.65703436500000001</v>
      </c>
      <c r="CC194">
        <f>0.540153904</f>
        <v>0.54015390399999996</v>
      </c>
      <c r="CD194">
        <f>0.473635321</f>
        <v>0.473635321</v>
      </c>
      <c r="CE194">
        <f>0.516498092</f>
        <v>0.51649809199999996</v>
      </c>
      <c r="CF194" t="str">
        <f>""</f>
        <v/>
      </c>
      <c r="CG194" t="str">
        <f>""</f>
        <v/>
      </c>
      <c r="CH194" t="str">
        <f>""</f>
        <v/>
      </c>
      <c r="CI194" t="str">
        <f>""</f>
        <v/>
      </c>
      <c r="CJ194" t="str">
        <f>""</f>
        <v/>
      </c>
      <c r="CK194" t="str">
        <f>""</f>
        <v/>
      </c>
      <c r="CL194" t="str">
        <f>""</f>
        <v/>
      </c>
      <c r="CM194" t="str">
        <f>""</f>
        <v/>
      </c>
      <c r="CN194" t="str">
        <f>""</f>
        <v/>
      </c>
      <c r="CO194" t="str">
        <f>""</f>
        <v/>
      </c>
      <c r="CP194" t="str">
        <f>""</f>
        <v/>
      </c>
      <c r="CQ194" t="str">
        <f>""</f>
        <v/>
      </c>
      <c r="CR194" t="str">
        <f>""</f>
        <v/>
      </c>
      <c r="CS194" t="str">
        <f>""</f>
        <v/>
      </c>
      <c r="CT194" t="str">
        <f>""</f>
        <v/>
      </c>
      <c r="CU194" t="str">
        <f>""</f>
        <v/>
      </c>
      <c r="CV194" t="str">
        <f>""</f>
        <v/>
      </c>
      <c r="CW194" t="str">
        <f>""</f>
        <v/>
      </c>
      <c r="CX194" t="str">
        <f>""</f>
        <v/>
      </c>
      <c r="CY194" t="str">
        <f>""</f>
        <v/>
      </c>
      <c r="CZ194" t="str">
        <f>""</f>
        <v/>
      </c>
      <c r="DA194" t="str">
        <f>""</f>
        <v/>
      </c>
      <c r="DB194" t="str">
        <f>""</f>
        <v/>
      </c>
      <c r="DC194" t="str">
        <f>""</f>
        <v/>
      </c>
      <c r="DD194" t="str">
        <f>""</f>
        <v/>
      </c>
      <c r="DE194" t="str">
        <f>""</f>
        <v/>
      </c>
      <c r="DF194" t="str">
        <f>""</f>
        <v/>
      </c>
      <c r="DG194" t="str">
        <f>""</f>
        <v/>
      </c>
      <c r="DH194" t="str">
        <f>""</f>
        <v/>
      </c>
      <c r="DI194" t="str">
        <f>""</f>
        <v/>
      </c>
      <c r="DJ194" t="str">
        <f>""</f>
        <v/>
      </c>
      <c r="DK194" t="str">
        <f>""</f>
        <v/>
      </c>
      <c r="DL194" t="str">
        <f>""</f>
        <v/>
      </c>
      <c r="DM194" t="str">
        <f>""</f>
        <v/>
      </c>
      <c r="DN194" t="str">
        <f>""</f>
        <v/>
      </c>
      <c r="DO194" t="str">
        <f>""</f>
        <v/>
      </c>
      <c r="DP194" t="str">
        <f>""</f>
        <v/>
      </c>
      <c r="DQ194" t="str">
        <f>""</f>
        <v/>
      </c>
      <c r="DR194" t="str">
        <f>""</f>
        <v/>
      </c>
      <c r="DS194" t="str">
        <f>""</f>
        <v/>
      </c>
      <c r="DT194" t="str">
        <f>""</f>
        <v/>
      </c>
      <c r="DU194" t="str">
        <f>""</f>
        <v/>
      </c>
    </row>
    <row r="195" spans="1:125">
      <c r="A195" t="str">
        <f>"    Corporate Office Properties Tr"</f>
        <v xml:space="preserve">    Corporate Office Properties Tr</v>
      </c>
      <c r="B195" t="str">
        <f>"OFC US Equity"</f>
        <v>OFC US Equity</v>
      </c>
      <c r="C195" t="str">
        <f t="shared" si="51"/>
        <v>RR263</v>
      </c>
      <c r="D195" t="str">
        <f t="shared" si="52"/>
        <v>DEBT_TO_MKT_CAP</v>
      </c>
      <c r="E195" t="str">
        <f t="shared" si="53"/>
        <v>动态</v>
      </c>
      <c r="F195">
        <f ca="1">IF(AND(ISNUMBER($F$499),$B$294=1),$F$499,HLOOKUP(INDIRECT(ADDRESS(2,COLUMN())),OFFSET($BN$2,0,0,ROW()-1,60),ROW()-1,FALSE))</f>
        <v>0.68944175900000004</v>
      </c>
      <c r="G195">
        <f ca="1">IF(AND(ISNUMBER($G$499),$B$294=1),$G$499,HLOOKUP(INDIRECT(ADDRESS(2,COLUMN())),OFFSET($BN$2,0,0,ROW()-1,60),ROW()-1,FALSE))</f>
        <v>0.58043965399999997</v>
      </c>
      <c r="H195">
        <f ca="1">IF(AND(ISNUMBER($H$499),$B$294=1),$H$499,HLOOKUP(INDIRECT(ADDRESS(2,COLUMN())),OFFSET($BN$2,0,0,ROW()-1,60),ROW()-1,FALSE))</f>
        <v>0.57866793599999999</v>
      </c>
      <c r="I195">
        <f ca="1">IF(AND(ISNUMBER($I$499),$B$294=1),$I$499,HLOOKUP(INDIRECT(ADDRESS(2,COLUMN())),OFFSET($BN$2,0,0,ROW()-1,60),ROW()-1,FALSE))</f>
        <v>0.54947668299999997</v>
      </c>
      <c r="J195">
        <f ca="1">IF(AND(ISNUMBER($J$499),$B$294=1),$J$499,HLOOKUP(INDIRECT(ADDRESS(2,COLUMN())),OFFSET($BN$2,0,0,ROW()-1,60),ROW()-1,FALSE))</f>
        <v>0.58181643299999997</v>
      </c>
      <c r="K195">
        <f ca="1">IF(AND(ISNUMBER($K$499),$B$294=1),$K$499,HLOOKUP(INDIRECT(ADDRESS(2,COLUMN())),OFFSET($BN$2,0,0,ROW()-1,60),ROW()-1,FALSE))</f>
        <v>0.64357843599999998</v>
      </c>
      <c r="L195">
        <f ca="1">IF(AND(ISNUMBER($L$499),$B$294=1),$L$499,HLOOKUP(INDIRECT(ADDRESS(2,COLUMN())),OFFSET($BN$2,0,0,ROW()-1,60),ROW()-1,FALSE))</f>
        <v>0.69752203099999999</v>
      </c>
      <c r="M195">
        <f ca="1">IF(AND(ISNUMBER($M$499),$B$294=1),$M$499,HLOOKUP(INDIRECT(ADDRESS(2,COLUMN())),OFFSET($BN$2,0,0,ROW()-1,60),ROW()-1,FALSE))</f>
        <v>0.74834610300000004</v>
      </c>
      <c r="N195">
        <f ca="1">IF(AND(ISNUMBER($N$499),$B$294=1),$N$499,HLOOKUP(INDIRECT(ADDRESS(2,COLUMN())),OFFSET($BN$2,0,0,ROW()-1,60),ROW()-1,FALSE))</f>
        <v>0.861613611</v>
      </c>
      <c r="O195">
        <f ca="1">IF(AND(ISNUMBER($O$499),$B$294=1),$O$499,HLOOKUP(INDIRECT(ADDRESS(2,COLUMN())),OFFSET($BN$2,0,0,ROW()-1,60),ROW()-1,FALSE))</f>
        <v>1.0068282420000001</v>
      </c>
      <c r="P195">
        <f ca="1">IF(AND(ISNUMBER($P$499),$B$294=1),$P$499,HLOOKUP(INDIRECT(ADDRESS(2,COLUMN())),OFFSET($BN$2,0,0,ROW()-1,60),ROW()-1,FALSE))</f>
        <v>1.0670519030000001</v>
      </c>
      <c r="Q195">
        <f ca="1">IF(AND(ISNUMBER($Q$499),$B$294=1),$Q$499,HLOOKUP(INDIRECT(ADDRESS(2,COLUMN())),OFFSET($BN$2,0,0,ROW()-1,60),ROW()-1,FALSE))</f>
        <v>0.95720709100000001</v>
      </c>
      <c r="R195">
        <f ca="1">IF(AND(ISNUMBER($R$499),$B$294=1),$R$499,HLOOKUP(INDIRECT(ADDRESS(2,COLUMN())),OFFSET($BN$2,0,0,ROW()-1,60),ROW()-1,FALSE))</f>
        <v>0.72474467600000003</v>
      </c>
      <c r="S195">
        <f ca="1">IF(AND(ISNUMBER($S$499),$B$294=1),$S$499,HLOOKUP(INDIRECT(ADDRESS(2,COLUMN())),OFFSET($BN$2,0,0,ROW()-1,60),ROW()-1,FALSE))</f>
        <v>0.72920061899999999</v>
      </c>
      <c r="T195">
        <f ca="1">IF(AND(ISNUMBER($T$499),$B$294=1),$T$499,HLOOKUP(INDIRECT(ADDRESS(2,COLUMN())),OFFSET($BN$2,0,0,ROW()-1,60),ROW()-1,FALSE))</f>
        <v>0.909054731</v>
      </c>
      <c r="U195">
        <f ca="1">IF(AND(ISNUMBER($U$499),$B$294=1),$U$499,HLOOKUP(INDIRECT(ADDRESS(2,COLUMN())),OFFSET($BN$2,0,0,ROW()-1,60),ROW()-1,FALSE))</f>
        <v>0.86167197100000004</v>
      </c>
      <c r="V195">
        <f ca="1">IF(AND(ISNUMBER($V$499),$B$294=1),$V$499,HLOOKUP(INDIRECT(ADDRESS(2,COLUMN())),OFFSET($BN$2,0,0,ROW()-1,60),ROW()-1,FALSE))</f>
        <v>0.82776348499999997</v>
      </c>
      <c r="W195">
        <f ca="1">IF(AND(ISNUMBER($W$499),$B$294=1),$W$499,HLOOKUP(INDIRECT(ADDRESS(2,COLUMN())),OFFSET($BN$2,0,0,ROW()-1,60),ROW()-1,FALSE))</f>
        <v>0.93122815199999998</v>
      </c>
      <c r="X195">
        <f ca="1">IF(AND(ISNUMBER($X$499),$B$294=1),$X$499,HLOOKUP(INDIRECT(ADDRESS(2,COLUMN())),OFFSET($BN$2,0,0,ROW()-1,60),ROW()-1,FALSE))</f>
        <v>1.0580182410000001</v>
      </c>
      <c r="Y195">
        <f ca="1">IF(AND(ISNUMBER($Y$499),$B$294=1),$Y$499,HLOOKUP(INDIRECT(ADDRESS(2,COLUMN())),OFFSET($BN$2,0,0,ROW()-1,60),ROW()-1,FALSE))</f>
        <v>0.95713316199999998</v>
      </c>
      <c r="Z195">
        <f ca="1">IF(AND(ISNUMBER($Z$499),$B$294=1),$Z$499,HLOOKUP(INDIRECT(ADDRESS(2,COLUMN())),OFFSET($BN$2,0,0,ROW()-1,60),ROW()-1,FALSE))</f>
        <v>0.85547279899999995</v>
      </c>
      <c r="AA195">
        <f ca="1">IF(AND(ISNUMBER($AA$499),$B$294=1),$AA$499,HLOOKUP(INDIRECT(ADDRESS(2,COLUMN())),OFFSET($BN$2,0,0,ROW()-1,60),ROW()-1,FALSE))</f>
        <v>1.000465194</v>
      </c>
      <c r="AB195">
        <f ca="1">IF(AND(ISNUMBER($AB$499),$B$294=1),$AB$499,HLOOKUP(INDIRECT(ADDRESS(2,COLUMN())),OFFSET($BN$2,0,0,ROW()-1,60),ROW()-1,FALSE))</f>
        <v>1.255396105</v>
      </c>
      <c r="AC195">
        <f ca="1">IF(AND(ISNUMBER($AC$499),$B$294=1),$AC$499,HLOOKUP(INDIRECT(ADDRESS(2,COLUMN())),OFFSET($BN$2,0,0,ROW()-1,60),ROW()-1,FALSE))</f>
        <v>1.2941340429999999</v>
      </c>
      <c r="AD195">
        <f ca="1">IF(AND(ISNUMBER($AD$499),$B$294=1),$AD$499,HLOOKUP(INDIRECT(ADDRESS(2,COLUMN())),OFFSET($BN$2,0,0,ROW()-1,60),ROW()-1,FALSE))</f>
        <v>1.4465787080000001</v>
      </c>
      <c r="AE195">
        <f ca="1">IF(AND(ISNUMBER($AE$499),$B$294=1),$AE$499,HLOOKUP(INDIRECT(ADDRESS(2,COLUMN())),OFFSET($BN$2,0,0,ROW()-1,60),ROW()-1,FALSE))</f>
        <v>1.58537912</v>
      </c>
      <c r="AF195">
        <f ca="1">IF(AND(ISNUMBER($AF$499),$B$294=1),$AF$499,HLOOKUP(INDIRECT(ADDRESS(2,COLUMN())),OFFSET($BN$2,0,0,ROW()-1,60),ROW()-1,FALSE))</f>
        <v>1.54513849</v>
      </c>
      <c r="AG195">
        <f ca="1">IF(AND(ISNUMBER($AG$499),$B$294=1),$AG$499,HLOOKUP(INDIRECT(ADDRESS(2,COLUMN())),OFFSET($BN$2,0,0,ROW()-1,60),ROW()-1,FALSE))</f>
        <v>1.039497688</v>
      </c>
      <c r="AH195">
        <f ca="1">IF(AND(ISNUMBER($AH$499),$B$294=1),$AH$499,HLOOKUP(INDIRECT(ADDRESS(2,COLUMN())),OFFSET($BN$2,0,0,ROW()-1,60),ROW()-1,FALSE))</f>
        <v>0.99075319699999997</v>
      </c>
      <c r="AI195">
        <f ca="1">IF(AND(ISNUMBER($AI$499),$B$294=1),$AI$499,HLOOKUP(INDIRECT(ADDRESS(2,COLUMN())),OFFSET($BN$2,0,0,ROW()-1,60),ROW()-1,FALSE))</f>
        <v>0.994344746</v>
      </c>
      <c r="AJ195">
        <f ca="1">IF(AND(ISNUMBER($AJ$499),$B$294=1),$AJ$499,HLOOKUP(INDIRECT(ADDRESS(2,COLUMN())),OFFSET($BN$2,0,0,ROW()-1,60),ROW()-1,FALSE))</f>
        <v>0.89078700300000002</v>
      </c>
      <c r="AK195">
        <f ca="1">IF(AND(ISNUMBER($AK$499),$B$294=1),$AK$499,HLOOKUP(INDIRECT(ADDRESS(2,COLUMN())),OFFSET($BN$2,0,0,ROW()-1,60),ROW()-1,FALSE))</f>
        <v>0.98076927700000005</v>
      </c>
      <c r="AL195">
        <f ca="1">IF(AND(ISNUMBER($AL$499),$B$294=1),$AL$499,HLOOKUP(INDIRECT(ADDRESS(2,COLUMN())),OFFSET($BN$2,0,0,ROW()-1,60),ROW()-1,FALSE))</f>
        <v>0.89931873699999998</v>
      </c>
      <c r="AM195">
        <f ca="1">IF(AND(ISNUMBER($AM$499),$B$294=1),$AM$499,HLOOKUP(INDIRECT(ADDRESS(2,COLUMN())),OFFSET($BN$2,0,0,ROW()-1,60),ROW()-1,FALSE))</f>
        <v>0.96259181000000005</v>
      </c>
      <c r="AN195">
        <f ca="1">IF(AND(ISNUMBER($AN$499),$B$294=1),$AN$499,HLOOKUP(INDIRECT(ADDRESS(2,COLUMN())),OFFSET($BN$2,0,0,ROW()-1,60),ROW()-1,FALSE))</f>
        <v>0.88699849900000005</v>
      </c>
      <c r="AO195">
        <f ca="1">IF(AND(ISNUMBER($AO$499),$B$294=1),$AO$499,HLOOKUP(INDIRECT(ADDRESS(2,COLUMN())),OFFSET($BN$2,0,0,ROW()-1,60),ROW()-1,FALSE))</f>
        <v>1.0885197049999999</v>
      </c>
      <c r="AP195">
        <f ca="1">IF(AND(ISNUMBER($AP$499),$B$294=1),$AP$499,HLOOKUP(INDIRECT(ADDRESS(2,COLUMN())),OFFSET($BN$2,0,0,ROW()-1,60),ROW()-1,FALSE))</f>
        <v>1.4530965039999999</v>
      </c>
      <c r="AQ195">
        <f ca="1">IF(AND(ISNUMBER($AQ$499),$B$294=1),$AQ$499,HLOOKUP(INDIRECT(ADDRESS(2,COLUMN())),OFFSET($BN$2,0,0,ROW()-1,60),ROW()-1,FALSE))</f>
        <v>1.1722319990000001</v>
      </c>
      <c r="AR195">
        <f ca="1">IF(AND(ISNUMBER($AR$499),$B$294=1),$AR$499,HLOOKUP(INDIRECT(ADDRESS(2,COLUMN())),OFFSET($BN$2,0,0,ROW()-1,60),ROW()-1,FALSE))</f>
        <v>0.90282714100000006</v>
      </c>
      <c r="AS195">
        <f ca="1">IF(AND(ISNUMBER($AS$499),$B$294=1),$AS$499,HLOOKUP(INDIRECT(ADDRESS(2,COLUMN())),OFFSET($BN$2,0,0,ROW()-1,60),ROW()-1,FALSE))</f>
        <v>1.164698666</v>
      </c>
      <c r="AT195">
        <f ca="1">IF(AND(ISNUMBER($AT$499),$B$294=1),$AT$499,HLOOKUP(INDIRECT(ADDRESS(2,COLUMN())),OFFSET($BN$2,0,0,ROW()-1,60),ROW()-1,FALSE))</f>
        <v>1.159108115</v>
      </c>
      <c r="AU195">
        <f ca="1">IF(AND(ISNUMBER($AU$499),$B$294=1),$AU$499,HLOOKUP(INDIRECT(ADDRESS(2,COLUMN())),OFFSET($BN$2,0,0,ROW()-1,60),ROW()-1,FALSE))</f>
        <v>1.2237903080000001</v>
      </c>
      <c r="AV195">
        <f ca="1">IF(AND(ISNUMBER($AV$499),$B$294=1),$AV$499,HLOOKUP(INDIRECT(ADDRESS(2,COLUMN())),OFFSET($BN$2,0,0,ROW()-1,60),ROW()-1,FALSE))</f>
        <v>0.91672060399999999</v>
      </c>
      <c r="AW195">
        <f ca="1">IF(AND(ISNUMBER($AW$499),$B$294=1),$AW$499,HLOOKUP(INDIRECT(ADDRESS(2,COLUMN())),OFFSET($BN$2,0,0,ROW()-1,60),ROW()-1,FALSE))</f>
        <v>0.90786906999999994</v>
      </c>
      <c r="AX195">
        <f ca="1">IF(AND(ISNUMBER($AX$499),$B$294=1),$AX$499,HLOOKUP(INDIRECT(ADDRESS(2,COLUMN())),OFFSET($BN$2,0,0,ROW()-1,60),ROW()-1,FALSE))</f>
        <v>0.81480736799999998</v>
      </c>
      <c r="AY195">
        <f ca="1">IF(AND(ISNUMBER($AY$499),$B$294=1),$AY$499,HLOOKUP(INDIRECT(ADDRESS(2,COLUMN())),OFFSET($BN$2,0,0,ROW()-1,60),ROW()-1,FALSE))</f>
        <v>0.69337670100000004</v>
      </c>
      <c r="AZ195">
        <f ca="1">IF(AND(ISNUMBER($AZ$499),$B$294=1),$AZ$499,HLOOKUP(INDIRECT(ADDRESS(2,COLUMN())),OFFSET($BN$2,0,0,ROW()-1,60),ROW()-1,FALSE))</f>
        <v>0.74123053900000002</v>
      </c>
      <c r="BA195">
        <f ca="1">IF(AND(ISNUMBER($BA$499),$B$294=1),$BA$499,HLOOKUP(INDIRECT(ADDRESS(2,COLUMN())),OFFSET($BN$2,0,0,ROW()-1,60),ROW()-1,FALSE))</f>
        <v>0.806124285</v>
      </c>
      <c r="BB195">
        <f ca="1">IF(AND(ISNUMBER($BB$499),$B$294=1),$BB$499,HLOOKUP(INDIRECT(ADDRESS(2,COLUMN())),OFFSET($BN$2,0,0,ROW()-1,60),ROW()-1,FALSE))</f>
        <v>0.74338693899999997</v>
      </c>
      <c r="BC195">
        <f ca="1">IF(AND(ISNUMBER($BC$499),$B$294=1),$BC$499,HLOOKUP(INDIRECT(ADDRESS(2,COLUMN())),OFFSET($BN$2,0,0,ROW()-1,60),ROW()-1,FALSE))</f>
        <v>0.95906232199999997</v>
      </c>
      <c r="BD195">
        <f ca="1">IF(AND(ISNUMBER($BD$499),$B$294=1),$BD$499,HLOOKUP(INDIRECT(ADDRESS(2,COLUMN())),OFFSET($BN$2,0,0,ROW()-1,60),ROW()-1,FALSE))</f>
        <v>0.86447104900000005</v>
      </c>
      <c r="BE195">
        <f ca="1">IF(AND(ISNUMBER($BE$499),$B$294=1),$BE$499,HLOOKUP(INDIRECT(ADDRESS(2,COLUMN())),OFFSET($BN$2,0,0,ROW()-1,60),ROW()-1,FALSE))</f>
        <v>1.078927494</v>
      </c>
      <c r="BF195">
        <f ca="1">IF(AND(ISNUMBER($BF$499),$B$294=1),$BF$499,HLOOKUP(INDIRECT(ADDRESS(2,COLUMN())),OFFSET($BN$2,0,0,ROW()-1,60),ROW()-1,FALSE))</f>
        <v>1.123737271</v>
      </c>
      <c r="BG195">
        <f ca="1">IF(AND(ISNUMBER($BG$499),$B$294=1),$BG$499,HLOOKUP(INDIRECT(ADDRESS(2,COLUMN())),OFFSET($BN$2,0,0,ROW()-1,60),ROW()-1,FALSE))</f>
        <v>0.94977182900000001</v>
      </c>
      <c r="BH195">
        <f ca="1">IF(AND(ISNUMBER($BH$499),$B$294=1),$BH$499,HLOOKUP(INDIRECT(ADDRESS(2,COLUMN())),OFFSET($BN$2,0,0,ROW()-1,60),ROW()-1,FALSE))</f>
        <v>1.0884593300000001</v>
      </c>
      <c r="BI195">
        <f ca="1">IF(AND(ISNUMBER($BI$499),$B$294=1),$BI$499,HLOOKUP(INDIRECT(ADDRESS(2,COLUMN())),OFFSET($BN$2,0,0,ROW()-1,60),ROW()-1,FALSE))</f>
        <v>0.97198541199999999</v>
      </c>
      <c r="BJ195">
        <f ca="1">IF(AND(ISNUMBER($BJ$499),$B$294=1),$BJ$499,HLOOKUP(INDIRECT(ADDRESS(2,COLUMN())),OFFSET($BN$2,0,0,ROW()-1,60),ROW()-1,FALSE))</f>
        <v>1.078998168</v>
      </c>
      <c r="BK195">
        <f ca="1">IF(AND(ISNUMBER($BK$499),$B$294=1),$BK$499,HLOOKUP(INDIRECT(ADDRESS(2,COLUMN())),OFFSET($BN$2,0,0,ROW()-1,60),ROW()-1,FALSE))</f>
        <v>1.190368219</v>
      </c>
      <c r="BL195">
        <f ca="1">IF(AND(ISNUMBER($BL$499),$B$294=1),$BL$499,HLOOKUP(INDIRECT(ADDRESS(2,COLUMN())),OFFSET($BN$2,0,0,ROW()-1,60),ROW()-1,FALSE))</f>
        <v>1.394573539</v>
      </c>
      <c r="BM195">
        <f ca="1">IF(AND(ISNUMBER($BM$499),$B$294=1),$BM$499,HLOOKUP(INDIRECT(ADDRESS(2,COLUMN())),OFFSET($BN$2,0,0,ROW()-1,60),ROW()-1,FALSE))</f>
        <v>1.5329302970000001</v>
      </c>
      <c r="BN195">
        <f>0.689441759</f>
        <v>0.68944175900000004</v>
      </c>
      <c r="BO195">
        <f>0.580439654</f>
        <v>0.58043965399999997</v>
      </c>
      <c r="BP195">
        <f>0.578667936</f>
        <v>0.57866793599999999</v>
      </c>
      <c r="BQ195">
        <f>0.549476683</f>
        <v>0.54947668299999997</v>
      </c>
      <c r="BR195">
        <f>0.581816433</f>
        <v>0.58181643299999997</v>
      </c>
      <c r="BS195">
        <f>0.643578436</f>
        <v>0.64357843599999998</v>
      </c>
      <c r="BT195">
        <f>0.697522031</f>
        <v>0.69752203099999999</v>
      </c>
      <c r="BU195">
        <f>0.748346103</f>
        <v>0.74834610300000004</v>
      </c>
      <c r="BV195">
        <f>0.861613611</f>
        <v>0.861613611</v>
      </c>
      <c r="BW195">
        <f>1.006828242</f>
        <v>1.0068282420000001</v>
      </c>
      <c r="BX195">
        <f>1.067051903</f>
        <v>1.0670519030000001</v>
      </c>
      <c r="BY195">
        <f>0.957207091</f>
        <v>0.95720709100000001</v>
      </c>
      <c r="BZ195">
        <f>0.724744676</f>
        <v>0.72474467600000003</v>
      </c>
      <c r="CA195">
        <f>0.729200619</f>
        <v>0.72920061899999999</v>
      </c>
      <c r="CB195">
        <f>0.909054731</f>
        <v>0.909054731</v>
      </c>
      <c r="CC195">
        <f>0.861671971</f>
        <v>0.86167197100000004</v>
      </c>
      <c r="CD195">
        <f>0.827763485</f>
        <v>0.82776348499999997</v>
      </c>
      <c r="CE195">
        <f>0.931228152</f>
        <v>0.93122815199999998</v>
      </c>
      <c r="CF195">
        <f>1.058018241</f>
        <v>1.0580182410000001</v>
      </c>
      <c r="CG195">
        <f>0.957133162</f>
        <v>0.95713316199999998</v>
      </c>
      <c r="CH195">
        <f>0.855472799</f>
        <v>0.85547279899999995</v>
      </c>
      <c r="CI195">
        <f>1.000465194</f>
        <v>1.000465194</v>
      </c>
      <c r="CJ195">
        <f>1.255396105</f>
        <v>1.255396105</v>
      </c>
      <c r="CK195">
        <f>1.294134043</f>
        <v>1.2941340429999999</v>
      </c>
      <c r="CL195">
        <f>1.446578708</f>
        <v>1.4465787080000001</v>
      </c>
      <c r="CM195">
        <f>1.58537912</f>
        <v>1.58537912</v>
      </c>
      <c r="CN195">
        <f>1.54513849</f>
        <v>1.54513849</v>
      </c>
      <c r="CO195">
        <f>1.039497688</f>
        <v>1.039497688</v>
      </c>
      <c r="CP195">
        <f>0.990753197</f>
        <v>0.99075319699999997</v>
      </c>
      <c r="CQ195">
        <f>0.994344746</f>
        <v>0.994344746</v>
      </c>
      <c r="CR195">
        <f>0.890787003</f>
        <v>0.89078700300000002</v>
      </c>
      <c r="CS195">
        <f>0.980769277</f>
        <v>0.98076927700000005</v>
      </c>
      <c r="CT195">
        <f>0.899318737</f>
        <v>0.89931873699999998</v>
      </c>
      <c r="CU195">
        <f>0.96259181</f>
        <v>0.96259181000000005</v>
      </c>
      <c r="CV195">
        <f>0.886998499</f>
        <v>0.88699849900000005</v>
      </c>
      <c r="CW195">
        <f>1.088519705</f>
        <v>1.0885197049999999</v>
      </c>
      <c r="CX195">
        <f>1.453096504</f>
        <v>1.4530965039999999</v>
      </c>
      <c r="CY195">
        <f>1.172231999</f>
        <v>1.1722319990000001</v>
      </c>
      <c r="CZ195">
        <f>0.902827141</f>
        <v>0.90282714100000006</v>
      </c>
      <c r="DA195">
        <f>1.164698666</f>
        <v>1.164698666</v>
      </c>
      <c r="DB195">
        <f>1.159108115</f>
        <v>1.159108115</v>
      </c>
      <c r="DC195">
        <f>1.223790308</f>
        <v>1.2237903080000001</v>
      </c>
      <c r="DD195">
        <f>0.916720604</f>
        <v>0.91672060399999999</v>
      </c>
      <c r="DE195">
        <f>0.90786907</f>
        <v>0.90786906999999994</v>
      </c>
      <c r="DF195">
        <f>0.814807368</f>
        <v>0.81480736799999998</v>
      </c>
      <c r="DG195">
        <f>0.693376701</f>
        <v>0.69337670100000004</v>
      </c>
      <c r="DH195">
        <f>0.741230539</f>
        <v>0.74123053900000002</v>
      </c>
      <c r="DI195">
        <f>0.806124285</f>
        <v>0.806124285</v>
      </c>
      <c r="DJ195">
        <f>0.743386939</f>
        <v>0.74338693899999997</v>
      </c>
      <c r="DK195">
        <f>0.959062322</f>
        <v>0.95906232199999997</v>
      </c>
      <c r="DL195">
        <f>0.864471049</f>
        <v>0.86447104900000005</v>
      </c>
      <c r="DM195">
        <f>1.078927494</f>
        <v>1.078927494</v>
      </c>
      <c r="DN195">
        <f>1.123737271</f>
        <v>1.123737271</v>
      </c>
      <c r="DO195">
        <f>0.949771829</f>
        <v>0.94977182900000001</v>
      </c>
      <c r="DP195">
        <f>1.08845933</f>
        <v>1.0884593300000001</v>
      </c>
      <c r="DQ195">
        <f>0.971985412</f>
        <v>0.97198541199999999</v>
      </c>
      <c r="DR195">
        <f>1.078998168</f>
        <v>1.078998168</v>
      </c>
      <c r="DS195">
        <f>1.190368219</f>
        <v>1.190368219</v>
      </c>
      <c r="DT195">
        <f>1.394573539</f>
        <v>1.394573539</v>
      </c>
      <c r="DU195">
        <f>1.532930297</f>
        <v>1.5329302970000001</v>
      </c>
    </row>
    <row r="196" spans="1:125">
      <c r="A196" t="str">
        <f>"    Highwoods Properties Inc"</f>
        <v xml:space="preserve">    Highwoods Properties Inc</v>
      </c>
      <c r="B196" t="str">
        <f>"HIW US Equity"</f>
        <v>HIW US Equity</v>
      </c>
      <c r="C196" t="str">
        <f t="shared" si="51"/>
        <v>RR263</v>
      </c>
      <c r="D196" t="str">
        <f t="shared" si="52"/>
        <v>DEBT_TO_MKT_CAP</v>
      </c>
      <c r="E196" t="str">
        <f t="shared" si="53"/>
        <v>动态</v>
      </c>
      <c r="F196">
        <f ca="1">IF(AND(ISNUMBER($F$500),$B$294=1),$F$500,HLOOKUP(INDIRECT(ADDRESS(2,COLUMN())),OFFSET($BN$2,0,0,ROW()-1,60),ROW()-1,FALSE))</f>
        <v>0.438759118</v>
      </c>
      <c r="G196">
        <f ca="1">IF(AND(ISNUMBER($G$500),$B$294=1),$G$500,HLOOKUP(INDIRECT(ADDRESS(2,COLUMN())),OFFSET($BN$2,0,0,ROW()-1,60),ROW()-1,FALSE))</f>
        <v>0.38321506100000002</v>
      </c>
      <c r="H196">
        <f ca="1">IF(AND(ISNUMBER($H$500),$B$294=1),$H$500,HLOOKUP(INDIRECT(ADDRESS(2,COLUMN())),OFFSET($BN$2,0,0,ROW()-1,60),ROW()-1,FALSE))</f>
        <v>0.36566626899999999</v>
      </c>
      <c r="I196">
        <f ca="1">IF(AND(ISNUMBER($I$500),$B$294=1),$I$500,HLOOKUP(INDIRECT(ADDRESS(2,COLUMN())),OFFSET($BN$2,0,0,ROW()-1,60),ROW()-1,FALSE))</f>
        <v>0.38756539600000001</v>
      </c>
      <c r="J196">
        <f ca="1">IF(AND(ISNUMBER($J$500),$B$294=1),$J$500,HLOOKUP(INDIRECT(ADDRESS(2,COLUMN())),OFFSET($BN$2,0,0,ROW()-1,60),ROW()-1,FALSE))</f>
        <v>0.40891609699999998</v>
      </c>
      <c r="K196">
        <f ca="1">IF(AND(ISNUMBER($K$500),$B$294=1),$K$500,HLOOKUP(INDIRECT(ADDRESS(2,COLUMN())),OFFSET($BN$2,0,0,ROW()-1,60),ROW()-1,FALSE))</f>
        <v>0.381117223</v>
      </c>
      <c r="L196">
        <f ca="1">IF(AND(ISNUMBER($L$500),$B$294=1),$L$500,HLOOKUP(INDIRECT(ADDRESS(2,COLUMN())),OFFSET($BN$2,0,0,ROW()-1,60),ROW()-1,FALSE))</f>
        <v>0.36988251</v>
      </c>
      <c r="M196">
        <f ca="1">IF(AND(ISNUMBER($M$500),$B$294=1),$M$500,HLOOKUP(INDIRECT(ADDRESS(2,COLUMN())),OFFSET($BN$2,0,0,ROW()-1,60),ROW()-1,FALSE))</f>
        <v>0.404846288</v>
      </c>
      <c r="N196">
        <f ca="1">IF(AND(ISNUMBER($N$500),$B$294=1),$N$500,HLOOKUP(INDIRECT(ADDRESS(2,COLUMN())),OFFSET($BN$2,0,0,ROW()-1,60),ROW()-1,FALSE))</f>
        <v>0.45725118399999998</v>
      </c>
      <c r="O196">
        <f ca="1">IF(AND(ISNUMBER($O$500),$B$294=1),$O$500,HLOOKUP(INDIRECT(ADDRESS(2,COLUMN())),OFFSET($BN$2,0,0,ROW()-1,60),ROW()-1,FALSE))</f>
        <v>0.60141478100000001</v>
      </c>
      <c r="P196">
        <f ca="1">IF(AND(ISNUMBER($P$500),$B$294=1),$P$500,HLOOKUP(INDIRECT(ADDRESS(2,COLUMN())),OFFSET($BN$2,0,0,ROW()-1,60),ROW()-1,FALSE))</f>
        <v>0.67964900299999997</v>
      </c>
      <c r="Q196">
        <f ca="1">IF(AND(ISNUMBER($Q$500),$B$294=1),$Q$500,HLOOKUP(INDIRECT(ADDRESS(2,COLUMN())),OFFSET($BN$2,0,0,ROW()-1,60),ROW()-1,FALSE))</f>
        <v>0.56529516199999996</v>
      </c>
      <c r="R196">
        <f ca="1">IF(AND(ISNUMBER($R$500),$B$294=1),$R$500,HLOOKUP(INDIRECT(ADDRESS(2,COLUMN())),OFFSET($BN$2,0,0,ROW()-1,60),ROW()-1,FALSE))</f>
        <v>0.49114808900000001</v>
      </c>
      <c r="S196">
        <f ca="1">IF(AND(ISNUMBER($S$500),$B$294=1),$S$500,HLOOKUP(INDIRECT(ADDRESS(2,COLUMN())),OFFSET($BN$2,0,0,ROW()-1,60),ROW()-1,FALSE))</f>
        <v>0.51253776799999995</v>
      </c>
      <c r="T196">
        <f ca="1">IF(AND(ISNUMBER($T$500),$B$294=1),$T$500,HLOOKUP(INDIRECT(ADDRESS(2,COLUMN())),OFFSET($BN$2,0,0,ROW()-1,60),ROW()-1,FALSE))</f>
        <v>0.57291141099999998</v>
      </c>
      <c r="U196">
        <f ca="1">IF(AND(ISNUMBER($U$500),$B$294=1),$U$500,HLOOKUP(INDIRECT(ADDRESS(2,COLUMN())),OFFSET($BN$2,0,0,ROW()-1,60),ROW()-1,FALSE))</f>
        <v>0.54461393499999999</v>
      </c>
      <c r="V196">
        <f ca="1">IF(AND(ISNUMBER($V$500),$B$294=1),$V$500,HLOOKUP(INDIRECT(ADDRESS(2,COLUMN())),OFFSET($BN$2,0,0,ROW()-1,60),ROW()-1,FALSE))</f>
        <v>0.58266802900000003</v>
      </c>
      <c r="W196">
        <f ca="1">IF(AND(ISNUMBER($W$500),$B$294=1),$W$500,HLOOKUP(INDIRECT(ADDRESS(2,COLUMN())),OFFSET($BN$2,0,0,ROW()-1,60),ROW()-1,FALSE))</f>
        <v>0.60155338599999997</v>
      </c>
      <c r="X196">
        <f ca="1">IF(AND(ISNUMBER($X$500),$B$294=1),$X$500,HLOOKUP(INDIRECT(ADDRESS(2,COLUMN())),OFFSET($BN$2,0,0,ROW()-1,60),ROW()-1,FALSE))</f>
        <v>0.64621938000000001</v>
      </c>
      <c r="Y196">
        <f ca="1">IF(AND(ISNUMBER($Y$500),$B$294=1),$Y$500,HLOOKUP(INDIRECT(ADDRESS(2,COLUMN())),OFFSET($BN$2,0,0,ROW()-1,60),ROW()-1,FALSE))</f>
        <v>0.667320837</v>
      </c>
      <c r="Z196">
        <f ca="1">IF(AND(ISNUMBER($Z$500),$B$294=1),$Z$500,HLOOKUP(INDIRECT(ADDRESS(2,COLUMN())),OFFSET($BN$2,0,0,ROW()-1,60),ROW()-1,FALSE))</f>
        <v>0.59490546200000005</v>
      </c>
      <c r="AA196">
        <f ca="1">IF(AND(ISNUMBER($AA$500),$B$294=1),$AA$500,HLOOKUP(INDIRECT(ADDRESS(2,COLUMN())),OFFSET($BN$2,0,0,ROW()-1,60),ROW()-1,FALSE))</f>
        <v>0.70776008999999995</v>
      </c>
      <c r="AB196">
        <f ca="1">IF(AND(ISNUMBER($AB$500),$B$294=1),$AB$500,HLOOKUP(INDIRECT(ADDRESS(2,COLUMN())),OFFSET($BN$2,0,0,ROW()-1,60),ROW()-1,FALSE))</f>
        <v>0.708623161</v>
      </c>
      <c r="AC196">
        <f ca="1">IF(AND(ISNUMBER($AC$500),$B$294=1),$AC$500,HLOOKUP(INDIRECT(ADDRESS(2,COLUMN())),OFFSET($BN$2,0,0,ROW()-1,60),ROW()-1,FALSE))</f>
        <v>0.73289328300000001</v>
      </c>
      <c r="AD196">
        <f ca="1">IF(AND(ISNUMBER($AD$500),$B$294=1),$AD$500,HLOOKUP(INDIRECT(ADDRESS(2,COLUMN())),OFFSET($BN$2,0,0,ROW()-1,60),ROW()-1,FALSE))</f>
        <v>0.78636771800000005</v>
      </c>
      <c r="AE196">
        <f ca="1">IF(AND(ISNUMBER($AE$500),$B$294=1),$AE$500,HLOOKUP(INDIRECT(ADDRESS(2,COLUMN())),OFFSET($BN$2,0,0,ROW()-1,60),ROW()-1,FALSE))</f>
        <v>0.86787373199999995</v>
      </c>
      <c r="AF196">
        <f ca="1">IF(AND(ISNUMBER($AF$500),$B$294=1),$AF$500,HLOOKUP(INDIRECT(ADDRESS(2,COLUMN())),OFFSET($BN$2,0,0,ROW()-1,60),ROW()-1,FALSE))</f>
        <v>0.925696242</v>
      </c>
      <c r="AG196">
        <f ca="1">IF(AND(ISNUMBER($AG$500),$B$294=1),$AG$500,HLOOKUP(INDIRECT(ADDRESS(2,COLUMN())),OFFSET($BN$2,0,0,ROW()-1,60),ROW()-1,FALSE))</f>
        <v>0.67592423999999995</v>
      </c>
      <c r="AH196">
        <f ca="1">IF(AND(ISNUMBER($AH$500),$B$294=1),$AH$500,HLOOKUP(INDIRECT(ADDRESS(2,COLUMN())),OFFSET($BN$2,0,0,ROW()-1,60),ROW()-1,FALSE))</f>
        <v>0.618467722</v>
      </c>
      <c r="AI196">
        <f ca="1">IF(AND(ISNUMBER($AI$500),$B$294=1),$AI$500,HLOOKUP(INDIRECT(ADDRESS(2,COLUMN())),OFFSET($BN$2,0,0,ROW()-1,60),ROW()-1,FALSE))</f>
        <v>0.66728116900000001</v>
      </c>
      <c r="AJ196">
        <f ca="1">IF(AND(ISNUMBER($AJ$500),$B$294=1),$AJ$500,HLOOKUP(INDIRECT(ADDRESS(2,COLUMN())),OFFSET($BN$2,0,0,ROW()-1,60),ROW()-1,FALSE))</f>
        <v>0.64576652800000001</v>
      </c>
      <c r="AK196">
        <f ca="1">IF(AND(ISNUMBER($AK$500),$B$294=1),$AK$500,HLOOKUP(INDIRECT(ADDRESS(2,COLUMN())),OFFSET($BN$2,0,0,ROW()-1,60),ROW()-1,FALSE))</f>
        <v>0.73650781499999995</v>
      </c>
      <c r="AL196">
        <f ca="1">IF(AND(ISNUMBER($AL$500),$B$294=1),$AL$500,HLOOKUP(INDIRECT(ADDRESS(2,COLUMN())),OFFSET($BN$2,0,0,ROW()-1,60),ROW()-1,FALSE))</f>
        <v>0.64761718599999996</v>
      </c>
      <c r="AM196">
        <f ca="1">IF(AND(ISNUMBER($AM$500),$B$294=1),$AM$500,HLOOKUP(INDIRECT(ADDRESS(2,COLUMN())),OFFSET($BN$2,0,0,ROW()-1,60),ROW()-1,FALSE))</f>
        <v>0.61976028500000002</v>
      </c>
      <c r="AN196">
        <f ca="1">IF(AND(ISNUMBER($AN$500),$B$294=1),$AN$500,HLOOKUP(INDIRECT(ADDRESS(2,COLUMN())),OFFSET($BN$2,0,0,ROW()-1,60),ROW()-1,FALSE))</f>
        <v>0.66077416300000003</v>
      </c>
      <c r="AO196">
        <f ca="1">IF(AND(ISNUMBER($AO$500),$B$294=1),$AO$500,HLOOKUP(INDIRECT(ADDRESS(2,COLUMN())),OFFSET($BN$2,0,0,ROW()-1,60),ROW()-1,FALSE))</f>
        <v>0.90157811700000001</v>
      </c>
      <c r="AP196">
        <f ca="1">IF(AND(ISNUMBER($AP$500),$B$294=1),$AP$500,HLOOKUP(INDIRECT(ADDRESS(2,COLUMN())),OFFSET($BN$2,0,0,ROW()-1,60),ROW()-1,FALSE))</f>
        <v>1.1891301679999999</v>
      </c>
      <c r="AQ196">
        <f ca="1">IF(AND(ISNUMBER($AQ$500),$B$294=1),$AQ$500,HLOOKUP(INDIRECT(ADDRESS(2,COLUMN())),OFFSET($BN$2,0,0,ROW()-1,60),ROW()-1,FALSE))</f>
        <v>0.92266209399999999</v>
      </c>
      <c r="AR196">
        <f ca="1">IF(AND(ISNUMBER($AR$500),$B$294=1),$AR$500,HLOOKUP(INDIRECT(ADDRESS(2,COLUMN())),OFFSET($BN$2,0,0,ROW()-1,60),ROW()-1,FALSE))</f>
        <v>0.70343843100000003</v>
      </c>
      <c r="AS196">
        <f ca="1">IF(AND(ISNUMBER($AS$500),$B$294=1),$AS$500,HLOOKUP(INDIRECT(ADDRESS(2,COLUMN())),OFFSET($BN$2,0,0,ROW()-1,60),ROW()-1,FALSE))</f>
        <v>0.961916043</v>
      </c>
      <c r="AT196">
        <f ca="1">IF(AND(ISNUMBER($AT$500),$B$294=1),$AT$500,HLOOKUP(INDIRECT(ADDRESS(2,COLUMN())),OFFSET($BN$2,0,0,ROW()-1,60),ROW()-1,FALSE))</f>
        <v>0.95893059899999999</v>
      </c>
      <c r="AU196">
        <f ca="1">IF(AND(ISNUMBER($AU$500),$B$294=1),$AU$500,HLOOKUP(INDIRECT(ADDRESS(2,COLUMN())),OFFSET($BN$2,0,0,ROW()-1,60),ROW()-1,FALSE))</f>
        <v>0.97777086999999996</v>
      </c>
      <c r="AV196">
        <f ca="1">IF(AND(ISNUMBER($AV$500),$B$294=1),$AV$500,HLOOKUP(INDIRECT(ADDRESS(2,COLUMN())),OFFSET($BN$2,0,0,ROW()-1,60),ROW()-1,FALSE))</f>
        <v>0.76443170199999999</v>
      </c>
      <c r="AW196">
        <f ca="1">IF(AND(ISNUMBER($AW$500),$B$294=1),$AW$500,HLOOKUP(INDIRECT(ADDRESS(2,COLUMN())),OFFSET($BN$2,0,0,ROW()-1,60),ROW()-1,FALSE))</f>
        <v>0.73023450099999998</v>
      </c>
      <c r="AX196">
        <f ca="1">IF(AND(ISNUMBER($AX$500),$B$294=1),$AX$500,HLOOKUP(INDIRECT(ADDRESS(2,COLUMN())),OFFSET($BN$2,0,0,ROW()-1,60),ROW()-1,FALSE))</f>
        <v>0.66980204300000001</v>
      </c>
      <c r="AY196">
        <f ca="1">IF(AND(ISNUMBER($AY$500),$B$294=1),$AY$500,HLOOKUP(INDIRECT(ADDRESS(2,COLUMN())),OFFSET($BN$2,0,0,ROW()-1,60),ROW()-1,FALSE))</f>
        <v>0.64114926999999999</v>
      </c>
      <c r="AZ196">
        <f ca="1">IF(AND(ISNUMBER($AZ$500),$B$294=1),$AZ$500,HLOOKUP(INDIRECT(ADDRESS(2,COLUMN())),OFFSET($BN$2,0,0,ROW()-1,60),ROW()-1,FALSE))</f>
        <v>0.72531783800000005</v>
      </c>
      <c r="BA196">
        <f ca="1">IF(AND(ISNUMBER($BA$500),$B$294=1),$BA$500,HLOOKUP(INDIRECT(ADDRESS(2,COLUMN())),OFFSET($BN$2,0,0,ROW()-1,60),ROW()-1,FALSE))</f>
        <v>0.74889423499999996</v>
      </c>
      <c r="BB196">
        <f ca="1">IF(AND(ISNUMBER($BB$500),$B$294=1),$BB$500,HLOOKUP(INDIRECT(ADDRESS(2,COLUMN())),OFFSET($BN$2,0,0,ROW()-1,60),ROW()-1,FALSE))</f>
        <v>0.79577346299999996</v>
      </c>
      <c r="BC196">
        <f ca="1">IF(AND(ISNUMBER($BC$500),$B$294=1),$BC$500,HLOOKUP(INDIRECT(ADDRESS(2,COLUMN())),OFFSET($BN$2,0,0,ROW()-1,60),ROW()-1,FALSE))</f>
        <v>0.95735905700000001</v>
      </c>
      <c r="BD196">
        <f ca="1">IF(AND(ISNUMBER($BD$500),$B$294=1),$BD$500,HLOOKUP(INDIRECT(ADDRESS(2,COLUMN())),OFFSET($BN$2,0,0,ROW()-1,60),ROW()-1,FALSE))</f>
        <v>0.90911318699999999</v>
      </c>
      <c r="BE196">
        <f ca="1">IF(AND(ISNUMBER($BE$500),$B$294=1),$BE$500,HLOOKUP(INDIRECT(ADDRESS(2,COLUMN())),OFFSET($BN$2,0,0,ROW()-1,60),ROW()-1,FALSE))</f>
        <v>0.987847221</v>
      </c>
      <c r="BF196">
        <f ca="1">IF(AND(ISNUMBER($BF$500),$B$294=1),$BF$500,HLOOKUP(INDIRECT(ADDRESS(2,COLUMN())),OFFSET($BN$2,0,0,ROW()-1,60),ROW()-1,FALSE))</f>
        <v>1.0983816179999999</v>
      </c>
      <c r="BG196">
        <f ca="1">IF(AND(ISNUMBER($BG$500),$B$294=1),$BG$500,HLOOKUP(INDIRECT(ADDRESS(2,COLUMN())),OFFSET($BN$2,0,0,ROW()-1,60),ROW()-1,FALSE))</f>
        <v>1.100783423</v>
      </c>
      <c r="BH196">
        <f ca="1">IF(AND(ISNUMBER($BH$500),$B$294=1),$BH$500,HLOOKUP(INDIRECT(ADDRESS(2,COLUMN())),OFFSET($BN$2,0,0,ROW()-1,60),ROW()-1,FALSE))</f>
        <v>1.2604709650000001</v>
      </c>
      <c r="BI196">
        <f ca="1">IF(AND(ISNUMBER($BI$500),$B$294=1),$BI$500,HLOOKUP(INDIRECT(ADDRESS(2,COLUMN())),OFFSET($BN$2,0,0,ROW()-1,60),ROW()-1,FALSE))</f>
        <v>1.3225558909999999</v>
      </c>
      <c r="BJ196">
        <f ca="1">IF(AND(ISNUMBER($BJ$500),$B$294=1),$BJ$500,HLOOKUP(INDIRECT(ADDRESS(2,COLUMN())),OFFSET($BN$2,0,0,ROW()-1,60),ROW()-1,FALSE))</f>
        <v>1.2591859409999999</v>
      </c>
      <c r="BK196">
        <f ca="1">IF(AND(ISNUMBER($BK$500),$B$294=1),$BK$500,HLOOKUP(INDIRECT(ADDRESS(2,COLUMN())),OFFSET($BN$2,0,0,ROW()-1,60),ROW()-1,FALSE))</f>
        <v>1.177750117</v>
      </c>
      <c r="BL196">
        <f ca="1">IF(AND(ISNUMBER($BL$500),$B$294=1),$BL$500,HLOOKUP(INDIRECT(ADDRESS(2,COLUMN())),OFFSET($BN$2,0,0,ROW()-1,60),ROW()-1,FALSE))</f>
        <v>1.2733956209999999</v>
      </c>
      <c r="BM196">
        <f ca="1">IF(AND(ISNUMBER($BM$500),$B$294=1),$BM$500,HLOOKUP(INDIRECT(ADDRESS(2,COLUMN())),OFFSET($BN$2,0,0,ROW()-1,60),ROW()-1,FALSE))</f>
        <v>1.324106768</v>
      </c>
      <c r="BN196">
        <f>0.438759118</f>
        <v>0.438759118</v>
      </c>
      <c r="BO196">
        <f>0.383215061</f>
        <v>0.38321506100000002</v>
      </c>
      <c r="BP196">
        <f>0.365666269</f>
        <v>0.36566626899999999</v>
      </c>
      <c r="BQ196">
        <f>0.387565396</f>
        <v>0.38756539600000001</v>
      </c>
      <c r="BR196">
        <f>0.408916097</f>
        <v>0.40891609699999998</v>
      </c>
      <c r="BS196">
        <f>0.381117223</f>
        <v>0.381117223</v>
      </c>
      <c r="BT196">
        <f>0.36988251</f>
        <v>0.36988251</v>
      </c>
      <c r="BU196">
        <f>0.404846288</f>
        <v>0.404846288</v>
      </c>
      <c r="BV196">
        <f>0.457251184</f>
        <v>0.45725118399999998</v>
      </c>
      <c r="BW196">
        <f>0.601414781</f>
        <v>0.60141478100000001</v>
      </c>
      <c r="BX196">
        <f>0.679649003</f>
        <v>0.67964900299999997</v>
      </c>
      <c r="BY196">
        <f>0.565295162</f>
        <v>0.56529516199999996</v>
      </c>
      <c r="BZ196">
        <f>0.491148089</f>
        <v>0.49114808900000001</v>
      </c>
      <c r="CA196">
        <f>0.512537768</f>
        <v>0.51253776799999995</v>
      </c>
      <c r="CB196">
        <f>0.572911411</f>
        <v>0.57291141099999998</v>
      </c>
      <c r="CC196">
        <f>0.544613935</f>
        <v>0.54461393499999999</v>
      </c>
      <c r="CD196">
        <f>0.582668029</f>
        <v>0.58266802900000003</v>
      </c>
      <c r="CE196">
        <f>0.601553386</f>
        <v>0.60155338599999997</v>
      </c>
      <c r="CF196">
        <f>0.64621938</f>
        <v>0.64621938000000001</v>
      </c>
      <c r="CG196">
        <f>0.667320837</f>
        <v>0.667320837</v>
      </c>
      <c r="CH196">
        <f>0.594905462</f>
        <v>0.59490546200000005</v>
      </c>
      <c r="CI196">
        <f>0.70776009</f>
        <v>0.70776008999999995</v>
      </c>
      <c r="CJ196">
        <f>0.708623161</f>
        <v>0.708623161</v>
      </c>
      <c r="CK196">
        <f>0.732893283</f>
        <v>0.73289328300000001</v>
      </c>
      <c r="CL196">
        <f>0.786367718</f>
        <v>0.78636771800000005</v>
      </c>
      <c r="CM196">
        <f>0.867873732</f>
        <v>0.86787373199999995</v>
      </c>
      <c r="CN196">
        <f>0.925696242</f>
        <v>0.925696242</v>
      </c>
      <c r="CO196">
        <f>0.67592424</f>
        <v>0.67592423999999995</v>
      </c>
      <c r="CP196">
        <f>0.618467722</f>
        <v>0.618467722</v>
      </c>
      <c r="CQ196">
        <f>0.667281169</f>
        <v>0.66728116900000001</v>
      </c>
      <c r="CR196">
        <f>0.645766528</f>
        <v>0.64576652800000001</v>
      </c>
      <c r="CS196">
        <f>0.736507815</f>
        <v>0.73650781499999995</v>
      </c>
      <c r="CT196">
        <f>0.647617186</f>
        <v>0.64761718599999996</v>
      </c>
      <c r="CU196">
        <f>0.619760285</f>
        <v>0.61976028500000002</v>
      </c>
      <c r="CV196">
        <f>0.660774163</f>
        <v>0.66077416300000003</v>
      </c>
      <c r="CW196">
        <f>0.901578117</f>
        <v>0.90157811700000001</v>
      </c>
      <c r="CX196">
        <f>1.189130168</f>
        <v>1.1891301679999999</v>
      </c>
      <c r="CY196">
        <f>0.922662094</f>
        <v>0.92266209399999999</v>
      </c>
      <c r="CZ196">
        <f>0.703438431</f>
        <v>0.70343843100000003</v>
      </c>
      <c r="DA196">
        <f>0.961916043</f>
        <v>0.961916043</v>
      </c>
      <c r="DB196">
        <f>0.958930599</f>
        <v>0.95893059899999999</v>
      </c>
      <c r="DC196">
        <f>0.97777087</f>
        <v>0.97777086999999996</v>
      </c>
      <c r="DD196">
        <f>0.764431702</f>
        <v>0.76443170199999999</v>
      </c>
      <c r="DE196">
        <f>0.730234501</f>
        <v>0.73023450099999998</v>
      </c>
      <c r="DF196">
        <f>0.669802043</f>
        <v>0.66980204300000001</v>
      </c>
      <c r="DG196">
        <f>0.64114927</f>
        <v>0.64114926999999999</v>
      </c>
      <c r="DH196">
        <f>0.725317838</f>
        <v>0.72531783800000005</v>
      </c>
      <c r="DI196">
        <f>0.748894235</f>
        <v>0.74889423499999996</v>
      </c>
      <c r="DJ196">
        <f>0.795773463</f>
        <v>0.79577346299999996</v>
      </c>
      <c r="DK196">
        <f>0.957359057</f>
        <v>0.95735905700000001</v>
      </c>
      <c r="DL196">
        <f>0.909113187</f>
        <v>0.90911318699999999</v>
      </c>
      <c r="DM196">
        <f>0.987847221</f>
        <v>0.987847221</v>
      </c>
      <c r="DN196">
        <f>1.098381618</f>
        <v>1.0983816179999999</v>
      </c>
      <c r="DO196">
        <f>1.100783423</f>
        <v>1.100783423</v>
      </c>
      <c r="DP196">
        <f>1.260470965</f>
        <v>1.2604709650000001</v>
      </c>
      <c r="DQ196">
        <f>1.322555891</f>
        <v>1.3225558909999999</v>
      </c>
      <c r="DR196">
        <f>1.259185941</f>
        <v>1.2591859409999999</v>
      </c>
      <c r="DS196">
        <f>1.177750117</f>
        <v>1.177750117</v>
      </c>
      <c r="DT196">
        <f>1.273395621</f>
        <v>1.2733956209999999</v>
      </c>
      <c r="DU196">
        <f>1.324106768</f>
        <v>1.324106768</v>
      </c>
    </row>
    <row r="197" spans="1:125">
      <c r="A197" t="str">
        <f>"    Kilroy Realty Corp"</f>
        <v xml:space="preserve">    Kilroy Realty Corp</v>
      </c>
      <c r="B197" t="str">
        <f>"KRC US Equity"</f>
        <v>KRC US Equity</v>
      </c>
      <c r="C197" t="str">
        <f t="shared" si="51"/>
        <v>RR263</v>
      </c>
      <c r="D197" t="str">
        <f t="shared" si="52"/>
        <v>DEBT_TO_MKT_CAP</v>
      </c>
      <c r="E197" t="str">
        <f t="shared" si="53"/>
        <v>动态</v>
      </c>
      <c r="F197">
        <f ca="1">IF(AND(ISNUMBER($F$501),$B$294=1),$F$501,HLOOKUP(INDIRECT(ADDRESS(2,COLUMN())),OFFSET($BN$2,0,0,ROW()-1,60),ROW()-1,FALSE))</f>
        <v>0.33746846899999999</v>
      </c>
      <c r="G197">
        <f ca="1">IF(AND(ISNUMBER($G$501),$B$294=1),$G$501,HLOOKUP(INDIRECT(ADDRESS(2,COLUMN())),OFFSET($BN$2,0,0,ROW()-1,60),ROW()-1,FALSE))</f>
        <v>0.31957894399999998</v>
      </c>
      <c r="H197">
        <f ca="1">IF(AND(ISNUMBER($H$501),$B$294=1),$H$501,HLOOKUP(INDIRECT(ADDRESS(2,COLUMN())),OFFSET($BN$2,0,0,ROW()-1,60),ROW()-1,FALSE))</f>
        <v>0.34809993700000003</v>
      </c>
      <c r="I197">
        <f ca="1">IF(AND(ISNUMBER($I$501),$B$294=1),$I$501,HLOOKUP(INDIRECT(ADDRESS(2,COLUMN())),OFFSET($BN$2,0,0,ROW()-1,60),ROW()-1,FALSE))</f>
        <v>0.34725715800000001</v>
      </c>
      <c r="J197">
        <f ca="1">IF(AND(ISNUMBER($J$501),$B$294=1),$J$501,HLOOKUP(INDIRECT(ADDRESS(2,COLUMN())),OFFSET($BN$2,0,0,ROW()-1,60),ROW()-1,FALSE))</f>
        <v>0.364101336</v>
      </c>
      <c r="K197">
        <f ca="1">IF(AND(ISNUMBER($K$501),$B$294=1),$K$501,HLOOKUP(INDIRECT(ADDRESS(2,COLUMN())),OFFSET($BN$2,0,0,ROW()-1,60),ROW()-1,FALSE))</f>
        <v>0.34340691600000001</v>
      </c>
      <c r="L197">
        <f ca="1">IF(AND(ISNUMBER($L$501),$B$294=1),$L$501,HLOOKUP(INDIRECT(ADDRESS(2,COLUMN())),OFFSET($BN$2,0,0,ROW()-1,60),ROW()-1,FALSE))</f>
        <v>0.34656963299999999</v>
      </c>
      <c r="M197">
        <f ca="1">IF(AND(ISNUMBER($M$501),$B$294=1),$M$501,HLOOKUP(INDIRECT(ADDRESS(2,COLUMN())),OFFSET($BN$2,0,0,ROW()-1,60),ROW()-1,FALSE))</f>
        <v>0.39897413300000001</v>
      </c>
      <c r="N197">
        <f ca="1">IF(AND(ISNUMBER($N$501),$B$294=1),$N$501,HLOOKUP(INDIRECT(ADDRESS(2,COLUMN())),OFFSET($BN$2,0,0,ROW()-1,60),ROW()-1,FALSE))</f>
        <v>0.40258491000000002</v>
      </c>
      <c r="O197">
        <f ca="1">IF(AND(ISNUMBER($O$501),$B$294=1),$O$501,HLOOKUP(INDIRECT(ADDRESS(2,COLUMN())),OFFSET($BN$2,0,0,ROW()-1,60),ROW()-1,FALSE))</f>
        <v>0.38135393400000001</v>
      </c>
      <c r="P197">
        <f ca="1">IF(AND(ISNUMBER($P$501),$B$294=1),$P$501,HLOOKUP(INDIRECT(ADDRESS(2,COLUMN())),OFFSET($BN$2,0,0,ROW()-1,60),ROW()-1,FALSE))</f>
        <v>0.44227736000000001</v>
      </c>
      <c r="Q197">
        <f ca="1">IF(AND(ISNUMBER($Q$501),$B$294=1),$Q$501,HLOOKUP(INDIRECT(ADDRESS(2,COLUMN())),OFFSET($BN$2,0,0,ROW()-1,60),ROW()-1,FALSE))</f>
        <v>0.39801882599999999</v>
      </c>
      <c r="R197">
        <f ca="1">IF(AND(ISNUMBER($R$501),$B$294=1),$R$501,HLOOKUP(INDIRECT(ADDRESS(2,COLUMN())),OFFSET($BN$2,0,0,ROW()-1,60),ROW()-1,FALSE))</f>
        <v>0.369337213</v>
      </c>
      <c r="S197">
        <f ca="1">IF(AND(ISNUMBER($S$501),$B$294=1),$S$501,HLOOKUP(INDIRECT(ADDRESS(2,COLUMN())),OFFSET($BN$2,0,0,ROW()-1,60),ROW()-1,FALSE))</f>
        <v>0.41593978300000001</v>
      </c>
      <c r="T197">
        <f ca="1">IF(AND(ISNUMBER($T$501),$B$294=1),$T$501,HLOOKUP(INDIRECT(ADDRESS(2,COLUMN())),OFFSET($BN$2,0,0,ROW()-1,60),ROW()-1,FALSE))</f>
        <v>0.49018595399999998</v>
      </c>
      <c r="U197">
        <f ca="1">IF(AND(ISNUMBER($U$501),$B$294=1),$U$501,HLOOKUP(INDIRECT(ADDRESS(2,COLUMN())),OFFSET($BN$2,0,0,ROW()-1,60),ROW()-1,FALSE))</f>
        <v>0.436406454</v>
      </c>
      <c r="V197">
        <f ca="1">IF(AND(ISNUMBER($V$501),$B$294=1),$V$501,HLOOKUP(INDIRECT(ADDRESS(2,COLUMN())),OFFSET($BN$2,0,0,ROW()-1,60),ROW()-1,FALSE))</f>
        <v>0.448474706</v>
      </c>
      <c r="W197">
        <f ca="1">IF(AND(ISNUMBER($W$501),$B$294=1),$W$501,HLOOKUP(INDIRECT(ADDRESS(2,COLUMN())),OFFSET($BN$2,0,0,ROW()-1,60),ROW()-1,FALSE))</f>
        <v>0.53512005699999998</v>
      </c>
      <c r="X197">
        <f ca="1">IF(AND(ISNUMBER($X$501),$B$294=1),$X$501,HLOOKUP(INDIRECT(ADDRESS(2,COLUMN())),OFFSET($BN$2,0,0,ROW()-1,60),ROW()-1,FALSE))</f>
        <v>0.53153660300000005</v>
      </c>
      <c r="Y197">
        <f ca="1">IF(AND(ISNUMBER($Y$501),$B$294=1),$Y$501,HLOOKUP(INDIRECT(ADDRESS(2,COLUMN())),OFFSET($BN$2,0,0,ROW()-1,60),ROW()-1,FALSE))</f>
        <v>0.54151298000000003</v>
      </c>
      <c r="Z197">
        <f ca="1">IF(AND(ISNUMBER($Z$501),$B$294=1),$Z$501,HLOOKUP(INDIRECT(ADDRESS(2,COLUMN())),OFFSET($BN$2,0,0,ROW()-1,60),ROW()-1,FALSE))</f>
        <v>0.55205760400000004</v>
      </c>
      <c r="AA197">
        <f ca="1">IF(AND(ISNUMBER($AA$501),$B$294=1),$AA$501,HLOOKUP(INDIRECT(ADDRESS(2,COLUMN())),OFFSET($BN$2,0,0,ROW()-1,60),ROW()-1,FALSE))</f>
        <v>0.576828165</v>
      </c>
      <c r="AB197">
        <f ca="1">IF(AND(ISNUMBER($AB$501),$B$294=1),$AB$501,HLOOKUP(INDIRECT(ADDRESS(2,COLUMN())),OFFSET($BN$2,0,0,ROW()-1,60),ROW()-1,FALSE))</f>
        <v>0.55624564700000001</v>
      </c>
      <c r="AC197">
        <f ca="1">IF(AND(ISNUMBER($AC$501),$B$294=1),$AC$501,HLOOKUP(INDIRECT(ADDRESS(2,COLUMN())),OFFSET($BN$2,0,0,ROW()-1,60),ROW()-1,FALSE))</f>
        <v>0.55890451900000004</v>
      </c>
      <c r="AD197">
        <f ca="1">IF(AND(ISNUMBER($AD$501),$B$294=1),$AD$501,HLOOKUP(INDIRECT(ADDRESS(2,COLUMN())),OFFSET($BN$2,0,0,ROW()-1,60),ROW()-1,FALSE))</f>
        <v>0.58521197599999997</v>
      </c>
      <c r="AE197">
        <f ca="1">IF(AND(ISNUMBER($AE$501),$B$294=1),$AE$501,HLOOKUP(INDIRECT(ADDRESS(2,COLUMN())),OFFSET($BN$2,0,0,ROW()-1,60),ROW()-1,FALSE))</f>
        <v>0.85136817799999998</v>
      </c>
      <c r="AF197">
        <f ca="1">IF(AND(ISNUMBER($AF$501),$B$294=1),$AF$501,HLOOKUP(INDIRECT(ADDRESS(2,COLUMN())),OFFSET($BN$2,0,0,ROW()-1,60),ROW()-1,FALSE))</f>
        <v>1.00180402</v>
      </c>
      <c r="AG197">
        <f ca="1">IF(AND(ISNUMBER($AG$501),$B$294=1),$AG$501,HLOOKUP(INDIRECT(ADDRESS(2,COLUMN())),OFFSET($BN$2,0,0,ROW()-1,60),ROW()-1,FALSE))</f>
        <v>0.75970936899999997</v>
      </c>
      <c r="AH197">
        <f ca="1">IF(AND(ISNUMBER($AH$501),$B$294=1),$AH$501,HLOOKUP(INDIRECT(ADDRESS(2,COLUMN())),OFFSET($BN$2,0,0,ROW()-1,60),ROW()-1,FALSE))</f>
        <v>0.75395324100000005</v>
      </c>
      <c r="AI197">
        <f ca="1">IF(AND(ISNUMBER($AI$501),$B$294=1),$AI$501,HLOOKUP(INDIRECT(ADDRESS(2,COLUMN())),OFFSET($BN$2,0,0,ROW()-1,60),ROW()-1,FALSE))</f>
        <v>0.74784244300000002</v>
      </c>
      <c r="AJ197">
        <f ca="1">IF(AND(ISNUMBER($AJ$501),$B$294=1),$AJ$501,HLOOKUP(INDIRECT(ADDRESS(2,COLUMN())),OFFSET($BN$2,0,0,ROW()-1,60),ROW()-1,FALSE))</f>
        <v>0.70496616000000001</v>
      </c>
      <c r="AK197">
        <f ca="1">IF(AND(ISNUMBER($AK$501),$B$294=1),$AK$501,HLOOKUP(INDIRECT(ADDRESS(2,COLUMN())),OFFSET($BN$2,0,0,ROW()-1,60),ROW()-1,FALSE))</f>
        <v>0.74299842100000002</v>
      </c>
      <c r="AL197">
        <f ca="1">IF(AND(ISNUMBER($AL$501),$B$294=1),$AL$501,HLOOKUP(INDIRECT(ADDRESS(2,COLUMN())),OFFSET($BN$2,0,0,ROW()-1,60),ROW()-1,FALSE))</f>
        <v>0.75220927900000001</v>
      </c>
      <c r="AM197">
        <f ca="1">IF(AND(ISNUMBER($AM$501),$B$294=1),$AM$501,HLOOKUP(INDIRECT(ADDRESS(2,COLUMN())),OFFSET($BN$2,0,0,ROW()-1,60),ROW()-1,FALSE))</f>
        <v>0.734498506</v>
      </c>
      <c r="AN197">
        <f ca="1">IF(AND(ISNUMBER($AN$501),$B$294=1),$AN$501,HLOOKUP(INDIRECT(ADDRESS(2,COLUMN())),OFFSET($BN$2,0,0,ROW()-1,60),ROW()-1,FALSE))</f>
        <v>0.80633012800000003</v>
      </c>
      <c r="AO197">
        <f ca="1">IF(AND(ISNUMBER($AO$501),$B$294=1),$AO$501,HLOOKUP(INDIRECT(ADDRESS(2,COLUMN())),OFFSET($BN$2,0,0,ROW()-1,60),ROW()-1,FALSE))</f>
        <v>1.0980647240000001</v>
      </c>
      <c r="AP197">
        <f ca="1">IF(AND(ISNUMBER($AP$501),$B$294=1),$AP$501,HLOOKUP(INDIRECT(ADDRESS(2,COLUMN())),OFFSET($BN$2,0,0,ROW()-1,60),ROW()-1,FALSE))</f>
        <v>2.0483340910000001</v>
      </c>
      <c r="AQ197">
        <f ca="1">IF(AND(ISNUMBER($AQ$501),$B$294=1),$AQ$501,HLOOKUP(INDIRECT(ADDRESS(2,COLUMN())),OFFSET($BN$2,0,0,ROW()-1,60),ROW()-1,FALSE))</f>
        <v>1.0318464490000001</v>
      </c>
      <c r="AR197">
        <f ca="1">IF(AND(ISNUMBER($AR$501),$B$294=1),$AR$501,HLOOKUP(INDIRECT(ADDRESS(2,COLUMN())),OFFSET($BN$2,0,0,ROW()-1,60),ROW()-1,FALSE))</f>
        <v>0.74059111600000005</v>
      </c>
      <c r="AS197">
        <f ca="1">IF(AND(ISNUMBER($AS$501),$B$294=1),$AS$501,HLOOKUP(INDIRECT(ADDRESS(2,COLUMN())),OFFSET($BN$2,0,0,ROW()-1,60),ROW()-1,FALSE))</f>
        <v>0.74847461000000004</v>
      </c>
      <c r="AT197">
        <f ca="1">IF(AND(ISNUMBER($AT$501),$B$294=1),$AT$501,HLOOKUP(INDIRECT(ADDRESS(2,COLUMN())),OFFSET($BN$2,0,0,ROW()-1,60),ROW()-1,FALSE))</f>
        <v>0.70098554599999996</v>
      </c>
      <c r="AU197">
        <f ca="1">IF(AND(ISNUMBER($AU$501),$B$294=1),$AU$501,HLOOKUP(INDIRECT(ADDRESS(2,COLUMN())),OFFSET($BN$2,0,0,ROW()-1,60),ROW()-1,FALSE))</f>
        <v>0.61472317200000004</v>
      </c>
      <c r="AV197">
        <f ca="1">IF(AND(ISNUMBER($AV$501),$B$294=1),$AV$501,HLOOKUP(INDIRECT(ADDRESS(2,COLUMN())),OFFSET($BN$2,0,0,ROW()-1,60),ROW()-1,FALSE))</f>
        <v>0.52957576900000003</v>
      </c>
      <c r="AW197">
        <f ca="1">IF(AND(ISNUMBER($AW$501),$B$294=1),$AW$501,HLOOKUP(INDIRECT(ADDRESS(2,COLUMN())),OFFSET($BN$2,0,0,ROW()-1,60),ROW()-1,FALSE))</f>
        <v>0.439587585</v>
      </c>
      <c r="AX197">
        <f ca="1">IF(AND(ISNUMBER($AX$501),$B$294=1),$AX$501,HLOOKUP(INDIRECT(ADDRESS(2,COLUMN())),OFFSET($BN$2,0,0,ROW()-1,60),ROW()-1,FALSE))</f>
        <v>0.38574397199999999</v>
      </c>
      <c r="AY197">
        <f ca="1">IF(AND(ISNUMBER($AY$501),$B$294=1),$AY$501,HLOOKUP(INDIRECT(ADDRESS(2,COLUMN())),OFFSET($BN$2,0,0,ROW()-1,60),ROW()-1,FALSE))</f>
        <v>0.34801333099999998</v>
      </c>
      <c r="AZ197">
        <f ca="1">IF(AND(ISNUMBER($AZ$501),$B$294=1),$AZ$501,HLOOKUP(INDIRECT(ADDRESS(2,COLUMN())),OFFSET($BN$2,0,0,ROW()-1,60),ROW()-1,FALSE))</f>
        <v>0.34300956300000002</v>
      </c>
      <c r="BA197">
        <f ca="1">IF(AND(ISNUMBER($BA$501),$B$294=1),$BA$501,HLOOKUP(INDIRECT(ADDRESS(2,COLUMN())),OFFSET($BN$2,0,0,ROW()-1,60),ROW()-1,FALSE))</f>
        <v>0.373688148</v>
      </c>
      <c r="BB197">
        <f ca="1">IF(AND(ISNUMBER($BB$501),$B$294=1),$BB$501,HLOOKUP(INDIRECT(ADDRESS(2,COLUMN())),OFFSET($BN$2,0,0,ROW()-1,60),ROW()-1,FALSE))</f>
        <v>0.404129181</v>
      </c>
      <c r="BC197">
        <f ca="1">IF(AND(ISNUMBER($BC$501),$B$294=1),$BC$501,HLOOKUP(INDIRECT(ADDRESS(2,COLUMN())),OFFSET($BN$2,0,0,ROW()-1,60),ROW()-1,FALSE))</f>
        <v>0.47045602199999997</v>
      </c>
      <c r="BD197">
        <f ca="1">IF(AND(ISNUMBER($BD$501),$B$294=1),$BD$501,HLOOKUP(INDIRECT(ADDRESS(2,COLUMN())),OFFSET($BN$2,0,0,ROW()-1,60),ROW()-1,FALSE))</f>
        <v>0.51259203099999995</v>
      </c>
      <c r="BE197">
        <f ca="1">IF(AND(ISNUMBER($BE$501),$B$294=1),$BE$501,HLOOKUP(INDIRECT(ADDRESS(2,COLUMN())),OFFSET($BN$2,0,0,ROW()-1,60),ROW()-1,FALSE))</f>
        <v>0.59642697499999997</v>
      </c>
      <c r="BF197">
        <f ca="1">IF(AND(ISNUMBER($BF$501),$B$294=1),$BF$501,HLOOKUP(INDIRECT(ADDRESS(2,COLUMN())),OFFSET($BN$2,0,0,ROW()-1,60),ROW()-1,FALSE))</f>
        <v>0.66636989999999996</v>
      </c>
      <c r="BG197">
        <f ca="1">IF(AND(ISNUMBER($BG$501),$B$294=1),$BG$501,HLOOKUP(INDIRECT(ADDRESS(2,COLUMN())),OFFSET($BN$2,0,0,ROW()-1,60),ROW()-1,FALSE))</f>
        <v>0.65715168099999999</v>
      </c>
      <c r="BH197">
        <f ca="1">IF(AND(ISNUMBER($BH$501),$B$294=1),$BH$501,HLOOKUP(INDIRECT(ADDRESS(2,COLUMN())),OFFSET($BN$2,0,0,ROW()-1,60),ROW()-1,FALSE))</f>
        <v>0.67633478999999996</v>
      </c>
      <c r="BI197">
        <f ca="1">IF(AND(ISNUMBER($BI$501),$B$294=1),$BI$501,HLOOKUP(INDIRECT(ADDRESS(2,COLUMN())),OFFSET($BN$2,0,0,ROW()-1,60),ROW()-1,FALSE))</f>
        <v>0.77961809800000004</v>
      </c>
      <c r="BJ197">
        <f ca="1">IF(AND(ISNUMBER($BJ$501),$B$294=1),$BJ$501,HLOOKUP(INDIRECT(ADDRESS(2,COLUMN())),OFFSET($BN$2,0,0,ROW()-1,60),ROW()-1,FALSE))</f>
        <v>0.76299039300000004</v>
      </c>
      <c r="BK197">
        <f ca="1">IF(AND(ISNUMBER($BK$501),$B$294=1),$BK$501,HLOOKUP(INDIRECT(ADDRESS(2,COLUMN())),OFFSET($BN$2,0,0,ROW()-1,60),ROW()-1,FALSE))</f>
        <v>0.82848843699999997</v>
      </c>
      <c r="BL197">
        <f ca="1">IF(AND(ISNUMBER($BL$501),$B$294=1),$BL$501,HLOOKUP(INDIRECT(ADDRESS(2,COLUMN())),OFFSET($BN$2,0,0,ROW()-1,60),ROW()-1,FALSE))</f>
        <v>0.950451571</v>
      </c>
      <c r="BM197">
        <f ca="1">IF(AND(ISNUMBER($BM$501),$B$294=1),$BM$501,HLOOKUP(INDIRECT(ADDRESS(2,COLUMN())),OFFSET($BN$2,0,0,ROW()-1,60),ROW()-1,FALSE))</f>
        <v>1.0129694490000001</v>
      </c>
      <c r="BN197">
        <f>0.337468469</f>
        <v>0.33746846899999999</v>
      </c>
      <c r="BO197">
        <f>0.319578944</f>
        <v>0.31957894399999998</v>
      </c>
      <c r="BP197">
        <f>0.348099937</f>
        <v>0.34809993700000003</v>
      </c>
      <c r="BQ197">
        <f>0.347257158</f>
        <v>0.34725715800000001</v>
      </c>
      <c r="BR197">
        <f>0.364101336</f>
        <v>0.364101336</v>
      </c>
      <c r="BS197">
        <f>0.343406916</f>
        <v>0.34340691600000001</v>
      </c>
      <c r="BT197">
        <f>0.346569633</f>
        <v>0.34656963299999999</v>
      </c>
      <c r="BU197">
        <f>0.398974133</f>
        <v>0.39897413300000001</v>
      </c>
      <c r="BV197">
        <f>0.40258491</f>
        <v>0.40258491000000002</v>
      </c>
      <c r="BW197">
        <f>0.381353934</f>
        <v>0.38135393400000001</v>
      </c>
      <c r="BX197">
        <f>0.44227736</f>
        <v>0.44227736000000001</v>
      </c>
      <c r="BY197">
        <f>0.398018826</f>
        <v>0.39801882599999999</v>
      </c>
      <c r="BZ197">
        <f>0.369337213</f>
        <v>0.369337213</v>
      </c>
      <c r="CA197">
        <f>0.415939783</f>
        <v>0.41593978300000001</v>
      </c>
      <c r="CB197">
        <f>0.490185954</f>
        <v>0.49018595399999998</v>
      </c>
      <c r="CC197">
        <f>0.436406454</f>
        <v>0.436406454</v>
      </c>
      <c r="CD197">
        <f>0.448474706</f>
        <v>0.448474706</v>
      </c>
      <c r="CE197">
        <f>0.535120057</f>
        <v>0.53512005699999998</v>
      </c>
      <c r="CF197">
        <f>0.531536603</f>
        <v>0.53153660300000005</v>
      </c>
      <c r="CG197">
        <f>0.54151298</f>
        <v>0.54151298000000003</v>
      </c>
      <c r="CH197">
        <f>0.552057604</f>
        <v>0.55205760400000004</v>
      </c>
      <c r="CI197">
        <f>0.576828165</f>
        <v>0.576828165</v>
      </c>
      <c r="CJ197">
        <f>0.556245647</f>
        <v>0.55624564700000001</v>
      </c>
      <c r="CK197">
        <f>0.558904519</f>
        <v>0.55890451900000004</v>
      </c>
      <c r="CL197">
        <f>0.585211976</f>
        <v>0.58521197599999997</v>
      </c>
      <c r="CM197">
        <f>0.851368178</f>
        <v>0.85136817799999998</v>
      </c>
      <c r="CN197">
        <f>1.00180402</f>
        <v>1.00180402</v>
      </c>
      <c r="CO197">
        <f>0.759709369</f>
        <v>0.75970936899999997</v>
      </c>
      <c r="CP197">
        <f>0.753953241</f>
        <v>0.75395324100000005</v>
      </c>
      <c r="CQ197">
        <f>0.747842443</f>
        <v>0.74784244300000002</v>
      </c>
      <c r="CR197">
        <f>0.70496616</f>
        <v>0.70496616000000001</v>
      </c>
      <c r="CS197">
        <f>0.742998421</f>
        <v>0.74299842100000002</v>
      </c>
      <c r="CT197">
        <f>0.752209279</f>
        <v>0.75220927900000001</v>
      </c>
      <c r="CU197">
        <f>0.734498506</f>
        <v>0.734498506</v>
      </c>
      <c r="CV197">
        <f>0.806330128</f>
        <v>0.80633012800000003</v>
      </c>
      <c r="CW197">
        <f>1.098064724</f>
        <v>1.0980647240000001</v>
      </c>
      <c r="CX197">
        <f>2.048334091</f>
        <v>2.0483340910000001</v>
      </c>
      <c r="CY197">
        <f>1.031846449</f>
        <v>1.0318464490000001</v>
      </c>
      <c r="CZ197">
        <f>0.740591116</f>
        <v>0.74059111600000005</v>
      </c>
      <c r="DA197">
        <f>0.74847461</f>
        <v>0.74847461000000004</v>
      </c>
      <c r="DB197">
        <f>0.700985546</f>
        <v>0.70098554599999996</v>
      </c>
      <c r="DC197">
        <f>0.614723172</f>
        <v>0.61472317200000004</v>
      </c>
      <c r="DD197">
        <f>0.529575769</f>
        <v>0.52957576900000003</v>
      </c>
      <c r="DE197">
        <f>0.439587585</f>
        <v>0.439587585</v>
      </c>
      <c r="DF197">
        <f>0.385743972</f>
        <v>0.38574397199999999</v>
      </c>
      <c r="DG197">
        <f>0.348013331</f>
        <v>0.34801333099999998</v>
      </c>
      <c r="DH197">
        <f>0.343009563</f>
        <v>0.34300956300000002</v>
      </c>
      <c r="DI197">
        <f>0.373688148</f>
        <v>0.373688148</v>
      </c>
      <c r="DJ197">
        <f>0.404129181</f>
        <v>0.404129181</v>
      </c>
      <c r="DK197">
        <f>0.470456022</f>
        <v>0.47045602199999997</v>
      </c>
      <c r="DL197">
        <f>0.512592031</f>
        <v>0.51259203099999995</v>
      </c>
      <c r="DM197">
        <f>0.596426975</f>
        <v>0.59642697499999997</v>
      </c>
      <c r="DN197">
        <f>0.6663699</f>
        <v>0.66636989999999996</v>
      </c>
      <c r="DO197">
        <f>0.657151681</f>
        <v>0.65715168099999999</v>
      </c>
      <c r="DP197">
        <f>0.67633479</f>
        <v>0.67633478999999996</v>
      </c>
      <c r="DQ197">
        <f>0.779618098</f>
        <v>0.77961809800000004</v>
      </c>
      <c r="DR197">
        <f>0.762990393</f>
        <v>0.76299039300000004</v>
      </c>
      <c r="DS197">
        <f>0.828488437</f>
        <v>0.82848843699999997</v>
      </c>
      <c r="DT197">
        <f>0.950451571</f>
        <v>0.950451571</v>
      </c>
      <c r="DU197">
        <f>1.012969449</f>
        <v>1.0129694490000001</v>
      </c>
    </row>
    <row r="198" spans="1:125">
      <c r="A198" t="str">
        <f>"    Mack-Cali Realty Corp"</f>
        <v xml:space="preserve">    Mack-Cali Realty Corp</v>
      </c>
      <c r="B198" t="str">
        <f>"CLI US Equity"</f>
        <v>CLI US Equity</v>
      </c>
      <c r="C198" t="str">
        <f t="shared" si="51"/>
        <v>RR263</v>
      </c>
      <c r="D198" t="str">
        <f t="shared" si="52"/>
        <v>DEBT_TO_MKT_CAP</v>
      </c>
      <c r="E198" t="str">
        <f t="shared" si="53"/>
        <v>动态</v>
      </c>
      <c r="F198">
        <f ca="1">IF(AND(ISNUMBER($F$502),$B$294=1),$F$502,HLOOKUP(INDIRECT(ADDRESS(2,COLUMN())),OFFSET($BN$2,0,0,ROW()-1,60),ROW()-1,FALSE))</f>
        <v>1.765948957</v>
      </c>
      <c r="G198">
        <f ca="1">IF(AND(ISNUMBER($G$502),$B$294=1),$G$502,HLOOKUP(INDIRECT(ADDRESS(2,COLUMN())),OFFSET($BN$2,0,0,ROW()-1,60),ROW()-1,FALSE))</f>
        <v>1.449316015</v>
      </c>
      <c r="H198">
        <f ca="1">IF(AND(ISNUMBER($H$502),$B$294=1),$H$502,HLOOKUP(INDIRECT(ADDRESS(2,COLUMN())),OFFSET($BN$2,0,0,ROW()-1,60),ROW()-1,FALSE))</f>
        <v>1.331797318</v>
      </c>
      <c r="I198">
        <f ca="1">IF(AND(ISNUMBER($I$502),$B$294=1),$I$502,HLOOKUP(INDIRECT(ADDRESS(2,COLUMN())),OFFSET($BN$2,0,0,ROW()-1,60),ROW()-1,FALSE))</f>
        <v>1.2094970759999999</v>
      </c>
      <c r="J198">
        <f ca="1">IF(AND(ISNUMBER($J$502),$B$294=1),$J$502,HLOOKUP(INDIRECT(ADDRESS(2,COLUMN())),OFFSET($BN$2,0,0,ROW()-1,60),ROW()-1,FALSE))</f>
        <v>1.1283988359999999</v>
      </c>
      <c r="K198">
        <f ca="1">IF(AND(ISNUMBER($K$502),$B$294=1),$K$502,HLOOKUP(INDIRECT(ADDRESS(2,COLUMN())),OFFSET($BN$2,0,0,ROW()-1,60),ROW()-1,FALSE))</f>
        <v>0.89905396999999998</v>
      </c>
      <c r="L198">
        <f ca="1">IF(AND(ISNUMBER($L$502),$B$294=1),$L$502,HLOOKUP(INDIRECT(ADDRESS(2,COLUMN())),OFFSET($BN$2,0,0,ROW()-1,60),ROW()-1,FALSE))</f>
        <v>1.006150372</v>
      </c>
      <c r="M198">
        <f ca="1">IF(AND(ISNUMBER($M$502),$B$294=1),$M$502,HLOOKUP(INDIRECT(ADDRESS(2,COLUMN())),OFFSET($BN$2,0,0,ROW()-1,60),ROW()-1,FALSE))</f>
        <v>0.93253235199999995</v>
      </c>
      <c r="N198">
        <f ca="1">IF(AND(ISNUMBER($N$502),$B$294=1),$N$502,HLOOKUP(INDIRECT(ADDRESS(2,COLUMN())),OFFSET($BN$2,0,0,ROW()-1,60),ROW()-1,FALSE))</f>
        <v>1.0778063600000001</v>
      </c>
      <c r="O198">
        <f ca="1">IF(AND(ISNUMBER($O$502),$B$294=1),$O$502,HLOOKUP(INDIRECT(ADDRESS(2,COLUMN())),OFFSET($BN$2,0,0,ROW()-1,60),ROW()-1,FALSE))</f>
        <v>1.028767124</v>
      </c>
      <c r="P198">
        <f ca="1">IF(AND(ISNUMBER($P$502),$B$294=1),$P$502,HLOOKUP(INDIRECT(ADDRESS(2,COLUMN())),OFFSET($BN$2,0,0,ROW()-1,60),ROW()-1,FALSE))</f>
        <v>1.2149624450000001</v>
      </c>
      <c r="Q198">
        <f ca="1">IF(AND(ISNUMBER($Q$502),$B$294=1),$Q$502,HLOOKUP(INDIRECT(ADDRESS(2,COLUMN())),OFFSET($BN$2,0,0,ROW()-1,60),ROW()-1,FALSE))</f>
        <v>1.238747635</v>
      </c>
      <c r="R198">
        <f ca="1">IF(AND(ISNUMBER($R$502),$B$294=1),$R$502,HLOOKUP(INDIRECT(ADDRESS(2,COLUMN())),OFFSET($BN$2,0,0,ROW()-1,60),ROW()-1,FALSE))</f>
        <v>1.2271219769999999</v>
      </c>
      <c r="S198">
        <f ca="1">IF(AND(ISNUMBER($S$502),$B$294=1),$S$502,HLOOKUP(INDIRECT(ADDRESS(2,COLUMN())),OFFSET($BN$2,0,0,ROW()-1,60),ROW()-1,FALSE))</f>
        <v>1.2308444780000001</v>
      </c>
      <c r="T198">
        <f ca="1">IF(AND(ISNUMBER($T$502),$B$294=1),$T$502,HLOOKUP(INDIRECT(ADDRESS(2,COLUMN())),OFFSET($BN$2,0,0,ROW()-1,60),ROW()-1,FALSE))</f>
        <v>1.3164419359999999</v>
      </c>
      <c r="U198">
        <f ca="1">IF(AND(ISNUMBER($U$502),$B$294=1),$U$502,HLOOKUP(INDIRECT(ADDRESS(2,COLUMN())),OFFSET($BN$2,0,0,ROW()-1,60),ROW()-1,FALSE))</f>
        <v>1.1595793780000001</v>
      </c>
      <c r="V198">
        <f ca="1">IF(AND(ISNUMBER($V$502),$B$294=1),$V$502,HLOOKUP(INDIRECT(ADDRESS(2,COLUMN())),OFFSET($BN$2,0,0,ROW()-1,60),ROW()-1,FALSE))</f>
        <v>1.2119967890000001</v>
      </c>
      <c r="W198">
        <f ca="1">IF(AND(ISNUMBER($W$502),$B$294=1),$W$502,HLOOKUP(INDIRECT(ADDRESS(2,COLUMN())),OFFSET($BN$2,0,0,ROW()-1,60),ROW()-1,FALSE))</f>
        <v>1.2496505950000001</v>
      </c>
      <c r="X198">
        <f ca="1">IF(AND(ISNUMBER($X$502),$B$294=1),$X$502,HLOOKUP(INDIRECT(ADDRESS(2,COLUMN())),OFFSET($BN$2,0,0,ROW()-1,60),ROW()-1,FALSE))</f>
        <v>1.226694387</v>
      </c>
      <c r="Y198">
        <f ca="1">IF(AND(ISNUMBER($Y$502),$B$294=1),$Y$502,HLOOKUP(INDIRECT(ADDRESS(2,COLUMN())),OFFSET($BN$2,0,0,ROW()-1,60),ROW()-1,FALSE))</f>
        <v>1.100245484</v>
      </c>
      <c r="Z198">
        <f ca="1">IF(AND(ISNUMBER($Z$502),$B$294=1),$Z$502,HLOOKUP(INDIRECT(ADDRESS(2,COLUMN())),OFFSET($BN$2,0,0,ROW()-1,60),ROW()-1,FALSE))</f>
        <v>0.91313357399999995</v>
      </c>
      <c r="AA198">
        <f ca="1">IF(AND(ISNUMBER($AA$502),$B$294=1),$AA$502,HLOOKUP(INDIRECT(ADDRESS(2,COLUMN())),OFFSET($BN$2,0,0,ROW()-1,60),ROW()-1,FALSE))</f>
        <v>0.96557299200000002</v>
      </c>
      <c r="AB198">
        <f ca="1">IF(AND(ISNUMBER($AB$502),$B$294=1),$AB$502,HLOOKUP(INDIRECT(ADDRESS(2,COLUMN())),OFFSET($BN$2,0,0,ROW()-1,60),ROW()-1,FALSE))</f>
        <v>0.84341862700000003</v>
      </c>
      <c r="AC198">
        <f ca="1">IF(AND(ISNUMBER($AC$502),$B$294=1),$AC$502,HLOOKUP(INDIRECT(ADDRESS(2,COLUMN())),OFFSET($BN$2,0,0,ROW()-1,60),ROW()-1,FALSE))</f>
        <v>0.75585638099999997</v>
      </c>
      <c r="AD198">
        <f ca="1">IF(AND(ISNUMBER($AD$502),$B$294=1),$AD$502,HLOOKUP(INDIRECT(ADDRESS(2,COLUMN())),OFFSET($BN$2,0,0,ROW()-1,60),ROW()-1,FALSE))</f>
        <v>0.766956623</v>
      </c>
      <c r="AE198">
        <f ca="1">IF(AND(ISNUMBER($AE$502),$B$294=1),$AE$502,HLOOKUP(INDIRECT(ADDRESS(2,COLUMN())),OFFSET($BN$2,0,0,ROW()-1,60),ROW()-1,FALSE))</f>
        <v>0.82301765400000004</v>
      </c>
      <c r="AF198">
        <f ca="1">IF(AND(ISNUMBER($AF$502),$B$294=1),$AF$502,HLOOKUP(INDIRECT(ADDRESS(2,COLUMN())),OFFSET($BN$2,0,0,ROW()-1,60),ROW()-1,FALSE))</f>
        <v>0.80998681900000002</v>
      </c>
      <c r="AG198">
        <f ca="1">IF(AND(ISNUMBER($AG$502),$B$294=1),$AG$502,HLOOKUP(INDIRECT(ADDRESS(2,COLUMN())),OFFSET($BN$2,0,0,ROW()-1,60),ROW()-1,FALSE))</f>
        <v>0.65264745899999999</v>
      </c>
      <c r="AH198">
        <f ca="1">IF(AND(ISNUMBER($AH$502),$B$294=1),$AH$502,HLOOKUP(INDIRECT(ADDRESS(2,COLUMN())),OFFSET($BN$2,0,0,ROW()-1,60),ROW()-1,FALSE))</f>
        <v>0.63763333200000005</v>
      </c>
      <c r="AI198">
        <f ca="1">IF(AND(ISNUMBER($AI$502),$B$294=1),$AI$502,HLOOKUP(INDIRECT(ADDRESS(2,COLUMN())),OFFSET($BN$2,0,0,ROW()-1,60),ROW()-1,FALSE))</f>
        <v>0.79470847600000005</v>
      </c>
      <c r="AJ198">
        <f ca="1">IF(AND(ISNUMBER($AJ$502),$B$294=1),$AJ$502,HLOOKUP(INDIRECT(ADDRESS(2,COLUMN())),OFFSET($BN$2,0,0,ROW()-1,60),ROW()-1,FALSE))</f>
        <v>0.83404819399999996</v>
      </c>
      <c r="AK198">
        <f ca="1">IF(AND(ISNUMBER($AK$502),$B$294=1),$AK$502,HLOOKUP(INDIRECT(ADDRESS(2,COLUMN())),OFFSET($BN$2,0,0,ROW()-1,60),ROW()-1,FALSE))</f>
        <v>0.91918303199999996</v>
      </c>
      <c r="AL198">
        <f ca="1">IF(AND(ISNUMBER($AL$502),$B$294=1),$AL$502,HLOOKUP(INDIRECT(ADDRESS(2,COLUMN())),OFFSET($BN$2,0,0,ROW()-1,60),ROW()-1,FALSE))</f>
        <v>0.83716543499999996</v>
      </c>
      <c r="AM198">
        <f ca="1">IF(AND(ISNUMBER($AM$502),$B$294=1),$AM$502,HLOOKUP(INDIRECT(ADDRESS(2,COLUMN())),OFFSET($BN$2,0,0,ROW()-1,60),ROW()-1,FALSE))</f>
        <v>0.859709532</v>
      </c>
      <c r="AN198">
        <f ca="1">IF(AND(ISNUMBER($AN$502),$B$294=1),$AN$502,HLOOKUP(INDIRECT(ADDRESS(2,COLUMN())),OFFSET($BN$2,0,0,ROW()-1,60),ROW()-1,FALSE))</f>
        <v>0.92311391700000001</v>
      </c>
      <c r="AO198">
        <f ca="1">IF(AND(ISNUMBER($AO$502),$B$294=1),$AO$502,HLOOKUP(INDIRECT(ADDRESS(2,COLUMN())),OFFSET($BN$2,0,0,ROW()-1,60),ROW()-1,FALSE))</f>
        <v>1.171993772</v>
      </c>
      <c r="AP198">
        <f ca="1">IF(AND(ISNUMBER($AP$502),$B$294=1),$AP$502,HLOOKUP(INDIRECT(ADDRESS(2,COLUMN())),OFFSET($BN$2,0,0,ROW()-1,60),ROW()-1,FALSE))</f>
        <v>1.713105316</v>
      </c>
      <c r="AQ198">
        <f ca="1">IF(AND(ISNUMBER($AQ$502),$B$294=1),$AQ$502,HLOOKUP(INDIRECT(ADDRESS(2,COLUMN())),OFFSET($BN$2,0,0,ROW()-1,60),ROW()-1,FALSE))</f>
        <v>1.378822285</v>
      </c>
      <c r="AR198">
        <f ca="1">IF(AND(ISNUMBER($AR$502),$B$294=1),$AR$502,HLOOKUP(INDIRECT(ADDRESS(2,COLUMN())),OFFSET($BN$2,0,0,ROW()-1,60),ROW()-1,FALSE))</f>
        <v>1.0016483920000001</v>
      </c>
      <c r="AS198">
        <f ca="1">IF(AND(ISNUMBER($AS$502),$B$294=1),$AS$502,HLOOKUP(INDIRECT(ADDRESS(2,COLUMN())),OFFSET($BN$2,0,0,ROW()-1,60),ROW()-1,FALSE))</f>
        <v>0.99548220700000001</v>
      </c>
      <c r="AT198">
        <f ca="1">IF(AND(ISNUMBER($AT$502),$B$294=1),$AT$502,HLOOKUP(INDIRECT(ADDRESS(2,COLUMN())),OFFSET($BN$2,0,0,ROW()-1,60),ROW()-1,FALSE))</f>
        <v>0.955252871</v>
      </c>
      <c r="AU198">
        <f ca="1">IF(AND(ISNUMBER($AU$502),$B$294=1),$AU$502,HLOOKUP(INDIRECT(ADDRESS(2,COLUMN())),OFFSET($BN$2,0,0,ROW()-1,60),ROW()-1,FALSE))</f>
        <v>0.95787374800000002</v>
      </c>
      <c r="AV198">
        <f ca="1">IF(AND(ISNUMBER($AV$502),$B$294=1),$AV$502,HLOOKUP(INDIRECT(ADDRESS(2,COLUMN())),OFFSET($BN$2,0,0,ROW()-1,60),ROW()-1,FALSE))</f>
        <v>0.76334692500000001</v>
      </c>
      <c r="AW198">
        <f ca="1">IF(AND(ISNUMBER($AW$502),$B$294=1),$AW$502,HLOOKUP(INDIRECT(ADDRESS(2,COLUMN())),OFFSET($BN$2,0,0,ROW()-1,60),ROW()-1,FALSE))</f>
        <v>0.71487013300000002</v>
      </c>
      <c r="AX198">
        <f ca="1">IF(AND(ISNUMBER($AX$502),$B$294=1),$AX$502,HLOOKUP(INDIRECT(ADDRESS(2,COLUMN())),OFFSET($BN$2,0,0,ROW()-1,60),ROW()-1,FALSE))</f>
        <v>0.61816251700000002</v>
      </c>
      <c r="AY198">
        <f ca="1">IF(AND(ISNUMBER($AY$502),$B$294=1),$AY$502,HLOOKUP(INDIRECT(ADDRESS(2,COLUMN())),OFFSET($BN$2,0,0,ROW()-1,60),ROW()-1,FALSE))</f>
        <v>0.67650094100000002</v>
      </c>
      <c r="AZ198">
        <f ca="1">IF(AND(ISNUMBER($AZ$502),$B$294=1),$AZ$502,HLOOKUP(INDIRECT(ADDRESS(2,COLUMN())),OFFSET($BN$2,0,0,ROW()-1,60),ROW()-1,FALSE))</f>
        <v>0.75674827</v>
      </c>
      <c r="BA198">
        <f ca="1">IF(AND(ISNUMBER($BA$502),$B$294=1),$BA$502,HLOOKUP(INDIRECT(ADDRESS(2,COLUMN())),OFFSET($BN$2,0,0,ROW()-1,60),ROW()-1,FALSE))</f>
        <v>0.82738140500000001</v>
      </c>
      <c r="BB198">
        <f ca="1">IF(AND(ISNUMBER($BB$502),$B$294=1),$BB$502,HLOOKUP(INDIRECT(ADDRESS(2,COLUMN())),OFFSET($BN$2,0,0,ROW()-1,60),ROW()-1,FALSE))</f>
        <v>0.70653648300000005</v>
      </c>
      <c r="BC198">
        <f ca="1">IF(AND(ISNUMBER($BC$502),$B$294=1),$BC$502,HLOOKUP(INDIRECT(ADDRESS(2,COLUMN())),OFFSET($BN$2,0,0,ROW()-1,60),ROW()-1,FALSE))</f>
        <v>0.79587764800000005</v>
      </c>
      <c r="BD198">
        <f ca="1">IF(AND(ISNUMBER($BD$502),$B$294=1),$BD$502,HLOOKUP(INDIRECT(ADDRESS(2,COLUMN())),OFFSET($BN$2,0,0,ROW()-1,60),ROW()-1,FALSE))</f>
        <v>0.72403450700000005</v>
      </c>
      <c r="BE198">
        <f ca="1">IF(AND(ISNUMBER($BE$502),$B$294=1),$BE$502,HLOOKUP(INDIRECT(ADDRESS(2,COLUMN())),OFFSET($BN$2,0,0,ROW()-1,60),ROW()-1,FALSE))</f>
        <v>0.70513031900000001</v>
      </c>
      <c r="BF198">
        <f ca="1">IF(AND(ISNUMBER($BF$502),$B$294=1),$BF$502,HLOOKUP(INDIRECT(ADDRESS(2,COLUMN())),OFFSET($BN$2,0,0,ROW()-1,60),ROW()-1,FALSE))</f>
        <v>0.79498856799999995</v>
      </c>
      <c r="BG198">
        <f ca="1">IF(AND(ISNUMBER($BG$502),$B$294=1),$BG$502,HLOOKUP(INDIRECT(ADDRESS(2,COLUMN())),OFFSET($BN$2,0,0,ROW()-1,60),ROW()-1,FALSE))</f>
        <v>0.60768851700000004</v>
      </c>
      <c r="BH198">
        <f ca="1">IF(AND(ISNUMBER($BH$502),$B$294=1),$BH$502,HLOOKUP(INDIRECT(ADDRESS(2,COLUMN())),OFFSET($BN$2,0,0,ROW()-1,60),ROW()-1,FALSE))</f>
        <v>0.63139573100000002</v>
      </c>
      <c r="BI198">
        <f ca="1">IF(AND(ISNUMBER($BI$502),$B$294=1),$BI$502,HLOOKUP(INDIRECT(ADDRESS(2,COLUMN())),OFFSET($BN$2,0,0,ROW()-1,60),ROW()-1,FALSE))</f>
        <v>0.67615892700000002</v>
      </c>
      <c r="BJ198">
        <f ca="1">IF(AND(ISNUMBER($BJ$502),$B$294=1),$BJ$502,HLOOKUP(INDIRECT(ADDRESS(2,COLUMN())),OFFSET($BN$2,0,0,ROW()-1,60),ROW()-1,FALSE))</f>
        <v>0.57803665400000004</v>
      </c>
      <c r="BK198">
        <f ca="1">IF(AND(ISNUMBER($BK$502),$B$294=1),$BK$502,HLOOKUP(INDIRECT(ADDRESS(2,COLUMN())),OFFSET($BN$2,0,0,ROW()-1,60),ROW()-1,FALSE))</f>
        <v>0.67128905699999997</v>
      </c>
      <c r="BL198">
        <f ca="1">IF(AND(ISNUMBER($BL$502),$B$294=1),$BL$502,HLOOKUP(INDIRECT(ADDRESS(2,COLUMN())),OFFSET($BN$2,0,0,ROW()-1,60),ROW()-1,FALSE))</f>
        <v>0.71610525199999997</v>
      </c>
      <c r="BM198">
        <f ca="1">IF(AND(ISNUMBER($BM$502),$B$294=1),$BM$502,HLOOKUP(INDIRECT(ADDRESS(2,COLUMN())),OFFSET($BN$2,0,0,ROW()-1,60),ROW()-1,FALSE))</f>
        <v>0.82339833500000004</v>
      </c>
      <c r="BN198">
        <f>1.765948957</f>
        <v>1.765948957</v>
      </c>
      <c r="BO198">
        <f>1.449316015</f>
        <v>1.449316015</v>
      </c>
      <c r="BP198">
        <f>1.331797318</f>
        <v>1.331797318</v>
      </c>
      <c r="BQ198">
        <f>1.209497076</f>
        <v>1.2094970759999999</v>
      </c>
      <c r="BR198">
        <f>1.128398836</f>
        <v>1.1283988359999999</v>
      </c>
      <c r="BS198">
        <f>0.89905397</f>
        <v>0.89905396999999998</v>
      </c>
      <c r="BT198">
        <f>1.006150372</f>
        <v>1.006150372</v>
      </c>
      <c r="BU198">
        <f>0.932532352</f>
        <v>0.93253235199999995</v>
      </c>
      <c r="BV198">
        <f>1.07780636</f>
        <v>1.0778063600000001</v>
      </c>
      <c r="BW198">
        <f>1.028767124</f>
        <v>1.028767124</v>
      </c>
      <c r="BX198">
        <f>1.214962445</f>
        <v>1.2149624450000001</v>
      </c>
      <c r="BY198">
        <f>1.238747635</f>
        <v>1.238747635</v>
      </c>
      <c r="BZ198">
        <f>1.227121977</f>
        <v>1.2271219769999999</v>
      </c>
      <c r="CA198">
        <f>1.230844478</f>
        <v>1.2308444780000001</v>
      </c>
      <c r="CB198">
        <f>1.316441936</f>
        <v>1.3164419359999999</v>
      </c>
      <c r="CC198">
        <f>1.159579378</f>
        <v>1.1595793780000001</v>
      </c>
      <c r="CD198">
        <f>1.211996789</f>
        <v>1.2119967890000001</v>
      </c>
      <c r="CE198">
        <f>1.249650595</f>
        <v>1.2496505950000001</v>
      </c>
      <c r="CF198">
        <f>1.226694387</f>
        <v>1.226694387</v>
      </c>
      <c r="CG198">
        <f>1.100245484</f>
        <v>1.100245484</v>
      </c>
      <c r="CH198">
        <f>0.913133574</f>
        <v>0.91313357399999995</v>
      </c>
      <c r="CI198">
        <f>0.965572992</f>
        <v>0.96557299200000002</v>
      </c>
      <c r="CJ198">
        <f>0.843418627</f>
        <v>0.84341862700000003</v>
      </c>
      <c r="CK198">
        <f>0.755856381</f>
        <v>0.75585638099999997</v>
      </c>
      <c r="CL198">
        <f>0.766956623</f>
        <v>0.766956623</v>
      </c>
      <c r="CM198">
        <f>0.823017654</f>
        <v>0.82301765400000004</v>
      </c>
      <c r="CN198">
        <f>0.809986819</f>
        <v>0.80998681900000002</v>
      </c>
      <c r="CO198">
        <f>0.652647459</f>
        <v>0.65264745899999999</v>
      </c>
      <c r="CP198">
        <f>0.637633332</f>
        <v>0.63763333200000005</v>
      </c>
      <c r="CQ198">
        <f>0.794708476</f>
        <v>0.79470847600000005</v>
      </c>
      <c r="CR198">
        <f>0.834048194</f>
        <v>0.83404819399999996</v>
      </c>
      <c r="CS198">
        <f>0.919183032</f>
        <v>0.91918303199999996</v>
      </c>
      <c r="CT198">
        <f>0.837165435</f>
        <v>0.83716543499999996</v>
      </c>
      <c r="CU198">
        <f>0.859709532</f>
        <v>0.859709532</v>
      </c>
      <c r="CV198">
        <f>0.923113917</f>
        <v>0.92311391700000001</v>
      </c>
      <c r="CW198">
        <f>1.171993772</f>
        <v>1.171993772</v>
      </c>
      <c r="CX198">
        <f>1.713105316</f>
        <v>1.713105316</v>
      </c>
      <c r="CY198">
        <f>1.378822285</f>
        <v>1.378822285</v>
      </c>
      <c r="CZ198">
        <f>1.001648392</f>
        <v>1.0016483920000001</v>
      </c>
      <c r="DA198">
        <f>0.995482207</f>
        <v>0.99548220700000001</v>
      </c>
      <c r="DB198">
        <f>0.955252871</f>
        <v>0.955252871</v>
      </c>
      <c r="DC198">
        <f>0.957873748</f>
        <v>0.95787374800000002</v>
      </c>
      <c r="DD198">
        <f>0.763346925</f>
        <v>0.76334692500000001</v>
      </c>
      <c r="DE198">
        <f>0.714870133</f>
        <v>0.71487013300000002</v>
      </c>
      <c r="DF198">
        <f>0.618162517</f>
        <v>0.61816251700000002</v>
      </c>
      <c r="DG198">
        <f>0.676500941</f>
        <v>0.67650094100000002</v>
      </c>
      <c r="DH198">
        <f>0.75674827</f>
        <v>0.75674827</v>
      </c>
      <c r="DI198">
        <f>0.827381405</f>
        <v>0.82738140500000001</v>
      </c>
      <c r="DJ198">
        <f>0.706536483</f>
        <v>0.70653648300000005</v>
      </c>
      <c r="DK198">
        <f>0.795877648</f>
        <v>0.79587764800000005</v>
      </c>
      <c r="DL198">
        <f>0.724034507</f>
        <v>0.72403450700000005</v>
      </c>
      <c r="DM198">
        <f>0.705130319</f>
        <v>0.70513031900000001</v>
      </c>
      <c r="DN198">
        <f>0.794988568</f>
        <v>0.79498856799999995</v>
      </c>
      <c r="DO198">
        <f>0.607688517</f>
        <v>0.60768851700000004</v>
      </c>
      <c r="DP198">
        <f>0.631395731</f>
        <v>0.63139573100000002</v>
      </c>
      <c r="DQ198">
        <f>0.676158927</f>
        <v>0.67615892700000002</v>
      </c>
      <c r="DR198">
        <f>0.578036654</f>
        <v>0.57803665400000004</v>
      </c>
      <c r="DS198">
        <f>0.671289057</f>
        <v>0.67128905699999997</v>
      </c>
      <c r="DT198">
        <f>0.716105252</f>
        <v>0.71610525199999997</v>
      </c>
      <c r="DU198">
        <f>0.823398335</f>
        <v>0.82339833500000004</v>
      </c>
    </row>
    <row r="199" spans="1:125">
      <c r="A199" t="str">
        <f>"    Piedmont Office Realty Trust I"</f>
        <v xml:space="preserve">    Piedmont Office Realty Trust I</v>
      </c>
      <c r="B199" t="str">
        <f>"PDM US Equity"</f>
        <v>PDM US Equity</v>
      </c>
      <c r="C199" t="str">
        <f t="shared" si="51"/>
        <v>RR263</v>
      </c>
      <c r="D199" t="str">
        <f t="shared" si="52"/>
        <v>DEBT_TO_MKT_CAP</v>
      </c>
      <c r="E199" t="str">
        <f t="shared" si="53"/>
        <v>动态</v>
      </c>
      <c r="F199">
        <f ca="1">IF(AND(ISNUMBER($F$503),$B$294=1),$F$503,HLOOKUP(INDIRECT(ADDRESS(2,COLUMN())),OFFSET($BN$2,0,0,ROW()-1,60),ROW()-1,FALSE))</f>
        <v>0.7289525</v>
      </c>
      <c r="G199">
        <f ca="1">IF(AND(ISNUMBER($G$503),$B$294=1),$G$503,HLOOKUP(INDIRECT(ADDRESS(2,COLUMN())),OFFSET($BN$2,0,0,ROW()-1,60),ROW()-1,FALSE))</f>
        <v>0.60997718000000001</v>
      </c>
      <c r="H199">
        <f ca="1">IF(AND(ISNUMBER($H$503),$B$294=1),$H$503,HLOOKUP(INDIRECT(ADDRESS(2,COLUMN())),OFFSET($BN$2,0,0,ROW()-1,60),ROW()-1,FALSE))</f>
        <v>0.58081905199999995</v>
      </c>
      <c r="I199">
        <f ca="1">IF(AND(ISNUMBER($I$503),$B$294=1),$I$503,HLOOKUP(INDIRECT(ADDRESS(2,COLUMN())),OFFSET($BN$2,0,0,ROW()-1,60),ROW()-1,FALSE))</f>
        <v>0.67006675800000004</v>
      </c>
      <c r="J199">
        <f ca="1">IF(AND(ISNUMBER($J$503),$B$294=1),$J$503,HLOOKUP(INDIRECT(ADDRESS(2,COLUMN())),OFFSET($BN$2,0,0,ROW()-1,60),ROW()-1,FALSE))</f>
        <v>0.66490347999999999</v>
      </c>
      <c r="K199">
        <f ca="1">IF(AND(ISNUMBER($K$503),$B$294=1),$K$503,HLOOKUP(INDIRECT(ADDRESS(2,COLUMN())),OFFSET($BN$2,0,0,ROW()-1,60),ROW()-1,FALSE))</f>
        <v>0.66531489200000005</v>
      </c>
      <c r="L199">
        <f ca="1">IF(AND(ISNUMBER($L$503),$B$294=1),$L$503,HLOOKUP(INDIRECT(ADDRESS(2,COLUMN())),OFFSET($BN$2,0,0,ROW()-1,60),ROW()-1,FALSE))</f>
        <v>0.630708143</v>
      </c>
      <c r="M199">
        <f ca="1">IF(AND(ISNUMBER($M$503),$B$294=1),$M$503,HLOOKUP(INDIRECT(ADDRESS(2,COLUMN())),OFFSET($BN$2,0,0,ROW()-1,60),ROW()-1,FALSE))</f>
        <v>0.60282706399999997</v>
      </c>
      <c r="N199">
        <f ca="1">IF(AND(ISNUMBER($N$503),$B$294=1),$N$503,HLOOKUP(INDIRECT(ADDRESS(2,COLUMN())),OFFSET($BN$2,0,0,ROW()-1,60),ROW()-1,FALSE))</f>
        <v>0.67982392400000002</v>
      </c>
      <c r="O199">
        <f ca="1">IF(AND(ISNUMBER($O$503),$B$294=1),$O$503,HLOOKUP(INDIRECT(ADDRESS(2,COLUMN())),OFFSET($BN$2,0,0,ROW()-1,60),ROW()-1,FALSE))</f>
        <v>0.73875670699999996</v>
      </c>
      <c r="P199">
        <f ca="1">IF(AND(ISNUMBER($P$503),$B$294=1),$P$503,HLOOKUP(INDIRECT(ADDRESS(2,COLUMN())),OFFSET($BN$2,0,0,ROW()-1,60),ROW()-1,FALSE))</f>
        <v>0.89704918300000003</v>
      </c>
      <c r="Q199">
        <f ca="1">IF(AND(ISNUMBER($Q$503),$B$294=1),$Q$503,HLOOKUP(INDIRECT(ADDRESS(2,COLUMN())),OFFSET($BN$2,0,0,ROW()-1,60),ROW()-1,FALSE))</f>
        <v>0.85438565899999996</v>
      </c>
      <c r="R199">
        <f ca="1">IF(AND(ISNUMBER($R$503),$B$294=1),$R$503,HLOOKUP(INDIRECT(ADDRESS(2,COLUMN())),OFFSET($BN$2,0,0,ROW()-1,60),ROW()-1,FALSE))</f>
        <v>0.80985475200000001</v>
      </c>
      <c r="S199">
        <f ca="1">IF(AND(ISNUMBER($S$503),$B$294=1),$S$503,HLOOKUP(INDIRECT(ADDRESS(2,COLUMN())),OFFSET($BN$2,0,0,ROW()-1,60),ROW()-1,FALSE))</f>
        <v>0.78073868000000002</v>
      </c>
      <c r="T199">
        <f ca="1">IF(AND(ISNUMBER($T$503),$B$294=1),$T$503,HLOOKUP(INDIRECT(ADDRESS(2,COLUMN())),OFFSET($BN$2,0,0,ROW()-1,60),ROW()-1,FALSE))</f>
        <v>0.82057170700000004</v>
      </c>
      <c r="U199">
        <f ca="1">IF(AND(ISNUMBER($U$503),$B$294=1),$U$503,HLOOKUP(INDIRECT(ADDRESS(2,COLUMN())),OFFSET($BN$2,0,0,ROW()-1,60),ROW()-1,FALSE))</f>
        <v>0.72113909899999995</v>
      </c>
      <c r="V199">
        <f ca="1">IF(AND(ISNUMBER($V$503),$B$294=1),$V$503,HLOOKUP(INDIRECT(ADDRESS(2,COLUMN())),OFFSET($BN$2,0,0,ROW()-1,60),ROW()-1,FALSE))</f>
        <v>0.76711708300000003</v>
      </c>
      <c r="W199">
        <f ca="1">IF(AND(ISNUMBER($W$503),$B$294=1),$W$503,HLOOKUP(INDIRECT(ADDRESS(2,COLUMN())),OFFSET($BN$2,0,0,ROW()-1,60),ROW()-1,FALSE))</f>
        <v>0.75226008700000002</v>
      </c>
      <c r="X199">
        <f ca="1">IF(AND(ISNUMBER($X$503),$B$294=1),$X$503,HLOOKUP(INDIRECT(ADDRESS(2,COLUMN())),OFFSET($BN$2,0,0,ROW()-1,60),ROW()-1,FALSE))</f>
        <v>0.63120416599999996</v>
      </c>
      <c r="Y199">
        <f ca="1">IF(AND(ISNUMBER($Y$503),$B$294=1),$Y$503,HLOOKUP(INDIRECT(ADDRESS(2,COLUMN())),OFFSET($BN$2,0,0,ROW()-1,60),ROW()-1,FALSE))</f>
        <v>0.570496793</v>
      </c>
      <c r="Z199">
        <f ca="1">IF(AND(ISNUMBER($Z$503),$B$294=1),$Z$503,HLOOKUP(INDIRECT(ADDRESS(2,COLUMN())),OFFSET($BN$2,0,0,ROW()-1,60),ROW()-1,FALSE))</f>
        <v>0.51776737399999995</v>
      </c>
      <c r="AA199">
        <f ca="1">IF(AND(ISNUMBER($AA$503),$B$294=1),$AA$503,HLOOKUP(INDIRECT(ADDRESS(2,COLUMN())),OFFSET($BN$2,0,0,ROW()-1,60),ROW()-1,FALSE))</f>
        <v>0.46755580600000002</v>
      </c>
      <c r="AB199">
        <f ca="1">IF(AND(ISNUMBER($AB$503),$B$294=1),$AB$503,HLOOKUP(INDIRECT(ADDRESS(2,COLUMN())),OFFSET($BN$2,0,0,ROW()-1,60),ROW()-1,FALSE))</f>
        <v>0.490325866</v>
      </c>
      <c r="AC199">
        <f ca="1">IF(AND(ISNUMBER($AC$503),$B$294=1),$AC$503,HLOOKUP(INDIRECT(ADDRESS(2,COLUMN())),OFFSET($BN$2,0,0,ROW()-1,60),ROW()-1,FALSE))</f>
        <v>0.47112069400000001</v>
      </c>
      <c r="AD199">
        <f ca="1">IF(AND(ISNUMBER($AD$503),$B$294=1),$AD$503,HLOOKUP(INDIRECT(ADDRESS(2,COLUMN())),OFFSET($BN$2,0,0,ROW()-1,60),ROW()-1,FALSE))</f>
        <v>0.44139908500000002</v>
      </c>
      <c r="AE199">
        <f ca="1">IF(AND(ISNUMBER($AE$503),$B$294=1),$AE$503,HLOOKUP(INDIRECT(ADDRESS(2,COLUMN())),OFFSET($BN$2,0,0,ROW()-1,60),ROW()-1,FALSE))</f>
        <v>0.500013241</v>
      </c>
      <c r="AF199">
        <f ca="1">IF(AND(ISNUMBER($AF$503),$B$294=1),$AF$503,HLOOKUP(INDIRECT(ADDRESS(2,COLUMN())),OFFSET($BN$2,0,0,ROW()-1,60),ROW()-1,FALSE))</f>
        <v>0.55268040900000004</v>
      </c>
      <c r="AG199">
        <f ca="1">IF(AND(ISNUMBER($AG$503),$B$294=1),$AG$503,HLOOKUP(INDIRECT(ADDRESS(2,COLUMN())),OFFSET($BN$2,0,0,ROW()-1,60),ROW()-1,FALSE))</f>
        <v>0.46475944299999999</v>
      </c>
      <c r="AH199">
        <f ca="1">IF(AND(ISNUMBER($AH$503),$B$294=1),$AH$503,HLOOKUP(INDIRECT(ADDRESS(2,COLUMN())),OFFSET($BN$2,0,0,ROW()-1,60),ROW()-1,FALSE))</f>
        <v>0.47750580799999998</v>
      </c>
      <c r="AI199">
        <f ca="1">IF(AND(ISNUMBER($AI$503),$B$294=1),$AI$503,HLOOKUP(INDIRECT(ADDRESS(2,COLUMN())),OFFSET($BN$2,0,0,ROW()-1,60),ROW()-1,FALSE))</f>
        <v>0.40333249100000002</v>
      </c>
      <c r="AJ199">
        <f ca="1">IF(AND(ISNUMBER($AJ$503),$B$294=1),$AJ$503,HLOOKUP(INDIRECT(ADDRESS(2,COLUMN())),OFFSET($BN$2,0,0,ROW()-1,60),ROW()-1,FALSE))</f>
        <v>0.429567109</v>
      </c>
      <c r="AK199">
        <f ca="1">IF(AND(ISNUMBER($AK$503),$B$294=1),$AK$503,HLOOKUP(INDIRECT(ADDRESS(2,COLUMN())),OFFSET($BN$2,0,0,ROW()-1,60),ROW()-1,FALSE))</f>
        <v>0.43369547200000003</v>
      </c>
      <c r="AL199">
        <f ca="1">IF(AND(ISNUMBER($AL$503),$B$294=1),$AL$503,HLOOKUP(INDIRECT(ADDRESS(2,COLUMN())),OFFSET($BN$2,0,0,ROW()-1,60),ROW()-1,FALSE))</f>
        <v>0.409432303</v>
      </c>
      <c r="AM199" t="str">
        <f ca="1">IF(AND(ISNUMBER($AM$503),$B$294=1),$AM$503,HLOOKUP(INDIRECT(ADDRESS(2,COLUMN())),OFFSET($BN$2,0,0,ROW()-1,60),ROW()-1,FALSE))</f>
        <v/>
      </c>
      <c r="AN199" t="str">
        <f ca="1">IF(AND(ISNUMBER($AN$503),$B$294=1),$AN$503,HLOOKUP(INDIRECT(ADDRESS(2,COLUMN())),OFFSET($BN$2,0,0,ROW()-1,60),ROW()-1,FALSE))</f>
        <v/>
      </c>
      <c r="AO199" t="str">
        <f ca="1">IF(AND(ISNUMBER($AO$503),$B$294=1),$AO$503,HLOOKUP(INDIRECT(ADDRESS(2,COLUMN())),OFFSET($BN$2,0,0,ROW()-1,60),ROW()-1,FALSE))</f>
        <v/>
      </c>
      <c r="AP199" t="str">
        <f ca="1">IF(AND(ISNUMBER($AP$503),$B$294=1),$AP$503,HLOOKUP(INDIRECT(ADDRESS(2,COLUMN())),OFFSET($BN$2,0,0,ROW()-1,60),ROW()-1,FALSE))</f>
        <v/>
      </c>
      <c r="AQ199" t="str">
        <f ca="1">IF(AND(ISNUMBER($AQ$503),$B$294=1),$AQ$503,HLOOKUP(INDIRECT(ADDRESS(2,COLUMN())),OFFSET($BN$2,0,0,ROW()-1,60),ROW()-1,FALSE))</f>
        <v/>
      </c>
      <c r="AR199" t="str">
        <f ca="1">IF(AND(ISNUMBER($AR$503),$B$294=1),$AR$503,HLOOKUP(INDIRECT(ADDRESS(2,COLUMN())),OFFSET($BN$2,0,0,ROW()-1,60),ROW()-1,FALSE))</f>
        <v/>
      </c>
      <c r="AS199" t="str">
        <f ca="1">IF(AND(ISNUMBER($AS$503),$B$294=1),$AS$503,HLOOKUP(INDIRECT(ADDRESS(2,COLUMN())),OFFSET($BN$2,0,0,ROW()-1,60),ROW()-1,FALSE))</f>
        <v/>
      </c>
      <c r="AT199" t="str">
        <f ca="1">IF(AND(ISNUMBER($AT$503),$B$294=1),$AT$503,HLOOKUP(INDIRECT(ADDRESS(2,COLUMN())),OFFSET($BN$2,0,0,ROW()-1,60),ROW()-1,FALSE))</f>
        <v/>
      </c>
      <c r="AU199" t="str">
        <f ca="1">IF(AND(ISNUMBER($AU$503),$B$294=1),$AU$503,HLOOKUP(INDIRECT(ADDRESS(2,COLUMN())),OFFSET($BN$2,0,0,ROW()-1,60),ROW()-1,FALSE))</f>
        <v/>
      </c>
      <c r="AV199" t="str">
        <f ca="1">IF(AND(ISNUMBER($AV$503),$B$294=1),$AV$503,HLOOKUP(INDIRECT(ADDRESS(2,COLUMN())),OFFSET($BN$2,0,0,ROW()-1,60),ROW()-1,FALSE))</f>
        <v/>
      </c>
      <c r="AW199" t="str">
        <f ca="1">IF(AND(ISNUMBER($AW$503),$B$294=1),$AW$503,HLOOKUP(INDIRECT(ADDRESS(2,COLUMN())),OFFSET($BN$2,0,0,ROW()-1,60),ROW()-1,FALSE))</f>
        <v/>
      </c>
      <c r="AX199" t="str">
        <f ca="1">IF(AND(ISNUMBER($AX$503),$B$294=1),$AX$503,HLOOKUP(INDIRECT(ADDRESS(2,COLUMN())),OFFSET($BN$2,0,0,ROW()-1,60),ROW()-1,FALSE))</f>
        <v/>
      </c>
      <c r="AY199" t="str">
        <f ca="1">IF(AND(ISNUMBER($AY$503),$B$294=1),$AY$503,HLOOKUP(INDIRECT(ADDRESS(2,COLUMN())),OFFSET($BN$2,0,0,ROW()-1,60),ROW()-1,FALSE))</f>
        <v/>
      </c>
      <c r="AZ199" t="str">
        <f ca="1">IF(AND(ISNUMBER($AZ$503),$B$294=1),$AZ$503,HLOOKUP(INDIRECT(ADDRESS(2,COLUMN())),OFFSET($BN$2,0,0,ROW()-1,60),ROW()-1,FALSE))</f>
        <v/>
      </c>
      <c r="BA199" t="str">
        <f ca="1">IF(AND(ISNUMBER($BA$503),$B$294=1),$BA$503,HLOOKUP(INDIRECT(ADDRESS(2,COLUMN())),OFFSET($BN$2,0,0,ROW()-1,60),ROW()-1,FALSE))</f>
        <v/>
      </c>
      <c r="BB199" t="str">
        <f ca="1">IF(AND(ISNUMBER($BB$503),$B$294=1),$BB$503,HLOOKUP(INDIRECT(ADDRESS(2,COLUMN())),OFFSET($BN$2,0,0,ROW()-1,60),ROW()-1,FALSE))</f>
        <v/>
      </c>
      <c r="BC199" t="str">
        <f ca="1">IF(AND(ISNUMBER($BC$503),$B$294=1),$BC$503,HLOOKUP(INDIRECT(ADDRESS(2,COLUMN())),OFFSET($BN$2,0,0,ROW()-1,60),ROW()-1,FALSE))</f>
        <v/>
      </c>
      <c r="BD199" t="str">
        <f ca="1">IF(AND(ISNUMBER($BD$503),$B$294=1),$BD$503,HLOOKUP(INDIRECT(ADDRESS(2,COLUMN())),OFFSET($BN$2,0,0,ROW()-1,60),ROW()-1,FALSE))</f>
        <v/>
      </c>
      <c r="BE199" t="str">
        <f ca="1">IF(AND(ISNUMBER($BE$503),$B$294=1),$BE$503,HLOOKUP(INDIRECT(ADDRESS(2,COLUMN())),OFFSET($BN$2,0,0,ROW()-1,60),ROW()-1,FALSE))</f>
        <v/>
      </c>
      <c r="BF199" t="str">
        <f ca="1">IF(AND(ISNUMBER($BF$503),$B$294=1),$BF$503,HLOOKUP(INDIRECT(ADDRESS(2,COLUMN())),OFFSET($BN$2,0,0,ROW()-1,60),ROW()-1,FALSE))</f>
        <v/>
      </c>
      <c r="BG199" t="str">
        <f ca="1">IF(AND(ISNUMBER($BG$503),$B$294=1),$BG$503,HLOOKUP(INDIRECT(ADDRESS(2,COLUMN())),OFFSET($BN$2,0,0,ROW()-1,60),ROW()-1,FALSE))</f>
        <v/>
      </c>
      <c r="BH199" t="str">
        <f ca="1">IF(AND(ISNUMBER($BH$503),$B$294=1),$BH$503,HLOOKUP(INDIRECT(ADDRESS(2,COLUMN())),OFFSET($BN$2,0,0,ROW()-1,60),ROW()-1,FALSE))</f>
        <v/>
      </c>
      <c r="BI199" t="str">
        <f ca="1">IF(AND(ISNUMBER($BI$503),$B$294=1),$BI$503,HLOOKUP(INDIRECT(ADDRESS(2,COLUMN())),OFFSET($BN$2,0,0,ROW()-1,60),ROW()-1,FALSE))</f>
        <v/>
      </c>
      <c r="BJ199" t="str">
        <f ca="1">IF(AND(ISNUMBER($BJ$503),$B$294=1),$BJ$503,HLOOKUP(INDIRECT(ADDRESS(2,COLUMN())),OFFSET($BN$2,0,0,ROW()-1,60),ROW()-1,FALSE))</f>
        <v/>
      </c>
      <c r="BK199" t="str">
        <f ca="1">IF(AND(ISNUMBER($BK$503),$B$294=1),$BK$503,HLOOKUP(INDIRECT(ADDRESS(2,COLUMN())),OFFSET($BN$2,0,0,ROW()-1,60),ROW()-1,FALSE))</f>
        <v/>
      </c>
      <c r="BL199" t="str">
        <f ca="1">IF(AND(ISNUMBER($BL$503),$B$294=1),$BL$503,HLOOKUP(INDIRECT(ADDRESS(2,COLUMN())),OFFSET($BN$2,0,0,ROW()-1,60),ROW()-1,FALSE))</f>
        <v/>
      </c>
      <c r="BM199" t="str">
        <f ca="1">IF(AND(ISNUMBER($BM$503),$B$294=1),$BM$503,HLOOKUP(INDIRECT(ADDRESS(2,COLUMN())),OFFSET($BN$2,0,0,ROW()-1,60),ROW()-1,FALSE))</f>
        <v/>
      </c>
      <c r="BN199">
        <f>0.7289525</f>
        <v>0.7289525</v>
      </c>
      <c r="BO199">
        <f>0.60997718</f>
        <v>0.60997718000000001</v>
      </c>
      <c r="BP199">
        <f>0.580819052</f>
        <v>0.58081905199999995</v>
      </c>
      <c r="BQ199">
        <f>0.670066758</f>
        <v>0.67006675800000004</v>
      </c>
      <c r="BR199">
        <f>0.66490348</f>
        <v>0.66490347999999999</v>
      </c>
      <c r="BS199">
        <f>0.665314892</f>
        <v>0.66531489200000005</v>
      </c>
      <c r="BT199">
        <f>0.630708143</f>
        <v>0.630708143</v>
      </c>
      <c r="BU199">
        <f>0.602827064</f>
        <v>0.60282706399999997</v>
      </c>
      <c r="BV199">
        <f>0.679823924</f>
        <v>0.67982392400000002</v>
      </c>
      <c r="BW199">
        <f>0.738756707</f>
        <v>0.73875670699999996</v>
      </c>
      <c r="BX199">
        <f>0.897049183</f>
        <v>0.89704918300000003</v>
      </c>
      <c r="BY199">
        <f>0.854385659</f>
        <v>0.85438565899999996</v>
      </c>
      <c r="BZ199">
        <f>0.809854752</f>
        <v>0.80985475200000001</v>
      </c>
      <c r="CA199">
        <f>0.78073868</f>
        <v>0.78073868000000002</v>
      </c>
      <c r="CB199">
        <f>0.820571707</f>
        <v>0.82057170700000004</v>
      </c>
      <c r="CC199">
        <f>0.721139099</f>
        <v>0.72113909899999995</v>
      </c>
      <c r="CD199">
        <f>0.767117083</f>
        <v>0.76711708300000003</v>
      </c>
      <c r="CE199">
        <f>0.752260087</f>
        <v>0.75226008700000002</v>
      </c>
      <c r="CF199">
        <f>0.631204166</f>
        <v>0.63120416599999996</v>
      </c>
      <c r="CG199">
        <f>0.570496793</f>
        <v>0.570496793</v>
      </c>
      <c r="CH199">
        <f>0.517767374</f>
        <v>0.51776737399999995</v>
      </c>
      <c r="CI199">
        <f>0.467555806</f>
        <v>0.46755580600000002</v>
      </c>
      <c r="CJ199">
        <f>0.490325866</f>
        <v>0.490325866</v>
      </c>
      <c r="CK199">
        <f>0.471120694</f>
        <v>0.47112069400000001</v>
      </c>
      <c r="CL199">
        <f>0.441399085</f>
        <v>0.44139908500000002</v>
      </c>
      <c r="CM199">
        <f>0.500013241</f>
        <v>0.500013241</v>
      </c>
      <c r="CN199">
        <f>0.552680409</f>
        <v>0.55268040900000004</v>
      </c>
      <c r="CO199">
        <f>0.464759443</f>
        <v>0.46475944299999999</v>
      </c>
      <c r="CP199">
        <f>0.477505808</f>
        <v>0.47750580799999998</v>
      </c>
      <c r="CQ199">
        <f>0.403332491</f>
        <v>0.40333249100000002</v>
      </c>
      <c r="CR199">
        <f>0.429567109</f>
        <v>0.429567109</v>
      </c>
      <c r="CS199">
        <f>0.433695472</f>
        <v>0.43369547200000003</v>
      </c>
      <c r="CT199">
        <f>0.409432303</f>
        <v>0.409432303</v>
      </c>
      <c r="CU199" t="str">
        <f>""</f>
        <v/>
      </c>
      <c r="CV199" t="str">
        <f>""</f>
        <v/>
      </c>
      <c r="CW199" t="str">
        <f>""</f>
        <v/>
      </c>
      <c r="CX199" t="str">
        <f>""</f>
        <v/>
      </c>
      <c r="CY199" t="str">
        <f>""</f>
        <v/>
      </c>
      <c r="CZ199" t="str">
        <f>""</f>
        <v/>
      </c>
      <c r="DA199" t="str">
        <f>""</f>
        <v/>
      </c>
      <c r="DB199" t="str">
        <f>""</f>
        <v/>
      </c>
      <c r="DC199" t="str">
        <f>""</f>
        <v/>
      </c>
      <c r="DD199" t="str">
        <f>""</f>
        <v/>
      </c>
      <c r="DE199" t="str">
        <f>""</f>
        <v/>
      </c>
      <c r="DF199" t="str">
        <f>""</f>
        <v/>
      </c>
      <c r="DG199" t="str">
        <f>""</f>
        <v/>
      </c>
      <c r="DH199" t="str">
        <f>""</f>
        <v/>
      </c>
      <c r="DI199" t="str">
        <f>""</f>
        <v/>
      </c>
      <c r="DJ199" t="str">
        <f>""</f>
        <v/>
      </c>
      <c r="DK199" t="str">
        <f>""</f>
        <v/>
      </c>
      <c r="DL199" t="str">
        <f>""</f>
        <v/>
      </c>
      <c r="DM199" t="str">
        <f>""</f>
        <v/>
      </c>
      <c r="DN199" t="str">
        <f>""</f>
        <v/>
      </c>
      <c r="DO199" t="str">
        <f>""</f>
        <v/>
      </c>
      <c r="DP199" t="str">
        <f>""</f>
        <v/>
      </c>
      <c r="DQ199" t="str">
        <f>""</f>
        <v/>
      </c>
      <c r="DR199" t="str">
        <f>""</f>
        <v/>
      </c>
      <c r="DS199" t="str">
        <f>""</f>
        <v/>
      </c>
      <c r="DT199" t="str">
        <f>""</f>
        <v/>
      </c>
      <c r="DU199" t="str">
        <f>""</f>
        <v/>
      </c>
    </row>
    <row r="200" spans="1:125">
      <c r="A200" t="str">
        <f>"    SL Green Realty Corp"</f>
        <v xml:space="preserve">    SL Green Realty Corp</v>
      </c>
      <c r="B200" t="str">
        <f>"SLG US Equity"</f>
        <v>SLG US Equity</v>
      </c>
      <c r="C200" t="str">
        <f t="shared" si="51"/>
        <v>RR263</v>
      </c>
      <c r="D200" t="str">
        <f t="shared" si="52"/>
        <v>DEBT_TO_MKT_CAP</v>
      </c>
      <c r="E200" t="str">
        <f t="shared" si="53"/>
        <v>动态</v>
      </c>
      <c r="F200">
        <f ca="1">IF(AND(ISNUMBER($F$504),$B$294=1),$F$504,HLOOKUP(INDIRECT(ADDRESS(2,COLUMN())),OFFSET($BN$2,0,0,ROW()-1,60),ROW()-1,FALSE))</f>
        <v>0.64386429599999995</v>
      </c>
      <c r="G200">
        <f ca="1">IF(AND(ISNUMBER($G$504),$B$294=1),$G$504,HLOOKUP(INDIRECT(ADDRESS(2,COLUMN())),OFFSET($BN$2,0,0,ROW()-1,60),ROW()-1,FALSE))</f>
        <v>0.58575151299999995</v>
      </c>
      <c r="H200">
        <f ca="1">IF(AND(ISNUMBER($H$504),$B$294=1),$H$504,HLOOKUP(INDIRECT(ADDRESS(2,COLUMN())),OFFSET($BN$2,0,0,ROW()-1,60),ROW()-1,FALSE))</f>
        <v>0.63538647699999995</v>
      </c>
      <c r="I200">
        <f ca="1">IF(AND(ISNUMBER($I$504),$B$294=1),$I$504,HLOOKUP(INDIRECT(ADDRESS(2,COLUMN())),OFFSET($BN$2,0,0,ROW()-1,60),ROW()-1,FALSE))</f>
        <v>0.58746517700000001</v>
      </c>
      <c r="J200">
        <f ca="1">IF(AND(ISNUMBER($J$504),$B$294=1),$J$504,HLOOKUP(INDIRECT(ADDRESS(2,COLUMN())),OFFSET($BN$2,0,0,ROW()-1,60),ROW()-1,FALSE))</f>
        <v>0.60842787099999995</v>
      </c>
      <c r="K200">
        <f ca="1">IF(AND(ISNUMBER($K$504),$B$294=1),$K$504,HLOOKUP(INDIRECT(ADDRESS(2,COLUMN())),OFFSET($BN$2,0,0,ROW()-1,60),ROW()-1,FALSE))</f>
        <v>0.58994684500000005</v>
      </c>
      <c r="L200">
        <f ca="1">IF(AND(ISNUMBER($L$504),$B$294=1),$L$504,HLOOKUP(INDIRECT(ADDRESS(2,COLUMN())),OFFSET($BN$2,0,0,ROW()-1,60),ROW()-1,FALSE))</f>
        <v>0.56750393799999999</v>
      </c>
      <c r="M200">
        <f ca="1">IF(AND(ISNUMBER($M$504),$B$294=1),$M$504,HLOOKUP(INDIRECT(ADDRESS(2,COLUMN())),OFFSET($BN$2,0,0,ROW()-1,60),ROW()-1,FALSE))</f>
        <v>0.72119863200000001</v>
      </c>
      <c r="N200">
        <f ca="1">IF(AND(ISNUMBER($N$504),$B$294=1),$N$504,HLOOKUP(INDIRECT(ADDRESS(2,COLUMN())),OFFSET($BN$2,0,0,ROW()-1,60),ROW()-1,FALSE))</f>
        <v>0.85022795399999995</v>
      </c>
      <c r="O200">
        <f ca="1">IF(AND(ISNUMBER($O$504),$B$294=1),$O$504,HLOOKUP(INDIRECT(ADDRESS(2,COLUMN())),OFFSET($BN$2,0,0,ROW()-1,60),ROW()-1,FALSE))</f>
        <v>0.88120744699999998</v>
      </c>
      <c r="P200">
        <f ca="1">IF(AND(ISNUMBER($P$504),$B$294=1),$P$504,HLOOKUP(INDIRECT(ADDRESS(2,COLUMN())),OFFSET($BN$2,0,0,ROW()-1,60),ROW()-1,FALSE))</f>
        <v>0.90762591000000004</v>
      </c>
      <c r="Q200">
        <f ca="1">IF(AND(ISNUMBER($Q$504),$B$294=1),$Q$504,HLOOKUP(INDIRECT(ADDRESS(2,COLUMN())),OFFSET($BN$2,0,0,ROW()-1,60),ROW()-1,FALSE))</f>
        <v>0.72337172800000005</v>
      </c>
      <c r="R200">
        <f ca="1">IF(AND(ISNUMBER($R$504),$B$294=1),$R$504,HLOOKUP(INDIRECT(ADDRESS(2,COLUMN())),OFFSET($BN$2,0,0,ROW()-1,60),ROW()-1,FALSE))</f>
        <v>0.61571655000000003</v>
      </c>
      <c r="S200">
        <f ca="1">IF(AND(ISNUMBER($S$504),$B$294=1),$S$504,HLOOKUP(INDIRECT(ADDRESS(2,COLUMN())),OFFSET($BN$2,0,0,ROW()-1,60),ROW()-1,FALSE))</f>
        <v>0.68719528500000004</v>
      </c>
      <c r="T200">
        <f ca="1">IF(AND(ISNUMBER($T$504),$B$294=1),$T$504,HLOOKUP(INDIRECT(ADDRESS(2,COLUMN())),OFFSET($BN$2,0,0,ROW()-1,60),ROW()-1,FALSE))</f>
        <v>0.82759408199999995</v>
      </c>
      <c r="U200">
        <f ca="1">IF(AND(ISNUMBER($U$504),$B$294=1),$U$504,HLOOKUP(INDIRECT(ADDRESS(2,COLUMN())),OFFSET($BN$2,0,0,ROW()-1,60),ROW()-1,FALSE))</f>
        <v>0.76015322399999996</v>
      </c>
      <c r="V200">
        <f ca="1">IF(AND(ISNUMBER($V$504),$B$294=1),$V$504,HLOOKUP(INDIRECT(ADDRESS(2,COLUMN())),OFFSET($BN$2,0,0,ROW()-1,60),ROW()-1,FALSE))</f>
        <v>0.73215955200000005</v>
      </c>
      <c r="W200">
        <f ca="1">IF(AND(ISNUMBER($W$504),$B$294=1),$W$504,HLOOKUP(INDIRECT(ADDRESS(2,COLUMN())),OFFSET($BN$2,0,0,ROW()-1,60),ROW()-1,FALSE))</f>
        <v>0.77236341500000005</v>
      </c>
      <c r="X200">
        <f ca="1">IF(AND(ISNUMBER($X$504),$B$294=1),$X$504,HLOOKUP(INDIRECT(ADDRESS(2,COLUMN())),OFFSET($BN$2,0,0,ROW()-1,60),ROW()-1,FALSE))</f>
        <v>0.81562610999999996</v>
      </c>
      <c r="Y200">
        <f ca="1">IF(AND(ISNUMBER($Y$504),$B$294=1),$Y$504,HLOOKUP(INDIRECT(ADDRESS(2,COLUMN())),OFFSET($BN$2,0,0,ROW()-1,60),ROW()-1,FALSE))</f>
        <v>0.81358570100000005</v>
      </c>
      <c r="Z200">
        <f ca="1">IF(AND(ISNUMBER($Z$504),$B$294=1),$Z$504,HLOOKUP(INDIRECT(ADDRESS(2,COLUMN())),OFFSET($BN$2,0,0,ROW()-1,60),ROW()-1,FALSE))</f>
        <v>0.83012588700000001</v>
      </c>
      <c r="AA200">
        <f ca="1">IF(AND(ISNUMBER($AA$504),$B$294=1),$AA$504,HLOOKUP(INDIRECT(ADDRESS(2,COLUMN())),OFFSET($BN$2,0,0,ROW()-1,60),ROW()-1,FALSE))</f>
        <v>0.913318819</v>
      </c>
      <c r="AB200">
        <f ca="1">IF(AND(ISNUMBER($AB$504),$B$294=1),$AB$504,HLOOKUP(INDIRECT(ADDRESS(2,COLUMN())),OFFSET($BN$2,0,0,ROW()-1,60),ROW()-1,FALSE))</f>
        <v>0.84594838400000005</v>
      </c>
      <c r="AC200">
        <f ca="1">IF(AND(ISNUMBER($AC$504),$B$294=1),$AC$504,HLOOKUP(INDIRECT(ADDRESS(2,COLUMN())),OFFSET($BN$2,0,0,ROW()-1,60),ROW()-1,FALSE))</f>
        <v>0.83801892200000005</v>
      </c>
      <c r="AD200">
        <f ca="1">IF(AND(ISNUMBER($AD$504),$B$294=1),$AD$504,HLOOKUP(INDIRECT(ADDRESS(2,COLUMN())),OFFSET($BN$2,0,0,ROW()-1,60),ROW()-1,FALSE))</f>
        <v>0.88222418300000005</v>
      </c>
      <c r="AE200">
        <f ca="1">IF(AND(ISNUMBER($AE$504),$B$294=1),$AE$504,HLOOKUP(INDIRECT(ADDRESS(2,COLUMN())),OFFSET($BN$2,0,0,ROW()-1,60),ROW()-1,FALSE))</f>
        <v>1.0313912890000001</v>
      </c>
      <c r="AF200">
        <f ca="1">IF(AND(ISNUMBER($AF$504),$B$294=1),$AF$504,HLOOKUP(INDIRECT(ADDRESS(2,COLUMN())),OFFSET($BN$2,0,0,ROW()-1,60),ROW()-1,FALSE))</f>
        <v>1.117883323</v>
      </c>
      <c r="AG200">
        <f ca="1">IF(AND(ISNUMBER($AG$504),$B$294=1),$AG$504,HLOOKUP(INDIRECT(ADDRESS(2,COLUMN())),OFFSET($BN$2,0,0,ROW()-1,60),ROW()-1,FALSE))</f>
        <v>0.79895717799999999</v>
      </c>
      <c r="AH200">
        <f ca="1">IF(AND(ISNUMBER($AH$504),$B$294=1),$AH$504,HLOOKUP(INDIRECT(ADDRESS(2,COLUMN())),OFFSET($BN$2,0,0,ROW()-1,60),ROW()-1,FALSE))</f>
        <v>0.82169185199999994</v>
      </c>
      <c r="AI200">
        <f ca="1">IF(AND(ISNUMBER($AI$504),$B$294=1),$AI$504,HLOOKUP(INDIRECT(ADDRESS(2,COLUMN())),OFFSET($BN$2,0,0,ROW()-1,60),ROW()-1,FALSE))</f>
        <v>0.98143192700000004</v>
      </c>
      <c r="AJ200">
        <f ca="1">IF(AND(ISNUMBER($AJ$504),$B$294=1),$AJ$504,HLOOKUP(INDIRECT(ADDRESS(2,COLUMN())),OFFSET($BN$2,0,0,ROW()-1,60),ROW()-1,FALSE))</f>
        <v>0.923490704</v>
      </c>
      <c r="AK200">
        <f ca="1">IF(AND(ISNUMBER($AK$504),$B$294=1),$AK$504,HLOOKUP(INDIRECT(ADDRESS(2,COLUMN())),OFFSET($BN$2,0,0,ROW()-1,60),ROW()-1,FALSE))</f>
        <v>1.0474576929999999</v>
      </c>
      <c r="AL200">
        <f ca="1">IF(AND(ISNUMBER($AL$504),$B$294=1),$AL$504,HLOOKUP(INDIRECT(ADDRESS(2,COLUMN())),OFFSET($BN$2,0,0,ROW()-1,60),ROW()-1,FALSE))</f>
        <v>1.05262799</v>
      </c>
      <c r="AM200">
        <f ca="1">IF(AND(ISNUMBER($AM$504),$B$294=1),$AM$504,HLOOKUP(INDIRECT(ADDRESS(2,COLUMN())),OFFSET($BN$2,0,0,ROW()-1,60),ROW()-1,FALSE))</f>
        <v>1.2283874930000001</v>
      </c>
      <c r="AN200">
        <f ca="1">IF(AND(ISNUMBER($AN$504),$B$294=1),$AN$504,HLOOKUP(INDIRECT(ADDRESS(2,COLUMN())),OFFSET($BN$2,0,0,ROW()-1,60),ROW()-1,FALSE))</f>
        <v>1.420812486</v>
      </c>
      <c r="AO200">
        <f ca="1">IF(AND(ISNUMBER($AO$504),$B$294=1),$AO$504,HLOOKUP(INDIRECT(ADDRESS(2,COLUMN())),OFFSET($BN$2,0,0,ROW()-1,60),ROW()-1,FALSE))</f>
        <v>2.8858396059999998</v>
      </c>
      <c r="AP200">
        <f ca="1">IF(AND(ISNUMBER($AP$504),$B$294=1),$AP$504,HLOOKUP(INDIRECT(ADDRESS(2,COLUMN())),OFFSET($BN$2,0,0,ROW()-1,60),ROW()-1,FALSE))</f>
        <v>8.4783376560000008</v>
      </c>
      <c r="AQ200">
        <f ca="1">IF(AND(ISNUMBER($AQ$504),$B$294=1),$AQ$504,HLOOKUP(INDIRECT(ADDRESS(2,COLUMN())),OFFSET($BN$2,0,0,ROW()-1,60),ROW()-1,FALSE))</f>
        <v>3.8127692459999998</v>
      </c>
      <c r="AR200">
        <f ca="1">IF(AND(ISNUMBER($AR$504),$B$294=1),$AR$504,HLOOKUP(INDIRECT(ADDRESS(2,COLUMN())),OFFSET($BN$2,0,0,ROW()-1,60),ROW()-1,FALSE))</f>
        <v>1.563808954</v>
      </c>
      <c r="AS200">
        <f ca="1">IF(AND(ISNUMBER($AS$504),$B$294=1),$AS$504,HLOOKUP(INDIRECT(ADDRESS(2,COLUMN())),OFFSET($BN$2,0,0,ROW()-1,60),ROW()-1,FALSE))</f>
        <v>1.119516532</v>
      </c>
      <c r="AT200">
        <f ca="1">IF(AND(ISNUMBER($AT$504),$B$294=1),$AT$504,HLOOKUP(INDIRECT(ADDRESS(2,COLUMN())),OFFSET($BN$2,0,0,ROW()-1,60),ROW()-1,FALSE))</f>
        <v>1.2039354680000001</v>
      </c>
      <c r="AU200">
        <f ca="1">IF(AND(ISNUMBER($AU$504),$B$294=1),$AU$504,HLOOKUP(INDIRECT(ADDRESS(2,COLUMN())),OFFSET($BN$2,0,0,ROW()-1,60),ROW()-1,FALSE))</f>
        <v>1.036815021</v>
      </c>
      <c r="AV200">
        <f ca="1">IF(AND(ISNUMBER($AV$504),$B$294=1),$AV$504,HLOOKUP(INDIRECT(ADDRESS(2,COLUMN())),OFFSET($BN$2,0,0,ROW()-1,60),ROW()-1,FALSE))</f>
        <v>0.76934296700000004</v>
      </c>
      <c r="AW200">
        <f ca="1">IF(AND(ISNUMBER($AW$504),$B$294=1),$AW$504,HLOOKUP(INDIRECT(ADDRESS(2,COLUMN())),OFFSET($BN$2,0,0,ROW()-1,60),ROW()-1,FALSE))</f>
        <v>0.63442011600000003</v>
      </c>
      <c r="AX200">
        <f ca="1">IF(AND(ISNUMBER($AX$504),$B$294=1),$AX$504,HLOOKUP(INDIRECT(ADDRESS(2,COLUMN())),OFFSET($BN$2,0,0,ROW()-1,60),ROW()-1,FALSE))</f>
        <v>0.61177423799999997</v>
      </c>
      <c r="AY200">
        <f ca="1">IF(AND(ISNUMBER($AY$504),$B$294=1),$AY$504,HLOOKUP(INDIRECT(ADDRESS(2,COLUMN())),OFFSET($BN$2,0,0,ROW()-1,60),ROW()-1,FALSE))</f>
        <v>0.278593274</v>
      </c>
      <c r="AZ200">
        <f ca="1">IF(AND(ISNUMBER($AZ$504),$B$294=1),$AZ$504,HLOOKUP(INDIRECT(ADDRESS(2,COLUMN())),OFFSET($BN$2,0,0,ROW()-1,60),ROW()-1,FALSE))</f>
        <v>0.37098727100000001</v>
      </c>
      <c r="BA200">
        <f ca="1">IF(AND(ISNUMBER($BA$504),$B$294=1),$BA$504,HLOOKUP(INDIRECT(ADDRESS(2,COLUMN())),OFFSET($BN$2,0,0,ROW()-1,60),ROW()-1,FALSE))</f>
        <v>0.375300142</v>
      </c>
      <c r="BB200">
        <f ca="1">IF(AND(ISNUMBER($BB$504),$B$294=1),$BB$504,HLOOKUP(INDIRECT(ADDRESS(2,COLUMN())),OFFSET($BN$2,0,0,ROW()-1,60),ROW()-1,FALSE))</f>
        <v>0.38839926200000002</v>
      </c>
      <c r="BC200">
        <f ca="1">IF(AND(ISNUMBER($BC$504),$B$294=1),$BC$504,HLOOKUP(INDIRECT(ADDRESS(2,COLUMN())),OFFSET($BN$2,0,0,ROW()-1,60),ROW()-1,FALSE))</f>
        <v>0.49599697999999998</v>
      </c>
      <c r="BD200">
        <f ca="1">IF(AND(ISNUMBER($BD$504),$B$294=1),$BD$504,HLOOKUP(INDIRECT(ADDRESS(2,COLUMN())),OFFSET($BN$2,0,0,ROW()-1,60),ROW()-1,FALSE))</f>
        <v>0.56893680700000004</v>
      </c>
      <c r="BE200">
        <f ca="1">IF(AND(ISNUMBER($BE$504),$B$294=1),$BE$504,HLOOKUP(INDIRECT(ADDRESS(2,COLUMN())),OFFSET($BN$2,0,0,ROW()-1,60),ROW()-1,FALSE))</f>
        <v>0.56007036300000002</v>
      </c>
      <c r="BF200">
        <f ca="1">IF(AND(ISNUMBER($BF$504),$B$294=1),$BF$504,HLOOKUP(INDIRECT(ADDRESS(2,COLUMN())),OFFSET($BN$2,0,0,ROW()-1,60),ROW()-1,FALSE))</f>
        <v>0.57236167599999999</v>
      </c>
      <c r="BG200">
        <f ca="1">IF(AND(ISNUMBER($BG$504),$B$294=1),$BG$504,HLOOKUP(INDIRECT(ADDRESS(2,COLUMN())),OFFSET($BN$2,0,0,ROW()-1,60),ROW()-1,FALSE))</f>
        <v>0.47433235899999998</v>
      </c>
      <c r="BH200">
        <f ca="1">IF(AND(ISNUMBER($BH$504),$B$294=1),$BH$504,HLOOKUP(INDIRECT(ADDRESS(2,COLUMN())),OFFSET($BN$2,0,0,ROW()-1,60),ROW()-1,FALSE))</f>
        <v>0.55180553300000001</v>
      </c>
      <c r="BI200">
        <f ca="1">IF(AND(ISNUMBER($BI$504),$B$294=1),$BI$504,HLOOKUP(INDIRECT(ADDRESS(2,COLUMN())),OFFSET($BN$2,0,0,ROW()-1,60),ROW()-1,FALSE))</f>
        <v>0.51755225900000001</v>
      </c>
      <c r="BJ200">
        <f ca="1">IF(AND(ISNUMBER($BJ$504),$B$294=1),$BJ$504,HLOOKUP(INDIRECT(ADDRESS(2,COLUMN())),OFFSET($BN$2,0,0,ROW()-1,60),ROW()-1,FALSE))</f>
        <v>0.58987653299999998</v>
      </c>
      <c r="BK200">
        <f ca="1">IF(AND(ISNUMBER($BK$504),$B$294=1),$BK$504,HLOOKUP(INDIRECT(ADDRESS(2,COLUMN())),OFFSET($BN$2,0,0,ROW()-1,60),ROW()-1,FALSE))</f>
        <v>0.76974249500000003</v>
      </c>
      <c r="BL200">
        <f ca="1">IF(AND(ISNUMBER($BL$504),$B$294=1),$BL$504,HLOOKUP(INDIRECT(ADDRESS(2,COLUMN())),OFFSET($BN$2,0,0,ROW()-1,60),ROW()-1,FALSE))</f>
        <v>0.66871436699999998</v>
      </c>
      <c r="BM200">
        <f ca="1">IF(AND(ISNUMBER($BM$504),$B$294=1),$BM$504,HLOOKUP(INDIRECT(ADDRESS(2,COLUMN())),OFFSET($BN$2,0,0,ROW()-1,60),ROW()-1,FALSE))</f>
        <v>0.71821622399999996</v>
      </c>
      <c r="BN200">
        <f>0.643864296</f>
        <v>0.64386429599999995</v>
      </c>
      <c r="BO200">
        <f>0.585751513</f>
        <v>0.58575151299999995</v>
      </c>
      <c r="BP200">
        <f>0.635386477</f>
        <v>0.63538647699999995</v>
      </c>
      <c r="BQ200">
        <f>0.587465177</f>
        <v>0.58746517700000001</v>
      </c>
      <c r="BR200">
        <f>0.608427871</f>
        <v>0.60842787099999995</v>
      </c>
      <c r="BS200">
        <f>0.589946845</f>
        <v>0.58994684500000005</v>
      </c>
      <c r="BT200">
        <f>0.567503938</f>
        <v>0.56750393799999999</v>
      </c>
      <c r="BU200">
        <f>0.721198632</f>
        <v>0.72119863200000001</v>
      </c>
      <c r="BV200">
        <f>0.850227954</f>
        <v>0.85022795399999995</v>
      </c>
      <c r="BW200">
        <f>0.881207447</f>
        <v>0.88120744699999998</v>
      </c>
      <c r="BX200">
        <f>0.90762591</f>
        <v>0.90762591000000004</v>
      </c>
      <c r="BY200">
        <f>0.723371728</f>
        <v>0.72337172800000005</v>
      </c>
      <c r="BZ200">
        <f>0.61571655</f>
        <v>0.61571655000000003</v>
      </c>
      <c r="CA200">
        <f>0.687195285</f>
        <v>0.68719528500000004</v>
      </c>
      <c r="CB200">
        <f>0.827594082</f>
        <v>0.82759408199999995</v>
      </c>
      <c r="CC200">
        <f>0.760153224</f>
        <v>0.76015322399999996</v>
      </c>
      <c r="CD200">
        <f>0.732159552</f>
        <v>0.73215955200000005</v>
      </c>
      <c r="CE200">
        <f>0.772363415</f>
        <v>0.77236341500000005</v>
      </c>
      <c r="CF200">
        <f>0.81562611</f>
        <v>0.81562610999999996</v>
      </c>
      <c r="CG200">
        <f>0.813585701</f>
        <v>0.81358570100000005</v>
      </c>
      <c r="CH200">
        <f>0.830125887</f>
        <v>0.83012588700000001</v>
      </c>
      <c r="CI200">
        <f>0.913318819</f>
        <v>0.913318819</v>
      </c>
      <c r="CJ200">
        <f>0.845948384</f>
        <v>0.84594838400000005</v>
      </c>
      <c r="CK200">
        <f>0.838018922</f>
        <v>0.83801892200000005</v>
      </c>
      <c r="CL200">
        <f>0.882224183</f>
        <v>0.88222418300000005</v>
      </c>
      <c r="CM200">
        <f>1.031391289</f>
        <v>1.0313912890000001</v>
      </c>
      <c r="CN200">
        <f>1.117883323</f>
        <v>1.117883323</v>
      </c>
      <c r="CO200">
        <f>0.798957178</f>
        <v>0.79895717799999999</v>
      </c>
      <c r="CP200">
        <f>0.821691852</f>
        <v>0.82169185199999994</v>
      </c>
      <c r="CQ200">
        <f>0.981431927</f>
        <v>0.98143192700000004</v>
      </c>
      <c r="CR200">
        <f>0.923490704</f>
        <v>0.923490704</v>
      </c>
      <c r="CS200">
        <f>1.047457693</f>
        <v>1.0474576929999999</v>
      </c>
      <c r="CT200">
        <f>1.05262799</f>
        <v>1.05262799</v>
      </c>
      <c r="CU200">
        <f>1.228387493</f>
        <v>1.2283874930000001</v>
      </c>
      <c r="CV200">
        <f>1.420812486</f>
        <v>1.420812486</v>
      </c>
      <c r="CW200">
        <f>2.885839606</f>
        <v>2.8858396059999998</v>
      </c>
      <c r="CX200">
        <f>8.478337656</f>
        <v>8.4783376560000008</v>
      </c>
      <c r="CY200">
        <f>3.812769246</f>
        <v>3.8127692459999998</v>
      </c>
      <c r="CZ200">
        <f>1.563808954</f>
        <v>1.563808954</v>
      </c>
      <c r="DA200">
        <f>1.119516532</f>
        <v>1.119516532</v>
      </c>
      <c r="DB200">
        <f>1.203935468</f>
        <v>1.2039354680000001</v>
      </c>
      <c r="DC200">
        <f>1.036815021</f>
        <v>1.036815021</v>
      </c>
      <c r="DD200">
        <f>0.769342967</f>
        <v>0.76934296700000004</v>
      </c>
      <c r="DE200">
        <f>0.634420116</f>
        <v>0.63442011600000003</v>
      </c>
      <c r="DF200">
        <f>0.611774238</f>
        <v>0.61177423799999997</v>
      </c>
      <c r="DG200">
        <f>0.278593274</f>
        <v>0.278593274</v>
      </c>
      <c r="DH200">
        <f>0.370987271</f>
        <v>0.37098727100000001</v>
      </c>
      <c r="DI200">
        <f>0.375300142</f>
        <v>0.375300142</v>
      </c>
      <c r="DJ200">
        <f>0.388399262</f>
        <v>0.38839926200000002</v>
      </c>
      <c r="DK200">
        <f>0.49599698</f>
        <v>0.49599697999999998</v>
      </c>
      <c r="DL200">
        <f>0.568936807</f>
        <v>0.56893680700000004</v>
      </c>
      <c r="DM200">
        <f>0.560070363</f>
        <v>0.56007036300000002</v>
      </c>
      <c r="DN200">
        <f>0.572361676</f>
        <v>0.57236167599999999</v>
      </c>
      <c r="DO200">
        <f>0.474332359</f>
        <v>0.47433235899999998</v>
      </c>
      <c r="DP200">
        <f>0.551805533</f>
        <v>0.55180553300000001</v>
      </c>
      <c r="DQ200">
        <f>0.517552259</f>
        <v>0.51755225900000001</v>
      </c>
      <c r="DR200">
        <f>0.589876533</f>
        <v>0.58987653299999998</v>
      </c>
      <c r="DS200">
        <f>0.769742495</f>
        <v>0.76974249500000003</v>
      </c>
      <c r="DT200">
        <f>0.668714367</f>
        <v>0.66871436699999998</v>
      </c>
      <c r="DU200">
        <f>0.718216224</f>
        <v>0.71821622399999996</v>
      </c>
    </row>
    <row r="201" spans="1:125">
      <c r="A201" t="str">
        <f>"    Vornado Realty Trust"</f>
        <v xml:space="preserve">    Vornado Realty Trust</v>
      </c>
      <c r="B201" t="str">
        <f>"VNO US Equity"</f>
        <v>VNO US Equity</v>
      </c>
      <c r="C201" t="str">
        <f t="shared" si="51"/>
        <v>RR263</v>
      </c>
      <c r="D201" t="str">
        <f t="shared" si="52"/>
        <v>DEBT_TO_MKT_CAP</v>
      </c>
      <c r="E201" t="str">
        <f t="shared" si="53"/>
        <v>动态</v>
      </c>
      <c r="F201">
        <f ca="1">IF(AND(ISNUMBER($F$505),$B$294=1),$F$505,HLOOKUP(INDIRECT(ADDRESS(2,COLUMN())),OFFSET($BN$2,0,0,ROW()-1,60),ROW()-1,FALSE))</f>
        <v>0.78583732100000003</v>
      </c>
      <c r="G201">
        <f ca="1">IF(AND(ISNUMBER($G$505),$B$294=1),$G$505,HLOOKUP(INDIRECT(ADDRESS(2,COLUMN())),OFFSET($BN$2,0,0,ROW()-1,60),ROW()-1,FALSE))</f>
        <v>0.68610578899999997</v>
      </c>
      <c r="H201">
        <f ca="1">IF(AND(ISNUMBER($H$505),$B$294=1),$H$505,HLOOKUP(INDIRECT(ADDRESS(2,COLUMN())),OFFSET($BN$2,0,0,ROW()-1,60),ROW()-1,FALSE))</f>
        <v>0.64201259399999999</v>
      </c>
      <c r="I201">
        <f ca="1">IF(AND(ISNUMBER($I$505),$B$294=1),$I$505,HLOOKUP(INDIRECT(ADDRESS(2,COLUMN())),OFFSET($BN$2,0,0,ROW()-1,60),ROW()-1,FALSE))</f>
        <v>0.60956014700000005</v>
      </c>
      <c r="J201">
        <f ca="1">IF(AND(ISNUMBER($J$505),$B$294=1),$J$505,HLOOKUP(INDIRECT(ADDRESS(2,COLUMN())),OFFSET($BN$2,0,0,ROW()-1,60),ROW()-1,FALSE))</f>
        <v>0.55962886499999998</v>
      </c>
      <c r="K201">
        <f ca="1">IF(AND(ISNUMBER($K$505),$B$294=1),$K$505,HLOOKUP(INDIRECT(ADDRESS(2,COLUMN())),OFFSET($BN$2,0,0,ROW()-1,60),ROW()-1,FALSE))</f>
        <v>0.53797254999999999</v>
      </c>
      <c r="L201">
        <f ca="1">IF(AND(ISNUMBER($L$505),$B$294=1),$L$505,HLOOKUP(INDIRECT(ADDRESS(2,COLUMN())),OFFSET($BN$2,0,0,ROW()-1,60),ROW()-1,FALSE))</f>
        <v>0.58606143899999996</v>
      </c>
      <c r="M201">
        <f ca="1">IF(AND(ISNUMBER($M$505),$B$294=1),$M$505,HLOOKUP(INDIRECT(ADDRESS(2,COLUMN())),OFFSET($BN$2,0,0,ROW()-1,60),ROW()-1,FALSE))</f>
        <v>0.58618604799999996</v>
      </c>
      <c r="N201">
        <f ca="1">IF(AND(ISNUMBER($N$505),$B$294=1),$N$505,HLOOKUP(INDIRECT(ADDRESS(2,COLUMN())),OFFSET($BN$2,0,0,ROW()-1,60),ROW()-1,FALSE))</f>
        <v>0.62108371699999998</v>
      </c>
      <c r="O201">
        <f ca="1">IF(AND(ISNUMBER($O$505),$B$294=1),$O$505,HLOOKUP(INDIRECT(ADDRESS(2,COLUMN())),OFFSET($BN$2,0,0,ROW()-1,60),ROW()-1,FALSE))</f>
        <v>0.58849032000000001</v>
      </c>
      <c r="P201">
        <f ca="1">IF(AND(ISNUMBER($P$505),$B$294=1),$P$505,HLOOKUP(INDIRECT(ADDRESS(2,COLUMN())),OFFSET($BN$2,0,0,ROW()-1,60),ROW()-1,FALSE))</f>
        <v>0.58713282600000005</v>
      </c>
      <c r="Q201">
        <f ca="1">IF(AND(ISNUMBER($Q$505),$B$294=1),$Q$505,HLOOKUP(INDIRECT(ADDRESS(2,COLUMN())),OFFSET($BN$2,0,0,ROW()-1,60),ROW()-1,FALSE))</f>
        <v>0.54886847999999999</v>
      </c>
      <c r="R201">
        <f ca="1">IF(AND(ISNUMBER($R$505),$B$294=1),$R$505,HLOOKUP(INDIRECT(ADDRESS(2,COLUMN())),OFFSET($BN$2,0,0,ROW()-1,60),ROW()-1,FALSE))</f>
        <v>0.45449524099999999</v>
      </c>
      <c r="S201">
        <f ca="1">IF(AND(ISNUMBER($S$505),$B$294=1),$S$505,HLOOKUP(INDIRECT(ADDRESS(2,COLUMN())),OFFSET($BN$2,0,0,ROW()-1,60),ROW()-1,FALSE))</f>
        <v>0.431269872</v>
      </c>
      <c r="T201">
        <f ca="1">IF(AND(ISNUMBER($T$505),$B$294=1),$T$505,HLOOKUP(INDIRECT(ADDRESS(2,COLUMN())),OFFSET($BN$2,0,0,ROW()-1,60),ROW()-1,FALSE))</f>
        <v>0.59456020700000001</v>
      </c>
      <c r="U201">
        <f ca="1">IF(AND(ISNUMBER($U$505),$B$294=1),$U$505,HLOOKUP(INDIRECT(ADDRESS(2,COLUMN())),OFFSET($BN$2,0,0,ROW()-1,60),ROW()-1,FALSE))</f>
        <v>0.54337348399999996</v>
      </c>
      <c r="V201">
        <f ca="1">IF(AND(ISNUMBER($V$505),$B$294=1),$V$505,HLOOKUP(INDIRECT(ADDRESS(2,COLUMN())),OFFSET($BN$2,0,0,ROW()-1,60),ROW()-1,FALSE))</f>
        <v>0.56043459600000001</v>
      </c>
      <c r="W201">
        <f ca="1">IF(AND(ISNUMBER($W$505),$B$294=1),$W$505,HLOOKUP(INDIRECT(ADDRESS(2,COLUMN())),OFFSET($BN$2,0,0,ROW()-1,60),ROW()-1,FALSE))</f>
        <v>0.60083796599999995</v>
      </c>
      <c r="X201">
        <f ca="1">IF(AND(ISNUMBER($X$505),$B$294=1),$X$505,HLOOKUP(INDIRECT(ADDRESS(2,COLUMN())),OFFSET($BN$2,0,0,ROW()-1,60),ROW()-1,FALSE))</f>
        <v>0.63627905399999996</v>
      </c>
      <c r="Y201">
        <f ca="1">IF(AND(ISNUMBER($Y$505),$B$294=1),$Y$505,HLOOKUP(INDIRECT(ADDRESS(2,COLUMN())),OFFSET($BN$2,0,0,ROW()-1,60),ROW()-1,FALSE))</f>
        <v>0.64727642200000002</v>
      </c>
      <c r="Z201">
        <f ca="1">IF(AND(ISNUMBER($Z$505),$B$294=1),$Z$505,HLOOKUP(INDIRECT(ADDRESS(2,COLUMN())),OFFSET($BN$2,0,0,ROW()-1,60),ROW()-1,FALSE))</f>
        <v>0.66723345499999998</v>
      </c>
      <c r="AA201">
        <f ca="1">IF(AND(ISNUMBER($AA$505),$B$294=1),$AA$505,HLOOKUP(INDIRECT(ADDRESS(2,COLUMN())),OFFSET($BN$2,0,0,ROW()-1,60),ROW()-1,FALSE))</f>
        <v>0.75781114699999996</v>
      </c>
      <c r="AB201">
        <f ca="1">IF(AND(ISNUMBER($AB$505),$B$294=1),$AB$505,HLOOKUP(INDIRECT(ADDRESS(2,COLUMN())),OFFSET($BN$2,0,0,ROW()-1,60),ROW()-1,FALSE))</f>
        <v>0.65142026399999997</v>
      </c>
      <c r="AC201">
        <f ca="1">IF(AND(ISNUMBER($AC$505),$B$294=1),$AC$505,HLOOKUP(INDIRECT(ADDRESS(2,COLUMN())),OFFSET($BN$2,0,0,ROW()-1,60),ROW()-1,FALSE))</f>
        <v>0.65541245699999995</v>
      </c>
      <c r="AD201">
        <f ca="1">IF(AND(ISNUMBER($AD$505),$B$294=1),$AD$505,HLOOKUP(INDIRECT(ADDRESS(2,COLUMN())),OFFSET($BN$2,0,0,ROW()-1,60),ROW()-1,FALSE))</f>
        <v>0.66111225799999995</v>
      </c>
      <c r="AE201">
        <f ca="1">IF(AND(ISNUMBER($AE$505),$B$294=1),$AE$505,HLOOKUP(INDIRECT(ADDRESS(2,COLUMN())),OFFSET($BN$2,0,0,ROW()-1,60),ROW()-1,FALSE))</f>
        <v>0.710602909</v>
      </c>
      <c r="AF201">
        <f ca="1">IF(AND(ISNUMBER($AF$505),$B$294=1),$AF$505,HLOOKUP(INDIRECT(ADDRESS(2,COLUMN())),OFFSET($BN$2,0,0,ROW()-1,60),ROW()-1,FALSE))</f>
        <v>0.75617994600000005</v>
      </c>
      <c r="AG201">
        <f ca="1">IF(AND(ISNUMBER($AG$505),$B$294=1),$AG$505,HLOOKUP(INDIRECT(ADDRESS(2,COLUMN())),OFFSET($BN$2,0,0,ROW()-1,60),ROW()-1,FALSE))</f>
        <v>0.613955531</v>
      </c>
      <c r="AH201">
        <f ca="1">IF(AND(ISNUMBER($AH$505),$B$294=1),$AH$505,HLOOKUP(INDIRECT(ADDRESS(2,COLUMN())),OFFSET($BN$2,0,0,ROW()-1,60),ROW()-1,FALSE))</f>
        <v>0.677791794</v>
      </c>
      <c r="AI201">
        <f ca="1">IF(AND(ISNUMBER($AI$505),$B$294=1),$AI$505,HLOOKUP(INDIRECT(ADDRESS(2,COLUMN())),OFFSET($BN$2,0,0,ROW()-1,60),ROW()-1,FALSE))</f>
        <v>0.71537642800000001</v>
      </c>
      <c r="AJ201">
        <f ca="1">IF(AND(ISNUMBER($AJ$505),$B$294=1),$AJ$505,HLOOKUP(INDIRECT(ADDRESS(2,COLUMN())),OFFSET($BN$2,0,0,ROW()-1,60),ROW()-1,FALSE))</f>
        <v>0.72925673700000004</v>
      </c>
      <c r="AK201">
        <f ca="1">IF(AND(ISNUMBER($AK$505),$B$294=1),$AK$505,HLOOKUP(INDIRECT(ADDRESS(2,COLUMN())),OFFSET($BN$2,0,0,ROW()-1,60),ROW()-1,FALSE))</f>
        <v>0.82364174099999998</v>
      </c>
      <c r="AL201">
        <f ca="1">IF(AND(ISNUMBER($AL$505),$B$294=1),$AL$505,HLOOKUP(INDIRECT(ADDRESS(2,COLUMN())),OFFSET($BN$2,0,0,ROW()-1,60),ROW()-1,FALSE))</f>
        <v>0.82845737600000002</v>
      </c>
      <c r="AM201">
        <f ca="1">IF(AND(ISNUMBER($AM$505),$B$294=1),$AM$505,HLOOKUP(INDIRECT(ADDRESS(2,COLUMN())),OFFSET($BN$2,0,0,ROW()-1,60),ROW()-1,FALSE))</f>
        <v>0.84772400299999995</v>
      </c>
      <c r="AN201">
        <f ca="1">IF(AND(ISNUMBER($AN$505),$B$294=1),$AN$505,HLOOKUP(INDIRECT(ADDRESS(2,COLUMN())),OFFSET($BN$2,0,0,ROW()-1,60),ROW()-1,FALSE))</f>
        <v>1.1267352580000001</v>
      </c>
      <c r="AO201">
        <f ca="1">IF(AND(ISNUMBER($AO$505),$B$294=1),$AO$505,HLOOKUP(INDIRECT(ADDRESS(2,COLUMN())),OFFSET($BN$2,0,0,ROW()-1,60),ROW()-1,FALSE))</f>
        <v>1.5774368969999999</v>
      </c>
      <c r="AP201">
        <f ca="1">IF(AND(ISNUMBER($AP$505),$B$294=1),$AP$505,HLOOKUP(INDIRECT(ADDRESS(2,COLUMN())),OFFSET($BN$2,0,0,ROW()-1,60),ROW()-1,FALSE))</f>
        <v>2.52095805</v>
      </c>
      <c r="AQ201">
        <f ca="1">IF(AND(ISNUMBER($AQ$505),$B$294=1),$AQ$505,HLOOKUP(INDIRECT(ADDRESS(2,COLUMN())),OFFSET($BN$2,0,0,ROW()-1,60),ROW()-1,FALSE))</f>
        <v>1.335219573</v>
      </c>
      <c r="AR201">
        <f ca="1">IF(AND(ISNUMBER($AR$505),$B$294=1),$AR$505,HLOOKUP(INDIRECT(ADDRESS(2,COLUMN())),OFFSET($BN$2,0,0,ROW()-1,60),ROW()-1,FALSE))</f>
        <v>0.87100566400000001</v>
      </c>
      <c r="AS201">
        <f ca="1">IF(AND(ISNUMBER($AS$505),$B$294=1),$AS$505,HLOOKUP(INDIRECT(ADDRESS(2,COLUMN())),OFFSET($BN$2,0,0,ROW()-1,60),ROW()-1,FALSE))</f>
        <v>0.904030165</v>
      </c>
      <c r="AT201">
        <f ca="1">IF(AND(ISNUMBER($AT$505),$B$294=1),$AT$505,HLOOKUP(INDIRECT(ADDRESS(2,COLUMN())),OFFSET($BN$2,0,0,ROW()-1,60),ROW()-1,FALSE))</f>
        <v>0.92029469900000005</v>
      </c>
      <c r="AU201">
        <f ca="1">IF(AND(ISNUMBER($AU$505),$B$294=1),$AU$505,HLOOKUP(INDIRECT(ADDRESS(2,COLUMN())),OFFSET($BN$2,0,0,ROW()-1,60),ROW()-1,FALSE))</f>
        <v>0.88831843899999996</v>
      </c>
      <c r="AV201">
        <f ca="1">IF(AND(ISNUMBER($AV$505),$B$294=1),$AV$505,HLOOKUP(INDIRECT(ADDRESS(2,COLUMN())),OFFSET($BN$2,0,0,ROW()-1,60),ROW()-1,FALSE))</f>
        <v>0.75661384600000003</v>
      </c>
      <c r="AW201">
        <f ca="1">IF(AND(ISNUMBER($AW$505),$B$294=1),$AW$505,HLOOKUP(INDIRECT(ADDRESS(2,COLUMN())),OFFSET($BN$2,0,0,ROW()-1,60),ROW()-1,FALSE))</f>
        <v>0.75370826099999999</v>
      </c>
      <c r="AX201">
        <f ca="1">IF(AND(ISNUMBER($AX$505),$B$294=1),$AX$505,HLOOKUP(INDIRECT(ADDRESS(2,COLUMN())),OFFSET($BN$2,0,0,ROW()-1,60),ROW()-1,FALSE))</f>
        <v>0.642995757</v>
      </c>
      <c r="AY201">
        <f ca="1">IF(AND(ISNUMBER($AY$505),$B$294=1),$AY$505,HLOOKUP(INDIRECT(ADDRESS(2,COLUMN())),OFFSET($BN$2,0,0,ROW()-1,60),ROW()-1,FALSE))</f>
        <v>0.51883822000000002</v>
      </c>
      <c r="AZ201">
        <f ca="1">IF(AND(ISNUMBER($AZ$505),$B$294=1),$AZ$505,HLOOKUP(INDIRECT(ADDRESS(2,COLUMN())),OFFSET($BN$2,0,0,ROW()-1,60),ROW()-1,FALSE))</f>
        <v>0.47789899400000002</v>
      </c>
      <c r="BA201">
        <f ca="1">IF(AND(ISNUMBER($BA$505),$B$294=1),$BA$505,HLOOKUP(INDIRECT(ADDRESS(2,COLUMN())),OFFSET($BN$2,0,0,ROW()-1,60),ROW()-1,FALSE))</f>
        <v>0.51790914200000004</v>
      </c>
      <c r="BB201">
        <f ca="1">IF(AND(ISNUMBER($BB$505),$B$294=1),$BB$505,HLOOKUP(INDIRECT(ADDRESS(2,COLUMN())),OFFSET($BN$2,0,0,ROW()-1,60),ROW()-1,FALSE))</f>
        <v>0.51089973200000005</v>
      </c>
      <c r="BC201">
        <f ca="1">IF(AND(ISNUMBER($BC$505),$B$294=1),$BC$505,HLOOKUP(INDIRECT(ADDRESS(2,COLUMN())),OFFSET($BN$2,0,0,ROW()-1,60),ROW()-1,FALSE))</f>
        <v>0.53289423899999999</v>
      </c>
      <c r="BD201">
        <f ca="1">IF(AND(ISNUMBER($BD$505),$B$294=1),$BD$505,HLOOKUP(INDIRECT(ADDRESS(2,COLUMN())),OFFSET($BN$2,0,0,ROW()-1,60),ROW()-1,FALSE))</f>
        <v>0.50446707400000002</v>
      </c>
      <c r="BE201">
        <f ca="1">IF(AND(ISNUMBER($BE$505),$B$294=1),$BE$505,HLOOKUP(INDIRECT(ADDRESS(2,COLUMN())),OFFSET($BN$2,0,0,ROW()-1,60),ROW()-1,FALSE))</f>
        <v>0.53968806999999996</v>
      </c>
      <c r="BF201">
        <f ca="1">IF(AND(ISNUMBER($BF$505),$B$294=1),$BF$505,HLOOKUP(INDIRECT(ADDRESS(2,COLUMN())),OFFSET($BN$2,0,0,ROW()-1,60),ROW()-1,FALSE))</f>
        <v>0.62616651099999998</v>
      </c>
      <c r="BG201">
        <f ca="1">IF(AND(ISNUMBER($BG$505),$B$294=1),$BG$505,HLOOKUP(INDIRECT(ADDRESS(2,COLUMN())),OFFSET($BN$2,0,0,ROW()-1,60),ROW()-1,FALSE))</f>
        <v>0.511233041</v>
      </c>
      <c r="BH201">
        <f ca="1">IF(AND(ISNUMBER($BH$505),$B$294=1),$BH$505,HLOOKUP(INDIRECT(ADDRESS(2,COLUMN())),OFFSET($BN$2,0,0,ROW()-1,60),ROW()-1,FALSE))</f>
        <v>0.53567956500000002</v>
      </c>
      <c r="BI201">
        <f ca="1">IF(AND(ISNUMBER($BI$505),$B$294=1),$BI$505,HLOOKUP(INDIRECT(ADDRESS(2,COLUMN())),OFFSET($BN$2,0,0,ROW()-1,60),ROW()-1,FALSE))</f>
        <v>0.57145834100000004</v>
      </c>
      <c r="BJ201">
        <f ca="1">IF(AND(ISNUMBER($BJ$505),$B$294=1),$BJ$505,HLOOKUP(INDIRECT(ADDRESS(2,COLUMN())),OFFSET($BN$2,0,0,ROW()-1,60),ROW()-1,FALSE))</f>
        <v>0.58214343400000002</v>
      </c>
      <c r="BK201">
        <f ca="1">IF(AND(ISNUMBER($BK$505),$B$294=1),$BK$505,HLOOKUP(INDIRECT(ADDRESS(2,COLUMN())),OFFSET($BN$2,0,0,ROW()-1,60),ROW()-1,FALSE))</f>
        <v>0.66379461200000001</v>
      </c>
      <c r="BL201">
        <f ca="1">IF(AND(ISNUMBER($BL$505),$B$294=1),$BL$505,HLOOKUP(INDIRECT(ADDRESS(2,COLUMN())),OFFSET($BN$2,0,0,ROW()-1,60),ROW()-1,FALSE))</f>
        <v>0.73537244000000002</v>
      </c>
      <c r="BM201">
        <f ca="1">IF(AND(ISNUMBER($BM$505),$B$294=1),$BM$505,HLOOKUP(INDIRECT(ADDRESS(2,COLUMN())),OFFSET($BN$2,0,0,ROW()-1,60),ROW()-1,FALSE))</f>
        <v>0.82306897000000001</v>
      </c>
      <c r="BN201">
        <f>0.785837321</f>
        <v>0.78583732100000003</v>
      </c>
      <c r="BO201">
        <f>0.686105789</f>
        <v>0.68610578899999997</v>
      </c>
      <c r="BP201">
        <f>0.642012594</f>
        <v>0.64201259399999999</v>
      </c>
      <c r="BQ201">
        <f>0.609560147</f>
        <v>0.60956014700000005</v>
      </c>
      <c r="BR201">
        <f>0.559628865</f>
        <v>0.55962886499999998</v>
      </c>
      <c r="BS201">
        <f>0.53797255</f>
        <v>0.53797254999999999</v>
      </c>
      <c r="BT201">
        <f>0.586061439</f>
        <v>0.58606143899999996</v>
      </c>
      <c r="BU201">
        <f>0.586186048</f>
        <v>0.58618604799999996</v>
      </c>
      <c r="BV201">
        <f>0.621083717</f>
        <v>0.62108371699999998</v>
      </c>
      <c r="BW201">
        <f>0.58849032</f>
        <v>0.58849032000000001</v>
      </c>
      <c r="BX201">
        <f>0.587132826</f>
        <v>0.58713282600000005</v>
      </c>
      <c r="BY201">
        <f>0.54886848</f>
        <v>0.54886847999999999</v>
      </c>
      <c r="BZ201">
        <f>0.454495241</f>
        <v>0.45449524099999999</v>
      </c>
      <c r="CA201">
        <f>0.431269872</f>
        <v>0.431269872</v>
      </c>
      <c r="CB201">
        <f>0.594560207</f>
        <v>0.59456020700000001</v>
      </c>
      <c r="CC201">
        <f>0.543373484</f>
        <v>0.54337348399999996</v>
      </c>
      <c r="CD201">
        <f>0.560434596</f>
        <v>0.56043459600000001</v>
      </c>
      <c r="CE201">
        <f>0.600837966</f>
        <v>0.60083796599999995</v>
      </c>
      <c r="CF201">
        <f>0.636279054</f>
        <v>0.63627905399999996</v>
      </c>
      <c r="CG201">
        <f>0.647276422</f>
        <v>0.64727642200000002</v>
      </c>
      <c r="CH201">
        <f>0.667233455</f>
        <v>0.66723345499999998</v>
      </c>
      <c r="CI201">
        <f>0.757811147</f>
        <v>0.75781114699999996</v>
      </c>
      <c r="CJ201">
        <f>0.651420264</f>
        <v>0.65142026399999997</v>
      </c>
      <c r="CK201">
        <f>0.655412457</f>
        <v>0.65541245699999995</v>
      </c>
      <c r="CL201">
        <f>0.661112258</f>
        <v>0.66111225799999995</v>
      </c>
      <c r="CM201">
        <f>0.710602909</f>
        <v>0.710602909</v>
      </c>
      <c r="CN201">
        <f>0.756179946</f>
        <v>0.75617994600000005</v>
      </c>
      <c r="CO201">
        <f>0.613955531</f>
        <v>0.613955531</v>
      </c>
      <c r="CP201">
        <f>0.677791794</f>
        <v>0.677791794</v>
      </c>
      <c r="CQ201">
        <f>0.715376428</f>
        <v>0.71537642800000001</v>
      </c>
      <c r="CR201">
        <f>0.729256737</f>
        <v>0.72925673700000004</v>
      </c>
      <c r="CS201">
        <f>0.823641741</f>
        <v>0.82364174099999998</v>
      </c>
      <c r="CT201">
        <f>0.828457376</f>
        <v>0.82845737600000002</v>
      </c>
      <c r="CU201">
        <f>0.847724003</f>
        <v>0.84772400299999995</v>
      </c>
      <c r="CV201">
        <f>1.126735258</f>
        <v>1.1267352580000001</v>
      </c>
      <c r="CW201">
        <f>1.577436897</f>
        <v>1.5774368969999999</v>
      </c>
      <c r="CX201">
        <f>2.52095805</f>
        <v>2.52095805</v>
      </c>
      <c r="CY201">
        <f>1.335219573</f>
        <v>1.335219573</v>
      </c>
      <c r="CZ201">
        <f>0.871005664</f>
        <v>0.87100566400000001</v>
      </c>
      <c r="DA201">
        <f>0.904030165</f>
        <v>0.904030165</v>
      </c>
      <c r="DB201">
        <f>0.920294699</f>
        <v>0.92029469900000005</v>
      </c>
      <c r="DC201">
        <f>0.888318439</f>
        <v>0.88831843899999996</v>
      </c>
      <c r="DD201">
        <f>0.756613846</f>
        <v>0.75661384600000003</v>
      </c>
      <c r="DE201">
        <f>0.753708261</f>
        <v>0.75370826099999999</v>
      </c>
      <c r="DF201">
        <f>0.642995757</f>
        <v>0.642995757</v>
      </c>
      <c r="DG201">
        <f>0.51883822</f>
        <v>0.51883822000000002</v>
      </c>
      <c r="DH201">
        <f>0.477898994</f>
        <v>0.47789899400000002</v>
      </c>
      <c r="DI201">
        <f>0.517909142</f>
        <v>0.51790914200000004</v>
      </c>
      <c r="DJ201">
        <f>0.510899732</f>
        <v>0.51089973200000005</v>
      </c>
      <c r="DK201">
        <f>0.532894239</f>
        <v>0.53289423899999999</v>
      </c>
      <c r="DL201">
        <f>0.504467074</f>
        <v>0.50446707400000002</v>
      </c>
      <c r="DM201">
        <f>0.53968807</f>
        <v>0.53968806999999996</v>
      </c>
      <c r="DN201">
        <f>0.626166511</f>
        <v>0.62616651099999998</v>
      </c>
      <c r="DO201">
        <f>0.511233041</f>
        <v>0.511233041</v>
      </c>
      <c r="DP201">
        <f>0.535679565</f>
        <v>0.53567956500000002</v>
      </c>
      <c r="DQ201">
        <f>0.571458341</f>
        <v>0.57145834100000004</v>
      </c>
      <c r="DR201">
        <f>0.582143434</f>
        <v>0.58214343400000002</v>
      </c>
      <c r="DS201">
        <f>0.663794612</f>
        <v>0.66379461200000001</v>
      </c>
      <c r="DT201">
        <f>0.73537244</f>
        <v>0.73537244000000002</v>
      </c>
      <c r="DU201">
        <f>0.82306897</f>
        <v>0.82306897000000001</v>
      </c>
    </row>
    <row r="202" spans="1:125">
      <c r="A202" t="str">
        <f>"EBITDA/利息支出"</f>
        <v>EBITDA/利息支出</v>
      </c>
      <c r="B202" t="str">
        <f>""</f>
        <v/>
      </c>
      <c r="E202" t="str">
        <f>"Median"</f>
        <v>Median</v>
      </c>
      <c r="F202" t="str">
        <f ca="1">IF(ISERROR(IF(MEDIAN($F$203:$F$212) = 0, "", MEDIAN($F$203:$F$212))), "", (IF(MEDIAN($F$203:$F$212) = 0, "", MEDIAN($F$203:$F$212))))</f>
        <v/>
      </c>
      <c r="G202">
        <f ca="1">IF(ISERROR(IF(MEDIAN($G$203:$G$212) = 0, "", MEDIAN($G$203:$G$212))), "", (IF(MEDIAN($G$203:$G$212) = 0, "", MEDIAN($G$203:$G$212))))</f>
        <v>3.1055143935</v>
      </c>
      <c r="H202">
        <f ca="1">IF(ISERROR(IF(MEDIAN($H$203:$H$212) = 0, "", MEDIAN($H$203:$H$212))), "", (IF(MEDIAN($H$203:$H$212) = 0, "", MEDIAN($H$203:$H$212))))</f>
        <v>3.6946868670000002</v>
      </c>
      <c r="I202">
        <f ca="1">IF(ISERROR(IF(MEDIAN($I$203:$I$212) = 0, "", MEDIAN($I$203:$I$212))), "", (IF(MEDIAN($I$203:$I$212) = 0, "", MEDIAN($I$203:$I$212))))</f>
        <v>3.5629108949999999</v>
      </c>
      <c r="J202">
        <f ca="1">IF(ISERROR(IF(MEDIAN($J$203:$J$212) = 0, "", MEDIAN($J$203:$J$212))), "", (IF(MEDIAN($J$203:$J$212) = 0, "", MEDIAN($J$203:$J$212))))</f>
        <v>3.5938644054999997</v>
      </c>
      <c r="K202">
        <f ca="1">IF(ISERROR(IF(MEDIAN($K$203:$K$212) = 0, "", MEDIAN($K$203:$K$212))), "", (IF(MEDIAN($K$203:$K$212) = 0, "", MEDIAN($K$203:$K$212))))</f>
        <v>3.8068801489999999</v>
      </c>
      <c r="L202">
        <f ca="1">IF(ISERROR(IF(MEDIAN($L$203:$L$212) = 0, "", MEDIAN($L$203:$L$212))), "", (IF(MEDIAN($L$203:$L$212) = 0, "", MEDIAN($L$203:$L$212))))</f>
        <v>3.4235286094999999</v>
      </c>
      <c r="M202">
        <f ca="1">IF(ISERROR(IF(MEDIAN($M$203:$M$212) = 0, "", MEDIAN($M$203:$M$212))), "", (IF(MEDIAN($M$203:$M$212) = 0, "", MEDIAN($M$203:$M$212))))</f>
        <v>3.7047364819999999</v>
      </c>
      <c r="N202">
        <f ca="1">IF(ISERROR(IF(MEDIAN($N$203:$N$212) = 0, "", MEDIAN($N$203:$N$212))), "", (IF(MEDIAN($N$203:$N$212) = 0, "", MEDIAN($N$203:$N$212))))</f>
        <v>3.3578939754999997</v>
      </c>
      <c r="O202">
        <f ca="1">IF(ISERROR(IF(MEDIAN($O$203:$O$212) = 0, "", MEDIAN($O$203:$O$212))), "", (IF(MEDIAN($O$203:$O$212) = 0, "", MEDIAN($O$203:$O$212))))</f>
        <v>3.3845908299999996</v>
      </c>
      <c r="P202">
        <f ca="1">IF(ISERROR(IF(MEDIAN($P$203:$P$212) = 0, "", MEDIAN($P$203:$P$212))), "", (IF(MEDIAN($P$203:$P$212) = 0, "", MEDIAN($P$203:$P$212))))</f>
        <v>3.1584004610000003</v>
      </c>
      <c r="Q202">
        <f ca="1">IF(ISERROR(IF(MEDIAN($Q$203:$Q$212) = 0, "", MEDIAN($Q$203:$Q$212))), "", (IF(MEDIAN($Q$203:$Q$212) = 0, "", MEDIAN($Q$203:$Q$212))))</f>
        <v>3.4646953025</v>
      </c>
      <c r="R202">
        <f ca="1">IF(ISERROR(IF(MEDIAN($R$203:$R$212) = 0, "", MEDIAN($R$203:$R$212))), "", (IF(MEDIAN($R$203:$R$212) = 0, "", MEDIAN($R$203:$R$212))))</f>
        <v>3.217319866</v>
      </c>
      <c r="S202">
        <f ca="1">IF(ISERROR(IF(MEDIAN($S$203:$S$212) = 0, "", MEDIAN($S$203:$S$212))), "", (IF(MEDIAN($S$203:$S$212) = 0, "", MEDIAN($S$203:$S$212))))</f>
        <v>3.0564819320000001</v>
      </c>
      <c r="T202">
        <f ca="1">IF(ISERROR(IF(MEDIAN($T$203:$T$212) = 0, "", MEDIAN($T$203:$T$212))), "", (IF(MEDIAN($T$203:$T$212) = 0, "", MEDIAN($T$203:$T$212))))</f>
        <v>3.1686405625000003</v>
      </c>
      <c r="U202">
        <f ca="1">IF(ISERROR(IF(MEDIAN($U$203:$U$212) = 0, "", MEDIAN($U$203:$U$212))), "", (IF(MEDIAN($U$203:$U$212) = 0, "", MEDIAN($U$203:$U$212))))</f>
        <v>3.051634033</v>
      </c>
      <c r="V202">
        <f ca="1">IF(ISERROR(IF(MEDIAN($V$203:$V$212) = 0, "", MEDIAN($V$203:$V$212))), "", (IF(MEDIAN($V$203:$V$212) = 0, "", MEDIAN($V$203:$V$212))))</f>
        <v>3.2166917425000001</v>
      </c>
      <c r="W202">
        <f ca="1">IF(ISERROR(IF(MEDIAN($W$203:$W$212) = 0, "", MEDIAN($W$203:$W$212))), "", (IF(MEDIAN($W$203:$W$212) = 0, "", MEDIAN($W$203:$W$212))))</f>
        <v>3.0128901519999998</v>
      </c>
      <c r="X202">
        <f ca="1">IF(ISERROR(IF(MEDIAN($X$203:$X$212) = 0, "", MEDIAN($X$203:$X$212))), "", (IF(MEDIAN($X$203:$X$212) = 0, "", MEDIAN($X$203:$X$212))))</f>
        <v>3.0342382450000001</v>
      </c>
      <c r="Y202">
        <f ca="1">IF(ISERROR(IF(MEDIAN($Y$203:$Y$212) = 0, "", MEDIAN($Y$203:$Y$212))), "", (IF(MEDIAN($Y$203:$Y$212) = 0, "", MEDIAN($Y$203:$Y$212))))</f>
        <v>3.1187907084999997</v>
      </c>
      <c r="Z202">
        <f ca="1">IF(ISERROR(IF(MEDIAN($Z$203:$Z$212) = 0, "", MEDIAN($Z$203:$Z$212))), "", (IF(MEDIAN($Z$203:$Z$212) = 0, "", MEDIAN($Z$203:$Z$212))))</f>
        <v>3.0261251554999999</v>
      </c>
      <c r="AA202">
        <f ca="1">IF(ISERROR(IF(MEDIAN($AA$203:$AA$212) = 0, "", MEDIAN($AA$203:$AA$212))), "", (IF(MEDIAN($AA$203:$AA$212) = 0, "", MEDIAN($AA$203:$AA$212))))</f>
        <v>2.8206709779999999</v>
      </c>
      <c r="AB202">
        <f ca="1">IF(ISERROR(IF(MEDIAN($AB$203:$AB$212) = 0, "", MEDIAN($AB$203:$AB$212))), "", (IF(MEDIAN($AB$203:$AB$212) = 0, "", MEDIAN($AB$203:$AB$212))))</f>
        <v>2.7541968084999997</v>
      </c>
      <c r="AC202">
        <f ca="1">IF(ISERROR(IF(MEDIAN($AC$203:$AC$212) = 0, "", MEDIAN($AC$203:$AC$212))), "", (IF(MEDIAN($AC$203:$AC$212) = 0, "", MEDIAN($AC$203:$AC$212))))</f>
        <v>2.893978905</v>
      </c>
      <c r="AD202">
        <f ca="1">IF(ISERROR(IF(MEDIAN($AD$203:$AD$212) = 0, "", MEDIAN($AD$203:$AD$212))), "", (IF(MEDIAN($AD$203:$AD$212) = 0, "", MEDIAN($AD$203:$AD$212))))</f>
        <v>2.8336907134999998</v>
      </c>
      <c r="AE202">
        <f ca="1">IF(ISERROR(IF(MEDIAN($AE$203:$AE$212) = 0, "", MEDIAN($AE$203:$AE$212))), "", (IF(MEDIAN($AE$203:$AE$212) = 0, "", MEDIAN($AE$203:$AE$212))))</f>
        <v>2.6476449239999997</v>
      </c>
      <c r="AF202">
        <f ca="1">IF(ISERROR(IF(MEDIAN($AF$203:$AF$212) = 0, "", MEDIAN($AF$203:$AF$212))), "", (IF(MEDIAN($AF$203:$AF$212) = 0, "", MEDIAN($AF$203:$AF$212))))</f>
        <v>2.622278605</v>
      </c>
      <c r="AG202">
        <f ca="1">IF(ISERROR(IF(MEDIAN($AG$203:$AG$212) = 0, "", MEDIAN($AG$203:$AG$212))), "", (IF(MEDIAN($AG$203:$AG$212) = 0, "", MEDIAN($AG$203:$AG$212))))</f>
        <v>2.7400812349999999</v>
      </c>
      <c r="AH202">
        <f ca="1">IF(ISERROR(IF(MEDIAN($AH$203:$AH$212) = 0, "", MEDIAN($AH$203:$AH$212))), "", (IF(MEDIAN($AH$203:$AH$212) = 0, "", MEDIAN($AH$203:$AH$212))))</f>
        <v>2.654259986</v>
      </c>
      <c r="AI202">
        <f ca="1">IF(ISERROR(IF(MEDIAN($AI$203:$AI$212) = 0, "", MEDIAN($AI$203:$AI$212))), "", (IF(MEDIAN($AI$203:$AI$212) = 0, "", MEDIAN($AI$203:$AI$212))))</f>
        <v>2.6032759025000001</v>
      </c>
      <c r="AJ202">
        <f ca="1">IF(ISERROR(IF(MEDIAN($AJ$203:$AJ$212) = 0, "", MEDIAN($AJ$203:$AJ$212))), "", (IF(MEDIAN($AJ$203:$AJ$212) = 0, "", MEDIAN($AJ$203:$AJ$212))))</f>
        <v>2.5565889830000001</v>
      </c>
      <c r="AK202">
        <f ca="1">IF(ISERROR(IF(MEDIAN($AK$203:$AK$212) = 0, "", MEDIAN($AK$203:$AK$212))), "", (IF(MEDIAN($AK$203:$AK$212) = 0, "", MEDIAN($AK$203:$AK$212))))</f>
        <v>2.6508330170000001</v>
      </c>
      <c r="AL202">
        <f ca="1">IF(ISERROR(IF(MEDIAN($AL$203:$AL$212) = 0, "", MEDIAN($AL$203:$AL$212))), "", (IF(MEDIAN($AL$203:$AL$212) = 0, "", MEDIAN($AL$203:$AL$212))))</f>
        <v>2.661028892</v>
      </c>
      <c r="AM202">
        <f ca="1">IF(ISERROR(IF(MEDIAN($AM$203:$AM$212) = 0, "", MEDIAN($AM$203:$AM$212))), "", (IF(MEDIAN($AM$203:$AM$212) = 0, "", MEDIAN($AM$203:$AM$212))))</f>
        <v>2.4010546660000003</v>
      </c>
      <c r="AN202">
        <f ca="1">IF(ISERROR(IF(MEDIAN($AN$203:$AN$212) = 0, "", MEDIAN($AN$203:$AN$212))), "", (IF(MEDIAN($AN$203:$AN$212) = 0, "", MEDIAN($AN$203:$AN$212))))</f>
        <v>2.8855824525</v>
      </c>
      <c r="AO202">
        <f ca="1">IF(ISERROR(IF(MEDIAN($AO$203:$AO$212) = 0, "", MEDIAN($AO$203:$AO$212))), "", (IF(MEDIAN($AO$203:$AO$212) = 0, "", MEDIAN($AO$203:$AO$212))))</f>
        <v>3.0780460405000003</v>
      </c>
      <c r="AP202">
        <f ca="1">IF(ISERROR(IF(MEDIAN($AP$203:$AP$212) = 0, "", MEDIAN($AP$203:$AP$212))), "", (IF(MEDIAN($AP$203:$AP$212) = 0, "", MEDIAN($AP$203:$AP$212))))</f>
        <v>2.9834431035</v>
      </c>
      <c r="AQ202">
        <f ca="1">IF(ISERROR(IF(MEDIAN($AQ$203:$AQ$212) = 0, "", MEDIAN($AQ$203:$AQ$212))), "", (IF(MEDIAN($AQ$203:$AQ$212) = 0, "", MEDIAN($AQ$203:$AQ$212))))</f>
        <v>2.898259516</v>
      </c>
      <c r="AR202">
        <f ca="1">IF(ISERROR(IF(MEDIAN($AR$203:$AR$212) = 0, "", MEDIAN($AR$203:$AR$212))), "", (IF(MEDIAN($AR$203:$AR$212) = 0, "", MEDIAN($AR$203:$AR$212))))</f>
        <v>2.7483458789999999</v>
      </c>
      <c r="AS202">
        <f ca="1">IF(ISERROR(IF(MEDIAN($AS$203:$AS$212) = 0, "", MEDIAN($AS$203:$AS$212))), "", (IF(MEDIAN($AS$203:$AS$212) = 0, "", MEDIAN($AS$203:$AS$212))))</f>
        <v>2.780644552</v>
      </c>
      <c r="AT202">
        <f ca="1">IF(ISERROR(IF(MEDIAN($AT$203:$AT$212) = 0, "", MEDIAN($AT$203:$AT$212))), "", (IF(MEDIAN($AT$203:$AT$212) = 0, "", MEDIAN($AT$203:$AT$212))))</f>
        <v>2.6041524069999999</v>
      </c>
      <c r="AU202">
        <f ca="1">IF(ISERROR(IF(MEDIAN($AU$203:$AU$212) = 0, "", MEDIAN($AU$203:$AU$212))), "", (IF(MEDIAN($AU$203:$AU$212) = 0, "", MEDIAN($AU$203:$AU$212))))</f>
        <v>2.6198919520000001</v>
      </c>
      <c r="AV202">
        <f ca="1">IF(ISERROR(IF(MEDIAN($AV$203:$AV$212) = 0, "", MEDIAN($AV$203:$AV$212))), "", (IF(MEDIAN($AV$203:$AV$212) = 0, "", MEDIAN($AV$203:$AV$212))))</f>
        <v>2.6556321629999999</v>
      </c>
      <c r="AW202">
        <f ca="1">IF(ISERROR(IF(MEDIAN($AW$203:$AW$212) = 0, "", MEDIAN($AW$203:$AW$212))), "", (IF(MEDIAN($AW$203:$AW$212) = 0, "", MEDIAN($AW$203:$AW$212))))</f>
        <v>2.6707556889999999</v>
      </c>
      <c r="AX202">
        <f ca="1">IF(ISERROR(IF(MEDIAN($AX$203:$AX$212) = 0, "", MEDIAN($AX$203:$AX$212))), "", (IF(MEDIAN($AX$203:$AX$212) = 0, "", MEDIAN($AX$203:$AX$212))))</f>
        <v>2.8621165340000001</v>
      </c>
      <c r="AY202">
        <f ca="1">IF(ISERROR(IF(MEDIAN($AY$203:$AY$212) = 0, "", MEDIAN($AY$203:$AY$212))), "", (IF(MEDIAN($AY$203:$AY$212) = 0, "", MEDIAN($AY$203:$AY$212))))</f>
        <v>2.7039690900000002</v>
      </c>
      <c r="AZ202">
        <f ca="1">IF(ISERROR(IF(MEDIAN($AZ$203:$AZ$212) = 0, "", MEDIAN($AZ$203:$AZ$212))), "", (IF(MEDIAN($AZ$203:$AZ$212) = 0, "", MEDIAN($AZ$203:$AZ$212))))</f>
        <v>2.6548821550000001</v>
      </c>
      <c r="BA202">
        <f ca="1">IF(ISERROR(IF(MEDIAN($BA$203:$BA$212) = 0, "", MEDIAN($BA$203:$BA$212))), "", (IF(MEDIAN($BA$203:$BA$212) = 0, "", MEDIAN($BA$203:$BA$212))))</f>
        <v>2.6360356299999999</v>
      </c>
      <c r="BB202">
        <f ca="1">IF(ISERROR(IF(MEDIAN($BB$203:$BB$212) = 0, "", MEDIAN($BB$203:$BB$212))), "", (IF(MEDIAN($BB$203:$BB$212) = 0, "", MEDIAN($BB$203:$BB$212))))</f>
        <v>2.8955317639999998</v>
      </c>
      <c r="BC202">
        <f ca="1">IF(ISERROR(IF(MEDIAN($BC$203:$BC$212) = 0, "", MEDIAN($BC$203:$BC$212))), "", (IF(MEDIAN($BC$203:$BC$212) = 0, "", MEDIAN($BC$203:$BC$212))))</f>
        <v>2.7320172010000001</v>
      </c>
      <c r="BD202">
        <f ca="1">IF(ISERROR(IF(MEDIAN($BD$203:$BD$212) = 0, "", MEDIAN($BD$203:$BD$212))), "", (IF(MEDIAN($BD$203:$BD$212) = 0, "", MEDIAN($BD$203:$BD$212))))</f>
        <v>2.7785729030000001</v>
      </c>
      <c r="BE202">
        <f ca="1">IF(ISERROR(IF(MEDIAN($BE$203:$BE$212) = 0, "", MEDIAN($BE$203:$BE$212))), "", (IF(MEDIAN($BE$203:$BE$212) = 0, "", MEDIAN($BE$203:$BE$212))))</f>
        <v>2.954793059</v>
      </c>
      <c r="BF202">
        <f ca="1">IF(ISERROR(IF(MEDIAN($BF$203:$BF$212) = 0, "", MEDIAN($BF$203:$BF$212))), "", (IF(MEDIAN($BF$203:$BF$212) = 0, "", MEDIAN($BF$203:$BF$212))))</f>
        <v>3.014665393</v>
      </c>
      <c r="BG202">
        <f ca="1">IF(ISERROR(IF(MEDIAN($BG$203:$BG$212) = 0, "", MEDIAN($BG$203:$BG$212))), "", (IF(MEDIAN($BG$203:$BG$212) = 0, "", MEDIAN($BG$203:$BG$212))))</f>
        <v>2.9604493330000001</v>
      </c>
      <c r="BH202">
        <f ca="1">IF(ISERROR(IF(MEDIAN($BH$203:$BH$212) = 0, "", MEDIAN($BH$203:$BH$212))), "", (IF(MEDIAN($BH$203:$BH$212) = 0, "", MEDIAN($BH$203:$BH$212))))</f>
        <v>3.0644730990000002</v>
      </c>
      <c r="BI202">
        <f ca="1">IF(ISERROR(IF(MEDIAN($BI$203:$BI$212) = 0, "", MEDIAN($BI$203:$BI$212))), "", (IF(MEDIAN($BI$203:$BI$212) = 0, "", MEDIAN($BI$203:$BI$212))))</f>
        <v>3.4382288999999999</v>
      </c>
      <c r="BJ202">
        <f ca="1">IF(ISERROR(IF(MEDIAN($BJ$203:$BJ$212) = 0, "", MEDIAN($BJ$203:$BJ$212))), "", (IF(MEDIAN($BJ$203:$BJ$212) = 0, "", MEDIAN($BJ$203:$BJ$212))))</f>
        <v>3.1250816850000001</v>
      </c>
      <c r="BK202">
        <f ca="1">IF(ISERROR(IF(MEDIAN($BK$203:$BK$212) = 0, "", MEDIAN($BK$203:$BK$212))), "", (IF(MEDIAN($BK$203:$BK$212) = 0, "", MEDIAN($BK$203:$BK$212))))</f>
        <v>3.137585815</v>
      </c>
      <c r="BL202">
        <f ca="1">IF(ISERROR(IF(MEDIAN($BL$203:$BL$212) = 0, "", MEDIAN($BL$203:$BL$212))), "", (IF(MEDIAN($BL$203:$BL$212) = 0, "", MEDIAN($BL$203:$BL$212))))</f>
        <v>3.3651588399999999</v>
      </c>
      <c r="BM202">
        <f ca="1">IF(ISERROR(IF(MEDIAN($BM$203:$BM$212) = 0, "", MEDIAN($BM$203:$BM$212))), "", (IF(MEDIAN($BM$203:$BM$212) = 0, "", MEDIAN($BM$203:$BM$212))))</f>
        <v>3.3017284555000002</v>
      </c>
      <c r="BN202" t="str">
        <f>""</f>
        <v/>
      </c>
      <c r="BO202">
        <f>3.105514394</f>
        <v>3.1055143940000001</v>
      </c>
      <c r="BP202">
        <f>3.694686867</f>
        <v>3.6946868670000002</v>
      </c>
      <c r="BQ202">
        <f>3.562910895</f>
        <v>3.5629108949999999</v>
      </c>
      <c r="BR202">
        <f>3.593864405</f>
        <v>3.5938644050000002</v>
      </c>
      <c r="BS202">
        <f>3.806880149</f>
        <v>3.8068801489999999</v>
      </c>
      <c r="BT202">
        <f>3.423528609</f>
        <v>3.4235286089999999</v>
      </c>
      <c r="BU202">
        <f>3.704736482</f>
        <v>3.7047364819999999</v>
      </c>
      <c r="BV202">
        <f>3.357893976</f>
        <v>3.3578939760000002</v>
      </c>
      <c r="BW202">
        <f>3.38459083</f>
        <v>3.3845908300000001</v>
      </c>
      <c r="BX202">
        <f>3.158400461</f>
        <v>3.1584004609999998</v>
      </c>
      <c r="BY202">
        <f>3.464695302</f>
        <v>3.464695302</v>
      </c>
      <c r="BZ202">
        <f>3.217319866</f>
        <v>3.217319866</v>
      </c>
      <c r="CA202">
        <f>3.056481932</f>
        <v>3.0564819320000001</v>
      </c>
      <c r="CB202">
        <f>3.168640563</f>
        <v>3.1686405629999999</v>
      </c>
      <c r="CC202">
        <f>3.051634033</f>
        <v>3.051634033</v>
      </c>
      <c r="CD202">
        <f>3.216691743</f>
        <v>3.2166917430000002</v>
      </c>
      <c r="CE202">
        <f>3.012890152</f>
        <v>3.0128901520000002</v>
      </c>
      <c r="CF202">
        <f>3.034238245</f>
        <v>3.0342382450000001</v>
      </c>
      <c r="CG202">
        <f>3.118790708</f>
        <v>3.1187907080000001</v>
      </c>
      <c r="CH202">
        <f>3.026125155</f>
        <v>3.0261251549999999</v>
      </c>
      <c r="CI202">
        <f>2.820670978</f>
        <v>2.8206709779999999</v>
      </c>
      <c r="CJ202">
        <f>2.754196808</f>
        <v>2.7541968080000001</v>
      </c>
      <c r="CK202">
        <f>2.893978905</f>
        <v>2.893978905</v>
      </c>
      <c r="CL202">
        <f>2.833690713</f>
        <v>2.8336907130000002</v>
      </c>
      <c r="CM202">
        <f>2.647644924</f>
        <v>2.6476449240000002</v>
      </c>
      <c r="CN202">
        <f>2.622278605</f>
        <v>2.622278605</v>
      </c>
      <c r="CO202">
        <f>2.740081235</f>
        <v>2.7400812349999999</v>
      </c>
      <c r="CP202">
        <f>2.654259986</f>
        <v>2.654259986</v>
      </c>
      <c r="CQ202">
        <f>2.603275902</f>
        <v>2.603275902</v>
      </c>
      <c r="CR202">
        <f>2.556588983</f>
        <v>2.5565889830000001</v>
      </c>
      <c r="CS202">
        <f>2.650833017</f>
        <v>2.6508330170000001</v>
      </c>
      <c r="CT202">
        <f>2.661028892</f>
        <v>2.661028892</v>
      </c>
      <c r="CU202">
        <f>2.401054666</f>
        <v>2.4010546659999998</v>
      </c>
      <c r="CV202">
        <f>2.885582453</f>
        <v>2.885582453</v>
      </c>
      <c r="CW202">
        <f>3.07804604</f>
        <v>3.0780460399999998</v>
      </c>
      <c r="CX202">
        <f>2.983443103</f>
        <v>2.9834431029999999</v>
      </c>
      <c r="CY202">
        <f>2.898259516</f>
        <v>2.898259516</v>
      </c>
      <c r="CZ202">
        <f>2.748345879</f>
        <v>2.7483458789999999</v>
      </c>
      <c r="DA202">
        <f>2.780644552</f>
        <v>2.780644552</v>
      </c>
      <c r="DB202">
        <f>2.604152407</f>
        <v>2.6041524069999999</v>
      </c>
      <c r="DC202">
        <f>2.619891952</f>
        <v>2.6198919520000001</v>
      </c>
      <c r="DD202">
        <f>2.655632163</f>
        <v>2.6556321629999999</v>
      </c>
      <c r="DE202">
        <f>2.670755689</f>
        <v>2.6707556889999999</v>
      </c>
      <c r="DF202">
        <f>2.862116534</f>
        <v>2.8621165340000001</v>
      </c>
      <c r="DG202">
        <f>2.70396909</f>
        <v>2.7039690900000002</v>
      </c>
      <c r="DH202">
        <f>2.654882155</f>
        <v>2.6548821550000001</v>
      </c>
      <c r="DI202">
        <f>2.63603563</f>
        <v>2.6360356299999999</v>
      </c>
      <c r="DJ202">
        <f>2.895531764</f>
        <v>2.8955317639999998</v>
      </c>
      <c r="DK202">
        <f>2.732017201</f>
        <v>2.7320172010000001</v>
      </c>
      <c r="DL202">
        <f>2.778572903</f>
        <v>2.7785729030000001</v>
      </c>
      <c r="DM202">
        <f>2.954793059</f>
        <v>2.954793059</v>
      </c>
      <c r="DN202">
        <f>3.014665393</f>
        <v>3.014665393</v>
      </c>
      <c r="DO202">
        <f>2.960449333</f>
        <v>2.9604493330000001</v>
      </c>
      <c r="DP202">
        <f>3.064473099</f>
        <v>3.0644730990000002</v>
      </c>
      <c r="DQ202">
        <f>3.4382289</f>
        <v>3.4382288999999999</v>
      </c>
      <c r="DR202">
        <f>3.125081685</f>
        <v>3.1250816850000001</v>
      </c>
      <c r="DS202">
        <f>3.137585815</f>
        <v>3.137585815</v>
      </c>
      <c r="DT202">
        <f>3.36515884</f>
        <v>3.3651588399999999</v>
      </c>
      <c r="DU202">
        <f>3.301728456</f>
        <v>3.3017284560000002</v>
      </c>
    </row>
    <row r="203" spans="1:125">
      <c r="A203" t="str">
        <f>"    Boston Properties Inc"</f>
        <v xml:space="preserve">    Boston Properties Inc</v>
      </c>
      <c r="B203" t="str">
        <f>"BXP US Equity"</f>
        <v>BXP US Equity</v>
      </c>
      <c r="C203" t="str">
        <f t="shared" ref="C203:C212" si="54">"RX951"</f>
        <v>RX951</v>
      </c>
      <c r="D203" t="str">
        <f t="shared" ref="D203:D212" si="55">"EBITDA_TO_INTEREST_EXPN"</f>
        <v>EBITDA_TO_INTEREST_EXPN</v>
      </c>
      <c r="E203" t="str">
        <f t="shared" ref="E203:E212" si="56">"动态"</f>
        <v>动态</v>
      </c>
      <c r="F203" t="str">
        <f ca="1">IF(AND(ISNUMBER($F$506),$B$294=1),$F$506,HLOOKUP(INDIRECT(ADDRESS(2,COLUMN())),OFFSET($BN$2,0,0,ROW()-1,60),ROW()-1,FALSE))</f>
        <v/>
      </c>
      <c r="G203">
        <f ca="1">IF(AND(ISNUMBER($G$506),$B$294=1),$G$506,HLOOKUP(INDIRECT(ADDRESS(2,COLUMN())),OFFSET($BN$2,0,0,ROW()-1,60),ROW()-1,FALSE))</f>
        <v>4.1812862309999996</v>
      </c>
      <c r="H203">
        <f ca="1">IF(AND(ISNUMBER($H$506),$B$294=1),$H$506,HLOOKUP(INDIRECT(ADDRESS(2,COLUMN())),OFFSET($BN$2,0,0,ROW()-1,60),ROW()-1,FALSE))</f>
        <v>4.1930306850000001</v>
      </c>
      <c r="I203">
        <f ca="1">IF(AND(ISNUMBER($I$506),$B$294=1),$I$506,HLOOKUP(INDIRECT(ADDRESS(2,COLUMN())),OFFSET($BN$2,0,0,ROW()-1,60),ROW()-1,FALSE))</f>
        <v>4.105493836</v>
      </c>
      <c r="J203">
        <f ca="1">IF(AND(ISNUMBER($J$506),$B$294=1),$J$506,HLOOKUP(INDIRECT(ADDRESS(2,COLUMN())),OFFSET($BN$2,0,0,ROW()-1,60),ROW()-1,FALSE))</f>
        <v>3.82513032</v>
      </c>
      <c r="K203">
        <f ca="1">IF(AND(ISNUMBER($K$506),$B$294=1),$K$506,HLOOKUP(INDIRECT(ADDRESS(2,COLUMN())),OFFSET($BN$2,0,0,ROW()-1,60),ROW()-1,FALSE))</f>
        <v>3.8393601369999999</v>
      </c>
      <c r="L203">
        <f ca="1">IF(AND(ISNUMBER($L$506),$B$294=1),$L$506,HLOOKUP(INDIRECT(ADDRESS(2,COLUMN())),OFFSET($BN$2,0,0,ROW()-1,60),ROW()-1,FALSE))</f>
        <v>3.453264017</v>
      </c>
      <c r="M203">
        <f ca="1">IF(AND(ISNUMBER($M$506),$B$294=1),$M$506,HLOOKUP(INDIRECT(ADDRESS(2,COLUMN())),OFFSET($BN$2,0,0,ROW()-1,60),ROW()-1,FALSE))</f>
        <v>3.5360799219999999</v>
      </c>
      <c r="N203">
        <f ca="1">IF(AND(ISNUMBER($N$506),$B$294=1),$N$506,HLOOKUP(INDIRECT(ADDRESS(2,COLUMN())),OFFSET($BN$2,0,0,ROW()-1,60),ROW()-1,FALSE))</f>
        <v>3.8914147890000002</v>
      </c>
      <c r="O203">
        <f ca="1">IF(AND(ISNUMBER($O$506),$B$294=1),$O$506,HLOOKUP(INDIRECT(ADDRESS(2,COLUMN())),OFFSET($BN$2,0,0,ROW()-1,60),ROW()-1,FALSE))</f>
        <v>3.5312399929999998</v>
      </c>
      <c r="P203">
        <f ca="1">IF(AND(ISNUMBER($P$506),$B$294=1),$P$506,HLOOKUP(INDIRECT(ADDRESS(2,COLUMN())),OFFSET($BN$2,0,0,ROW()-1,60),ROW()-1,FALSE))</f>
        <v>3.502028015</v>
      </c>
      <c r="Q203">
        <f ca="1">IF(AND(ISNUMBER($Q$506),$B$294=1),$Q$506,HLOOKUP(INDIRECT(ADDRESS(2,COLUMN())),OFFSET($BN$2,0,0,ROW()-1,60),ROW()-1,FALSE))</f>
        <v>3.4345919249999999</v>
      </c>
      <c r="R203">
        <f ca="1">IF(AND(ISNUMBER($R$506),$B$294=1),$R$506,HLOOKUP(INDIRECT(ADDRESS(2,COLUMN())),OFFSET($BN$2,0,0,ROW()-1,60),ROW()-1,FALSE))</f>
        <v>3.31410392</v>
      </c>
      <c r="S203">
        <f ca="1">IF(AND(ISNUMBER($S$506),$B$294=1),$S$506,HLOOKUP(INDIRECT(ADDRESS(2,COLUMN())),OFFSET($BN$2,0,0,ROW()-1,60),ROW()-1,FALSE))</f>
        <v>3.1489940970000001</v>
      </c>
      <c r="T203">
        <f ca="1">IF(AND(ISNUMBER($T$506),$B$294=1),$T$506,HLOOKUP(INDIRECT(ADDRESS(2,COLUMN())),OFFSET($BN$2,0,0,ROW()-1,60),ROW()-1,FALSE))</f>
        <v>3.2835104319999999</v>
      </c>
      <c r="U203">
        <f ca="1">IF(AND(ISNUMBER($U$506),$B$294=1),$U$506,HLOOKUP(INDIRECT(ADDRESS(2,COLUMN())),OFFSET($BN$2,0,0,ROW()-1,60),ROW()-1,FALSE))</f>
        <v>3.2069798249999999</v>
      </c>
      <c r="V203">
        <f ca="1">IF(AND(ISNUMBER($V$506),$B$294=1),$V$506,HLOOKUP(INDIRECT(ADDRESS(2,COLUMN())),OFFSET($BN$2,0,0,ROW()-1,60),ROW()-1,FALSE))</f>
        <v>2.916383395</v>
      </c>
      <c r="W203">
        <f ca="1">IF(AND(ISNUMBER($W$506),$B$294=1),$W$506,HLOOKUP(INDIRECT(ADDRESS(2,COLUMN())),OFFSET($BN$2,0,0,ROW()-1,60),ROW()-1,FALSE))</f>
        <v>2.8926725769999999</v>
      </c>
      <c r="X203">
        <f ca="1">IF(AND(ISNUMBER($X$506),$B$294=1),$X$506,HLOOKUP(INDIRECT(ADDRESS(2,COLUMN())),OFFSET($BN$2,0,0,ROW()-1,60),ROW()-1,FALSE))</f>
        <v>2.790682066</v>
      </c>
      <c r="Y203">
        <f ca="1">IF(AND(ISNUMBER($Y$506),$B$294=1),$Y$506,HLOOKUP(INDIRECT(ADDRESS(2,COLUMN())),OFFSET($BN$2,0,0,ROW()-1,60),ROW()-1,FALSE))</f>
        <v>2.937531511</v>
      </c>
      <c r="Z203">
        <f ca="1">IF(AND(ISNUMBER($Z$506),$B$294=1),$Z$506,HLOOKUP(INDIRECT(ADDRESS(2,COLUMN())),OFFSET($BN$2,0,0,ROW()-1,60),ROW()-1,FALSE))</f>
        <v>2.4811864629999998</v>
      </c>
      <c r="AA203">
        <f ca="1">IF(AND(ISNUMBER($AA$506),$B$294=1),$AA$506,HLOOKUP(INDIRECT(ADDRESS(2,COLUMN())),OFFSET($BN$2,0,0,ROW()-1,60),ROW()-1,FALSE))</f>
        <v>2.8054415279999998</v>
      </c>
      <c r="AB203">
        <f ca="1">IF(AND(ISNUMBER($AB$506),$B$294=1),$AB$506,HLOOKUP(INDIRECT(ADDRESS(2,COLUMN())),OFFSET($BN$2,0,0,ROW()-1,60),ROW()-1,FALSE))</f>
        <v>2.610511282</v>
      </c>
      <c r="AC203">
        <f ca="1">IF(AND(ISNUMBER($AC$506),$B$294=1),$AC$506,HLOOKUP(INDIRECT(ADDRESS(2,COLUMN())),OFFSET($BN$2,0,0,ROW()-1,60),ROW()-1,FALSE))</f>
        <v>2.856768201</v>
      </c>
      <c r="AD203">
        <f ca="1">IF(AND(ISNUMBER($AD$506),$B$294=1),$AD$506,HLOOKUP(INDIRECT(ADDRESS(2,COLUMN())),OFFSET($BN$2,0,0,ROW()-1,60),ROW()-1,FALSE))</f>
        <v>2.454856302</v>
      </c>
      <c r="AE203">
        <f ca="1">IF(AND(ISNUMBER($AE$506),$B$294=1),$AE$506,HLOOKUP(INDIRECT(ADDRESS(2,COLUMN())),OFFSET($BN$2,0,0,ROW()-1,60),ROW()-1,FALSE))</f>
        <v>2.6038935429999999</v>
      </c>
      <c r="AF203">
        <f ca="1">IF(AND(ISNUMBER($AF$506),$B$294=1),$AF$506,HLOOKUP(INDIRECT(ADDRESS(2,COLUMN())),OFFSET($BN$2,0,0,ROW()-1,60),ROW()-1,FALSE))</f>
        <v>2.8735662390000001</v>
      </c>
      <c r="AG203">
        <f ca="1">IF(AND(ISNUMBER($AG$506),$B$294=1),$AG$506,HLOOKUP(INDIRECT(ADDRESS(2,COLUMN())),OFFSET($BN$2,0,0,ROW()-1,60),ROW()-1,FALSE))</f>
        <v>2.798515589</v>
      </c>
      <c r="AH203">
        <f ca="1">IF(AND(ISNUMBER($AH$506),$B$294=1),$AH$506,HLOOKUP(INDIRECT(ADDRESS(2,COLUMN())),OFFSET($BN$2,0,0,ROW()-1,60),ROW()-1,FALSE))</f>
        <v>2.5102359810000001</v>
      </c>
      <c r="AI203">
        <f ca="1">IF(AND(ISNUMBER($AI$506),$B$294=1),$AI$506,HLOOKUP(INDIRECT(ADDRESS(2,COLUMN())),OFFSET($BN$2,0,0,ROW()-1,60),ROW()-1,FALSE))</f>
        <v>2.621203575</v>
      </c>
      <c r="AJ203">
        <f ca="1">IF(AND(ISNUMBER($AJ$506),$B$294=1),$AJ$506,HLOOKUP(INDIRECT(ADDRESS(2,COLUMN())),OFFSET($BN$2,0,0,ROW()-1,60),ROW()-1,FALSE))</f>
        <v>2.410110913</v>
      </c>
      <c r="AK203">
        <f ca="1">IF(AND(ISNUMBER($AK$506),$B$294=1),$AK$506,HLOOKUP(INDIRECT(ADDRESS(2,COLUMN())),OFFSET($BN$2,0,0,ROW()-1,60),ROW()-1,FALSE))</f>
        <v>2.5728592840000002</v>
      </c>
      <c r="AL203">
        <f ca="1">IF(AND(ISNUMBER($AL$506),$B$294=1),$AL$506,HLOOKUP(INDIRECT(ADDRESS(2,COLUMN())),OFFSET($BN$2,0,0,ROW()-1,60),ROW()-1,FALSE))</f>
        <v>2.4013734800000002</v>
      </c>
      <c r="AM203">
        <f ca="1">IF(AND(ISNUMBER($AM$506),$B$294=1),$AM$506,HLOOKUP(INDIRECT(ADDRESS(2,COLUMN())),OFFSET($BN$2,0,0,ROW()-1,60),ROW()-1,FALSE))</f>
        <v>2.568621002</v>
      </c>
      <c r="AN203">
        <f ca="1">IF(AND(ISNUMBER($AN$506),$B$294=1),$AN$506,HLOOKUP(INDIRECT(ADDRESS(2,COLUMN())),OFFSET($BN$2,0,0,ROW()-1,60),ROW()-1,FALSE))</f>
        <v>2.8911142820000002</v>
      </c>
      <c r="AO203">
        <f ca="1">IF(AND(ISNUMBER($AO$506),$B$294=1),$AO$506,HLOOKUP(INDIRECT(ADDRESS(2,COLUMN())),OFFSET($BN$2,0,0,ROW()-1,60),ROW()-1,FALSE))</f>
        <v>3.0632050159999999</v>
      </c>
      <c r="AP203">
        <f ca="1">IF(AND(ISNUMBER($AP$506),$B$294=1),$AP$506,HLOOKUP(INDIRECT(ADDRESS(2,COLUMN())),OFFSET($BN$2,0,0,ROW()-1,60),ROW()-1,FALSE))</f>
        <v>2.572215887</v>
      </c>
      <c r="AQ203">
        <f ca="1">IF(AND(ISNUMBER($AQ$506),$B$294=1),$AQ$506,HLOOKUP(INDIRECT(ADDRESS(2,COLUMN())),OFFSET($BN$2,0,0,ROW()-1,60),ROW()-1,FALSE))</f>
        <v>3.0613349900000002</v>
      </c>
      <c r="AR203">
        <f ca="1">IF(AND(ISNUMBER($AR$506),$B$294=1),$AR$506,HLOOKUP(INDIRECT(ADDRESS(2,COLUMN())),OFFSET($BN$2,0,0,ROW()-1,60),ROW()-1,FALSE))</f>
        <v>2.7483458789999999</v>
      </c>
      <c r="AS203">
        <f ca="1">IF(AND(ISNUMBER($AS$506),$B$294=1),$AS$506,HLOOKUP(INDIRECT(ADDRESS(2,COLUMN())),OFFSET($BN$2,0,0,ROW()-1,60),ROW()-1,FALSE))</f>
        <v>3.256197512</v>
      </c>
      <c r="AT203">
        <f ca="1">IF(AND(ISNUMBER($AT$506),$B$294=1),$AT$506,HLOOKUP(INDIRECT(ADDRESS(2,COLUMN())),OFFSET($BN$2,0,0,ROW()-1,60),ROW()-1,FALSE))</f>
        <v>3.1479529909999999</v>
      </c>
      <c r="AU203">
        <f ca="1">IF(AND(ISNUMBER($AU$506),$B$294=1),$AU$506,HLOOKUP(INDIRECT(ADDRESS(2,COLUMN())),OFFSET($BN$2,0,0,ROW()-1,60),ROW()-1,FALSE))</f>
        <v>3.4984550950000002</v>
      </c>
      <c r="AV203">
        <f ca="1">IF(AND(ISNUMBER($AV$506),$B$294=1),$AV$506,HLOOKUP(INDIRECT(ADDRESS(2,COLUMN())),OFFSET($BN$2,0,0,ROW()-1,60),ROW()-1,FALSE))</f>
        <v>3.2792403719999998</v>
      </c>
      <c r="AW203">
        <f ca="1">IF(AND(ISNUMBER($AW$506),$B$294=1),$AW$506,HLOOKUP(INDIRECT(ADDRESS(2,COLUMN())),OFFSET($BN$2,0,0,ROW()-1,60),ROW()-1,FALSE))</f>
        <v>3.2166714129999998</v>
      </c>
      <c r="AX203">
        <f ca="1">IF(AND(ISNUMBER($AX$506),$B$294=1),$AX$506,HLOOKUP(INDIRECT(ADDRESS(2,COLUMN())),OFFSET($BN$2,0,0,ROW()-1,60),ROW()-1,FALSE))</f>
        <v>3.0614939259999998</v>
      </c>
      <c r="AY203">
        <f ca="1">IF(AND(ISNUMBER($AY$506),$B$294=1),$AY$506,HLOOKUP(INDIRECT(ADDRESS(2,COLUMN())),OFFSET($BN$2,0,0,ROW()-1,60),ROW()-1,FALSE))</f>
        <v>3.1811321279999998</v>
      </c>
      <c r="AZ203">
        <f ca="1">IF(AND(ISNUMBER($AZ$506),$B$294=1),$AZ$506,HLOOKUP(INDIRECT(ADDRESS(2,COLUMN())),OFFSET($BN$2,0,0,ROW()-1,60),ROW()-1,FALSE))</f>
        <v>3.1293988119999998</v>
      </c>
      <c r="BA203">
        <f ca="1">IF(AND(ISNUMBER($BA$506),$B$294=1),$BA$506,HLOOKUP(INDIRECT(ADDRESS(2,COLUMN())),OFFSET($BN$2,0,0,ROW()-1,60),ROW()-1,FALSE))</f>
        <v>2.9025736470000001</v>
      </c>
      <c r="BB203">
        <f ca="1">IF(AND(ISNUMBER($BB$506),$B$294=1),$BB$506,HLOOKUP(INDIRECT(ADDRESS(2,COLUMN())),OFFSET($BN$2,0,0,ROW()-1,60),ROW()-1,FALSE))</f>
        <v>2.8955317639999998</v>
      </c>
      <c r="BC203">
        <f ca="1">IF(AND(ISNUMBER($BC$506),$B$294=1),$BC$506,HLOOKUP(INDIRECT(ADDRESS(2,COLUMN())),OFFSET($BN$2,0,0,ROW()-1,60),ROW()-1,FALSE))</f>
        <v>3.0058686699999999</v>
      </c>
      <c r="BD203">
        <f ca="1">IF(AND(ISNUMBER($BD$506),$B$294=1),$BD$506,HLOOKUP(INDIRECT(ADDRESS(2,COLUMN())),OFFSET($BN$2,0,0,ROW()-1,60),ROW()-1,FALSE))</f>
        <v>2.9411096429999999</v>
      </c>
      <c r="BE203">
        <f ca="1">IF(AND(ISNUMBER($BE$506),$B$294=1),$BE$506,HLOOKUP(INDIRECT(ADDRESS(2,COLUMN())),OFFSET($BN$2,0,0,ROW()-1,60),ROW()-1,FALSE))</f>
        <v>2.875078292</v>
      </c>
      <c r="BF203">
        <f ca="1">IF(AND(ISNUMBER($BF$506),$B$294=1),$BF$506,HLOOKUP(INDIRECT(ADDRESS(2,COLUMN())),OFFSET($BN$2,0,0,ROW()-1,60),ROW()-1,FALSE))</f>
        <v>2.7791037630000002</v>
      </c>
      <c r="BG203">
        <f ca="1">IF(AND(ISNUMBER($BG$506),$B$294=1),$BG$506,HLOOKUP(INDIRECT(ADDRESS(2,COLUMN())),OFFSET($BN$2,0,0,ROW()-1,60),ROW()-1,FALSE))</f>
        <v>2.8037365520000002</v>
      </c>
      <c r="BH203">
        <f ca="1">IF(AND(ISNUMBER($BH$506),$B$294=1),$BH$506,HLOOKUP(INDIRECT(ADDRESS(2,COLUMN())),OFFSET($BN$2,0,0,ROW()-1,60),ROW()-1,FALSE))</f>
        <v>2.8926355890000002</v>
      </c>
      <c r="BI203">
        <f ca="1">IF(AND(ISNUMBER($BI$506),$B$294=1),$BI$506,HLOOKUP(INDIRECT(ADDRESS(2,COLUMN())),OFFSET($BN$2,0,0,ROW()-1,60),ROW()-1,FALSE))</f>
        <v>2.908395633</v>
      </c>
      <c r="BJ203">
        <f ca="1">IF(AND(ISNUMBER($BJ$506),$B$294=1),$BJ$506,HLOOKUP(INDIRECT(ADDRESS(2,COLUMN())),OFFSET($BN$2,0,0,ROW()-1,60),ROW()-1,FALSE))</f>
        <v>2.808155562</v>
      </c>
      <c r="BK203">
        <f ca="1">IF(AND(ISNUMBER($BK$506),$B$294=1),$BK$506,HLOOKUP(INDIRECT(ADDRESS(2,COLUMN())),OFFSET($BN$2,0,0,ROW()-1,60),ROW()-1,FALSE))</f>
        <v>2.778856266</v>
      </c>
      <c r="BL203">
        <f ca="1">IF(AND(ISNUMBER($BL$506),$B$294=1),$BL$506,HLOOKUP(INDIRECT(ADDRESS(2,COLUMN())),OFFSET($BN$2,0,0,ROW()-1,60),ROW()-1,FALSE))</f>
        <v>2.635082207</v>
      </c>
      <c r="BM203" t="str">
        <f ca="1">IF(AND(ISNUMBER($BM$506),$B$294=1),$BM$506,HLOOKUP(INDIRECT(ADDRESS(2,COLUMN())),OFFSET($BN$2,0,0,ROW()-1,60),ROW()-1,FALSE))</f>
        <v/>
      </c>
      <c r="BN203" t="str">
        <f>""</f>
        <v/>
      </c>
      <c r="BO203">
        <f>4.181286231</f>
        <v>4.1812862309999996</v>
      </c>
      <c r="BP203">
        <f>4.193030685</f>
        <v>4.1930306850000001</v>
      </c>
      <c r="BQ203">
        <f>4.105493836</f>
        <v>4.105493836</v>
      </c>
      <c r="BR203">
        <f>3.82513032</f>
        <v>3.82513032</v>
      </c>
      <c r="BS203">
        <f>3.839360137</f>
        <v>3.8393601369999999</v>
      </c>
      <c r="BT203">
        <f>3.453264017</f>
        <v>3.453264017</v>
      </c>
      <c r="BU203">
        <f>3.536079922</f>
        <v>3.5360799219999999</v>
      </c>
      <c r="BV203">
        <f>3.891414789</f>
        <v>3.8914147890000002</v>
      </c>
      <c r="BW203">
        <f>3.531239993</f>
        <v>3.5312399929999998</v>
      </c>
      <c r="BX203">
        <f>3.502028015</f>
        <v>3.502028015</v>
      </c>
      <c r="BY203">
        <f>3.434591925</f>
        <v>3.4345919249999999</v>
      </c>
      <c r="BZ203">
        <f>3.31410392</f>
        <v>3.31410392</v>
      </c>
      <c r="CA203">
        <f>3.148994097</f>
        <v>3.1489940970000001</v>
      </c>
      <c r="CB203">
        <f>3.283510432</f>
        <v>3.2835104319999999</v>
      </c>
      <c r="CC203">
        <f>3.206979825</f>
        <v>3.2069798249999999</v>
      </c>
      <c r="CD203">
        <f>2.916383395</f>
        <v>2.916383395</v>
      </c>
      <c r="CE203">
        <f>2.892672577</f>
        <v>2.8926725769999999</v>
      </c>
      <c r="CF203">
        <f>2.790682066</f>
        <v>2.790682066</v>
      </c>
      <c r="CG203">
        <f>2.937531511</f>
        <v>2.937531511</v>
      </c>
      <c r="CH203">
        <f>2.481186463</f>
        <v>2.4811864629999998</v>
      </c>
      <c r="CI203">
        <f>2.805441528</f>
        <v>2.8054415279999998</v>
      </c>
      <c r="CJ203">
        <f>2.610511282</f>
        <v>2.610511282</v>
      </c>
      <c r="CK203">
        <f>2.856768201</f>
        <v>2.856768201</v>
      </c>
      <c r="CL203">
        <f>2.454856302</f>
        <v>2.454856302</v>
      </c>
      <c r="CM203">
        <f>2.603893543</f>
        <v>2.6038935429999999</v>
      </c>
      <c r="CN203">
        <f>2.873566239</f>
        <v>2.8735662390000001</v>
      </c>
      <c r="CO203">
        <f>2.798515589</f>
        <v>2.798515589</v>
      </c>
      <c r="CP203">
        <f>2.510235981</f>
        <v>2.5102359810000001</v>
      </c>
      <c r="CQ203">
        <f>2.621203575</f>
        <v>2.621203575</v>
      </c>
      <c r="CR203">
        <f>2.410110913</f>
        <v>2.410110913</v>
      </c>
      <c r="CS203">
        <f>2.572859284</f>
        <v>2.5728592840000002</v>
      </c>
      <c r="CT203">
        <f>2.40137348</f>
        <v>2.4013734800000002</v>
      </c>
      <c r="CU203">
        <f>2.568621002</f>
        <v>2.568621002</v>
      </c>
      <c r="CV203">
        <f>2.891114282</f>
        <v>2.8911142820000002</v>
      </c>
      <c r="CW203">
        <f>3.063205016</f>
        <v>3.0632050159999999</v>
      </c>
      <c r="CX203">
        <f>2.572215887</f>
        <v>2.572215887</v>
      </c>
      <c r="CY203">
        <f>3.06133499</f>
        <v>3.0613349900000002</v>
      </c>
      <c r="CZ203">
        <f>2.748345879</f>
        <v>2.7483458789999999</v>
      </c>
      <c r="DA203">
        <f>3.256197512</f>
        <v>3.256197512</v>
      </c>
      <c r="DB203">
        <f>3.147952991</f>
        <v>3.1479529909999999</v>
      </c>
      <c r="DC203">
        <f>3.498455095</f>
        <v>3.4984550950000002</v>
      </c>
      <c r="DD203">
        <f>3.279240372</f>
        <v>3.2792403719999998</v>
      </c>
      <c r="DE203">
        <f>3.216671413</f>
        <v>3.2166714129999998</v>
      </c>
      <c r="DF203">
        <f>3.061493926</f>
        <v>3.0614939259999998</v>
      </c>
      <c r="DG203">
        <f>3.181132128</f>
        <v>3.1811321279999998</v>
      </c>
      <c r="DH203">
        <f>3.129398812</f>
        <v>3.1293988119999998</v>
      </c>
      <c r="DI203">
        <f>2.902573647</f>
        <v>2.9025736470000001</v>
      </c>
      <c r="DJ203">
        <f>2.895531764</f>
        <v>2.8955317639999998</v>
      </c>
      <c r="DK203">
        <f>3.00586867</f>
        <v>3.0058686699999999</v>
      </c>
      <c r="DL203">
        <f>2.941109643</f>
        <v>2.9411096429999999</v>
      </c>
      <c r="DM203">
        <f>2.875078292</f>
        <v>2.875078292</v>
      </c>
      <c r="DN203">
        <f>2.779103763</f>
        <v>2.7791037630000002</v>
      </c>
      <c r="DO203">
        <f>2.803736552</f>
        <v>2.8037365520000002</v>
      </c>
      <c r="DP203">
        <f>2.892635589</f>
        <v>2.8926355890000002</v>
      </c>
      <c r="DQ203">
        <f>2.908395633</f>
        <v>2.908395633</v>
      </c>
      <c r="DR203">
        <f>2.808155562</f>
        <v>2.808155562</v>
      </c>
      <c r="DS203">
        <f>2.778856266</f>
        <v>2.778856266</v>
      </c>
      <c r="DT203">
        <f>2.635082207</f>
        <v>2.635082207</v>
      </c>
      <c r="DU203" t="str">
        <f>""</f>
        <v/>
      </c>
    </row>
    <row r="204" spans="1:125">
      <c r="A204" t="str">
        <f>"    Brandywine Realty Trust"</f>
        <v xml:space="preserve">    Brandywine Realty Trust</v>
      </c>
      <c r="B204" t="str">
        <f>"BDN US Equity"</f>
        <v>BDN US Equity</v>
      </c>
      <c r="C204" t="str">
        <f t="shared" si="54"/>
        <v>RX951</v>
      </c>
      <c r="D204" t="str">
        <f t="shared" si="55"/>
        <v>EBITDA_TO_INTEREST_EXPN</v>
      </c>
      <c r="E204" t="str">
        <f t="shared" si="56"/>
        <v>动态</v>
      </c>
      <c r="F204" t="str">
        <f ca="1">IF(AND(ISNUMBER($F$507),$B$294=1),$F$507,HLOOKUP(INDIRECT(ADDRESS(2,COLUMN())),OFFSET($BN$2,0,0,ROW()-1,60),ROW()-1,FALSE))</f>
        <v/>
      </c>
      <c r="G204">
        <f ca="1">IF(AND(ISNUMBER($G$507),$B$294=1),$G$507,HLOOKUP(INDIRECT(ADDRESS(2,COLUMN())),OFFSET($BN$2,0,0,ROW()-1,60),ROW()-1,FALSE))</f>
        <v>3.5375985889999999</v>
      </c>
      <c r="H204">
        <f ca="1">IF(AND(ISNUMBER($H$507),$B$294=1),$H$507,HLOOKUP(INDIRECT(ADDRESS(2,COLUMN())),OFFSET($BN$2,0,0,ROW()-1,60),ROW()-1,FALSE))</f>
        <v>3.6190958850000001</v>
      </c>
      <c r="I204">
        <f ca="1">IF(AND(ISNUMBER($I$507),$B$294=1),$I$507,HLOOKUP(INDIRECT(ADDRESS(2,COLUMN())),OFFSET($BN$2,0,0,ROW()-1,60),ROW()-1,FALSE))</f>
        <v>3.4523246649999999</v>
      </c>
      <c r="J204">
        <f ca="1">IF(AND(ISNUMBER($J$507),$B$294=1),$J$507,HLOOKUP(INDIRECT(ADDRESS(2,COLUMN())),OFFSET($BN$2,0,0,ROW()-1,60),ROW()-1,FALSE))</f>
        <v>3.0949293280000001</v>
      </c>
      <c r="K204">
        <f ca="1">IF(AND(ISNUMBER($K$507),$B$294=1),$K$507,HLOOKUP(INDIRECT(ADDRESS(2,COLUMN())),OFFSET($BN$2,0,0,ROW()-1,60),ROW()-1,FALSE))</f>
        <v>2.1684009030000002</v>
      </c>
      <c r="L204">
        <f ca="1">IF(AND(ISNUMBER($L$507),$B$294=1),$L$507,HLOOKUP(INDIRECT(ADDRESS(2,COLUMN())),OFFSET($BN$2,0,0,ROW()-1,60),ROW()-1,FALSE))</f>
        <v>3.4028135430000002</v>
      </c>
      <c r="M204">
        <f ca="1">IF(AND(ISNUMBER($M$507),$B$294=1),$M$507,HLOOKUP(INDIRECT(ADDRESS(2,COLUMN())),OFFSET($BN$2,0,0,ROW()-1,60),ROW()-1,FALSE))</f>
        <v>3.1813063619999999</v>
      </c>
      <c r="N204">
        <f ca="1">IF(AND(ISNUMBER($N$507),$B$294=1),$N$507,HLOOKUP(INDIRECT(ADDRESS(2,COLUMN())),OFFSET($BN$2,0,0,ROW()-1,60),ROW()-1,FALSE))</f>
        <v>2.6274403469999998</v>
      </c>
      <c r="O204">
        <f ca="1">IF(AND(ISNUMBER($O$507),$B$294=1),$O$507,HLOOKUP(INDIRECT(ADDRESS(2,COLUMN())),OFFSET($BN$2,0,0,ROW()-1,60),ROW()-1,FALSE))</f>
        <v>0.104184363</v>
      </c>
      <c r="P204">
        <f ca="1">IF(AND(ISNUMBER($P$507),$B$294=1),$P$507,HLOOKUP(INDIRECT(ADDRESS(2,COLUMN())),OFFSET($BN$2,0,0,ROW()-1,60),ROW()-1,FALSE))</f>
        <v>2.9688608310000002</v>
      </c>
      <c r="Q204">
        <f ca="1">IF(AND(ISNUMBER($Q$507),$B$294=1),$Q$507,HLOOKUP(INDIRECT(ADDRESS(2,COLUMN())),OFFSET($BN$2,0,0,ROW()-1,60),ROW()-1,FALSE))</f>
        <v>2.876253588</v>
      </c>
      <c r="R204">
        <f ca="1">IF(AND(ISNUMBER($R$507),$B$294=1),$R$507,HLOOKUP(INDIRECT(ADDRESS(2,COLUMN())),OFFSET($BN$2,0,0,ROW()-1,60),ROW()-1,FALSE))</f>
        <v>2.7424636360000001</v>
      </c>
      <c r="S204">
        <f ca="1">IF(AND(ISNUMBER($S$507),$B$294=1),$S$507,HLOOKUP(INDIRECT(ADDRESS(2,COLUMN())),OFFSET($BN$2,0,0,ROW()-1,60),ROW()-1,FALSE))</f>
        <v>2.5951637280000002</v>
      </c>
      <c r="T204">
        <f ca="1">IF(AND(ISNUMBER($T$507),$B$294=1),$T$507,HLOOKUP(INDIRECT(ADDRESS(2,COLUMN())),OFFSET($BN$2,0,0,ROW()-1,60),ROW()-1,FALSE))</f>
        <v>2.458553421</v>
      </c>
      <c r="U204">
        <f ca="1">IF(AND(ISNUMBER($U$507),$B$294=1),$U$507,HLOOKUP(INDIRECT(ADDRESS(2,COLUMN())),OFFSET($BN$2,0,0,ROW()-1,60),ROW()-1,FALSE))</f>
        <v>2.5752308859999999</v>
      </c>
      <c r="V204">
        <f ca="1">IF(AND(ISNUMBER($V$507),$B$294=1),$V$507,HLOOKUP(INDIRECT(ADDRESS(2,COLUMN())),OFFSET($BN$2,0,0,ROW()-1,60),ROW()-1,FALSE))</f>
        <v>2.4910325069999999</v>
      </c>
      <c r="W204">
        <f ca="1">IF(AND(ISNUMBER($W$507),$B$294=1),$W$507,HLOOKUP(INDIRECT(ADDRESS(2,COLUMN())),OFFSET($BN$2,0,0,ROW()-1,60),ROW()-1,FALSE))</f>
        <v>2.2401480660000002</v>
      </c>
      <c r="X204">
        <f ca="1">IF(AND(ISNUMBER($X$507),$B$294=1),$X$507,HLOOKUP(INDIRECT(ADDRESS(2,COLUMN())),OFFSET($BN$2,0,0,ROW()-1,60),ROW()-1,FALSE))</f>
        <v>2.4874999999999998</v>
      </c>
      <c r="Y204">
        <f ca="1">IF(AND(ISNUMBER($Y$507),$B$294=1),$Y$507,HLOOKUP(INDIRECT(ADDRESS(2,COLUMN())),OFFSET($BN$2,0,0,ROW()-1,60),ROW()-1,FALSE))</f>
        <v>2.4336024630000002</v>
      </c>
      <c r="Z204">
        <f ca="1">IF(AND(ISNUMBER($Z$507),$B$294=1),$Z$507,HLOOKUP(INDIRECT(ADDRESS(2,COLUMN())),OFFSET($BN$2,0,0,ROW()-1,60),ROW()-1,FALSE))</f>
        <v>2.4730502379999999</v>
      </c>
      <c r="AA204">
        <f ca="1">IF(AND(ISNUMBER($AA$507),$B$294=1),$AA$507,HLOOKUP(INDIRECT(ADDRESS(2,COLUMN())),OFFSET($BN$2,0,0,ROW()-1,60),ROW()-1,FALSE))</f>
        <v>-2.1866251939999999</v>
      </c>
      <c r="AB204">
        <f ca="1">IF(AND(ISNUMBER($AB$507),$B$294=1),$AB$507,HLOOKUP(INDIRECT(ADDRESS(2,COLUMN())),OFFSET($BN$2,0,0,ROW()-1,60),ROW()-1,FALSE))</f>
        <v>2.2864535770000001</v>
      </c>
      <c r="AC204">
        <f ca="1">IF(AND(ISNUMBER($AC$507),$B$294=1),$AC$507,HLOOKUP(INDIRECT(ADDRESS(2,COLUMN())),OFFSET($BN$2,0,0,ROW()-1,60),ROW()-1,FALSE))</f>
        <v>2.2841426290000002</v>
      </c>
      <c r="AD204">
        <f ca="1">IF(AND(ISNUMBER($AD$507),$B$294=1),$AD$507,HLOOKUP(INDIRECT(ADDRESS(2,COLUMN())),OFFSET($BN$2,0,0,ROW()-1,60),ROW()-1,FALSE))</f>
        <v>2.258725165</v>
      </c>
      <c r="AE204">
        <f ca="1">IF(AND(ISNUMBER($AE$507),$B$294=1),$AE$507,HLOOKUP(INDIRECT(ADDRESS(2,COLUMN())),OFFSET($BN$2,0,0,ROW()-1,60),ROW()-1,FALSE))</f>
        <v>2.4436231519999998</v>
      </c>
      <c r="AF204">
        <f ca="1">IF(AND(ISNUMBER($AF$507),$B$294=1),$AF$507,HLOOKUP(INDIRECT(ADDRESS(2,COLUMN())),OFFSET($BN$2,0,0,ROW()-1,60),ROW()-1,FALSE))</f>
        <v>2.4353552220000001</v>
      </c>
      <c r="AG204">
        <f ca="1">IF(AND(ISNUMBER($AG$507),$B$294=1),$AG$507,HLOOKUP(INDIRECT(ADDRESS(2,COLUMN())),OFFSET($BN$2,0,0,ROW()-1,60),ROW()-1,FALSE))</f>
        <v>2.3000172719999998</v>
      </c>
      <c r="AH204">
        <f ca="1">IF(AND(ISNUMBER($AH$507),$B$294=1),$AH$507,HLOOKUP(INDIRECT(ADDRESS(2,COLUMN())),OFFSET($BN$2,0,0,ROW()-1,60),ROW()-1,FALSE))</f>
        <v>2.4008890809999999</v>
      </c>
      <c r="AI204">
        <f ca="1">IF(AND(ISNUMBER($AI$507),$B$294=1),$AI$507,HLOOKUP(INDIRECT(ADDRESS(2,COLUMN())),OFFSET($BN$2,0,0,ROW()-1,60),ROW()-1,FALSE))</f>
        <v>2.2486871079999999</v>
      </c>
      <c r="AJ204">
        <f ca="1">IF(AND(ISNUMBER($AJ$507),$B$294=1),$AJ$507,HLOOKUP(INDIRECT(ADDRESS(2,COLUMN())),OFFSET($BN$2,0,0,ROW()-1,60),ROW()-1,FALSE))</f>
        <v>2.2693110650000001</v>
      </c>
      <c r="AK204">
        <f ca="1">IF(AND(ISNUMBER($AK$507),$B$294=1),$AK$507,HLOOKUP(INDIRECT(ADDRESS(2,COLUMN())),OFFSET($BN$2,0,0,ROW()-1,60),ROW()-1,FALSE))</f>
        <v>2.3623518099999998</v>
      </c>
      <c r="AL204">
        <f ca="1">IF(AND(ISNUMBER($AL$507),$B$294=1),$AL$507,HLOOKUP(INDIRECT(ADDRESS(2,COLUMN())),OFFSET($BN$2,0,0,ROW()-1,60),ROW()-1,FALSE))</f>
        <v>2.3972528870000001</v>
      </c>
      <c r="AM204">
        <f ca="1">IF(AND(ISNUMBER($AM$507),$B$294=1),$AM$507,HLOOKUP(INDIRECT(ADDRESS(2,COLUMN())),OFFSET($BN$2,0,0,ROW()-1,60),ROW()-1,FALSE))</f>
        <v>1.9505655390000001</v>
      </c>
      <c r="AN204">
        <f ca="1">IF(AND(ISNUMBER($AN$507),$B$294=1),$AN$507,HLOOKUP(INDIRECT(ADDRESS(2,COLUMN())),OFFSET($BN$2,0,0,ROW()-1,60),ROW()-1,FALSE))</f>
        <v>2.3099231100000002</v>
      </c>
      <c r="AO204">
        <f ca="1">IF(AND(ISNUMBER($AO$507),$B$294=1),$AO$507,HLOOKUP(INDIRECT(ADDRESS(2,COLUMN())),OFFSET($BN$2,0,0,ROW()-1,60),ROW()-1,FALSE))</f>
        <v>2.1510396869999999</v>
      </c>
      <c r="AP204">
        <f ca="1">IF(AND(ISNUMBER($AP$507),$B$294=1),$AP$507,HLOOKUP(INDIRECT(ADDRESS(2,COLUMN())),OFFSET($BN$2,0,0,ROW()-1,60),ROW()-1,FALSE))</f>
        <v>2.148347641</v>
      </c>
      <c r="AQ204">
        <f ca="1">IF(AND(ISNUMBER($AQ$507),$B$294=1),$AQ$507,HLOOKUP(INDIRECT(ADDRESS(2,COLUMN())),OFFSET($BN$2,0,0,ROW()-1,60),ROW()-1,FALSE))</f>
        <v>1.6869477079999999</v>
      </c>
      <c r="AR204">
        <f ca="1">IF(AND(ISNUMBER($AR$507),$B$294=1),$AR$507,HLOOKUP(INDIRECT(ADDRESS(2,COLUMN())),OFFSET($BN$2,0,0,ROW()-1,60),ROW()-1,FALSE))</f>
        <v>2.1214414609999999</v>
      </c>
      <c r="AS204">
        <f ca="1">IF(AND(ISNUMBER($AS$507),$B$294=1),$AS$507,HLOOKUP(INDIRECT(ADDRESS(2,COLUMN())),OFFSET($BN$2,0,0,ROW()-1,60),ROW()-1,FALSE))</f>
        <v>2.287849236</v>
      </c>
      <c r="AT204">
        <f ca="1">IF(AND(ISNUMBER($AT$507),$B$294=1),$AT$507,HLOOKUP(INDIRECT(ADDRESS(2,COLUMN())),OFFSET($BN$2,0,0,ROW()-1,60),ROW()-1,FALSE))</f>
        <v>2.345112437</v>
      </c>
      <c r="AU204">
        <f ca="1">IF(AND(ISNUMBER($AU$507),$B$294=1),$AU$507,HLOOKUP(INDIRECT(ADDRESS(2,COLUMN())),OFFSET($BN$2,0,0,ROW()-1,60),ROW()-1,FALSE))</f>
        <v>2.2660744290000001</v>
      </c>
      <c r="AV204">
        <f ca="1">IF(AND(ISNUMBER($AV$507),$B$294=1),$AV$507,HLOOKUP(INDIRECT(ADDRESS(2,COLUMN())),OFFSET($BN$2,0,0,ROW()-1,60),ROW()-1,FALSE))</f>
        <v>2.3399078389999999</v>
      </c>
      <c r="AW204">
        <f ca="1">IF(AND(ISNUMBER($AW$507),$B$294=1),$AW$507,HLOOKUP(INDIRECT(ADDRESS(2,COLUMN())),OFFSET($BN$2,0,0,ROW()-1,60),ROW()-1,FALSE))</f>
        <v>2.1393602719999998</v>
      </c>
      <c r="AX204">
        <f ca="1">IF(AND(ISNUMBER($AX$507),$B$294=1),$AX$507,HLOOKUP(INDIRECT(ADDRESS(2,COLUMN())),OFFSET($BN$2,0,0,ROW()-1,60),ROW()-1,FALSE))</f>
        <v>2.2129469429999999</v>
      </c>
      <c r="AY204">
        <f ca="1">IF(AND(ISNUMBER($AY$507),$B$294=1),$AY$507,HLOOKUP(INDIRECT(ADDRESS(2,COLUMN())),OFFSET($BN$2,0,0,ROW()-1,60),ROW()-1,FALSE))</f>
        <v>2.1863352649999999</v>
      </c>
      <c r="AZ204">
        <f ca="1">IF(AND(ISNUMBER($AZ$507),$B$294=1),$AZ$507,HLOOKUP(INDIRECT(ADDRESS(2,COLUMN())),OFFSET($BN$2,0,0,ROW()-1,60),ROW()-1,FALSE))</f>
        <v>2.1961892569999999</v>
      </c>
      <c r="BA204">
        <f ca="1">IF(AND(ISNUMBER($BA$507),$B$294=1),$BA$507,HLOOKUP(INDIRECT(ADDRESS(2,COLUMN())),OFFSET($BN$2,0,0,ROW()-1,60),ROW()-1,FALSE))</f>
        <v>2.220783204</v>
      </c>
      <c r="BB204">
        <f ca="1">IF(AND(ISNUMBER($BB$507),$B$294=1),$BB$507,HLOOKUP(INDIRECT(ADDRESS(2,COLUMN())),OFFSET($BN$2,0,0,ROW()-1,60),ROW()-1,FALSE))</f>
        <v>2.1448221850000002</v>
      </c>
      <c r="BC204">
        <f ca="1">IF(AND(ISNUMBER($BC$507),$B$294=1),$BC$507,HLOOKUP(INDIRECT(ADDRESS(2,COLUMN())),OFFSET($BN$2,0,0,ROW()-1,60),ROW()-1,FALSE))</f>
        <v>1.586024068</v>
      </c>
      <c r="BD204">
        <f ca="1">IF(AND(ISNUMBER($BD$507),$B$294=1),$BD$507,HLOOKUP(INDIRECT(ADDRESS(2,COLUMN())),OFFSET($BN$2,0,0,ROW()-1,60),ROW()-1,FALSE))</f>
        <v>3.007881995</v>
      </c>
      <c r="BE204">
        <f ca="1">IF(AND(ISNUMBER($BE$507),$B$294=1),$BE$507,HLOOKUP(INDIRECT(ADDRESS(2,COLUMN())),OFFSET($BN$2,0,0,ROW()-1,60),ROW()-1,FALSE))</f>
        <v>2.954793059</v>
      </c>
      <c r="BF204">
        <f ca="1">IF(AND(ISNUMBER($BF$507),$B$294=1),$BF$507,HLOOKUP(INDIRECT(ADDRESS(2,COLUMN())),OFFSET($BN$2,0,0,ROW()-1,60),ROW()-1,FALSE))</f>
        <v>3.014665393</v>
      </c>
      <c r="BG204">
        <f ca="1">IF(AND(ISNUMBER($BG$507),$B$294=1),$BG$507,HLOOKUP(INDIRECT(ADDRESS(2,COLUMN())),OFFSET($BN$2,0,0,ROW()-1,60),ROW()-1,FALSE))</f>
        <v>2.9088303049999999</v>
      </c>
      <c r="BH204">
        <f ca="1">IF(AND(ISNUMBER($BH$507),$B$294=1),$BH$507,HLOOKUP(INDIRECT(ADDRESS(2,COLUMN())),OFFSET($BN$2,0,0,ROW()-1,60),ROW()-1,FALSE))</f>
        <v>1.3521875539999999</v>
      </c>
      <c r="BI204">
        <f ca="1">IF(AND(ISNUMBER($BI$507),$B$294=1),$BI$507,HLOOKUP(INDIRECT(ADDRESS(2,COLUMN())),OFFSET($BN$2,0,0,ROW()-1,60),ROW()-1,FALSE))</f>
        <v>3.783059926</v>
      </c>
      <c r="BJ204">
        <f ca="1">IF(AND(ISNUMBER($BJ$507),$B$294=1),$BJ$507,HLOOKUP(INDIRECT(ADDRESS(2,COLUMN())),OFFSET($BN$2,0,0,ROW()-1,60),ROW()-1,FALSE))</f>
        <v>3.2362029080000001</v>
      </c>
      <c r="BK204" t="str">
        <f ca="1">IF(AND(ISNUMBER($BK$507),$B$294=1),$BK$507,HLOOKUP(INDIRECT(ADDRESS(2,COLUMN())),OFFSET($BN$2,0,0,ROW()-1,60),ROW()-1,FALSE))</f>
        <v/>
      </c>
      <c r="BL204">
        <f ca="1">IF(AND(ISNUMBER($BL$507),$B$294=1),$BL$507,HLOOKUP(INDIRECT(ADDRESS(2,COLUMN())),OFFSET($BN$2,0,0,ROW()-1,60),ROW()-1,FALSE))</f>
        <v>3.294267423</v>
      </c>
      <c r="BM204">
        <f ca="1">IF(AND(ISNUMBER($BM$507),$B$294=1),$BM$507,HLOOKUP(INDIRECT(ADDRESS(2,COLUMN())),OFFSET($BN$2,0,0,ROW()-1,60),ROW()-1,FALSE))</f>
        <v>2.8425300180000002</v>
      </c>
      <c r="BN204" t="str">
        <f>""</f>
        <v/>
      </c>
      <c r="BO204">
        <f>3.537598589</f>
        <v>3.5375985889999999</v>
      </c>
      <c r="BP204">
        <f>3.619095885</f>
        <v>3.6190958850000001</v>
      </c>
      <c r="BQ204">
        <f>3.452324665</f>
        <v>3.4523246649999999</v>
      </c>
      <c r="BR204">
        <f>3.094929328</f>
        <v>3.0949293280000001</v>
      </c>
      <c r="BS204">
        <f>2.168400903</f>
        <v>2.1684009030000002</v>
      </c>
      <c r="BT204">
        <f>3.402813543</f>
        <v>3.4028135430000002</v>
      </c>
      <c r="BU204">
        <f>3.181306362</f>
        <v>3.1813063619999999</v>
      </c>
      <c r="BV204">
        <f>2.627440347</f>
        <v>2.6274403469999998</v>
      </c>
      <c r="BW204">
        <f>0.104184363</f>
        <v>0.104184363</v>
      </c>
      <c r="BX204">
        <f>2.968860831</f>
        <v>2.9688608310000002</v>
      </c>
      <c r="BY204">
        <f>2.876253588</f>
        <v>2.876253588</v>
      </c>
      <c r="BZ204">
        <f>2.742463636</f>
        <v>2.7424636360000001</v>
      </c>
      <c r="CA204">
        <f>2.595163728</f>
        <v>2.5951637280000002</v>
      </c>
      <c r="CB204">
        <f>2.458553421</f>
        <v>2.458553421</v>
      </c>
      <c r="CC204">
        <f>2.575230886</f>
        <v>2.5752308859999999</v>
      </c>
      <c r="CD204">
        <f>2.491032507</f>
        <v>2.4910325069999999</v>
      </c>
      <c r="CE204">
        <f>2.240148066</f>
        <v>2.2401480660000002</v>
      </c>
      <c r="CF204">
        <f>2.4875</f>
        <v>2.4874999999999998</v>
      </c>
      <c r="CG204">
        <f>2.433602463</f>
        <v>2.4336024630000002</v>
      </c>
      <c r="CH204">
        <f>2.473050238</f>
        <v>2.4730502379999999</v>
      </c>
      <c r="CI204">
        <f>-2.186625194</f>
        <v>-2.1866251939999999</v>
      </c>
      <c r="CJ204">
        <f>2.286453577</f>
        <v>2.2864535770000001</v>
      </c>
      <c r="CK204">
        <f>2.284142629</f>
        <v>2.2841426290000002</v>
      </c>
      <c r="CL204">
        <f>2.258725165</f>
        <v>2.258725165</v>
      </c>
      <c r="CM204">
        <f>2.443623152</f>
        <v>2.4436231519999998</v>
      </c>
      <c r="CN204">
        <f>2.435355222</f>
        <v>2.4353552220000001</v>
      </c>
      <c r="CO204">
        <f>2.300017272</f>
        <v>2.3000172719999998</v>
      </c>
      <c r="CP204">
        <f>2.400889081</f>
        <v>2.4008890809999999</v>
      </c>
      <c r="CQ204">
        <f>2.248687108</f>
        <v>2.2486871079999999</v>
      </c>
      <c r="CR204">
        <f>2.269311065</f>
        <v>2.2693110650000001</v>
      </c>
      <c r="CS204">
        <f>2.36235181</f>
        <v>2.3623518099999998</v>
      </c>
      <c r="CT204">
        <f>2.397252887</f>
        <v>2.3972528870000001</v>
      </c>
      <c r="CU204">
        <f>1.950565539</f>
        <v>1.9505655390000001</v>
      </c>
      <c r="CV204">
        <f>2.30992311</f>
        <v>2.3099231100000002</v>
      </c>
      <c r="CW204">
        <f>2.151039687</f>
        <v>2.1510396869999999</v>
      </c>
      <c r="CX204">
        <f>2.148347641</f>
        <v>2.148347641</v>
      </c>
      <c r="CY204">
        <f>1.686947708</f>
        <v>1.6869477079999999</v>
      </c>
      <c r="CZ204">
        <f>2.121441461</f>
        <v>2.1214414609999999</v>
      </c>
      <c r="DA204">
        <f>2.287849236</f>
        <v>2.287849236</v>
      </c>
      <c r="DB204">
        <f>2.345112437</f>
        <v>2.345112437</v>
      </c>
      <c r="DC204">
        <f>2.266074429</f>
        <v>2.2660744290000001</v>
      </c>
      <c r="DD204">
        <f>2.339907839</f>
        <v>2.3399078389999999</v>
      </c>
      <c r="DE204">
        <f>2.139360272</f>
        <v>2.1393602719999998</v>
      </c>
      <c r="DF204">
        <f>2.212946943</f>
        <v>2.2129469429999999</v>
      </c>
      <c r="DG204">
        <f>2.186335265</f>
        <v>2.1863352649999999</v>
      </c>
      <c r="DH204">
        <f>2.196189257</f>
        <v>2.1961892569999999</v>
      </c>
      <c r="DI204">
        <f>2.220783204</f>
        <v>2.220783204</v>
      </c>
      <c r="DJ204">
        <f>2.144822185</f>
        <v>2.1448221850000002</v>
      </c>
      <c r="DK204">
        <f>1.586024068</f>
        <v>1.586024068</v>
      </c>
      <c r="DL204">
        <f>3.007881995</f>
        <v>3.007881995</v>
      </c>
      <c r="DM204">
        <f>2.954793059</f>
        <v>2.954793059</v>
      </c>
      <c r="DN204">
        <f>3.014665393</f>
        <v>3.014665393</v>
      </c>
      <c r="DO204">
        <f>2.908830305</f>
        <v>2.9088303049999999</v>
      </c>
      <c r="DP204">
        <f>1.352187554</f>
        <v>1.3521875539999999</v>
      </c>
      <c r="DQ204">
        <f>3.783059926</f>
        <v>3.783059926</v>
      </c>
      <c r="DR204">
        <f>3.236202908</f>
        <v>3.2362029080000001</v>
      </c>
      <c r="DS204" t="str">
        <f>""</f>
        <v/>
      </c>
      <c r="DT204">
        <f>3.294267423</f>
        <v>3.294267423</v>
      </c>
      <c r="DU204">
        <f>2.842530018</f>
        <v>2.8425300180000002</v>
      </c>
    </row>
    <row r="205" spans="1:125">
      <c r="A205" t="str">
        <f>"    Columbia Property Trust Inc"</f>
        <v xml:space="preserve">    Columbia Property Trust Inc</v>
      </c>
      <c r="B205" t="str">
        <f>"CXP US Equity"</f>
        <v>CXP US Equity</v>
      </c>
      <c r="C205" t="str">
        <f t="shared" si="54"/>
        <v>RX951</v>
      </c>
      <c r="D205" t="str">
        <f t="shared" si="55"/>
        <v>EBITDA_TO_INTEREST_EXPN</v>
      </c>
      <c r="E205" t="str">
        <f t="shared" si="56"/>
        <v>动态</v>
      </c>
      <c r="F205" t="str">
        <f ca="1">IF(AND(ISNUMBER($F$508),$B$294=1),$F$508,HLOOKUP(INDIRECT(ADDRESS(2,COLUMN())),OFFSET($BN$2,0,0,ROW()-1,60),ROW()-1,FALSE))</f>
        <v/>
      </c>
      <c r="G205">
        <f ca="1">IF(AND(ISNUMBER($G$508),$B$294=1),$G$508,HLOOKUP(INDIRECT(ADDRESS(2,COLUMN())),OFFSET($BN$2,0,0,ROW()-1,60),ROW()-1,FALSE))</f>
        <v>2.5902970569999999</v>
      </c>
      <c r="H205">
        <f ca="1">IF(AND(ISNUMBER($H$508),$B$294=1),$H$508,HLOOKUP(INDIRECT(ADDRESS(2,COLUMN())),OFFSET($BN$2,0,0,ROW()-1,60),ROW()-1,FALSE))</f>
        <v>2.3295091979999998</v>
      </c>
      <c r="I205">
        <f ca="1">IF(AND(ISNUMBER($I$508),$B$294=1),$I$508,HLOOKUP(INDIRECT(ADDRESS(2,COLUMN())),OFFSET($BN$2,0,0,ROW()-1,60),ROW()-1,FALSE))</f>
        <v>2.9930161800000001</v>
      </c>
      <c r="J205">
        <f ca="1">IF(AND(ISNUMBER($J$508),$B$294=1),$J$508,HLOOKUP(INDIRECT(ADDRESS(2,COLUMN())),OFFSET($BN$2,0,0,ROW()-1,60),ROW()-1,FALSE))</f>
        <v>3.0664902409999999</v>
      </c>
      <c r="K205">
        <f ca="1">IF(AND(ISNUMBER($K$508),$B$294=1),$K$508,HLOOKUP(INDIRECT(ADDRESS(2,COLUMN())),OFFSET($BN$2,0,0,ROW()-1,60),ROW()-1,FALSE))</f>
        <v>3.8159141769999998</v>
      </c>
      <c r="L205">
        <f ca="1">IF(AND(ISNUMBER($L$508),$B$294=1),$L$508,HLOOKUP(INDIRECT(ADDRESS(2,COLUMN())),OFFSET($BN$2,0,0,ROW()-1,60),ROW()-1,FALSE))</f>
        <v>3.540903256</v>
      </c>
      <c r="M205">
        <f ca="1">IF(AND(ISNUMBER($M$508),$B$294=1),$M$508,HLOOKUP(INDIRECT(ADDRESS(2,COLUMN())),OFFSET($BN$2,0,0,ROW()-1,60),ROW()-1,FALSE))</f>
        <v>4.1956271579999997</v>
      </c>
      <c r="N205">
        <f ca="1">IF(AND(ISNUMBER($N$508),$B$294=1),$N$508,HLOOKUP(INDIRECT(ADDRESS(2,COLUMN())),OFFSET($BN$2,0,0,ROW()-1,60),ROW()-1,FALSE))</f>
        <v>3.8425434429999998</v>
      </c>
      <c r="O205">
        <f ca="1">IF(AND(ISNUMBER($O$508),$B$294=1),$O$508,HLOOKUP(INDIRECT(ADDRESS(2,COLUMN())),OFFSET($BN$2,0,0,ROW()-1,60),ROW()-1,FALSE))</f>
        <v>3.9111636459999999</v>
      </c>
      <c r="P205">
        <f ca="1">IF(AND(ISNUMBER($P$508),$B$294=1),$P$508,HLOOKUP(INDIRECT(ADDRESS(2,COLUMN())),OFFSET($BN$2,0,0,ROW()-1,60),ROW()-1,FALSE))</f>
        <v>3.3845175360000002</v>
      </c>
      <c r="Q205">
        <f ca="1">IF(AND(ISNUMBER($Q$508),$B$294=1),$Q$508,HLOOKUP(INDIRECT(ADDRESS(2,COLUMN())),OFFSET($BN$2,0,0,ROW()-1,60),ROW()-1,FALSE))</f>
        <v>3.7382385239999998</v>
      </c>
      <c r="R205">
        <f ca="1">IF(AND(ISNUMBER($R$508),$B$294=1),$R$508,HLOOKUP(INDIRECT(ADDRESS(2,COLUMN())),OFFSET($BN$2,0,0,ROW()-1,60),ROW()-1,FALSE))</f>
        <v>3.7246322840000001</v>
      </c>
      <c r="S205">
        <f ca="1">IF(AND(ISNUMBER($S$508),$B$294=1),$S$508,HLOOKUP(INDIRECT(ADDRESS(2,COLUMN())),OFFSET($BN$2,0,0,ROW()-1,60),ROW()-1,FALSE))</f>
        <v>3.3972442549999999</v>
      </c>
      <c r="T205">
        <f ca="1">IF(AND(ISNUMBER($T$508),$B$294=1),$T$508,HLOOKUP(INDIRECT(ADDRESS(2,COLUMN())),OFFSET($BN$2,0,0,ROW()-1,60),ROW()-1,FALSE))</f>
        <v>3.8059980279999999</v>
      </c>
      <c r="U205">
        <f ca="1">IF(AND(ISNUMBER($U$508),$B$294=1),$U$508,HLOOKUP(INDIRECT(ADDRESS(2,COLUMN())),OFFSET($BN$2,0,0,ROW()-1,60),ROW()-1,FALSE))</f>
        <v>4.0133085900000003</v>
      </c>
      <c r="V205">
        <f ca="1">IF(AND(ISNUMBER($V$508),$B$294=1),$V$508,HLOOKUP(INDIRECT(ADDRESS(2,COLUMN())),OFFSET($BN$2,0,0,ROW()-1,60),ROW()-1,FALSE))</f>
        <v>3.6284757120000002</v>
      </c>
      <c r="W205">
        <f ca="1">IF(AND(ISNUMBER($W$508),$B$294=1),$W$508,HLOOKUP(INDIRECT(ADDRESS(2,COLUMN())),OFFSET($BN$2,0,0,ROW()-1,60),ROW()-1,FALSE))</f>
        <v>3.3673407790000001</v>
      </c>
      <c r="X205">
        <f ca="1">IF(AND(ISNUMBER($X$508),$B$294=1),$X$508,HLOOKUP(INDIRECT(ADDRESS(2,COLUMN())),OFFSET($BN$2,0,0,ROW()-1,60),ROW()-1,FALSE))</f>
        <v>3.1926073700000002</v>
      </c>
      <c r="Y205">
        <f ca="1">IF(AND(ISNUMBER($Y$508),$B$294=1),$Y$508,HLOOKUP(INDIRECT(ADDRESS(2,COLUMN())),OFFSET($BN$2,0,0,ROW()-1,60),ROW()-1,FALSE))</f>
        <v>3.3000499059999999</v>
      </c>
      <c r="Z205">
        <f ca="1">IF(AND(ISNUMBER($Z$508),$B$294=1),$Z$508,HLOOKUP(INDIRECT(ADDRESS(2,COLUMN())),OFFSET($BN$2,0,0,ROW()-1,60),ROW()-1,FALSE))</f>
        <v>1.9195683779999999</v>
      </c>
      <c r="AA205">
        <f ca="1">IF(AND(ISNUMBER($AA$508),$B$294=1),$AA$508,HLOOKUP(INDIRECT(ADDRESS(2,COLUMN())),OFFSET($BN$2,0,0,ROW()-1,60),ROW()-1,FALSE))</f>
        <v>2.835900428</v>
      </c>
      <c r="AB205">
        <f ca="1">IF(AND(ISNUMBER($AB$508),$B$294=1),$AB$508,HLOOKUP(INDIRECT(ADDRESS(2,COLUMN())),OFFSET($BN$2,0,0,ROW()-1,60),ROW()-1,FALSE))</f>
        <v>3.1072189610000001</v>
      </c>
      <c r="AC205">
        <f ca="1">IF(AND(ISNUMBER($AC$508),$B$294=1),$AC$508,HLOOKUP(INDIRECT(ADDRESS(2,COLUMN())),OFFSET($BN$2,0,0,ROW()-1,60),ROW()-1,FALSE))</f>
        <v>3.0933046819999999</v>
      </c>
      <c r="AD205">
        <f ca="1">IF(AND(ISNUMBER($AD$508),$B$294=1),$AD$508,HLOOKUP(INDIRECT(ADDRESS(2,COLUMN())),OFFSET($BN$2,0,0,ROW()-1,60),ROW()-1,FALSE))</f>
        <v>3.23149804</v>
      </c>
      <c r="AE205">
        <f ca="1">IF(AND(ISNUMBER($AE$508),$B$294=1),$AE$508,HLOOKUP(INDIRECT(ADDRESS(2,COLUMN())),OFFSET($BN$2,0,0,ROW()-1,60),ROW()-1,FALSE))</f>
        <v>2.4176909129999999</v>
      </c>
      <c r="AF205">
        <f ca="1">IF(AND(ISNUMBER($AF$508),$B$294=1),$AF$508,HLOOKUP(INDIRECT(ADDRESS(2,COLUMN())),OFFSET($BN$2,0,0,ROW()-1,60),ROW()-1,FALSE))</f>
        <v>3.2119330079999999</v>
      </c>
      <c r="AG205">
        <f ca="1">IF(AND(ISNUMBER($AG$508),$B$294=1),$AG$508,HLOOKUP(INDIRECT(ADDRESS(2,COLUMN())),OFFSET($BN$2,0,0,ROW()-1,60),ROW()-1,FALSE))</f>
        <v>2.8739931520000002</v>
      </c>
      <c r="AH205">
        <f ca="1">IF(AND(ISNUMBER($AH$508),$B$294=1),$AH$508,HLOOKUP(INDIRECT(ADDRESS(2,COLUMN())),OFFSET($BN$2,0,0,ROW()-1,60),ROW()-1,FALSE))</f>
        <v>3.3678321680000001</v>
      </c>
      <c r="AI205">
        <f ca="1">IF(AND(ISNUMBER($AI$508),$B$294=1),$AI$508,HLOOKUP(INDIRECT(ADDRESS(2,COLUMN())),OFFSET($BN$2,0,0,ROW()-1,60),ROW()-1,FALSE))</f>
        <v>4.6591104239999996</v>
      </c>
      <c r="AJ205">
        <f ca="1">IF(AND(ISNUMBER($AJ$508),$B$294=1),$AJ$508,HLOOKUP(INDIRECT(ADDRESS(2,COLUMN())),OFFSET($BN$2,0,0,ROW()-1,60),ROW()-1,FALSE))</f>
        <v>3.8045025890000002</v>
      </c>
      <c r="AK205">
        <f ca="1">IF(AND(ISNUMBER($AK$508),$B$294=1),$AK$508,HLOOKUP(INDIRECT(ADDRESS(2,COLUMN())),OFFSET($BN$2,0,0,ROW()-1,60),ROW()-1,FALSE))</f>
        <v>3.3040027909999998</v>
      </c>
      <c r="AL205">
        <f ca="1">IF(AND(ISNUMBER($AL$508),$B$294=1),$AL$508,HLOOKUP(INDIRECT(ADDRESS(2,COLUMN())),OFFSET($BN$2,0,0,ROW()-1,60),ROW()-1,FALSE))</f>
        <v>3.2792664469999999</v>
      </c>
      <c r="AM205">
        <f ca="1">IF(AND(ISNUMBER($AM$508),$B$294=1),$AM$508,HLOOKUP(INDIRECT(ADDRESS(2,COLUMN())),OFFSET($BN$2,0,0,ROW()-1,60),ROW()-1,FALSE))</f>
        <v>4.2001426190000002</v>
      </c>
      <c r="AN205">
        <f ca="1">IF(AND(ISNUMBER($AN$508),$B$294=1),$AN$508,HLOOKUP(INDIRECT(ADDRESS(2,COLUMN())),OFFSET($BN$2,0,0,ROW()-1,60),ROW()-1,FALSE))</f>
        <v>3.1974644639999998</v>
      </c>
      <c r="AO205">
        <f ca="1">IF(AND(ISNUMBER($AO$508),$B$294=1),$AO$508,HLOOKUP(INDIRECT(ADDRESS(2,COLUMN())),OFFSET($BN$2,0,0,ROW()-1,60),ROW()-1,FALSE))</f>
        <v>3.0928870650000002</v>
      </c>
      <c r="AP205">
        <f ca="1">IF(AND(ISNUMBER($AP$508),$B$294=1),$AP$508,HLOOKUP(INDIRECT(ADDRESS(2,COLUMN())),OFFSET($BN$2,0,0,ROW()-1,60),ROW()-1,FALSE))</f>
        <v>3.0933461640000002</v>
      </c>
      <c r="AQ205" t="str">
        <f ca="1">IF(AND(ISNUMBER($AQ$508),$B$294=1),$AQ$508,HLOOKUP(INDIRECT(ADDRESS(2,COLUMN())),OFFSET($BN$2,0,0,ROW()-1,60),ROW()-1,FALSE))</f>
        <v/>
      </c>
      <c r="AR205" t="str">
        <f ca="1">IF(AND(ISNUMBER($AR$508),$B$294=1),$AR$508,HLOOKUP(INDIRECT(ADDRESS(2,COLUMN())),OFFSET($BN$2,0,0,ROW()-1,60),ROW()-1,FALSE))</f>
        <v/>
      </c>
      <c r="AS205" t="str">
        <f ca="1">IF(AND(ISNUMBER($AS$508),$B$294=1),$AS$508,HLOOKUP(INDIRECT(ADDRESS(2,COLUMN())),OFFSET($BN$2,0,0,ROW()-1,60),ROW()-1,FALSE))</f>
        <v/>
      </c>
      <c r="AT205" t="str">
        <f ca="1">IF(AND(ISNUMBER($AT$508),$B$294=1),$AT$508,HLOOKUP(INDIRECT(ADDRESS(2,COLUMN())),OFFSET($BN$2,0,0,ROW()-1,60),ROW()-1,FALSE))</f>
        <v/>
      </c>
      <c r="AU205" t="str">
        <f ca="1">IF(AND(ISNUMBER($AU$508),$B$294=1),$AU$508,HLOOKUP(INDIRECT(ADDRESS(2,COLUMN())),OFFSET($BN$2,0,0,ROW()-1,60),ROW()-1,FALSE))</f>
        <v/>
      </c>
      <c r="AV205" t="str">
        <f ca="1">IF(AND(ISNUMBER($AV$508),$B$294=1),$AV$508,HLOOKUP(INDIRECT(ADDRESS(2,COLUMN())),OFFSET($BN$2,0,0,ROW()-1,60),ROW()-1,FALSE))</f>
        <v/>
      </c>
      <c r="AW205" t="str">
        <f ca="1">IF(AND(ISNUMBER($AW$508),$B$294=1),$AW$508,HLOOKUP(INDIRECT(ADDRESS(2,COLUMN())),OFFSET($BN$2,0,0,ROW()-1,60),ROW()-1,FALSE))</f>
        <v/>
      </c>
      <c r="AX205" t="str">
        <f ca="1">IF(AND(ISNUMBER($AX$508),$B$294=1),$AX$508,HLOOKUP(INDIRECT(ADDRESS(2,COLUMN())),OFFSET($BN$2,0,0,ROW()-1,60),ROW()-1,FALSE))</f>
        <v/>
      </c>
      <c r="AY205" t="str">
        <f ca="1">IF(AND(ISNUMBER($AY$508),$B$294=1),$AY$508,HLOOKUP(INDIRECT(ADDRESS(2,COLUMN())),OFFSET($BN$2,0,0,ROW()-1,60),ROW()-1,FALSE))</f>
        <v/>
      </c>
      <c r="AZ205" t="str">
        <f ca="1">IF(AND(ISNUMBER($AZ$508),$B$294=1),$AZ$508,HLOOKUP(INDIRECT(ADDRESS(2,COLUMN())),OFFSET($BN$2,0,0,ROW()-1,60),ROW()-1,FALSE))</f>
        <v/>
      </c>
      <c r="BA205" t="str">
        <f ca="1">IF(AND(ISNUMBER($BA$508),$B$294=1),$BA$508,HLOOKUP(INDIRECT(ADDRESS(2,COLUMN())),OFFSET($BN$2,0,0,ROW()-1,60),ROW()-1,FALSE))</f>
        <v/>
      </c>
      <c r="BB205" t="str">
        <f ca="1">IF(AND(ISNUMBER($BB$508),$B$294=1),$BB$508,HLOOKUP(INDIRECT(ADDRESS(2,COLUMN())),OFFSET($BN$2,0,0,ROW()-1,60),ROW()-1,FALSE))</f>
        <v/>
      </c>
      <c r="BC205" t="str">
        <f ca="1">IF(AND(ISNUMBER($BC$508),$B$294=1),$BC$508,HLOOKUP(INDIRECT(ADDRESS(2,COLUMN())),OFFSET($BN$2,0,0,ROW()-1,60),ROW()-1,FALSE))</f>
        <v/>
      </c>
      <c r="BD205" t="str">
        <f ca="1">IF(AND(ISNUMBER($BD$508),$B$294=1),$BD$508,HLOOKUP(INDIRECT(ADDRESS(2,COLUMN())),OFFSET($BN$2,0,0,ROW()-1,60),ROW()-1,FALSE))</f>
        <v/>
      </c>
      <c r="BE205" t="str">
        <f ca="1">IF(AND(ISNUMBER($BE$508),$B$294=1),$BE$508,HLOOKUP(INDIRECT(ADDRESS(2,COLUMN())),OFFSET($BN$2,0,0,ROW()-1,60),ROW()-1,FALSE))</f>
        <v/>
      </c>
      <c r="BF205" t="str">
        <f ca="1">IF(AND(ISNUMBER($BF$508),$B$294=1),$BF$508,HLOOKUP(INDIRECT(ADDRESS(2,COLUMN())),OFFSET($BN$2,0,0,ROW()-1,60),ROW()-1,FALSE))</f>
        <v/>
      </c>
      <c r="BG205" t="str">
        <f ca="1">IF(AND(ISNUMBER($BG$508),$B$294=1),$BG$508,HLOOKUP(INDIRECT(ADDRESS(2,COLUMN())),OFFSET($BN$2,0,0,ROW()-1,60),ROW()-1,FALSE))</f>
        <v/>
      </c>
      <c r="BH205" t="str">
        <f ca="1">IF(AND(ISNUMBER($BH$508),$B$294=1),$BH$508,HLOOKUP(INDIRECT(ADDRESS(2,COLUMN())),OFFSET($BN$2,0,0,ROW()-1,60),ROW()-1,FALSE))</f>
        <v/>
      </c>
      <c r="BI205" t="str">
        <f ca="1">IF(AND(ISNUMBER($BI$508),$B$294=1),$BI$508,HLOOKUP(INDIRECT(ADDRESS(2,COLUMN())),OFFSET($BN$2,0,0,ROW()-1,60),ROW()-1,FALSE))</f>
        <v/>
      </c>
      <c r="BJ205" t="str">
        <f ca="1">IF(AND(ISNUMBER($BJ$508),$B$294=1),$BJ$508,HLOOKUP(INDIRECT(ADDRESS(2,COLUMN())),OFFSET($BN$2,0,0,ROW()-1,60),ROW()-1,FALSE))</f>
        <v/>
      </c>
      <c r="BK205" t="str">
        <f ca="1">IF(AND(ISNUMBER($BK$508),$B$294=1),$BK$508,HLOOKUP(INDIRECT(ADDRESS(2,COLUMN())),OFFSET($BN$2,0,0,ROW()-1,60),ROW()-1,FALSE))</f>
        <v/>
      </c>
      <c r="BL205" t="str">
        <f ca="1">IF(AND(ISNUMBER($BL$508),$B$294=1),$BL$508,HLOOKUP(INDIRECT(ADDRESS(2,COLUMN())),OFFSET($BN$2,0,0,ROW()-1,60),ROW()-1,FALSE))</f>
        <v/>
      </c>
      <c r="BM205" t="str">
        <f ca="1">IF(AND(ISNUMBER($BM$508),$B$294=1),$BM$508,HLOOKUP(INDIRECT(ADDRESS(2,COLUMN())),OFFSET($BN$2,0,0,ROW()-1,60),ROW()-1,FALSE))</f>
        <v/>
      </c>
      <c r="BN205" t="str">
        <f>""</f>
        <v/>
      </c>
      <c r="BO205">
        <f>2.590297057</f>
        <v>2.5902970569999999</v>
      </c>
      <c r="BP205">
        <f>2.329509198</f>
        <v>2.3295091979999998</v>
      </c>
      <c r="BQ205">
        <f>2.99301618</f>
        <v>2.9930161800000001</v>
      </c>
      <c r="BR205">
        <f>3.066490241</f>
        <v>3.0664902409999999</v>
      </c>
      <c r="BS205">
        <f>3.815914177</f>
        <v>3.8159141769999998</v>
      </c>
      <c r="BT205">
        <f>3.540903256</f>
        <v>3.540903256</v>
      </c>
      <c r="BU205">
        <f>4.195627158</f>
        <v>4.1956271579999997</v>
      </c>
      <c r="BV205">
        <f>3.842543443</f>
        <v>3.8425434429999998</v>
      </c>
      <c r="BW205">
        <f>3.911163646</f>
        <v>3.9111636459999999</v>
      </c>
      <c r="BX205">
        <f>3.384517536</f>
        <v>3.3845175360000002</v>
      </c>
      <c r="BY205">
        <f>3.738238524</f>
        <v>3.7382385239999998</v>
      </c>
      <c r="BZ205">
        <f>3.724632284</f>
        <v>3.7246322840000001</v>
      </c>
      <c r="CA205">
        <f>3.397244255</f>
        <v>3.3972442549999999</v>
      </c>
      <c r="CB205">
        <f>3.805998028</f>
        <v>3.8059980279999999</v>
      </c>
      <c r="CC205">
        <f>4.01330859</f>
        <v>4.0133085900000003</v>
      </c>
      <c r="CD205">
        <f>3.628475712</f>
        <v>3.6284757120000002</v>
      </c>
      <c r="CE205">
        <f>3.367340779</f>
        <v>3.3673407790000001</v>
      </c>
      <c r="CF205">
        <f>3.19260737</f>
        <v>3.1926073700000002</v>
      </c>
      <c r="CG205">
        <f>3.300049906</f>
        <v>3.3000499059999999</v>
      </c>
      <c r="CH205">
        <f>1.919568378</f>
        <v>1.9195683779999999</v>
      </c>
      <c r="CI205">
        <f>2.835900428</f>
        <v>2.835900428</v>
      </c>
      <c r="CJ205">
        <f>3.107218961</f>
        <v>3.1072189610000001</v>
      </c>
      <c r="CK205">
        <f>3.093304682</f>
        <v>3.0933046819999999</v>
      </c>
      <c r="CL205">
        <f>3.23149804</f>
        <v>3.23149804</v>
      </c>
      <c r="CM205">
        <f>2.417690913</f>
        <v>2.4176909129999999</v>
      </c>
      <c r="CN205">
        <f>3.211933008</f>
        <v>3.2119330079999999</v>
      </c>
      <c r="CO205">
        <f>2.873993152</f>
        <v>2.8739931520000002</v>
      </c>
      <c r="CP205">
        <f>3.367832168</f>
        <v>3.3678321680000001</v>
      </c>
      <c r="CQ205">
        <f>4.659110424</f>
        <v>4.6591104239999996</v>
      </c>
      <c r="CR205">
        <f>3.804502589</f>
        <v>3.8045025890000002</v>
      </c>
      <c r="CS205">
        <f>3.304002791</f>
        <v>3.3040027909999998</v>
      </c>
      <c r="CT205">
        <f>3.279266447</f>
        <v>3.2792664469999999</v>
      </c>
      <c r="CU205">
        <f>4.200142619</f>
        <v>4.2001426190000002</v>
      </c>
      <c r="CV205">
        <f>3.197464464</f>
        <v>3.1974644639999998</v>
      </c>
      <c r="CW205">
        <f>3.092887065</f>
        <v>3.0928870650000002</v>
      </c>
      <c r="CX205">
        <f>3.093346164</f>
        <v>3.0933461640000002</v>
      </c>
      <c r="CY205" t="str">
        <f>""</f>
        <v/>
      </c>
      <c r="CZ205" t="str">
        <f>""</f>
        <v/>
      </c>
      <c r="DA205" t="str">
        <f>""</f>
        <v/>
      </c>
      <c r="DB205" t="str">
        <f>""</f>
        <v/>
      </c>
      <c r="DC205" t="str">
        <f>""</f>
        <v/>
      </c>
      <c r="DD205" t="str">
        <f>""</f>
        <v/>
      </c>
      <c r="DE205" t="str">
        <f>""</f>
        <v/>
      </c>
      <c r="DF205" t="str">
        <f>""</f>
        <v/>
      </c>
      <c r="DG205" t="str">
        <f>""</f>
        <v/>
      </c>
      <c r="DH205" t="str">
        <f>""</f>
        <v/>
      </c>
      <c r="DI205" t="str">
        <f>""</f>
        <v/>
      </c>
      <c r="DJ205" t="str">
        <f>""</f>
        <v/>
      </c>
      <c r="DK205" t="str">
        <f>""</f>
        <v/>
      </c>
      <c r="DL205" t="str">
        <f>""</f>
        <v/>
      </c>
      <c r="DM205" t="str">
        <f>""</f>
        <v/>
      </c>
      <c r="DN205" t="str">
        <f>""</f>
        <v/>
      </c>
      <c r="DO205" t="str">
        <f>""</f>
        <v/>
      </c>
      <c r="DP205" t="str">
        <f>""</f>
        <v/>
      </c>
      <c r="DQ205" t="str">
        <f>""</f>
        <v/>
      </c>
      <c r="DR205" t="str">
        <f>""</f>
        <v/>
      </c>
      <c r="DS205" t="str">
        <f>""</f>
        <v/>
      </c>
      <c r="DT205" t="str">
        <f>""</f>
        <v/>
      </c>
      <c r="DU205" t="str">
        <f>""</f>
        <v/>
      </c>
    </row>
    <row r="206" spans="1:125">
      <c r="A206" t="str">
        <f>"    Corporate Office Properties Tr"</f>
        <v xml:space="preserve">    Corporate Office Properties Tr</v>
      </c>
      <c r="B206" t="str">
        <f>"OFC US Equity"</f>
        <v>OFC US Equity</v>
      </c>
      <c r="C206" t="str">
        <f t="shared" si="54"/>
        <v>RX951</v>
      </c>
      <c r="D206" t="str">
        <f t="shared" si="55"/>
        <v>EBITDA_TO_INTEREST_EXPN</v>
      </c>
      <c r="E206" t="str">
        <f t="shared" si="56"/>
        <v>动态</v>
      </c>
      <c r="F206" t="str">
        <f ca="1">IF(AND(ISNUMBER($F$509),$B$294=1),$F$509,HLOOKUP(INDIRECT(ADDRESS(2,COLUMN())),OFFSET($BN$2,0,0,ROW()-1,60),ROW()-1,FALSE))</f>
        <v/>
      </c>
      <c r="G206">
        <f ca="1">IF(AND(ISNUMBER($G$509),$B$294=1),$G$509,HLOOKUP(INDIRECT(ADDRESS(2,COLUMN())),OFFSET($BN$2,0,0,ROW()-1,60),ROW()-1,FALSE))</f>
        <v>3.0911977510000002</v>
      </c>
      <c r="H206">
        <f ca="1">IF(AND(ISNUMBER($H$509),$B$294=1),$H$509,HLOOKUP(INDIRECT(ADDRESS(2,COLUMN())),OFFSET($BN$2,0,0,ROW()-1,60),ROW()-1,FALSE))</f>
        <v>3.7702778490000002</v>
      </c>
      <c r="I206">
        <f ca="1">IF(AND(ISNUMBER($I$509),$B$294=1),$I$509,HLOOKUP(INDIRECT(ADDRESS(2,COLUMN())),OFFSET($BN$2,0,0,ROW()-1,60),ROW()-1,FALSE))</f>
        <v>3.652663988</v>
      </c>
      <c r="J206">
        <f ca="1">IF(AND(ISNUMBER($J$509),$B$294=1),$J$509,HLOOKUP(INDIRECT(ADDRESS(2,COLUMN())),OFFSET($BN$2,0,0,ROW()-1,60),ROW()-1,FALSE))</f>
        <v>3.6328840690000002</v>
      </c>
      <c r="K206">
        <f ca="1">IF(AND(ISNUMBER($K$509),$B$294=1),$K$509,HLOOKUP(INDIRECT(ADDRESS(2,COLUMN())),OFFSET($BN$2,0,0,ROW()-1,60),ROW()-1,FALSE))</f>
        <v>3.7978461210000001</v>
      </c>
      <c r="L206">
        <f ca="1">IF(AND(ISNUMBER($L$509),$B$294=1),$L$509,HLOOKUP(INDIRECT(ADDRESS(2,COLUMN())),OFFSET($BN$2,0,0,ROW()-1,60),ROW()-1,FALSE))</f>
        <v>2.4071362220000001</v>
      </c>
      <c r="M206">
        <f ca="1">IF(AND(ISNUMBER($M$509),$B$294=1),$M$509,HLOOKUP(INDIRECT(ADDRESS(2,COLUMN())),OFFSET($BN$2,0,0,ROW()-1,60),ROW()-1,FALSE))</f>
        <v>0.29820221699999999</v>
      </c>
      <c r="N206">
        <f ca="1">IF(AND(ISNUMBER($N$509),$B$294=1),$N$509,HLOOKUP(INDIRECT(ADDRESS(2,COLUMN())),OFFSET($BN$2,0,0,ROW()-1,60),ROW()-1,FALSE))</f>
        <v>2.7842013670000001</v>
      </c>
      <c r="O206">
        <f ca="1">IF(AND(ISNUMBER($O$509),$B$294=1),$O$509,HLOOKUP(INDIRECT(ADDRESS(2,COLUMN())),OFFSET($BN$2,0,0,ROW()-1,60),ROW()-1,FALSE))</f>
        <v>2.5457108339999999</v>
      </c>
      <c r="P206">
        <f ca="1">IF(AND(ISNUMBER($P$509),$B$294=1),$P$509,HLOOKUP(INDIRECT(ADDRESS(2,COLUMN())),OFFSET($BN$2,0,0,ROW()-1,60),ROW()-1,FALSE))</f>
        <v>2.9429128150000001</v>
      </c>
      <c r="Q206">
        <f ca="1">IF(AND(ISNUMBER($Q$509),$B$294=1),$Q$509,HLOOKUP(INDIRECT(ADDRESS(2,COLUMN())),OFFSET($BN$2,0,0,ROW()-1,60),ROW()-1,FALSE))</f>
        <v>3.2976846750000002</v>
      </c>
      <c r="R206">
        <f ca="1">IF(AND(ISNUMBER($R$509),$B$294=1),$R$509,HLOOKUP(INDIRECT(ADDRESS(2,COLUMN())),OFFSET($BN$2,0,0,ROW()-1,60),ROW()-1,FALSE))</f>
        <v>3.007294366</v>
      </c>
      <c r="S206">
        <f ca="1">IF(AND(ISNUMBER($S$509),$B$294=1),$S$509,HLOOKUP(INDIRECT(ADDRESS(2,COLUMN())),OFFSET($BN$2,0,0,ROW()-1,60),ROW()-1,FALSE))</f>
        <v>2.963969767</v>
      </c>
      <c r="T206">
        <f ca="1">IF(AND(ISNUMBER($T$509),$B$294=1),$T$509,HLOOKUP(INDIRECT(ADDRESS(2,COLUMN())),OFFSET($BN$2,0,0,ROW()-1,60),ROW()-1,FALSE))</f>
        <v>2.7498588819999998</v>
      </c>
      <c r="U206">
        <f ca="1">IF(AND(ISNUMBER($U$509),$B$294=1),$U$509,HLOOKUP(INDIRECT(ADDRESS(2,COLUMN())),OFFSET($BN$2,0,0,ROW()-1,60),ROW()-1,FALSE))</f>
        <v>2.7078115679999999</v>
      </c>
      <c r="V206">
        <f ca="1">IF(AND(ISNUMBER($V$509),$B$294=1),$V$509,HLOOKUP(INDIRECT(ADDRESS(2,COLUMN())),OFFSET($BN$2,0,0,ROW()-1,60),ROW()-1,FALSE))</f>
        <v>3.3277476350000001</v>
      </c>
      <c r="W206">
        <f ca="1">IF(AND(ISNUMBER($W$509),$B$294=1),$W$509,HLOOKUP(INDIRECT(ADDRESS(2,COLUMN())),OFFSET($BN$2,0,0,ROW()-1,60),ROW()-1,FALSE))</f>
        <v>3.1331077270000001</v>
      </c>
      <c r="X206">
        <f ca="1">IF(AND(ISNUMBER($X$509),$B$294=1),$X$509,HLOOKUP(INDIRECT(ADDRESS(2,COLUMN())),OFFSET($BN$2,0,0,ROW()-1,60),ROW()-1,FALSE))</f>
        <v>3.1219625689999999</v>
      </c>
      <c r="Y206">
        <f ca="1">IF(AND(ISNUMBER($Y$509),$B$294=1),$Y$509,HLOOKUP(INDIRECT(ADDRESS(2,COLUMN())),OFFSET($BN$2,0,0,ROW()-1,60),ROW()-1,FALSE))</f>
        <v>3.3025779549999998</v>
      </c>
      <c r="Z206">
        <f ca="1">IF(AND(ISNUMBER($Z$509),$B$294=1),$Z$509,HLOOKUP(INDIRECT(ADDRESS(2,COLUMN())),OFFSET($BN$2,0,0,ROW()-1,60),ROW()-1,FALSE))</f>
        <v>3.2009364219999998</v>
      </c>
      <c r="AA206">
        <f ca="1">IF(AND(ISNUMBER($AA$509),$B$294=1),$AA$509,HLOOKUP(INDIRECT(ADDRESS(2,COLUMN())),OFFSET($BN$2,0,0,ROW()-1,60),ROW()-1,FALSE))</f>
        <v>3.0226358389999999</v>
      </c>
      <c r="AB206">
        <f ca="1">IF(AND(ISNUMBER($AB$509),$B$294=1),$AB$509,HLOOKUP(INDIRECT(ADDRESS(2,COLUMN())),OFFSET($BN$2,0,0,ROW()-1,60),ROW()-1,FALSE))</f>
        <v>0.97663410699999997</v>
      </c>
      <c r="AC206">
        <f ca="1">IF(AND(ISNUMBER($AC$509),$B$294=1),$AC$509,HLOOKUP(INDIRECT(ADDRESS(2,COLUMN())),OFFSET($BN$2,0,0,ROW()-1,60),ROW()-1,FALSE))</f>
        <v>2.7141796280000001</v>
      </c>
      <c r="AD206">
        <f ca="1">IF(AND(ISNUMBER($AD$509),$B$294=1),$AD$509,HLOOKUP(INDIRECT(ADDRESS(2,COLUMN())),OFFSET($BN$2,0,0,ROW()-1,60),ROW()-1,FALSE))</f>
        <v>2.7791330689999998</v>
      </c>
      <c r="AE206">
        <f ca="1">IF(AND(ISNUMBER($AE$509),$B$294=1),$AE$509,HLOOKUP(INDIRECT(ADDRESS(2,COLUMN())),OFFSET($BN$2,0,0,ROW()-1,60),ROW()-1,FALSE))</f>
        <v>1.054064466</v>
      </c>
      <c r="AF206">
        <f ca="1">IF(AND(ISNUMBER($AF$509),$B$294=1),$AF$509,HLOOKUP(INDIRECT(ADDRESS(2,COLUMN())),OFFSET($BN$2,0,0,ROW()-1,60),ROW()-1,FALSE))</f>
        <v>2.6612756449999999</v>
      </c>
      <c r="AG206">
        <f ca="1">IF(AND(ISNUMBER($AG$509),$B$294=1),$AG$509,HLOOKUP(INDIRECT(ADDRESS(2,COLUMN())),OFFSET($BN$2,0,0,ROW()-1,60),ROW()-1,FALSE))</f>
        <v>1.8130884940000001</v>
      </c>
      <c r="AH206">
        <f ca="1">IF(AND(ISNUMBER($AH$509),$B$294=1),$AH$509,HLOOKUP(INDIRECT(ADDRESS(2,COLUMN())),OFFSET($BN$2,0,0,ROW()-1,60),ROW()-1,FALSE))</f>
        <v>1.441776757</v>
      </c>
      <c r="AI206">
        <f ca="1">IF(AND(ISNUMBER($AI$509),$B$294=1),$AI$509,HLOOKUP(INDIRECT(ADDRESS(2,COLUMN())),OFFSET($BN$2,0,0,ROW()-1,60),ROW()-1,FALSE))</f>
        <v>2.634776617</v>
      </c>
      <c r="AJ206">
        <f ca="1">IF(AND(ISNUMBER($AJ$509),$B$294=1),$AJ$509,HLOOKUP(INDIRECT(ADDRESS(2,COLUMN())),OFFSET($BN$2,0,0,ROW()-1,60),ROW()-1,FALSE))</f>
        <v>2.34014671</v>
      </c>
      <c r="AK206">
        <f ca="1">IF(AND(ISNUMBER($AK$509),$B$294=1),$AK$509,HLOOKUP(INDIRECT(ADDRESS(2,COLUMN())),OFFSET($BN$2,0,0,ROW()-1,60),ROW()-1,FALSE))</f>
        <v>2.4711057240000001</v>
      </c>
      <c r="AL206">
        <f ca="1">IF(AND(ISNUMBER($AL$509),$B$294=1),$AL$509,HLOOKUP(INDIRECT(ADDRESS(2,COLUMN())),OFFSET($BN$2,0,0,ROW()-1,60),ROW()-1,FALSE))</f>
        <v>2.6354359930000002</v>
      </c>
      <c r="AM206">
        <f ca="1">IF(AND(ISNUMBER($AM$509),$B$294=1),$AM$509,HLOOKUP(INDIRECT(ADDRESS(2,COLUMN())),OFFSET($BN$2,0,0,ROW()-1,60),ROW()-1,FALSE))</f>
        <v>1.4282215439999999</v>
      </c>
      <c r="AN206">
        <f ca="1">IF(AND(ISNUMBER($AN$509),$B$294=1),$AN$509,HLOOKUP(INDIRECT(ADDRESS(2,COLUMN())),OFFSET($BN$2,0,0,ROW()-1,60),ROW()-1,FALSE))</f>
        <v>4.2353447040000001</v>
      </c>
      <c r="AO206">
        <f ca="1">IF(AND(ISNUMBER($AO$509),$B$294=1),$AO$509,HLOOKUP(INDIRECT(ADDRESS(2,COLUMN())),OFFSET($BN$2,0,0,ROW()-1,60),ROW()-1,FALSE))</f>
        <v>3.4682062299999998</v>
      </c>
      <c r="AP206">
        <f ca="1">IF(AND(ISNUMBER($AP$509),$B$294=1),$AP$509,HLOOKUP(INDIRECT(ADDRESS(2,COLUMN())),OFFSET($BN$2,0,0,ROW()-1,60),ROW()-1,FALSE))</f>
        <v>3.267778753</v>
      </c>
      <c r="AQ206">
        <f ca="1">IF(AND(ISNUMBER($AQ$509),$B$294=1),$AQ$509,HLOOKUP(INDIRECT(ADDRESS(2,COLUMN())),OFFSET($BN$2,0,0,ROW()-1,60),ROW()-1,FALSE))</f>
        <v>2.898259516</v>
      </c>
      <c r="AR206">
        <f ca="1">IF(AND(ISNUMBER($AR$509),$B$294=1),$AR$509,HLOOKUP(INDIRECT(ADDRESS(2,COLUMN())),OFFSET($BN$2,0,0,ROW()-1,60),ROW()-1,FALSE))</f>
        <v>2.7495889440000001</v>
      </c>
      <c r="AS206">
        <f ca="1">IF(AND(ISNUMBER($AS$509),$B$294=1),$AS$509,HLOOKUP(INDIRECT(ADDRESS(2,COLUMN())),OFFSET($BN$2,0,0,ROW()-1,60),ROW()-1,FALSE))</f>
        <v>2.780644552</v>
      </c>
      <c r="AT206">
        <f ca="1">IF(AND(ISNUMBER($AT$509),$B$294=1),$AT$509,HLOOKUP(INDIRECT(ADDRESS(2,COLUMN())),OFFSET($BN$2,0,0,ROW()-1,60),ROW()-1,FALSE))</f>
        <v>2.6041524069999999</v>
      </c>
      <c r="AU206">
        <f ca="1">IF(AND(ISNUMBER($AU$509),$B$294=1),$AU$509,HLOOKUP(INDIRECT(ADDRESS(2,COLUMN())),OFFSET($BN$2,0,0,ROW()-1,60),ROW()-1,FALSE))</f>
        <v>2.6198919520000001</v>
      </c>
      <c r="AV206">
        <f ca="1">IF(AND(ISNUMBER($AV$509),$B$294=1),$AV$509,HLOOKUP(INDIRECT(ADDRESS(2,COLUMN())),OFFSET($BN$2,0,0,ROW()-1,60),ROW()-1,FALSE))</f>
        <v>2.6556321629999999</v>
      </c>
      <c r="AW206">
        <f ca="1">IF(AND(ISNUMBER($AW$509),$B$294=1),$AW$509,HLOOKUP(INDIRECT(ADDRESS(2,COLUMN())),OFFSET($BN$2,0,0,ROW()-1,60),ROW()-1,FALSE))</f>
        <v>2.6707556889999999</v>
      </c>
      <c r="AX206">
        <f ca="1">IF(AND(ISNUMBER($AX$509),$B$294=1),$AX$509,HLOOKUP(INDIRECT(ADDRESS(2,COLUMN())),OFFSET($BN$2,0,0,ROW()-1,60),ROW()-1,FALSE))</f>
        <v>2.5831074539999999</v>
      </c>
      <c r="AY206">
        <f ca="1">IF(AND(ISNUMBER($AY$509),$B$294=1),$AY$509,HLOOKUP(INDIRECT(ADDRESS(2,COLUMN())),OFFSET($BN$2,0,0,ROW()-1,60),ROW()-1,FALSE))</f>
        <v>2.4461022200000002</v>
      </c>
      <c r="AZ206">
        <f ca="1">IF(AND(ISNUMBER($AZ$509),$B$294=1),$AZ$509,HLOOKUP(INDIRECT(ADDRESS(2,COLUMN())),OFFSET($BN$2,0,0,ROW()-1,60),ROW()-1,FALSE))</f>
        <v>2.6548821550000001</v>
      </c>
      <c r="BA206">
        <f ca="1">IF(AND(ISNUMBER($BA$509),$B$294=1),$BA$509,HLOOKUP(INDIRECT(ADDRESS(2,COLUMN())),OFFSET($BN$2,0,0,ROW()-1,60),ROW()-1,FALSE))</f>
        <v>2.6360356299999999</v>
      </c>
      <c r="BB206">
        <f ca="1">IF(AND(ISNUMBER($BB$509),$B$294=1),$BB$509,HLOOKUP(INDIRECT(ADDRESS(2,COLUMN())),OFFSET($BN$2,0,0,ROW()-1,60),ROW()-1,FALSE))</f>
        <v>2.585612738</v>
      </c>
      <c r="BC206">
        <f ca="1">IF(AND(ISNUMBER($BC$509),$B$294=1),$BC$509,HLOOKUP(INDIRECT(ADDRESS(2,COLUMN())),OFFSET($BN$2,0,0,ROW()-1,60),ROW()-1,FALSE))</f>
        <v>2.7320172010000001</v>
      </c>
      <c r="BD206">
        <f ca="1">IF(AND(ISNUMBER($BD$509),$B$294=1),$BD$509,HLOOKUP(INDIRECT(ADDRESS(2,COLUMN())),OFFSET($BN$2,0,0,ROW()-1,60),ROW()-1,FALSE))</f>
        <v>2.7785729030000001</v>
      </c>
      <c r="BE206">
        <f ca="1">IF(AND(ISNUMBER($BE$509),$B$294=1),$BE$509,HLOOKUP(INDIRECT(ADDRESS(2,COLUMN())),OFFSET($BN$2,0,0,ROW()-1,60),ROW()-1,FALSE))</f>
        <v>2.8522579709999998</v>
      </c>
      <c r="BF206">
        <f ca="1">IF(AND(ISNUMBER($BF$509),$B$294=1),$BF$509,HLOOKUP(INDIRECT(ADDRESS(2,COLUMN())),OFFSET($BN$2,0,0,ROW()-1,60),ROW()-1,FALSE))</f>
        <v>2.9112891150000002</v>
      </c>
      <c r="BG206">
        <f ca="1">IF(AND(ISNUMBER($BG$509),$B$294=1),$BG$509,HLOOKUP(INDIRECT(ADDRESS(2,COLUMN())),OFFSET($BN$2,0,0,ROW()-1,60),ROW()-1,FALSE))</f>
        <v>2.9604493330000001</v>
      </c>
      <c r="BH206">
        <f ca="1">IF(AND(ISNUMBER($BH$509),$B$294=1),$BH$509,HLOOKUP(INDIRECT(ADDRESS(2,COLUMN())),OFFSET($BN$2,0,0,ROW()-1,60),ROW()-1,FALSE))</f>
        <v>3.0644730990000002</v>
      </c>
      <c r="BI206">
        <f ca="1">IF(AND(ISNUMBER($BI$509),$B$294=1),$BI$509,HLOOKUP(INDIRECT(ADDRESS(2,COLUMN())),OFFSET($BN$2,0,0,ROW()-1,60),ROW()-1,FALSE))</f>
        <v>3.3562738329999999</v>
      </c>
      <c r="BJ206">
        <f ca="1">IF(AND(ISNUMBER($BJ$509),$B$294=1),$BJ$509,HLOOKUP(INDIRECT(ADDRESS(2,COLUMN())),OFFSET($BN$2,0,0,ROW()-1,60),ROW()-1,FALSE))</f>
        <v>2.894344034</v>
      </c>
      <c r="BK206">
        <f ca="1">IF(AND(ISNUMBER($BK$509),$B$294=1),$BK$509,HLOOKUP(INDIRECT(ADDRESS(2,COLUMN())),OFFSET($BN$2,0,0,ROW()-1,60),ROW()-1,FALSE))</f>
        <v>2.8615223140000001</v>
      </c>
      <c r="BL206">
        <f ca="1">IF(AND(ISNUMBER($BL$509),$B$294=1),$BL$509,HLOOKUP(INDIRECT(ADDRESS(2,COLUMN())),OFFSET($BN$2,0,0,ROW()-1,60),ROW()-1,FALSE))</f>
        <v>2.781604068</v>
      </c>
      <c r="BM206">
        <f ca="1">IF(AND(ISNUMBER($BM$509),$B$294=1),$BM$509,HLOOKUP(INDIRECT(ADDRESS(2,COLUMN())),OFFSET($BN$2,0,0,ROW()-1,60),ROW()-1,FALSE))</f>
        <v>2.6268811140000001</v>
      </c>
      <c r="BN206" t="str">
        <f>""</f>
        <v/>
      </c>
      <c r="BO206">
        <f>3.091197751</f>
        <v>3.0911977510000002</v>
      </c>
      <c r="BP206">
        <f>3.770277849</f>
        <v>3.7702778490000002</v>
      </c>
      <c r="BQ206">
        <f>3.652663988</f>
        <v>3.652663988</v>
      </c>
      <c r="BR206">
        <f>3.632884069</f>
        <v>3.6328840690000002</v>
      </c>
      <c r="BS206">
        <f>3.797846121</f>
        <v>3.7978461210000001</v>
      </c>
      <c r="BT206">
        <f>2.407136222</f>
        <v>2.4071362220000001</v>
      </c>
      <c r="BU206">
        <f>0.298202217</f>
        <v>0.29820221699999999</v>
      </c>
      <c r="BV206">
        <f>2.784201367</f>
        <v>2.7842013670000001</v>
      </c>
      <c r="BW206">
        <f>2.545710834</f>
        <v>2.5457108339999999</v>
      </c>
      <c r="BX206">
        <f>2.942912815</f>
        <v>2.9429128150000001</v>
      </c>
      <c r="BY206">
        <f>3.297684675</f>
        <v>3.2976846750000002</v>
      </c>
      <c r="BZ206">
        <f>3.007294366</f>
        <v>3.007294366</v>
      </c>
      <c r="CA206">
        <f>2.963969767</f>
        <v>2.963969767</v>
      </c>
      <c r="CB206">
        <f>2.749858882</f>
        <v>2.7498588819999998</v>
      </c>
      <c r="CC206">
        <f>2.707811568</f>
        <v>2.7078115679999999</v>
      </c>
      <c r="CD206">
        <f>3.327747635</f>
        <v>3.3277476350000001</v>
      </c>
      <c r="CE206">
        <f>3.133107727</f>
        <v>3.1331077270000001</v>
      </c>
      <c r="CF206">
        <f>3.121962569</f>
        <v>3.1219625689999999</v>
      </c>
      <c r="CG206">
        <f>3.302577955</f>
        <v>3.3025779549999998</v>
      </c>
      <c r="CH206">
        <f>3.200936422</f>
        <v>3.2009364219999998</v>
      </c>
      <c r="CI206">
        <f>3.022635839</f>
        <v>3.0226358389999999</v>
      </c>
      <c r="CJ206">
        <f>0.976634107</f>
        <v>0.97663410699999997</v>
      </c>
      <c r="CK206">
        <f>2.714179628</f>
        <v>2.7141796280000001</v>
      </c>
      <c r="CL206">
        <f>2.779133069</f>
        <v>2.7791330689999998</v>
      </c>
      <c r="CM206">
        <f>1.054064466</f>
        <v>1.054064466</v>
      </c>
      <c r="CN206">
        <f>2.661275645</f>
        <v>2.6612756449999999</v>
      </c>
      <c r="CO206">
        <f>1.813088494</f>
        <v>1.8130884940000001</v>
      </c>
      <c r="CP206">
        <f>1.441776757</f>
        <v>1.441776757</v>
      </c>
      <c r="CQ206">
        <f>2.634776617</f>
        <v>2.634776617</v>
      </c>
      <c r="CR206">
        <f>2.34014671</f>
        <v>2.34014671</v>
      </c>
      <c r="CS206">
        <f>2.471105724</f>
        <v>2.4711057240000001</v>
      </c>
      <c r="CT206">
        <f>2.635435993</f>
        <v>2.6354359930000002</v>
      </c>
      <c r="CU206">
        <f>1.428221544</f>
        <v>1.4282215439999999</v>
      </c>
      <c r="CV206">
        <f>4.235344704</f>
        <v>4.2353447040000001</v>
      </c>
      <c r="CW206">
        <f>3.46820623</f>
        <v>3.4682062299999998</v>
      </c>
      <c r="CX206">
        <f>3.267778753</f>
        <v>3.267778753</v>
      </c>
      <c r="CY206">
        <f>2.898259516</f>
        <v>2.898259516</v>
      </c>
      <c r="CZ206">
        <f>2.749588944</f>
        <v>2.7495889440000001</v>
      </c>
      <c r="DA206">
        <f>2.780644552</f>
        <v>2.780644552</v>
      </c>
      <c r="DB206">
        <f>2.604152407</f>
        <v>2.6041524069999999</v>
      </c>
      <c r="DC206">
        <f>2.619891952</f>
        <v>2.6198919520000001</v>
      </c>
      <c r="DD206">
        <f>2.655632163</f>
        <v>2.6556321629999999</v>
      </c>
      <c r="DE206">
        <f>2.670755689</f>
        <v>2.6707556889999999</v>
      </c>
      <c r="DF206">
        <f>2.583107454</f>
        <v>2.5831074539999999</v>
      </c>
      <c r="DG206">
        <f>2.44610222</f>
        <v>2.4461022200000002</v>
      </c>
      <c r="DH206">
        <f>2.654882155</f>
        <v>2.6548821550000001</v>
      </c>
      <c r="DI206">
        <f>2.63603563</f>
        <v>2.6360356299999999</v>
      </c>
      <c r="DJ206">
        <f>2.585612738</f>
        <v>2.585612738</v>
      </c>
      <c r="DK206">
        <f>2.732017201</f>
        <v>2.7320172010000001</v>
      </c>
      <c r="DL206">
        <f>2.778572903</f>
        <v>2.7785729030000001</v>
      </c>
      <c r="DM206">
        <f>2.852257971</f>
        <v>2.8522579709999998</v>
      </c>
      <c r="DN206">
        <f>2.911289115</f>
        <v>2.9112891150000002</v>
      </c>
      <c r="DO206">
        <f>2.960449333</f>
        <v>2.9604493330000001</v>
      </c>
      <c r="DP206">
        <f>3.064473099</f>
        <v>3.0644730990000002</v>
      </c>
      <c r="DQ206">
        <f>3.356273833</f>
        <v>3.3562738329999999</v>
      </c>
      <c r="DR206">
        <f>2.894344034</f>
        <v>2.894344034</v>
      </c>
      <c r="DS206">
        <f>2.861522314</f>
        <v>2.8615223140000001</v>
      </c>
      <c r="DT206">
        <f>2.781604068</f>
        <v>2.781604068</v>
      </c>
      <c r="DU206">
        <f>2.626881114</f>
        <v>2.6268811140000001</v>
      </c>
    </row>
    <row r="207" spans="1:125">
      <c r="A207" t="str">
        <f>"    Highwoods Properties Inc"</f>
        <v xml:space="preserve">    Highwoods Properties Inc</v>
      </c>
      <c r="B207" t="str">
        <f>"HIW US Equity"</f>
        <v>HIW US Equity</v>
      </c>
      <c r="C207" t="str">
        <f t="shared" si="54"/>
        <v>RX951</v>
      </c>
      <c r="D207" t="str">
        <f t="shared" si="55"/>
        <v>EBITDA_TO_INTEREST_EXPN</v>
      </c>
      <c r="E207" t="str">
        <f t="shared" si="56"/>
        <v>动态</v>
      </c>
      <c r="F207" t="str">
        <f ca="1">IF(AND(ISNUMBER($F$510),$B$294=1),$F$510,HLOOKUP(INDIRECT(ADDRESS(2,COLUMN())),OFFSET($BN$2,0,0,ROW()-1,60),ROW()-1,FALSE))</f>
        <v/>
      </c>
      <c r="G207">
        <f ca="1">IF(AND(ISNUMBER($G$510),$B$294=1),$G$510,HLOOKUP(INDIRECT(ADDRESS(2,COLUMN())),OFFSET($BN$2,0,0,ROW()-1,60),ROW()-1,FALSE))</f>
        <v>5.9560820249999997</v>
      </c>
      <c r="H207">
        <f ca="1">IF(AND(ISNUMBER($H$510),$B$294=1),$H$510,HLOOKUP(INDIRECT(ADDRESS(2,COLUMN())),OFFSET($BN$2,0,0,ROW()-1,60),ROW()-1,FALSE))</f>
        <v>6.2974230699999998</v>
      </c>
      <c r="I207">
        <f ca="1">IF(AND(ISNUMBER($I$510),$B$294=1),$I$510,HLOOKUP(INDIRECT(ADDRESS(2,COLUMN())),OFFSET($BN$2,0,0,ROW()-1,60),ROW()-1,FALSE))</f>
        <v>6.7710164669999999</v>
      </c>
      <c r="J207">
        <f ca="1">IF(AND(ISNUMBER($J$510),$B$294=1),$J$510,HLOOKUP(INDIRECT(ADDRESS(2,COLUMN())),OFFSET($BN$2,0,0,ROW()-1,60),ROW()-1,FALSE))</f>
        <v>5.6273862169999997</v>
      </c>
      <c r="K207">
        <f ca="1">IF(AND(ISNUMBER($K$510),$B$294=1),$K$510,HLOOKUP(INDIRECT(ADDRESS(2,COLUMN())),OFFSET($BN$2,0,0,ROW()-1,60),ROW()-1,FALSE))</f>
        <v>5.6701319029999997</v>
      </c>
      <c r="L207">
        <f ca="1">IF(AND(ISNUMBER($L$510),$B$294=1),$L$510,HLOOKUP(INDIRECT(ADDRESS(2,COLUMN())),OFFSET($BN$2,0,0,ROW()-1,60),ROW()-1,FALSE))</f>
        <v>5.2669395669999997</v>
      </c>
      <c r="M207">
        <f ca="1">IF(AND(ISNUMBER($M$510),$B$294=1),$M$510,HLOOKUP(INDIRECT(ADDRESS(2,COLUMN())),OFFSET($BN$2,0,0,ROW()-1,60),ROW()-1,FALSE))</f>
        <v>5.1843982549999996</v>
      </c>
      <c r="N207">
        <f ca="1">IF(AND(ISNUMBER($N$510),$B$294=1),$N$510,HLOOKUP(INDIRECT(ADDRESS(2,COLUMN())),OFFSET($BN$2,0,0,ROW()-1,60),ROW()-1,FALSE))</f>
        <v>4.6434194639999999</v>
      </c>
      <c r="O207">
        <f ca="1">IF(AND(ISNUMBER($O$510),$B$294=1),$O$510,HLOOKUP(INDIRECT(ADDRESS(2,COLUMN())),OFFSET($BN$2,0,0,ROW()-1,60),ROW()-1,FALSE))</f>
        <v>4.5520688700000003</v>
      </c>
      <c r="P207">
        <f ca="1">IF(AND(ISNUMBER($P$510),$B$294=1),$P$510,HLOOKUP(INDIRECT(ADDRESS(2,COLUMN())),OFFSET($BN$2,0,0,ROW()-1,60),ROW()-1,FALSE))</f>
        <v>4.4066567499999998</v>
      </c>
      <c r="Q207">
        <f ca="1">IF(AND(ISNUMBER($Q$510),$B$294=1),$Q$510,HLOOKUP(INDIRECT(ADDRESS(2,COLUMN())),OFFSET($BN$2,0,0,ROW()-1,60),ROW()-1,FALSE))</f>
        <v>4.1570925069999998</v>
      </c>
      <c r="R207">
        <f ca="1">IF(AND(ISNUMBER($R$510),$B$294=1),$R$510,HLOOKUP(INDIRECT(ADDRESS(2,COLUMN())),OFFSET($BN$2,0,0,ROW()-1,60),ROW()-1,FALSE))</f>
        <v>4.1245390469999998</v>
      </c>
      <c r="S207">
        <f ca="1">IF(AND(ISNUMBER($S$510),$B$294=1),$S$510,HLOOKUP(INDIRECT(ADDRESS(2,COLUMN())),OFFSET($BN$2,0,0,ROW()-1,60),ROW()-1,FALSE))</f>
        <v>4.0439581630000001</v>
      </c>
      <c r="T207">
        <f ca="1">IF(AND(ISNUMBER($T$510),$B$294=1),$T$510,HLOOKUP(INDIRECT(ADDRESS(2,COLUMN())),OFFSET($BN$2,0,0,ROW()-1,60),ROW()-1,FALSE))</f>
        <v>3.9251834620000001</v>
      </c>
      <c r="U207">
        <f ca="1">IF(AND(ISNUMBER($U$510),$B$294=1),$U$510,HLOOKUP(INDIRECT(ADDRESS(2,COLUMN())),OFFSET($BN$2,0,0,ROW()-1,60),ROW()-1,FALSE))</f>
        <v>4.1543393200000001</v>
      </c>
      <c r="V207">
        <f ca="1">IF(AND(ISNUMBER($V$510),$B$294=1),$V$510,HLOOKUP(INDIRECT(ADDRESS(2,COLUMN())),OFFSET($BN$2,0,0,ROW()-1,60),ROW()-1,FALSE))</f>
        <v>3.8081172169999999</v>
      </c>
      <c r="W207">
        <f ca="1">IF(AND(ISNUMBER($W$510),$B$294=1),$W$510,HLOOKUP(INDIRECT(ADDRESS(2,COLUMN())),OFFSET($BN$2,0,0,ROW()-1,60),ROW()-1,FALSE))</f>
        <v>3.8697719070000001</v>
      </c>
      <c r="X207">
        <f ca="1">IF(AND(ISNUMBER($X$510),$B$294=1),$X$510,HLOOKUP(INDIRECT(ADDRESS(2,COLUMN())),OFFSET($BN$2,0,0,ROW()-1,60),ROW()-1,FALSE))</f>
        <v>3.5149966199999998</v>
      </c>
      <c r="Y207">
        <f ca="1">IF(AND(ISNUMBER($Y$510),$B$294=1),$Y$510,HLOOKUP(INDIRECT(ADDRESS(2,COLUMN())),OFFSET($BN$2,0,0,ROW()-1,60),ROW()-1,FALSE))</f>
        <v>3.3820750670000002</v>
      </c>
      <c r="Z207">
        <f ca="1">IF(AND(ISNUMBER($Z$510),$B$294=1),$Z$510,HLOOKUP(INDIRECT(ADDRESS(2,COLUMN())),OFFSET($BN$2,0,0,ROW()-1,60),ROW()-1,FALSE))</f>
        <v>3.1592508800000001</v>
      </c>
      <c r="AA207">
        <f ca="1">IF(AND(ISNUMBER($AA$510),$B$294=1),$AA$510,HLOOKUP(INDIRECT(ADDRESS(2,COLUMN())),OFFSET($BN$2,0,0,ROW()-1,60),ROW()-1,FALSE))</f>
        <v>3.121860743</v>
      </c>
      <c r="AB207">
        <f ca="1">IF(AND(ISNUMBER($AB$510),$B$294=1),$AB$510,HLOOKUP(INDIRECT(ADDRESS(2,COLUMN())),OFFSET($BN$2,0,0,ROW()-1,60),ROW()-1,FALSE))</f>
        <v>2.9138430529999999</v>
      </c>
      <c r="AC207">
        <f ca="1">IF(AND(ISNUMBER($AC$510),$B$294=1),$AC$510,HLOOKUP(INDIRECT(ADDRESS(2,COLUMN())),OFFSET($BN$2,0,0,ROW()-1,60),ROW()-1,FALSE))</f>
        <v>3.017848351</v>
      </c>
      <c r="AD207">
        <f ca="1">IF(AND(ISNUMBER($AD$510),$B$294=1),$AD$510,HLOOKUP(INDIRECT(ADDRESS(2,COLUMN())),OFFSET($BN$2,0,0,ROW()-1,60),ROW()-1,FALSE))</f>
        <v>2.9238880140000001</v>
      </c>
      <c r="AE207">
        <f ca="1">IF(AND(ISNUMBER($AE$510),$B$294=1),$AE$510,HLOOKUP(INDIRECT(ADDRESS(2,COLUMN())),OFFSET($BN$2,0,0,ROW()-1,60),ROW()-1,FALSE))</f>
        <v>2.9969626360000001</v>
      </c>
      <c r="AF207">
        <f ca="1">IF(AND(ISNUMBER($AF$510),$B$294=1),$AF$510,HLOOKUP(INDIRECT(ADDRESS(2,COLUMN())),OFFSET($BN$2,0,0,ROW()-1,60),ROW()-1,FALSE))</f>
        <v>2.4664002310000002</v>
      </c>
      <c r="AG207">
        <f ca="1">IF(AND(ISNUMBER($AG$510),$B$294=1),$AG$510,HLOOKUP(INDIRECT(ADDRESS(2,COLUMN())),OFFSET($BN$2,0,0,ROW()-1,60),ROW()-1,FALSE))</f>
        <v>2.8242774079999999</v>
      </c>
      <c r="AH207">
        <f ca="1">IF(AND(ISNUMBER($AH$510),$B$294=1),$AH$510,HLOOKUP(INDIRECT(ADDRESS(2,COLUMN())),OFFSET($BN$2,0,0,ROW()-1,60),ROW()-1,FALSE))</f>
        <v>2.7982839909999999</v>
      </c>
      <c r="AI207">
        <f ca="1">IF(AND(ISNUMBER($AI$510),$B$294=1),$AI$510,HLOOKUP(INDIRECT(ADDRESS(2,COLUMN())),OFFSET($BN$2,0,0,ROW()-1,60),ROW()-1,FALSE))</f>
        <v>1.832659357</v>
      </c>
      <c r="AJ207">
        <f ca="1">IF(AND(ISNUMBER($AJ$510),$B$294=1),$AJ$510,HLOOKUP(INDIRECT(ADDRESS(2,COLUMN())),OFFSET($BN$2,0,0,ROW()-1,60),ROW()-1,FALSE))</f>
        <v>2.7168137799999998</v>
      </c>
      <c r="AK207">
        <f ca="1">IF(AND(ISNUMBER($AK$510),$B$294=1),$AK$510,HLOOKUP(INDIRECT(ADDRESS(2,COLUMN())),OFFSET($BN$2,0,0,ROW()-1,60),ROW()-1,FALSE))</f>
        <v>3.0050143889999998</v>
      </c>
      <c r="AL207">
        <f ca="1">IF(AND(ISNUMBER($AL$510),$B$294=1),$AL$510,HLOOKUP(INDIRECT(ADDRESS(2,COLUMN())),OFFSET($BN$2,0,0,ROW()-1,60),ROW()-1,FALSE))</f>
        <v>2.8129191360000001</v>
      </c>
      <c r="AM207">
        <f ca="1">IF(AND(ISNUMBER($AM$510),$B$294=1),$AM$510,HLOOKUP(INDIRECT(ADDRESS(2,COLUMN())),OFFSET($BN$2,0,0,ROW()-1,60),ROW()-1,FALSE))</f>
        <v>2.2334883300000001</v>
      </c>
      <c r="AN207">
        <f ca="1">IF(AND(ISNUMBER($AN$510),$B$294=1),$AN$510,HLOOKUP(INDIRECT(ADDRESS(2,COLUMN())),OFFSET($BN$2,0,0,ROW()-1,60),ROW()-1,FALSE))</f>
        <v>2.8800506229999998</v>
      </c>
      <c r="AO207">
        <f ca="1">IF(AND(ISNUMBER($AO$510),$B$294=1),$AO$510,HLOOKUP(INDIRECT(ADDRESS(2,COLUMN())),OFFSET($BN$2,0,0,ROW()-1,60),ROW()-1,FALSE))</f>
        <v>2.9168384559999998</v>
      </c>
      <c r="AP207">
        <f ca="1">IF(AND(ISNUMBER($AP$510),$B$294=1),$AP$510,HLOOKUP(INDIRECT(ADDRESS(2,COLUMN())),OFFSET($BN$2,0,0,ROW()-1,60),ROW()-1,FALSE))</f>
        <v>2.9466690940000002</v>
      </c>
      <c r="AQ207">
        <f ca="1">IF(AND(ISNUMBER($AQ$510),$B$294=1),$AQ$510,HLOOKUP(INDIRECT(ADDRESS(2,COLUMN())),OFFSET($BN$2,0,0,ROW()-1,60),ROW()-1,FALSE))</f>
        <v>2.2818092270000001</v>
      </c>
      <c r="AR207">
        <f ca="1">IF(AND(ISNUMBER($AR$510),$B$294=1),$AR$510,HLOOKUP(INDIRECT(ADDRESS(2,COLUMN())),OFFSET($BN$2,0,0,ROW()-1,60),ROW()-1,FALSE))</f>
        <v>2.6022782950000001</v>
      </c>
      <c r="AS207">
        <f ca="1">IF(AND(ISNUMBER($AS$510),$B$294=1),$AS$510,HLOOKUP(INDIRECT(ADDRESS(2,COLUMN())),OFFSET($BN$2,0,0,ROW()-1,60),ROW()-1,FALSE))</f>
        <v>2.3161524500000001</v>
      </c>
      <c r="AT207">
        <f ca="1">IF(AND(ISNUMBER($AT$510),$B$294=1),$AT$510,HLOOKUP(INDIRECT(ADDRESS(2,COLUMN())),OFFSET($BN$2,0,0,ROW()-1,60),ROW()-1,FALSE))</f>
        <v>2.485930518</v>
      </c>
      <c r="AU207">
        <f ca="1">IF(AND(ISNUMBER($AU$510),$B$294=1),$AU$510,HLOOKUP(INDIRECT(ADDRESS(2,COLUMN())),OFFSET($BN$2,0,0,ROW()-1,60),ROW()-1,FALSE))</f>
        <v>2.4712394799999999</v>
      </c>
      <c r="AV207">
        <f ca="1">IF(AND(ISNUMBER($AV$510),$B$294=1),$AV$510,HLOOKUP(INDIRECT(ADDRESS(2,COLUMN())),OFFSET($BN$2,0,0,ROW()-1,60),ROW()-1,FALSE))</f>
        <v>2.3470088850000002</v>
      </c>
      <c r="AW207">
        <f ca="1">IF(AND(ISNUMBER($AW$510),$B$294=1),$AW$510,HLOOKUP(INDIRECT(ADDRESS(2,COLUMN())),OFFSET($BN$2,0,0,ROW()-1,60),ROW()-1,FALSE))</f>
        <v>2.2646046719999999</v>
      </c>
      <c r="AX207">
        <f ca="1">IF(AND(ISNUMBER($AX$510),$B$294=1),$AX$510,HLOOKUP(INDIRECT(ADDRESS(2,COLUMN())),OFFSET($BN$2,0,0,ROW()-1,60),ROW()-1,FALSE))</f>
        <v>2.3541469049999999</v>
      </c>
      <c r="AY207">
        <f ca="1">IF(AND(ISNUMBER($AY$510),$B$294=1),$AY$510,HLOOKUP(INDIRECT(ADDRESS(2,COLUMN())),OFFSET($BN$2,0,0,ROW()-1,60),ROW()-1,FALSE))</f>
        <v>1.533392063</v>
      </c>
      <c r="AZ207">
        <f ca="1">IF(AND(ISNUMBER($AZ$510),$B$294=1),$AZ$510,HLOOKUP(INDIRECT(ADDRESS(2,COLUMN())),OFFSET($BN$2,0,0,ROW()-1,60),ROW()-1,FALSE))</f>
        <v>2.373255076</v>
      </c>
      <c r="BA207">
        <f ca="1">IF(AND(ISNUMBER($BA$510),$B$294=1),$BA$510,HLOOKUP(INDIRECT(ADDRESS(2,COLUMN())),OFFSET($BN$2,0,0,ROW()-1,60),ROW()-1,FALSE))</f>
        <v>2.270331096</v>
      </c>
      <c r="BB207">
        <f ca="1">IF(AND(ISNUMBER($BB$510),$B$294=1),$BB$510,HLOOKUP(INDIRECT(ADDRESS(2,COLUMN())),OFFSET($BN$2,0,0,ROW()-1,60),ROW()-1,FALSE))</f>
        <v>2.3610762470000002</v>
      </c>
      <c r="BC207">
        <f ca="1">IF(AND(ISNUMBER($BC$510),$B$294=1),$BC$510,HLOOKUP(INDIRECT(ADDRESS(2,COLUMN())),OFFSET($BN$2,0,0,ROW()-1,60),ROW()-1,FALSE))</f>
        <v>1.5393800230000001</v>
      </c>
      <c r="BD207">
        <f ca="1">IF(AND(ISNUMBER($BD$510),$B$294=1),$BD$510,HLOOKUP(INDIRECT(ADDRESS(2,COLUMN())),OFFSET($BN$2,0,0,ROW()-1,60),ROW()-1,FALSE))</f>
        <v>2.3146355459999999</v>
      </c>
      <c r="BE207">
        <f ca="1">IF(AND(ISNUMBER($BE$510),$B$294=1),$BE$510,HLOOKUP(INDIRECT(ADDRESS(2,COLUMN())),OFFSET($BN$2,0,0,ROW()-1,60),ROW()-1,FALSE))</f>
        <v>2.4301470589999998</v>
      </c>
      <c r="BF207">
        <f ca="1">IF(AND(ISNUMBER($BF$510),$B$294=1),$BF$510,HLOOKUP(INDIRECT(ADDRESS(2,COLUMN())),OFFSET($BN$2,0,0,ROW()-1,60),ROW()-1,FALSE))</f>
        <v>2.4012478490000002</v>
      </c>
      <c r="BG207">
        <f ca="1">IF(AND(ISNUMBER($BG$510),$B$294=1),$BG$510,HLOOKUP(INDIRECT(ADDRESS(2,COLUMN())),OFFSET($BN$2,0,0,ROW()-1,60),ROW()-1,FALSE))</f>
        <v>1.365925614</v>
      </c>
      <c r="BH207">
        <f ca="1">IF(AND(ISNUMBER($BH$510),$B$294=1),$BH$510,HLOOKUP(INDIRECT(ADDRESS(2,COLUMN())),OFFSET($BN$2,0,0,ROW()-1,60),ROW()-1,FALSE))</f>
        <v>2.1817262909999999</v>
      </c>
      <c r="BI207">
        <f ca="1">IF(AND(ISNUMBER($BI$510),$B$294=1),$BI$510,HLOOKUP(INDIRECT(ADDRESS(2,COLUMN())),OFFSET($BN$2,0,0,ROW()-1,60),ROW()-1,FALSE))</f>
        <v>2.2715521590000001</v>
      </c>
      <c r="BJ207">
        <f ca="1">IF(AND(ISNUMBER($BJ$510),$B$294=1),$BJ$510,HLOOKUP(INDIRECT(ADDRESS(2,COLUMN())),OFFSET($BN$2,0,0,ROW()-1,60),ROW()-1,FALSE))</f>
        <v>2.0024619449999999</v>
      </c>
      <c r="BK207" t="str">
        <f ca="1">IF(AND(ISNUMBER($BK$510),$B$294=1),$BK$510,HLOOKUP(INDIRECT(ADDRESS(2,COLUMN())),OFFSET($BN$2,0,0,ROW()-1,60),ROW()-1,FALSE))</f>
        <v/>
      </c>
      <c r="BL207">
        <f ca="1">IF(AND(ISNUMBER($BL$510),$B$294=1),$BL$510,HLOOKUP(INDIRECT(ADDRESS(2,COLUMN())),OFFSET($BN$2,0,0,ROW()-1,60),ROW()-1,FALSE))</f>
        <v>5.007078527</v>
      </c>
      <c r="BM207">
        <f ca="1">IF(AND(ISNUMBER($BM$510),$B$294=1),$BM$510,HLOOKUP(INDIRECT(ADDRESS(2,COLUMN())),OFFSET($BN$2,0,0,ROW()-1,60),ROW()-1,FALSE))</f>
        <v>2.4972111809999999</v>
      </c>
      <c r="BN207" t="str">
        <f>""</f>
        <v/>
      </c>
      <c r="BO207">
        <f>5.956082025</f>
        <v>5.9560820249999997</v>
      </c>
      <c r="BP207">
        <f>6.29742307</f>
        <v>6.2974230699999998</v>
      </c>
      <c r="BQ207">
        <f>6.771016467</f>
        <v>6.7710164669999999</v>
      </c>
      <c r="BR207">
        <f>5.627386217</f>
        <v>5.6273862169999997</v>
      </c>
      <c r="BS207">
        <f>5.670131903</f>
        <v>5.6701319029999997</v>
      </c>
      <c r="BT207">
        <f>5.266939567</f>
        <v>5.2669395669999997</v>
      </c>
      <c r="BU207">
        <f>5.184398255</f>
        <v>5.1843982549999996</v>
      </c>
      <c r="BV207">
        <f>4.643419464</f>
        <v>4.6434194639999999</v>
      </c>
      <c r="BW207">
        <f>4.55206887</f>
        <v>4.5520688700000003</v>
      </c>
      <c r="BX207">
        <f>4.40665675</f>
        <v>4.4066567499999998</v>
      </c>
      <c r="BY207">
        <f>4.157092507</f>
        <v>4.1570925069999998</v>
      </c>
      <c r="BZ207">
        <f>4.124539047</f>
        <v>4.1245390469999998</v>
      </c>
      <c r="CA207">
        <f>4.043958163</f>
        <v>4.0439581630000001</v>
      </c>
      <c r="CB207">
        <f>3.925183462</f>
        <v>3.9251834620000001</v>
      </c>
      <c r="CC207">
        <f>4.15433932</f>
        <v>4.1543393200000001</v>
      </c>
      <c r="CD207">
        <f>3.808117217</f>
        <v>3.8081172169999999</v>
      </c>
      <c r="CE207">
        <f>3.869771907</f>
        <v>3.8697719070000001</v>
      </c>
      <c r="CF207">
        <f>3.51499662</f>
        <v>3.5149966199999998</v>
      </c>
      <c r="CG207">
        <f>3.382075067</f>
        <v>3.3820750670000002</v>
      </c>
      <c r="CH207">
        <f>3.15925088</f>
        <v>3.1592508800000001</v>
      </c>
      <c r="CI207">
        <f>3.121860743</f>
        <v>3.121860743</v>
      </c>
      <c r="CJ207">
        <f>2.913843053</f>
        <v>2.9138430529999999</v>
      </c>
      <c r="CK207">
        <f>3.017848351</f>
        <v>3.017848351</v>
      </c>
      <c r="CL207">
        <f>2.923888014</f>
        <v>2.9238880140000001</v>
      </c>
      <c r="CM207">
        <f>2.996962636</f>
        <v>2.9969626360000001</v>
      </c>
      <c r="CN207">
        <f>2.466400231</f>
        <v>2.4664002310000002</v>
      </c>
      <c r="CO207">
        <f>2.824277408</f>
        <v>2.8242774079999999</v>
      </c>
      <c r="CP207">
        <f>2.798283991</f>
        <v>2.7982839909999999</v>
      </c>
      <c r="CQ207">
        <f>1.832659357</f>
        <v>1.832659357</v>
      </c>
      <c r="CR207">
        <f>2.71681378</f>
        <v>2.7168137799999998</v>
      </c>
      <c r="CS207">
        <f>3.005014389</f>
        <v>3.0050143889999998</v>
      </c>
      <c r="CT207">
        <f>2.812919136</f>
        <v>2.8129191360000001</v>
      </c>
      <c r="CU207">
        <f>2.23348833</f>
        <v>2.2334883300000001</v>
      </c>
      <c r="CV207">
        <f>2.880050623</f>
        <v>2.8800506229999998</v>
      </c>
      <c r="CW207">
        <f>2.916838456</f>
        <v>2.9168384559999998</v>
      </c>
      <c r="CX207">
        <f>2.946669094</f>
        <v>2.9466690940000002</v>
      </c>
      <c r="CY207">
        <f>2.281809227</f>
        <v>2.2818092270000001</v>
      </c>
      <c r="CZ207">
        <f>2.602278295</f>
        <v>2.6022782950000001</v>
      </c>
      <c r="DA207">
        <f>2.31615245</f>
        <v>2.3161524500000001</v>
      </c>
      <c r="DB207">
        <f>2.485930518</f>
        <v>2.485930518</v>
      </c>
      <c r="DC207">
        <f>2.47123948</f>
        <v>2.4712394799999999</v>
      </c>
      <c r="DD207">
        <f>2.347008885</f>
        <v>2.3470088850000002</v>
      </c>
      <c r="DE207">
        <f>2.264604672</f>
        <v>2.2646046719999999</v>
      </c>
      <c r="DF207">
        <f>2.354146905</f>
        <v>2.3541469049999999</v>
      </c>
      <c r="DG207">
        <f>1.533392063</f>
        <v>1.533392063</v>
      </c>
      <c r="DH207">
        <f>2.373255076</f>
        <v>2.373255076</v>
      </c>
      <c r="DI207">
        <f>2.270331096</f>
        <v>2.270331096</v>
      </c>
      <c r="DJ207">
        <f>2.361076247</f>
        <v>2.3610762470000002</v>
      </c>
      <c r="DK207">
        <f>1.539380023</f>
        <v>1.5393800230000001</v>
      </c>
      <c r="DL207">
        <f>2.314635546</f>
        <v>2.3146355459999999</v>
      </c>
      <c r="DM207">
        <f>2.430147059</f>
        <v>2.4301470589999998</v>
      </c>
      <c r="DN207">
        <f>2.401247849</f>
        <v>2.4012478490000002</v>
      </c>
      <c r="DO207">
        <f>1.365925614</f>
        <v>1.365925614</v>
      </c>
      <c r="DP207">
        <f>2.181726291</f>
        <v>2.1817262909999999</v>
      </c>
      <c r="DQ207">
        <f>2.271552159</f>
        <v>2.2715521590000001</v>
      </c>
      <c r="DR207">
        <f>2.002461945</f>
        <v>2.0024619449999999</v>
      </c>
      <c r="DS207" t="str">
        <f>""</f>
        <v/>
      </c>
      <c r="DT207">
        <f>5.007078527</f>
        <v>5.007078527</v>
      </c>
      <c r="DU207">
        <f>2.497211181</f>
        <v>2.4972111809999999</v>
      </c>
    </row>
    <row r="208" spans="1:125">
      <c r="A208" t="str">
        <f>"    Kilroy Realty Corp"</f>
        <v xml:space="preserve">    Kilroy Realty Corp</v>
      </c>
      <c r="B208" t="str">
        <f>"KRC US Equity"</f>
        <v>KRC US Equity</v>
      </c>
      <c r="C208" t="str">
        <f t="shared" si="54"/>
        <v>RX951</v>
      </c>
      <c r="D208" t="str">
        <f t="shared" si="55"/>
        <v>EBITDA_TO_INTEREST_EXPN</v>
      </c>
      <c r="E208" t="str">
        <f t="shared" si="56"/>
        <v>动态</v>
      </c>
      <c r="F208" t="str">
        <f ca="1">IF(AND(ISNUMBER($F$511),$B$294=1),$F$511,HLOOKUP(INDIRECT(ADDRESS(2,COLUMN())),OFFSET($BN$2,0,0,ROW()-1,60),ROW()-1,FALSE))</f>
        <v/>
      </c>
      <c r="G208">
        <f ca="1">IF(AND(ISNUMBER($G$511),$B$294=1),$G$511,HLOOKUP(INDIRECT(ADDRESS(2,COLUMN())),OFFSET($BN$2,0,0,ROW()-1,60),ROW()-1,FALSE))</f>
        <v>7.6003158470000001</v>
      </c>
      <c r="H208">
        <f ca="1">IF(AND(ISNUMBER($H$511),$B$294=1),$H$511,HLOOKUP(INDIRECT(ADDRESS(2,COLUMN())),OFFSET($BN$2,0,0,ROW()-1,60),ROW()-1,FALSE))</f>
        <v>7.1191257510000003</v>
      </c>
      <c r="I208">
        <f ca="1">IF(AND(ISNUMBER($I$511),$B$294=1),$I$511,HLOOKUP(INDIRECT(ADDRESS(2,COLUMN())),OFFSET($BN$2,0,0,ROW()-1,60),ROW()-1,FALSE))</f>
        <v>6.3702220000000001</v>
      </c>
      <c r="J208">
        <f ca="1">IF(AND(ISNUMBER($J$511),$B$294=1),$J$511,HLOOKUP(INDIRECT(ADDRESS(2,COLUMN())),OFFSET($BN$2,0,0,ROW()-1,60),ROW()-1,FALSE))</f>
        <v>6.4678423240000003</v>
      </c>
      <c r="K208">
        <f ca="1">IF(AND(ISNUMBER($K$511),$B$294=1),$K$511,HLOOKUP(INDIRECT(ADDRESS(2,COLUMN())),OFFSET($BN$2,0,0,ROW()-1,60),ROW()-1,FALSE))</f>
        <v>7.2649514159999997</v>
      </c>
      <c r="L208">
        <f ca="1">IF(AND(ISNUMBER($L$511),$B$294=1),$L$511,HLOOKUP(INDIRECT(ADDRESS(2,COLUMN())),OFFSET($BN$2,0,0,ROW()-1,60),ROW()-1,FALSE))</f>
        <v>7.2894631409999997</v>
      </c>
      <c r="M208">
        <f ca="1">IF(AND(ISNUMBER($M$511),$B$294=1),$M$511,HLOOKUP(INDIRECT(ADDRESS(2,COLUMN())),OFFSET($BN$2,0,0,ROW()-1,60),ROW()-1,FALSE))</f>
        <v>7.0638209119999997</v>
      </c>
      <c r="N208">
        <f ca="1">IF(AND(ISNUMBER($N$511),$B$294=1),$N$511,HLOOKUP(INDIRECT(ADDRESS(2,COLUMN())),OFFSET($BN$2,0,0,ROW()-1,60),ROW()-1,FALSE))</f>
        <v>7.9568010820000001</v>
      </c>
      <c r="O208">
        <f ca="1">IF(AND(ISNUMBER($O$511),$B$294=1),$O$511,HLOOKUP(INDIRECT(ADDRESS(2,COLUMN())),OFFSET($BN$2,0,0,ROW()-1,60),ROW()-1,FALSE))</f>
        <v>7.1825318190000003</v>
      </c>
      <c r="P208">
        <f ca="1">IF(AND(ISNUMBER($P$511),$B$294=1),$P$511,HLOOKUP(INDIRECT(ADDRESS(2,COLUMN())),OFFSET($BN$2,0,0,ROW()-1,60),ROW()-1,FALSE))</f>
        <v>7.1079647399999999</v>
      </c>
      <c r="Q208">
        <f ca="1">IF(AND(ISNUMBER($Q$511),$B$294=1),$Q$511,HLOOKUP(INDIRECT(ADDRESS(2,COLUMN())),OFFSET($BN$2,0,0,ROW()-1,60),ROW()-1,FALSE))</f>
        <v>6.2861948329999997</v>
      </c>
      <c r="R208">
        <f ca="1">IF(AND(ISNUMBER($R$511),$B$294=1),$R$511,HLOOKUP(INDIRECT(ADDRESS(2,COLUMN())),OFFSET($BN$2,0,0,ROW()-1,60),ROW()-1,FALSE))</f>
        <v>5.620748904</v>
      </c>
      <c r="S208">
        <f ca="1">IF(AND(ISNUMBER($S$511),$B$294=1),$S$511,HLOOKUP(INDIRECT(ADDRESS(2,COLUMN())),OFFSET($BN$2,0,0,ROW()-1,60),ROW()-1,FALSE))</f>
        <v>5.144028037</v>
      </c>
      <c r="T208">
        <f ca="1">IF(AND(ISNUMBER($T$511),$B$294=1),$T$511,HLOOKUP(INDIRECT(ADDRESS(2,COLUMN())),OFFSET($BN$2,0,0,ROW()-1,60),ROW()-1,FALSE))</f>
        <v>4.8684971099999999</v>
      </c>
      <c r="U208">
        <f ca="1">IF(AND(ISNUMBER($U$511),$B$294=1),$U$511,HLOOKUP(INDIRECT(ADDRESS(2,COLUMN())),OFFSET($BN$2,0,0,ROW()-1,60),ROW()-1,FALSE))</f>
        <v>4.952621723</v>
      </c>
      <c r="V208">
        <f ca="1">IF(AND(ISNUMBER($V$511),$B$294=1),$V$511,HLOOKUP(INDIRECT(ADDRESS(2,COLUMN())),OFFSET($BN$2,0,0,ROW()-1,60),ROW()-1,FALSE))</f>
        <v>4.4852191049999997</v>
      </c>
      <c r="W208">
        <f ca="1">IF(AND(ISNUMBER($W$511),$B$294=1),$W$511,HLOOKUP(INDIRECT(ADDRESS(2,COLUMN())),OFFSET($BN$2,0,0,ROW()-1,60),ROW()-1,FALSE))</f>
        <v>4.1166451899999998</v>
      </c>
      <c r="X208">
        <f ca="1">IF(AND(ISNUMBER($X$511),$B$294=1),$X$511,HLOOKUP(INDIRECT(ADDRESS(2,COLUMN())),OFFSET($BN$2,0,0,ROW()-1,60),ROW()-1,FALSE))</f>
        <v>3.8496260539999998</v>
      </c>
      <c r="Y208">
        <f ca="1">IF(AND(ISNUMBER($Y$511),$B$294=1),$Y$511,HLOOKUP(INDIRECT(ADDRESS(2,COLUMN())),OFFSET($BN$2,0,0,ROW()-1,60),ROW()-1,FALSE))</f>
        <v>3.9271380059999998</v>
      </c>
      <c r="Z208">
        <f ca="1">IF(AND(ISNUMBER($Z$511),$B$294=1),$Z$511,HLOOKUP(INDIRECT(ADDRESS(2,COLUMN())),OFFSET($BN$2,0,0,ROW()-1,60),ROW()-1,FALSE))</f>
        <v>3.576264315</v>
      </c>
      <c r="AA208">
        <f ca="1">IF(AND(ISNUMBER($AA$511),$B$294=1),$AA$511,HLOOKUP(INDIRECT(ADDRESS(2,COLUMN())),OFFSET($BN$2,0,0,ROW()-1,60),ROW()-1,FALSE))</f>
        <v>5.6356245380000001</v>
      </c>
      <c r="AB208">
        <f ca="1">IF(AND(ISNUMBER($AB$511),$B$294=1),$AB$511,HLOOKUP(INDIRECT(ADDRESS(2,COLUMN())),OFFSET($BN$2,0,0,ROW()-1,60),ROW()-1,FALSE))</f>
        <v>3.3399818680000002</v>
      </c>
      <c r="AC208">
        <f ca="1">IF(AND(ISNUMBER($AC$511),$B$294=1),$AC$511,HLOOKUP(INDIRECT(ADDRESS(2,COLUMN())),OFFSET($BN$2,0,0,ROW()-1,60),ROW()-1,FALSE))</f>
        <v>3.3153386970000001</v>
      </c>
      <c r="AD208">
        <f ca="1">IF(AND(ISNUMBER($AD$511),$B$294=1),$AD$511,HLOOKUP(INDIRECT(ADDRESS(2,COLUMN())),OFFSET($BN$2,0,0,ROW()-1,60),ROW()-1,FALSE))</f>
        <v>2.8882483579999998</v>
      </c>
      <c r="AE208">
        <f ca="1">IF(AND(ISNUMBER($AE$511),$B$294=1),$AE$511,HLOOKUP(INDIRECT(ADDRESS(2,COLUMN())),OFFSET($BN$2,0,0,ROW()-1,60),ROW()-1,FALSE))</f>
        <v>2.765650011</v>
      </c>
      <c r="AF208">
        <f ca="1">IF(AND(ISNUMBER($AF$511),$B$294=1),$AF$511,HLOOKUP(INDIRECT(ADDRESS(2,COLUMN())),OFFSET($BN$2,0,0,ROW()-1,60),ROW()-1,FALSE))</f>
        <v>2.5338487070000002</v>
      </c>
      <c r="AG208">
        <f ca="1">IF(AND(ISNUMBER($AG$511),$B$294=1),$AG$511,HLOOKUP(INDIRECT(ADDRESS(2,COLUMN())),OFFSET($BN$2,0,0,ROW()-1,60),ROW()-1,FALSE))</f>
        <v>2.6816468809999998</v>
      </c>
      <c r="AH208">
        <f ca="1">IF(AND(ISNUMBER($AH$511),$B$294=1),$AH$511,HLOOKUP(INDIRECT(ADDRESS(2,COLUMN())),OFFSET($BN$2,0,0,ROW()-1,60),ROW()-1,FALSE))</f>
        <v>2.5061793450000001</v>
      </c>
      <c r="AI208">
        <f ca="1">IF(AND(ISNUMBER($AI$511),$B$294=1),$AI$511,HLOOKUP(INDIRECT(ADDRESS(2,COLUMN())),OFFSET($BN$2,0,0,ROW()-1,60),ROW()-1,FALSE))</f>
        <v>3.7452741020000002</v>
      </c>
      <c r="AJ208">
        <f ca="1">IF(AND(ISNUMBER($AJ$511),$B$294=1),$AJ$511,HLOOKUP(INDIRECT(ADDRESS(2,COLUMN())),OFFSET($BN$2,0,0,ROW()-1,60),ROW()-1,FALSE))</f>
        <v>1.7854664730000001</v>
      </c>
      <c r="AK208">
        <f ca="1">IF(AND(ISNUMBER($AK$511),$B$294=1),$AK$511,HLOOKUP(INDIRECT(ADDRESS(2,COLUMN())),OFFSET($BN$2,0,0,ROW()-1,60),ROW()-1,FALSE))</f>
        <v>3.3851619799999999</v>
      </c>
      <c r="AL208">
        <f ca="1">IF(AND(ISNUMBER($AL$511),$B$294=1),$AL$511,HLOOKUP(INDIRECT(ADDRESS(2,COLUMN())),OFFSET($BN$2,0,0,ROW()-1,60),ROW()-1,FALSE))</f>
        <v>3.4877885580000001</v>
      </c>
      <c r="AM208">
        <f ca="1">IF(AND(ISNUMBER($AM$511),$B$294=1),$AM$511,HLOOKUP(INDIRECT(ADDRESS(2,COLUMN())),OFFSET($BN$2,0,0,ROW()-1,60),ROW()-1,FALSE))</f>
        <v>4.7198050189999998</v>
      </c>
      <c r="AN208">
        <f ca="1">IF(AND(ISNUMBER($AN$511),$B$294=1),$AN$511,HLOOKUP(INDIRECT(ADDRESS(2,COLUMN())),OFFSET($BN$2,0,0,ROW()-1,60),ROW()-1,FALSE))</f>
        <v>3.983708585</v>
      </c>
      <c r="AO208">
        <f ca="1">IF(AND(ISNUMBER($AO$511),$B$294=1),$AO$511,HLOOKUP(INDIRECT(ADDRESS(2,COLUMN())),OFFSET($BN$2,0,0,ROW()-1,60),ROW()-1,FALSE))</f>
        <v>3.8553416829999998</v>
      </c>
      <c r="AP208">
        <f ca="1">IF(AND(ISNUMBER($AP$511),$B$294=1),$AP$511,HLOOKUP(INDIRECT(ADDRESS(2,COLUMN())),OFFSET($BN$2,0,0,ROW()-1,60),ROW()-1,FALSE))</f>
        <v>3.6990505809999998</v>
      </c>
      <c r="AQ208">
        <f ca="1">IF(AND(ISNUMBER($AQ$511),$B$294=1),$AQ$511,HLOOKUP(INDIRECT(ADDRESS(2,COLUMN())),OFFSET($BN$2,0,0,ROW()-1,60),ROW()-1,FALSE))</f>
        <v>3.6355335449999999</v>
      </c>
      <c r="AR208">
        <f ca="1">IF(AND(ISNUMBER($AR$511),$B$294=1),$AR$511,HLOOKUP(INDIRECT(ADDRESS(2,COLUMN())),OFFSET($BN$2,0,0,ROW()-1,60),ROW()-1,FALSE))</f>
        <v>4.744995887</v>
      </c>
      <c r="AS208">
        <f ca="1">IF(AND(ISNUMBER($AS$511),$B$294=1),$AS$511,HLOOKUP(INDIRECT(ADDRESS(2,COLUMN())),OFFSET($BN$2,0,0,ROW()-1,60),ROW()-1,FALSE))</f>
        <v>4.1198191409999998</v>
      </c>
      <c r="AT208">
        <f ca="1">IF(AND(ISNUMBER($AT$511),$B$294=1),$AT$511,HLOOKUP(INDIRECT(ADDRESS(2,COLUMN())),OFFSET($BN$2,0,0,ROW()-1,60),ROW()-1,FALSE))</f>
        <v>4.3478140820000002</v>
      </c>
      <c r="AU208">
        <f ca="1">IF(AND(ISNUMBER($AU$511),$B$294=1),$AU$511,HLOOKUP(INDIRECT(ADDRESS(2,COLUMN())),OFFSET($BN$2,0,0,ROW()-1,60),ROW()-1,FALSE))</f>
        <v>2.6928936370000001</v>
      </c>
      <c r="AV208">
        <f ca="1">IF(AND(ISNUMBER($AV$511),$B$294=1),$AV$511,HLOOKUP(INDIRECT(ADDRESS(2,COLUMN())),OFFSET($BN$2,0,0,ROW()-1,60),ROW()-1,FALSE))</f>
        <v>4.7391497390000001</v>
      </c>
      <c r="AW208">
        <f ca="1">IF(AND(ISNUMBER($AW$511),$B$294=1),$AW$511,HLOOKUP(INDIRECT(ADDRESS(2,COLUMN())),OFFSET($BN$2,0,0,ROW()-1,60),ROW()-1,FALSE))</f>
        <v>5.1245044599999998</v>
      </c>
      <c r="AX208">
        <f ca="1">IF(AND(ISNUMBER($AX$511),$B$294=1),$AX$511,HLOOKUP(INDIRECT(ADDRESS(2,COLUMN())),OFFSET($BN$2,0,0,ROW()-1,60),ROW()-1,FALSE))</f>
        <v>4.297949461</v>
      </c>
      <c r="AY208">
        <f ca="1">IF(AND(ISNUMBER($AY$511),$B$294=1),$AY$511,HLOOKUP(INDIRECT(ADDRESS(2,COLUMN())),OFFSET($BN$2,0,0,ROW()-1,60),ROW()-1,FALSE))</f>
        <v>3.392139303</v>
      </c>
      <c r="AZ208">
        <f ca="1">IF(AND(ISNUMBER($AZ$511),$B$294=1),$AZ$511,HLOOKUP(INDIRECT(ADDRESS(2,COLUMN())),OFFSET($BN$2,0,0,ROW()-1,60),ROW()-1,FALSE))</f>
        <v>3.901377036</v>
      </c>
      <c r="BA208">
        <f ca="1">IF(AND(ISNUMBER($BA$511),$B$294=1),$BA$511,HLOOKUP(INDIRECT(ADDRESS(2,COLUMN())),OFFSET($BN$2,0,0,ROW()-1,60),ROW()-1,FALSE))</f>
        <v>3.8259279089999998</v>
      </c>
      <c r="BB208">
        <f ca="1">IF(AND(ISNUMBER($BB$511),$B$294=1),$BB$511,HLOOKUP(INDIRECT(ADDRESS(2,COLUMN())),OFFSET($BN$2,0,0,ROW()-1,60),ROW()-1,FALSE))</f>
        <v>3.5683735689999998</v>
      </c>
      <c r="BC208">
        <f ca="1">IF(AND(ISNUMBER($BC$511),$B$294=1),$BC$511,HLOOKUP(INDIRECT(ADDRESS(2,COLUMN())),OFFSET($BN$2,0,0,ROW()-1,60),ROW()-1,FALSE))</f>
        <v>1.8862982150000001</v>
      </c>
      <c r="BD208">
        <f ca="1">IF(AND(ISNUMBER($BD$511),$B$294=1),$BD$511,HLOOKUP(INDIRECT(ADDRESS(2,COLUMN())),OFFSET($BN$2,0,0,ROW()-1,60),ROW()-1,FALSE))</f>
        <v>2.6694879829999998</v>
      </c>
      <c r="BE208">
        <f ca="1">IF(AND(ISNUMBER($BE$511),$B$294=1),$BE$511,HLOOKUP(INDIRECT(ADDRESS(2,COLUMN())),OFFSET($BN$2,0,0,ROW()-1,60),ROW()-1,FALSE))</f>
        <v>3.0455923870000001</v>
      </c>
      <c r="BF208">
        <f ca="1">IF(AND(ISNUMBER($BF$511),$B$294=1),$BF$511,HLOOKUP(INDIRECT(ADDRESS(2,COLUMN())),OFFSET($BN$2,0,0,ROW()-1,60),ROW()-1,FALSE))</f>
        <v>4.1738112970000003</v>
      </c>
      <c r="BG208">
        <f ca="1">IF(AND(ISNUMBER($BG$511),$B$294=1),$BG$511,HLOOKUP(INDIRECT(ADDRESS(2,COLUMN())),OFFSET($BN$2,0,0,ROW()-1,60),ROW()-1,FALSE))</f>
        <v>3.3395220019999998</v>
      </c>
      <c r="BH208">
        <f ca="1">IF(AND(ISNUMBER($BH$511),$B$294=1),$BH$511,HLOOKUP(INDIRECT(ADDRESS(2,COLUMN())),OFFSET($BN$2,0,0,ROW()-1,60),ROW()-1,FALSE))</f>
        <v>3.9744685770000001</v>
      </c>
      <c r="BI208">
        <f ca="1">IF(AND(ISNUMBER($BI$511),$B$294=1),$BI$511,HLOOKUP(INDIRECT(ADDRESS(2,COLUMN())),OFFSET($BN$2,0,0,ROW()-1,60),ROW()-1,FALSE))</f>
        <v>3.9256668119999998</v>
      </c>
      <c r="BJ208">
        <f ca="1">IF(AND(ISNUMBER($BJ$511),$B$294=1),$BJ$511,HLOOKUP(INDIRECT(ADDRESS(2,COLUMN())),OFFSET($BN$2,0,0,ROW()-1,60),ROW()-1,FALSE))</f>
        <v>3.671661238</v>
      </c>
      <c r="BK208">
        <f ca="1">IF(AND(ISNUMBER($BK$511),$B$294=1),$BK$511,HLOOKUP(INDIRECT(ADDRESS(2,COLUMN())),OFFSET($BN$2,0,0,ROW()-1,60),ROW()-1,FALSE))</f>
        <v>3.5856958749999999</v>
      </c>
      <c r="BL208">
        <f ca="1">IF(AND(ISNUMBER($BL$511),$B$294=1),$BL$511,HLOOKUP(INDIRECT(ADDRESS(2,COLUMN())),OFFSET($BN$2,0,0,ROW()-1,60),ROW()-1,FALSE))</f>
        <v>5.5602660950000002</v>
      </c>
      <c r="BM208">
        <f ca="1">IF(AND(ISNUMBER($BM$511),$B$294=1),$BM$511,HLOOKUP(INDIRECT(ADDRESS(2,COLUMN())),OFFSET($BN$2,0,0,ROW()-1,60),ROW()-1,FALSE))</f>
        <v>4.6613052079999999</v>
      </c>
      <c r="BN208" t="str">
        <f>""</f>
        <v/>
      </c>
      <c r="BO208">
        <f>7.600315847</f>
        <v>7.6003158470000001</v>
      </c>
      <c r="BP208">
        <f>7.119125751</f>
        <v>7.1191257510000003</v>
      </c>
      <c r="BQ208">
        <f>6.370222</f>
        <v>6.3702220000000001</v>
      </c>
      <c r="BR208">
        <f>6.467842324</f>
        <v>6.4678423240000003</v>
      </c>
      <c r="BS208">
        <f>7.264951416</f>
        <v>7.2649514159999997</v>
      </c>
      <c r="BT208">
        <f>7.289463141</f>
        <v>7.2894631409999997</v>
      </c>
      <c r="BU208">
        <f>7.063820912</f>
        <v>7.0638209119999997</v>
      </c>
      <c r="BV208">
        <f>7.956801082</f>
        <v>7.9568010820000001</v>
      </c>
      <c r="BW208">
        <f>7.182531819</f>
        <v>7.1825318190000003</v>
      </c>
      <c r="BX208">
        <f>7.10796474</f>
        <v>7.1079647399999999</v>
      </c>
      <c r="BY208">
        <f>6.286194833</f>
        <v>6.2861948329999997</v>
      </c>
      <c r="BZ208">
        <f>5.620748904</f>
        <v>5.620748904</v>
      </c>
      <c r="CA208">
        <f>5.144028037</f>
        <v>5.144028037</v>
      </c>
      <c r="CB208">
        <f>4.86849711</f>
        <v>4.8684971099999999</v>
      </c>
      <c r="CC208">
        <f>4.952621723</f>
        <v>4.952621723</v>
      </c>
      <c r="CD208">
        <f>4.485219105</f>
        <v>4.4852191049999997</v>
      </c>
      <c r="CE208">
        <f>4.11664519</f>
        <v>4.1166451899999998</v>
      </c>
      <c r="CF208">
        <f>3.849626054</f>
        <v>3.8496260539999998</v>
      </c>
      <c r="CG208">
        <f>3.927138006</f>
        <v>3.9271380059999998</v>
      </c>
      <c r="CH208">
        <f>3.576264315</f>
        <v>3.576264315</v>
      </c>
      <c r="CI208">
        <f>5.635624538</f>
        <v>5.6356245380000001</v>
      </c>
      <c r="CJ208">
        <f>3.339981868</f>
        <v>3.3399818680000002</v>
      </c>
      <c r="CK208">
        <f>3.315338697</f>
        <v>3.3153386970000001</v>
      </c>
      <c r="CL208">
        <f>2.888248358</f>
        <v>2.8882483579999998</v>
      </c>
      <c r="CM208">
        <f>2.765650011</f>
        <v>2.765650011</v>
      </c>
      <c r="CN208">
        <f>2.533848707</f>
        <v>2.5338487070000002</v>
      </c>
      <c r="CO208">
        <f>2.681646881</f>
        <v>2.6816468809999998</v>
      </c>
      <c r="CP208">
        <f>2.506179345</f>
        <v>2.5061793450000001</v>
      </c>
      <c r="CQ208">
        <f>3.745274102</f>
        <v>3.7452741020000002</v>
      </c>
      <c r="CR208">
        <f>1.785466473</f>
        <v>1.7854664730000001</v>
      </c>
      <c r="CS208">
        <f>3.38516198</f>
        <v>3.3851619799999999</v>
      </c>
      <c r="CT208">
        <f>3.487788558</f>
        <v>3.4877885580000001</v>
      </c>
      <c r="CU208">
        <f>4.719805019</f>
        <v>4.7198050189999998</v>
      </c>
      <c r="CV208">
        <f>3.983708585</f>
        <v>3.983708585</v>
      </c>
      <c r="CW208">
        <f>3.855341683</f>
        <v>3.8553416829999998</v>
      </c>
      <c r="CX208">
        <f>3.699050581</f>
        <v>3.6990505809999998</v>
      </c>
      <c r="CY208">
        <f>3.635533545</f>
        <v>3.6355335449999999</v>
      </c>
      <c r="CZ208">
        <f>4.744995887</f>
        <v>4.744995887</v>
      </c>
      <c r="DA208">
        <f>4.119819141</f>
        <v>4.1198191409999998</v>
      </c>
      <c r="DB208">
        <f>4.347814082</f>
        <v>4.3478140820000002</v>
      </c>
      <c r="DC208">
        <f>2.692893637</f>
        <v>2.6928936370000001</v>
      </c>
      <c r="DD208">
        <f>4.739149739</f>
        <v>4.7391497390000001</v>
      </c>
      <c r="DE208">
        <f>5.12450446</f>
        <v>5.1245044599999998</v>
      </c>
      <c r="DF208">
        <f>4.297949461</f>
        <v>4.297949461</v>
      </c>
      <c r="DG208">
        <f>3.392139303</f>
        <v>3.392139303</v>
      </c>
      <c r="DH208">
        <f>3.901377036</f>
        <v>3.901377036</v>
      </c>
      <c r="DI208">
        <f>3.825927909</f>
        <v>3.8259279089999998</v>
      </c>
      <c r="DJ208">
        <f>3.568373569</f>
        <v>3.5683735689999998</v>
      </c>
      <c r="DK208">
        <f>1.886298215</f>
        <v>1.8862982150000001</v>
      </c>
      <c r="DL208">
        <f>2.669487983</f>
        <v>2.6694879829999998</v>
      </c>
      <c r="DM208">
        <f>3.045592387</f>
        <v>3.0455923870000001</v>
      </c>
      <c r="DN208">
        <f>4.173811297</f>
        <v>4.1738112970000003</v>
      </c>
      <c r="DO208">
        <f>3.339522002</f>
        <v>3.3395220019999998</v>
      </c>
      <c r="DP208">
        <f>3.974468577</f>
        <v>3.9744685770000001</v>
      </c>
      <c r="DQ208">
        <f>3.925666812</f>
        <v>3.9256668119999998</v>
      </c>
      <c r="DR208">
        <f>3.671661238</f>
        <v>3.671661238</v>
      </c>
      <c r="DS208">
        <f>3.585695875</f>
        <v>3.5856958749999999</v>
      </c>
      <c r="DT208">
        <f>5.560266095</f>
        <v>5.5602660950000002</v>
      </c>
      <c r="DU208">
        <f>4.661305208</f>
        <v>4.6613052079999999</v>
      </c>
    </row>
    <row r="209" spans="1:125">
      <c r="A209" t="str">
        <f>"    Mack-Cali Realty Corp"</f>
        <v xml:space="preserve">    Mack-Cali Realty Corp</v>
      </c>
      <c r="B209" t="str">
        <f>"CLI US Equity"</f>
        <v>CLI US Equity</v>
      </c>
      <c r="C209" t="str">
        <f t="shared" si="54"/>
        <v>RX951</v>
      </c>
      <c r="D209" t="str">
        <f t="shared" si="55"/>
        <v>EBITDA_TO_INTEREST_EXPN</v>
      </c>
      <c r="E209" t="str">
        <f t="shared" si="56"/>
        <v>动态</v>
      </c>
      <c r="F209" t="str">
        <f ca="1">IF(AND(ISNUMBER($F$512),$B$294=1),$F$512,HLOOKUP(INDIRECT(ADDRESS(2,COLUMN())),OFFSET($BN$2,0,0,ROW()-1,60),ROW()-1,FALSE))</f>
        <v/>
      </c>
      <c r="G209">
        <f ca="1">IF(AND(ISNUMBER($G$512),$B$294=1),$G$512,HLOOKUP(INDIRECT(ADDRESS(2,COLUMN())),OFFSET($BN$2,0,0,ROW()-1,60),ROW()-1,FALSE))</f>
        <v>3.1198310359999999</v>
      </c>
      <c r="H209">
        <f ca="1">IF(AND(ISNUMBER($H$512),$B$294=1),$H$512,HLOOKUP(INDIRECT(ADDRESS(2,COLUMN())),OFFSET($BN$2,0,0,ROW()-1,60),ROW()-1,FALSE))</f>
        <v>3.1620504020000002</v>
      </c>
      <c r="I209">
        <f ca="1">IF(AND(ISNUMBER($I$512),$B$294=1),$I$512,HLOOKUP(INDIRECT(ADDRESS(2,COLUMN())),OFFSET($BN$2,0,0,ROW()-1,60),ROW()-1,FALSE))</f>
        <v>3.4147456200000001</v>
      </c>
      <c r="J209">
        <f ca="1">IF(AND(ISNUMBER($J$512),$B$294=1),$J$512,HLOOKUP(INDIRECT(ADDRESS(2,COLUMN())),OFFSET($BN$2,0,0,ROW()-1,60),ROW()-1,FALSE))</f>
        <v>3.5548447419999998</v>
      </c>
      <c r="K209">
        <f ca="1">IF(AND(ISNUMBER($K$512),$B$294=1),$K$512,HLOOKUP(INDIRECT(ADDRESS(2,COLUMN())),OFFSET($BN$2,0,0,ROW()-1,60),ROW()-1,FALSE))</f>
        <v>3.2951475960000001</v>
      </c>
      <c r="L209">
        <f ca="1">IF(AND(ISNUMBER($L$512),$B$294=1),$L$512,HLOOKUP(INDIRECT(ADDRESS(2,COLUMN())),OFFSET($BN$2,0,0,ROW()-1,60),ROW()-1,FALSE))</f>
        <v>3.1672925350000001</v>
      </c>
      <c r="M209">
        <f ca="1">IF(AND(ISNUMBER($M$512),$B$294=1),$M$512,HLOOKUP(INDIRECT(ADDRESS(2,COLUMN())),OFFSET($BN$2,0,0,ROW()-1,60),ROW()-1,FALSE))</f>
        <v>3.152930403</v>
      </c>
      <c r="N209">
        <f ca="1">IF(AND(ISNUMBER($N$512),$B$294=1),$N$512,HLOOKUP(INDIRECT(ADDRESS(2,COLUMN())),OFFSET($BN$2,0,0,ROW()-1,60),ROW()-1,FALSE))</f>
        <v>2.873244508</v>
      </c>
      <c r="O209">
        <f ca="1">IF(AND(ISNUMBER($O$512),$B$294=1),$O$512,HLOOKUP(INDIRECT(ADDRESS(2,COLUMN())),OFFSET($BN$2,0,0,ROW()-1,60),ROW()-1,FALSE))</f>
        <v>1.3253056540000001</v>
      </c>
      <c r="P209">
        <f ca="1">IF(AND(ISNUMBER($P$512),$B$294=1),$P$512,HLOOKUP(INDIRECT(ADDRESS(2,COLUMN())),OFFSET($BN$2,0,0,ROW()-1,60),ROW()-1,FALSE))</f>
        <v>-3.8731013810000001</v>
      </c>
      <c r="Q209">
        <f ca="1">IF(AND(ISNUMBER($Q$512),$B$294=1),$Q$512,HLOOKUP(INDIRECT(ADDRESS(2,COLUMN())),OFFSET($BN$2,0,0,ROW()-1,60),ROW()-1,FALSE))</f>
        <v>2.6446419900000002</v>
      </c>
      <c r="R209">
        <f ca="1">IF(AND(ISNUMBER($R$512),$B$294=1),$R$512,HLOOKUP(INDIRECT(ADDRESS(2,COLUMN())),OFFSET($BN$2,0,0,ROW()-1,60),ROW()-1,FALSE))</f>
        <v>2.509314716</v>
      </c>
      <c r="S209">
        <f ca="1">IF(AND(ISNUMBER($S$512),$B$294=1),$S$512,HLOOKUP(INDIRECT(ADDRESS(2,COLUMN())),OFFSET($BN$2,0,0,ROW()-1,60),ROW()-1,FALSE))</f>
        <v>2.1192560180000002</v>
      </c>
      <c r="T209">
        <f ca="1">IF(AND(ISNUMBER($T$512),$B$294=1),$T$512,HLOOKUP(INDIRECT(ADDRESS(2,COLUMN())),OFFSET($BN$2,0,0,ROW()-1,60),ROW()-1,FALSE))</f>
        <v>2.4205388810000001</v>
      </c>
      <c r="U209">
        <f ca="1">IF(AND(ISNUMBER($U$512),$B$294=1),$U$512,HLOOKUP(INDIRECT(ADDRESS(2,COLUMN())),OFFSET($BN$2,0,0,ROW()-1,60),ROW()-1,FALSE))</f>
        <v>2.8452359810000001</v>
      </c>
      <c r="V209">
        <f ca="1">IF(AND(ISNUMBER($V$512),$B$294=1),$V$512,HLOOKUP(INDIRECT(ADDRESS(2,COLUMN())),OFFSET($BN$2,0,0,ROW()-1,60),ROW()-1,FALSE))</f>
        <v>1.9577906899999999</v>
      </c>
      <c r="W209">
        <f ca="1">IF(AND(ISNUMBER($W$512),$B$294=1),$W$512,HLOOKUP(INDIRECT(ADDRESS(2,COLUMN())),OFFSET($BN$2,0,0,ROW()-1,60),ROW()-1,FALSE))</f>
        <v>0.33396572400000002</v>
      </c>
      <c r="X209">
        <f ca="1">IF(AND(ISNUMBER($X$512),$B$294=1),$X$512,HLOOKUP(INDIRECT(ADDRESS(2,COLUMN())),OFFSET($BN$2,0,0,ROW()-1,60),ROW()-1,FALSE))</f>
        <v>1.0084367729999999</v>
      </c>
      <c r="Y209">
        <f ca="1">IF(AND(ISNUMBER($Y$512),$B$294=1),$Y$512,HLOOKUP(INDIRECT(ADDRESS(2,COLUMN())),OFFSET($BN$2,0,0,ROW()-1,60),ROW()-1,FALSE))</f>
        <v>2.8491205630000001</v>
      </c>
      <c r="Z209">
        <f ca="1">IF(AND(ISNUMBER($Z$512),$B$294=1),$Z$512,HLOOKUP(INDIRECT(ADDRESS(2,COLUMN())),OFFSET($BN$2,0,0,ROW()-1,60),ROW()-1,FALSE))</f>
        <v>2.8929994309999998</v>
      </c>
      <c r="AA209">
        <f ca="1">IF(AND(ISNUMBER($AA$512),$B$294=1),$AA$512,HLOOKUP(INDIRECT(ADDRESS(2,COLUMN())),OFFSET($BN$2,0,0,ROW()-1,60),ROW()-1,FALSE))</f>
        <v>2.472349919</v>
      </c>
      <c r="AB209">
        <f ca="1">IF(AND(ISNUMBER($AB$512),$B$294=1),$AB$512,HLOOKUP(INDIRECT(ADDRESS(2,COLUMN())),OFFSET($BN$2,0,0,ROW()-1,60),ROW()-1,FALSE))</f>
        <v>2.8309780469999999</v>
      </c>
      <c r="AC209">
        <f ca="1">IF(AND(ISNUMBER($AC$512),$B$294=1),$AC$512,HLOOKUP(INDIRECT(ADDRESS(2,COLUMN())),OFFSET($BN$2,0,0,ROW()-1,60),ROW()-1,FALSE))</f>
        <v>2.931189609</v>
      </c>
      <c r="AD209">
        <f ca="1">IF(AND(ISNUMBER($AD$512),$B$294=1),$AD$512,HLOOKUP(INDIRECT(ADDRESS(2,COLUMN())),OFFSET($BN$2,0,0,ROW()-1,60),ROW()-1,FALSE))</f>
        <v>3.3018200860000002</v>
      </c>
      <c r="AE209">
        <f ca="1">IF(AND(ISNUMBER($AE$512),$B$294=1),$AE$512,HLOOKUP(INDIRECT(ADDRESS(2,COLUMN())),OFFSET($BN$2,0,0,ROW()-1,60),ROW()-1,FALSE))</f>
        <v>3.1400261669999998</v>
      </c>
      <c r="AF209">
        <f ca="1">IF(AND(ISNUMBER($AF$512),$B$294=1),$AF$512,HLOOKUP(INDIRECT(ADDRESS(2,COLUMN())),OFFSET($BN$2,0,0,ROW()-1,60),ROW()-1,FALSE))</f>
        <v>3.3955735960000002</v>
      </c>
      <c r="AG209">
        <f ca="1">IF(AND(ISNUMBER($AG$512),$B$294=1),$AG$512,HLOOKUP(INDIRECT(ADDRESS(2,COLUMN())),OFFSET($BN$2,0,0,ROW()-1,60),ROW()-1,FALSE))</f>
        <v>3.1959503169999999</v>
      </c>
      <c r="AH209">
        <f ca="1">IF(AND(ISNUMBER($AH$512),$B$294=1),$AH$512,HLOOKUP(INDIRECT(ADDRESS(2,COLUMN())),OFFSET($BN$2,0,0,ROW()-1,60),ROW()-1,FALSE))</f>
        <v>3.1411368639999999</v>
      </c>
      <c r="AI209">
        <f ca="1">IF(AND(ISNUMBER($AI$512),$B$294=1),$AI$512,HLOOKUP(INDIRECT(ADDRESS(2,COLUMN())),OFFSET($BN$2,0,0,ROW()-1,60),ROW()-1,FALSE))</f>
        <v>2.5853482300000001</v>
      </c>
      <c r="AJ209">
        <f ca="1">IF(AND(ISNUMBER($AJ$512),$B$294=1),$AJ$512,HLOOKUP(INDIRECT(ADDRESS(2,COLUMN())),OFFSET($BN$2,0,0,ROW()-1,60),ROW()-1,FALSE))</f>
        <v>2.7030670529999998</v>
      </c>
      <c r="AK209">
        <f ca="1">IF(AND(ISNUMBER($AK$512),$B$294=1),$AK$512,HLOOKUP(INDIRECT(ADDRESS(2,COLUMN())),OFFSET($BN$2,0,0,ROW()-1,60),ROW()-1,FALSE))</f>
        <v>2.7288067499999999</v>
      </c>
      <c r="AL209">
        <f ca="1">IF(AND(ISNUMBER($AL$512),$B$294=1),$AL$512,HLOOKUP(INDIRECT(ADDRESS(2,COLUMN())),OFFSET($BN$2,0,0,ROW()-1,60),ROW()-1,FALSE))</f>
        <v>2.6866217909999999</v>
      </c>
      <c r="AM209">
        <f ca="1">IF(AND(ISNUMBER($AM$512),$B$294=1),$AM$512,HLOOKUP(INDIRECT(ADDRESS(2,COLUMN())),OFFSET($BN$2,0,0,ROW()-1,60),ROW()-1,FALSE))</f>
        <v>2.8114024789999998</v>
      </c>
      <c r="AN209">
        <f ca="1">IF(AND(ISNUMBER($AN$512),$B$294=1),$AN$512,HLOOKUP(INDIRECT(ADDRESS(2,COLUMN())),OFFSET($BN$2,0,0,ROW()-1,60),ROW()-1,FALSE))</f>
        <v>3.0002238139999999</v>
      </c>
      <c r="AO209">
        <f ca="1">IF(AND(ISNUMBER($AO$512),$B$294=1),$AO$512,HLOOKUP(INDIRECT(ADDRESS(2,COLUMN())),OFFSET($BN$2,0,0,ROW()-1,60),ROW()-1,FALSE))</f>
        <v>3.1994579129999998</v>
      </c>
      <c r="AP209">
        <f ca="1">IF(AND(ISNUMBER($AP$512),$B$294=1),$AP$512,HLOOKUP(INDIRECT(ADDRESS(2,COLUMN())),OFFSET($BN$2,0,0,ROW()-1,60),ROW()-1,FALSE))</f>
        <v>3.0202171130000002</v>
      </c>
      <c r="AQ209">
        <f ca="1">IF(AND(ISNUMBER($AQ$512),$B$294=1),$AQ$512,HLOOKUP(INDIRECT(ADDRESS(2,COLUMN())),OFFSET($BN$2,0,0,ROW()-1,60),ROW()-1,FALSE))</f>
        <v>3.2391356760000001</v>
      </c>
      <c r="AR209">
        <f ca="1">IF(AND(ISNUMBER($AR$512),$B$294=1),$AR$512,HLOOKUP(INDIRECT(ADDRESS(2,COLUMN())),OFFSET($BN$2,0,0,ROW()-1,60),ROW()-1,FALSE))</f>
        <v>3.4720341430000001</v>
      </c>
      <c r="AS209">
        <f ca="1">IF(AND(ISNUMBER($AS$512),$B$294=1),$AS$512,HLOOKUP(INDIRECT(ADDRESS(2,COLUMN())),OFFSET($BN$2,0,0,ROW()-1,60),ROW()-1,FALSE))</f>
        <v>3.1826419910000001</v>
      </c>
      <c r="AT209">
        <f ca="1">IF(AND(ISNUMBER($AT$512),$B$294=1),$AT$512,HLOOKUP(INDIRECT(ADDRESS(2,COLUMN())),OFFSET($BN$2,0,0,ROW()-1,60),ROW()-1,FALSE))</f>
        <v>3.0569316080000002</v>
      </c>
      <c r="AU209">
        <f ca="1">IF(AND(ISNUMBER($AU$512),$B$294=1),$AU$512,HLOOKUP(INDIRECT(ADDRESS(2,COLUMN())),OFFSET($BN$2,0,0,ROW()-1,60),ROW()-1,FALSE))</f>
        <v>3.0380583130000001</v>
      </c>
      <c r="AV209">
        <f ca="1">IF(AND(ISNUMBER($AV$512),$B$294=1),$AV$512,HLOOKUP(INDIRECT(ADDRESS(2,COLUMN())),OFFSET($BN$2,0,0,ROW()-1,60),ROW()-1,FALSE))</f>
        <v>3.3082423900000002</v>
      </c>
      <c r="AW209">
        <f ca="1">IF(AND(ISNUMBER($AW$512),$B$294=1),$AW$512,HLOOKUP(INDIRECT(ADDRESS(2,COLUMN())),OFFSET($BN$2,0,0,ROW()-1,60),ROW()-1,FALSE))</f>
        <v>3.2221619380000002</v>
      </c>
      <c r="AX209">
        <f ca="1">IF(AND(ISNUMBER($AX$512),$B$294=1),$AX$512,HLOOKUP(INDIRECT(ADDRESS(2,COLUMN())),OFFSET($BN$2,0,0,ROW()-1,60),ROW()-1,FALSE))</f>
        <v>3.1847362299999999</v>
      </c>
      <c r="AY209">
        <f ca="1">IF(AND(ISNUMBER($AY$512),$B$294=1),$AY$512,HLOOKUP(INDIRECT(ADDRESS(2,COLUMN())),OFFSET($BN$2,0,0,ROW()-1,60),ROW()-1,FALSE))</f>
        <v>2.7965973640000001</v>
      </c>
      <c r="AZ209">
        <f ca="1">IF(AND(ISNUMBER($AZ$512),$B$294=1),$AZ$512,HLOOKUP(INDIRECT(ADDRESS(2,COLUMN())),OFFSET($BN$2,0,0,ROW()-1,60),ROW()-1,FALSE))</f>
        <v>2.7863185819999998</v>
      </c>
      <c r="BA209">
        <f ca="1">IF(AND(ISNUMBER($BA$512),$B$294=1),$BA$512,HLOOKUP(INDIRECT(ADDRESS(2,COLUMN())),OFFSET($BN$2,0,0,ROW()-1,60),ROW()-1,FALSE))</f>
        <v>3.1043167650000001</v>
      </c>
      <c r="BB209">
        <f ca="1">IF(AND(ISNUMBER($BB$512),$B$294=1),$BB$512,HLOOKUP(INDIRECT(ADDRESS(2,COLUMN())),OFFSET($BN$2,0,0,ROW()-1,60),ROW()-1,FALSE))</f>
        <v>2.9972003219999999</v>
      </c>
      <c r="BC209">
        <f ca="1">IF(AND(ISNUMBER($BC$512),$B$294=1),$BC$512,HLOOKUP(INDIRECT(ADDRESS(2,COLUMN())),OFFSET($BN$2,0,0,ROW()-1,60),ROW()-1,FALSE))</f>
        <v>2.8357497450000002</v>
      </c>
      <c r="BD209">
        <f ca="1">IF(AND(ISNUMBER($BD$512),$B$294=1),$BD$512,HLOOKUP(INDIRECT(ADDRESS(2,COLUMN())),OFFSET($BN$2,0,0,ROW()-1,60),ROW()-1,FALSE))</f>
        <v>3.1450976490000002</v>
      </c>
      <c r="BE209">
        <f ca="1">IF(AND(ISNUMBER($BE$512),$B$294=1),$BE$512,HLOOKUP(INDIRECT(ADDRESS(2,COLUMN())),OFFSET($BN$2,0,0,ROW()-1,60),ROW()-1,FALSE))</f>
        <v>3.3134407010000002</v>
      </c>
      <c r="BF209">
        <f ca="1">IF(AND(ISNUMBER($BF$512),$B$294=1),$BF$512,HLOOKUP(INDIRECT(ADDRESS(2,COLUMN())),OFFSET($BN$2,0,0,ROW()-1,60),ROW()-1,FALSE))</f>
        <v>3.2934009440000001</v>
      </c>
      <c r="BG209">
        <f ca="1">IF(AND(ISNUMBER($BG$512),$B$294=1),$BG$512,HLOOKUP(INDIRECT(ADDRESS(2,COLUMN())),OFFSET($BN$2,0,0,ROW()-1,60),ROW()-1,FALSE))</f>
        <v>3.3581404030000002</v>
      </c>
      <c r="BH209">
        <f ca="1">IF(AND(ISNUMBER($BH$512),$B$294=1),$BH$512,HLOOKUP(INDIRECT(ADDRESS(2,COLUMN())),OFFSET($BN$2,0,0,ROW()-1,60),ROW()-1,FALSE))</f>
        <v>3.5814787699999999</v>
      </c>
      <c r="BI209">
        <f ca="1">IF(AND(ISNUMBER($BI$512),$B$294=1),$BI$512,HLOOKUP(INDIRECT(ADDRESS(2,COLUMN())),OFFSET($BN$2,0,0,ROW()-1,60),ROW()-1,FALSE))</f>
        <v>3.4382288999999999</v>
      </c>
      <c r="BJ209">
        <f ca="1">IF(AND(ISNUMBER($BJ$512),$B$294=1),$BJ$512,HLOOKUP(INDIRECT(ADDRESS(2,COLUMN())),OFFSET($BN$2,0,0,ROW()-1,60),ROW()-1,FALSE))</f>
        <v>3.1250816850000001</v>
      </c>
      <c r="BK209">
        <f ca="1">IF(AND(ISNUMBER($BK$512),$B$294=1),$BK$512,HLOOKUP(INDIRECT(ADDRESS(2,COLUMN())),OFFSET($BN$2,0,0,ROW()-1,60),ROW()-1,FALSE))</f>
        <v>3.1134717859999999</v>
      </c>
      <c r="BL209">
        <f ca="1">IF(AND(ISNUMBER($BL$512),$B$294=1),$BL$512,HLOOKUP(INDIRECT(ADDRESS(2,COLUMN())),OFFSET($BN$2,0,0,ROW()-1,60),ROW()-1,FALSE))</f>
        <v>3.1880003889999999</v>
      </c>
      <c r="BM209">
        <f ca="1">IF(AND(ISNUMBER($BM$512),$B$294=1),$BM$512,HLOOKUP(INDIRECT(ADDRESS(2,COLUMN())),OFFSET($BN$2,0,0,ROW()-1,60),ROW()-1,FALSE))</f>
        <v>3.2912053129999999</v>
      </c>
      <c r="BN209" t="str">
        <f>""</f>
        <v/>
      </c>
      <c r="BO209">
        <f>3.119831036</f>
        <v>3.1198310359999999</v>
      </c>
      <c r="BP209">
        <f>3.162050402</f>
        <v>3.1620504020000002</v>
      </c>
      <c r="BQ209">
        <f>3.41474562</f>
        <v>3.4147456200000001</v>
      </c>
      <c r="BR209">
        <f>3.554844742</f>
        <v>3.5548447419999998</v>
      </c>
      <c r="BS209">
        <f>3.295147596</f>
        <v>3.2951475960000001</v>
      </c>
      <c r="BT209">
        <f>3.167292535</f>
        <v>3.1672925350000001</v>
      </c>
      <c r="BU209">
        <f>3.152930403</f>
        <v>3.152930403</v>
      </c>
      <c r="BV209">
        <f>2.873244508</f>
        <v>2.873244508</v>
      </c>
      <c r="BW209">
        <f>1.325305654</f>
        <v>1.3253056540000001</v>
      </c>
      <c r="BX209">
        <f>-3.873101381</f>
        <v>-3.8731013810000001</v>
      </c>
      <c r="BY209">
        <f>2.64464199</f>
        <v>2.6446419900000002</v>
      </c>
      <c r="BZ209">
        <f>2.509314716</f>
        <v>2.509314716</v>
      </c>
      <c r="CA209">
        <f>2.119256018</f>
        <v>2.1192560180000002</v>
      </c>
      <c r="CB209">
        <f>2.420538881</f>
        <v>2.4205388810000001</v>
      </c>
      <c r="CC209">
        <f>2.845235981</f>
        <v>2.8452359810000001</v>
      </c>
      <c r="CD209">
        <f>1.95779069</f>
        <v>1.9577906899999999</v>
      </c>
      <c r="CE209">
        <f>0.333965724</f>
        <v>0.33396572400000002</v>
      </c>
      <c r="CF209">
        <f>1.008436773</f>
        <v>1.0084367729999999</v>
      </c>
      <c r="CG209">
        <f>2.849120563</f>
        <v>2.8491205630000001</v>
      </c>
      <c r="CH209">
        <f>2.892999431</f>
        <v>2.8929994309999998</v>
      </c>
      <c r="CI209">
        <f>2.472349919</f>
        <v>2.472349919</v>
      </c>
      <c r="CJ209">
        <f>2.830978047</f>
        <v>2.8309780469999999</v>
      </c>
      <c r="CK209">
        <f>2.931189609</f>
        <v>2.931189609</v>
      </c>
      <c r="CL209">
        <f>3.301820086</f>
        <v>3.3018200860000002</v>
      </c>
      <c r="CM209">
        <f>3.140026167</f>
        <v>3.1400261669999998</v>
      </c>
      <c r="CN209">
        <f>3.395573596</f>
        <v>3.3955735960000002</v>
      </c>
      <c r="CO209">
        <f>3.195950317</f>
        <v>3.1959503169999999</v>
      </c>
      <c r="CP209">
        <f>3.141136864</f>
        <v>3.1411368639999999</v>
      </c>
      <c r="CQ209">
        <f>2.58534823</f>
        <v>2.5853482300000001</v>
      </c>
      <c r="CR209">
        <f>2.703067053</f>
        <v>2.7030670529999998</v>
      </c>
      <c r="CS209">
        <f>2.72880675</f>
        <v>2.7288067499999999</v>
      </c>
      <c r="CT209">
        <f>2.686621791</f>
        <v>2.6866217909999999</v>
      </c>
      <c r="CU209">
        <f>2.811402479</f>
        <v>2.8114024789999998</v>
      </c>
      <c r="CV209">
        <f>3.000223814</f>
        <v>3.0002238139999999</v>
      </c>
      <c r="CW209">
        <f>3.199457913</f>
        <v>3.1994579129999998</v>
      </c>
      <c r="CX209">
        <f>3.020217113</f>
        <v>3.0202171130000002</v>
      </c>
      <c r="CY209">
        <f>3.239135676</f>
        <v>3.2391356760000001</v>
      </c>
      <c r="CZ209">
        <f>3.472034143</f>
        <v>3.4720341430000001</v>
      </c>
      <c r="DA209">
        <f>3.182641991</f>
        <v>3.1826419910000001</v>
      </c>
      <c r="DB209">
        <f>3.056931608</f>
        <v>3.0569316080000002</v>
      </c>
      <c r="DC209">
        <f>3.038058313</f>
        <v>3.0380583130000001</v>
      </c>
      <c r="DD209">
        <f>3.30824239</f>
        <v>3.3082423900000002</v>
      </c>
      <c r="DE209">
        <f>3.222161938</f>
        <v>3.2221619380000002</v>
      </c>
      <c r="DF209">
        <f>3.18473623</f>
        <v>3.1847362299999999</v>
      </c>
      <c r="DG209">
        <f>2.796597364</f>
        <v>2.7965973640000001</v>
      </c>
      <c r="DH209">
        <f>2.786318582</f>
        <v>2.7863185819999998</v>
      </c>
      <c r="DI209">
        <f>3.104316765</f>
        <v>3.1043167650000001</v>
      </c>
      <c r="DJ209">
        <f>2.997200322</f>
        <v>2.9972003219999999</v>
      </c>
      <c r="DK209">
        <f>2.835749745</f>
        <v>2.8357497450000002</v>
      </c>
      <c r="DL209">
        <f>3.145097649</f>
        <v>3.1450976490000002</v>
      </c>
      <c r="DM209">
        <f>3.313440701</f>
        <v>3.3134407010000002</v>
      </c>
      <c r="DN209">
        <f>3.293400944</f>
        <v>3.2934009440000001</v>
      </c>
      <c r="DO209">
        <f>3.358140403</f>
        <v>3.3581404030000002</v>
      </c>
      <c r="DP209">
        <f>3.58147877</f>
        <v>3.5814787699999999</v>
      </c>
      <c r="DQ209">
        <f>3.4382289</f>
        <v>3.4382288999999999</v>
      </c>
      <c r="DR209">
        <f>3.125081685</f>
        <v>3.1250816850000001</v>
      </c>
      <c r="DS209">
        <f>3.113471786</f>
        <v>3.1134717859999999</v>
      </c>
      <c r="DT209">
        <f>3.188000389</f>
        <v>3.1880003889999999</v>
      </c>
      <c r="DU209">
        <f>3.291205313</f>
        <v>3.2912053129999999</v>
      </c>
    </row>
    <row r="210" spans="1:125">
      <c r="A210" t="str">
        <f>"    Piedmont Office Realty Trust I"</f>
        <v xml:space="preserve">    Piedmont Office Realty Trust I</v>
      </c>
      <c r="B210" t="str">
        <f>"PDM US Equity"</f>
        <v>PDM US Equity</v>
      </c>
      <c r="C210" t="str">
        <f t="shared" si="54"/>
        <v>RX951</v>
      </c>
      <c r="D210" t="str">
        <f t="shared" si="55"/>
        <v>EBITDA_TO_INTEREST_EXPN</v>
      </c>
      <c r="E210" t="str">
        <f t="shared" si="56"/>
        <v>动态</v>
      </c>
      <c r="F210" t="str">
        <f ca="1">IF(AND(ISNUMBER($F$513),$B$294=1),$F$513,HLOOKUP(INDIRECT(ADDRESS(2,COLUMN())),OFFSET($BN$2,0,0,ROW()-1,60),ROW()-1,FALSE))</f>
        <v/>
      </c>
      <c r="G210">
        <f ca="1">IF(AND(ISNUMBER($G$513),$B$294=1),$G$513,HLOOKUP(INDIRECT(ADDRESS(2,COLUMN())),OFFSET($BN$2,0,0,ROW()-1,60),ROW()-1,FALSE))</f>
        <v>1.9223953949999999</v>
      </c>
      <c r="H210">
        <f ca="1">IF(AND(ISNUMBER($H$513),$B$294=1),$H$513,HLOOKUP(INDIRECT(ADDRESS(2,COLUMN())),OFFSET($BN$2,0,0,ROW()-1,60),ROW()-1,FALSE))</f>
        <v>4.7499227580000003</v>
      </c>
      <c r="I210">
        <f ca="1">IF(AND(ISNUMBER($I$513),$B$294=1),$I$513,HLOOKUP(INDIRECT(ADDRESS(2,COLUMN())),OFFSET($BN$2,0,0,ROW()-1,60),ROW()-1,FALSE))</f>
        <v>4.584713099</v>
      </c>
      <c r="J210">
        <f ca="1">IF(AND(ISNUMBER($J$513),$B$294=1),$J$513,HLOOKUP(INDIRECT(ADDRESS(2,COLUMN())),OFFSET($BN$2,0,0,ROW()-1,60),ROW()-1,FALSE))</f>
        <v>4.6628454340000003</v>
      </c>
      <c r="K210">
        <f ca="1">IF(AND(ISNUMBER($K$513),$B$294=1),$K$513,HLOOKUP(INDIRECT(ADDRESS(2,COLUMN())),OFFSET($BN$2,0,0,ROW()-1,60),ROW()-1,FALSE))</f>
        <v>4.8572980799999996</v>
      </c>
      <c r="L210">
        <f ca="1">IF(AND(ISNUMBER($L$513),$B$294=1),$L$513,HLOOKUP(INDIRECT(ADDRESS(2,COLUMN())),OFFSET($BN$2,0,0,ROW()-1,60),ROW()-1,FALSE))</f>
        <v>3.4442436760000001</v>
      </c>
      <c r="M210">
        <f ca="1">IF(AND(ISNUMBER($M$513),$B$294=1),$M$513,HLOOKUP(INDIRECT(ADDRESS(2,COLUMN())),OFFSET($BN$2,0,0,ROW()-1,60),ROW()-1,FALSE))</f>
        <v>3.873393042</v>
      </c>
      <c r="N210">
        <f ca="1">IF(AND(ISNUMBER($N$513),$B$294=1),$N$513,HLOOKUP(INDIRECT(ADDRESS(2,COLUMN())),OFFSET($BN$2,0,0,ROW()-1,60),ROW()-1,FALSE))</f>
        <v>4.6285627099999997</v>
      </c>
      <c r="O210">
        <f ca="1">IF(AND(ISNUMBER($O$513),$B$294=1),$O$513,HLOOKUP(INDIRECT(ADDRESS(2,COLUMN())),OFFSET($BN$2,0,0,ROW()-1,60),ROW()-1,FALSE))</f>
        <v>4.288519301</v>
      </c>
      <c r="P210">
        <f ca="1">IF(AND(ISNUMBER($P$513),$B$294=1),$P$513,HLOOKUP(INDIRECT(ADDRESS(2,COLUMN())),OFFSET($BN$2,0,0,ROW()-1,60),ROW()-1,FALSE))</f>
        <v>2.3506265929999999</v>
      </c>
      <c r="Q210">
        <f ca="1">IF(AND(ISNUMBER($Q$513),$B$294=1),$Q$513,HLOOKUP(INDIRECT(ADDRESS(2,COLUMN())),OFFSET($BN$2,0,0,ROW()-1,60),ROW()-1,FALSE))</f>
        <v>3.9592229799999998</v>
      </c>
      <c r="R210">
        <f ca="1">IF(AND(ISNUMBER($R$513),$B$294=1),$R$513,HLOOKUP(INDIRECT(ADDRESS(2,COLUMN())),OFFSET($BN$2,0,0,ROW()-1,60),ROW()-1,FALSE))</f>
        <v>4.1676482960000003</v>
      </c>
      <c r="S210">
        <f ca="1">IF(AND(ISNUMBER($S$513),$B$294=1),$S$513,HLOOKUP(INDIRECT(ADDRESS(2,COLUMN())),OFFSET($BN$2,0,0,ROW()-1,60),ROW()-1,FALSE))</f>
        <v>4.1662777130000004</v>
      </c>
      <c r="T210">
        <f ca="1">IF(AND(ISNUMBER($T$513),$B$294=1),$T$513,HLOOKUP(INDIRECT(ADDRESS(2,COLUMN())),OFFSET($BN$2,0,0,ROW()-1,60),ROW()-1,FALSE))</f>
        <v>4.1236732070000004</v>
      </c>
      <c r="U210">
        <f ca="1">IF(AND(ISNUMBER($U$513),$B$294=1),$U$513,HLOOKUP(INDIRECT(ADDRESS(2,COLUMN())),OFFSET($BN$2,0,0,ROW()-1,60),ROW()-1,FALSE))</f>
        <v>4.1085387520000003</v>
      </c>
      <c r="V210">
        <f ca="1">IF(AND(ISNUMBER($V$513),$B$294=1),$V$513,HLOOKUP(INDIRECT(ADDRESS(2,COLUMN())),OFFSET($BN$2,0,0,ROW()-1,60),ROW()-1,FALSE))</f>
        <v>3.8756208390000002</v>
      </c>
      <c r="W210">
        <f ca="1">IF(AND(ISNUMBER($W$513),$B$294=1),$W$513,HLOOKUP(INDIRECT(ADDRESS(2,COLUMN())),OFFSET($BN$2,0,0,ROW()-1,60),ROW()-1,FALSE))</f>
        <v>3.9946058720000002</v>
      </c>
      <c r="X210">
        <f ca="1">IF(AND(ISNUMBER($X$513),$B$294=1),$X$513,HLOOKUP(INDIRECT(ADDRESS(2,COLUMN())),OFFSET($BN$2,0,0,ROW()-1,60),ROW()-1,FALSE))</f>
        <v>4.1042884490000002</v>
      </c>
      <c r="Y210">
        <f ca="1">IF(AND(ISNUMBER($Y$513),$B$294=1),$Y$513,HLOOKUP(INDIRECT(ADDRESS(2,COLUMN())),OFFSET($BN$2,0,0,ROW()-1,60),ROW()-1,FALSE))</f>
        <v>4.0593442619999998</v>
      </c>
      <c r="Z210">
        <f ca="1">IF(AND(ISNUMBER($Z$513),$B$294=1),$Z$513,HLOOKUP(INDIRECT(ADDRESS(2,COLUMN())),OFFSET($BN$2,0,0,ROW()-1,60),ROW()-1,FALSE))</f>
        <v>4.3207932009999999</v>
      </c>
      <c r="AA210">
        <f ca="1">IF(AND(ISNUMBER($AA$513),$B$294=1),$AA$513,HLOOKUP(INDIRECT(ADDRESS(2,COLUMN())),OFFSET($BN$2,0,0,ROW()-1,60),ROW()-1,FALSE))</f>
        <v>4.0997790869999999</v>
      </c>
      <c r="AB210">
        <f ca="1">IF(AND(ISNUMBER($AB$513),$B$294=1),$AB$513,HLOOKUP(INDIRECT(ADDRESS(2,COLUMN())),OFFSET($BN$2,0,0,ROW()-1,60),ROW()-1,FALSE))</f>
        <v>4.769680556</v>
      </c>
      <c r="AC210">
        <f ca="1">IF(AND(ISNUMBER($AC$513),$B$294=1),$AC$513,HLOOKUP(INDIRECT(ADDRESS(2,COLUMN())),OFFSET($BN$2,0,0,ROW()-1,60),ROW()-1,FALSE))</f>
        <v>4.6809257979999996</v>
      </c>
      <c r="AD210">
        <f ca="1">IF(AND(ISNUMBER($AD$513),$B$294=1),$AD$513,HLOOKUP(INDIRECT(ADDRESS(2,COLUMN())),OFFSET($BN$2,0,0,ROW()-1,60),ROW()-1,FALSE))</f>
        <v>4.5209530139999998</v>
      </c>
      <c r="AE210">
        <f ca="1">IF(AND(ISNUMBER($AE$513),$B$294=1),$AE$513,HLOOKUP(INDIRECT(ADDRESS(2,COLUMN())),OFFSET($BN$2,0,0,ROW()-1,60),ROW()-1,FALSE))</f>
        <v>4.4842162549999998</v>
      </c>
      <c r="AF210">
        <f ca="1">IF(AND(ISNUMBER($AF$513),$B$294=1),$AF$513,HLOOKUP(INDIRECT(ADDRESS(2,COLUMN())),OFFSET($BN$2,0,0,ROW()-1,60),ROW()-1,FALSE))</f>
        <v>4.9120475289999996</v>
      </c>
      <c r="AG210">
        <f ca="1">IF(AND(ISNUMBER($AG$513),$B$294=1),$AG$513,HLOOKUP(INDIRECT(ADDRESS(2,COLUMN())),OFFSET($BN$2,0,0,ROW()-1,60),ROW()-1,FALSE))</f>
        <v>4.371055556</v>
      </c>
      <c r="AH210">
        <f ca="1">IF(AND(ISNUMBER($AH$513),$B$294=1),$AH$513,HLOOKUP(INDIRECT(ADDRESS(2,COLUMN())),OFFSET($BN$2,0,0,ROW()-1,60),ROW()-1,FALSE))</f>
        <v>5.0898976979999997</v>
      </c>
      <c r="AI210">
        <f ca="1">IF(AND(ISNUMBER($AI$513),$B$294=1),$AI$513,HLOOKUP(INDIRECT(ADDRESS(2,COLUMN())),OFFSET($BN$2,0,0,ROW()-1,60),ROW()-1,FALSE))</f>
        <v>4.9012025320000001</v>
      </c>
      <c r="AJ210">
        <f ca="1">IF(AND(ISNUMBER($AJ$513),$B$294=1),$AJ$513,HLOOKUP(INDIRECT(ADDRESS(2,COLUMN())),OFFSET($BN$2,0,0,ROW()-1,60),ROW()-1,FALSE))</f>
        <v>5.4262534069999999</v>
      </c>
      <c r="AK210">
        <f ca="1">IF(AND(ISNUMBER($AK$513),$B$294=1),$AK$513,HLOOKUP(INDIRECT(ADDRESS(2,COLUMN())),OFFSET($BN$2,0,0,ROW()-1,60),ROW()-1,FALSE))</f>
        <v>4.288913537</v>
      </c>
      <c r="AL210">
        <f ca="1">IF(AND(ISNUMBER($AL$513),$B$294=1),$AL$513,HLOOKUP(INDIRECT(ADDRESS(2,COLUMN())),OFFSET($BN$2,0,0,ROW()-1,60),ROW()-1,FALSE))</f>
        <v>4.4510502330000001</v>
      </c>
      <c r="AM210">
        <f ca="1">IF(AND(ISNUMBER($AM$513),$B$294=1),$AM$513,HLOOKUP(INDIRECT(ADDRESS(2,COLUMN())),OFFSET($BN$2,0,0,ROW()-1,60),ROW()-1,FALSE))</f>
        <v>4.4020935960000003</v>
      </c>
      <c r="AN210">
        <f ca="1">IF(AND(ISNUMBER($AN$513),$B$294=1),$AN$513,HLOOKUP(INDIRECT(ADDRESS(2,COLUMN())),OFFSET($BN$2,0,0,ROW()-1,60),ROW()-1,FALSE))</f>
        <v>2.6014448200000002</v>
      </c>
      <c r="AO210">
        <f ca="1">IF(AND(ISNUMBER($AO$513),$B$294=1),$AO$513,HLOOKUP(INDIRECT(ADDRESS(2,COLUMN())),OFFSET($BN$2,0,0,ROW()-1,60),ROW()-1,FALSE))</f>
        <v>4.3581520060000001</v>
      </c>
      <c r="AP210">
        <f ca="1">IF(AND(ISNUMBER($AP$513),$B$294=1),$AP$513,HLOOKUP(INDIRECT(ADDRESS(2,COLUMN())),OFFSET($BN$2,0,0,ROW()-1,60),ROW()-1,FALSE))</f>
        <v>4.9245661260000002</v>
      </c>
      <c r="AQ210">
        <f ca="1">IF(AND(ISNUMBER($AQ$513),$B$294=1),$AQ$513,HLOOKUP(INDIRECT(ADDRESS(2,COLUMN())),OFFSET($BN$2,0,0,ROW()-1,60),ROW()-1,FALSE))</f>
        <v>4.5808024380000001</v>
      </c>
      <c r="AR210">
        <f ca="1">IF(AND(ISNUMBER($AR$513),$B$294=1),$AR$513,HLOOKUP(INDIRECT(ADDRESS(2,COLUMN())),OFFSET($BN$2,0,0,ROW()-1,60),ROW()-1,FALSE))</f>
        <v>4.7527528029999999</v>
      </c>
      <c r="AS210">
        <f ca="1">IF(AND(ISNUMBER($AS$513),$B$294=1),$AS$513,HLOOKUP(INDIRECT(ADDRESS(2,COLUMN())),OFFSET($BN$2,0,0,ROW()-1,60),ROW()-1,FALSE))</f>
        <v>4.8258196719999997</v>
      </c>
      <c r="AT210">
        <f ca="1">IF(AND(ISNUMBER($AT$513),$B$294=1),$AT$513,HLOOKUP(INDIRECT(ADDRESS(2,COLUMN())),OFFSET($BN$2,0,0,ROW()-1,60),ROW()-1,FALSE))</f>
        <v>5.4442068770000001</v>
      </c>
      <c r="AU210">
        <f ca="1">IF(AND(ISNUMBER($AU$513),$B$294=1),$AU$513,HLOOKUP(INDIRECT(ADDRESS(2,COLUMN())),OFFSET($BN$2,0,0,ROW()-1,60),ROW()-1,FALSE))</f>
        <v>5.3712098380000004</v>
      </c>
      <c r="AV210">
        <f ca="1">IF(AND(ISNUMBER($AV$513),$B$294=1),$AV$513,HLOOKUP(INDIRECT(ADDRESS(2,COLUMN())),OFFSET($BN$2,0,0,ROW()-1,60),ROW()-1,FALSE))</f>
        <v>5.5202996930000001</v>
      </c>
      <c r="AW210">
        <f ca="1">IF(AND(ISNUMBER($AW$513),$B$294=1),$AW$513,HLOOKUP(INDIRECT(ADDRESS(2,COLUMN())),OFFSET($BN$2,0,0,ROW()-1,60),ROW()-1,FALSE))</f>
        <v>5.2770175210000003</v>
      </c>
      <c r="AX210">
        <f ca="1">IF(AND(ISNUMBER($AX$513),$B$294=1),$AX$513,HLOOKUP(INDIRECT(ADDRESS(2,COLUMN())),OFFSET($BN$2,0,0,ROW()-1,60),ROW()-1,FALSE))</f>
        <v>5.1700667539999996</v>
      </c>
      <c r="AY210">
        <f ca="1">IF(AND(ISNUMBER($AY$513),$B$294=1),$AY$513,HLOOKUP(INDIRECT(ADDRESS(2,COLUMN())),OFFSET($BN$2,0,0,ROW()-1,60),ROW()-1,FALSE))</f>
        <v>4.7780725569999998</v>
      </c>
      <c r="AZ210">
        <f ca="1">IF(AND(ISNUMBER($AZ$513),$B$294=1),$AZ$513,HLOOKUP(INDIRECT(ADDRESS(2,COLUMN())),OFFSET($BN$2,0,0,ROW()-1,60),ROW()-1,FALSE))</f>
        <v>5.7004235660000004</v>
      </c>
      <c r="BA210">
        <f ca="1">IF(AND(ISNUMBER($BA$513),$B$294=1),$BA$513,HLOOKUP(INDIRECT(ADDRESS(2,COLUMN())),OFFSET($BN$2,0,0,ROW()-1,60),ROW()-1,FALSE))</f>
        <v>5.2404460679999998</v>
      </c>
      <c r="BB210">
        <f ca="1">IF(AND(ISNUMBER($BB$513),$B$294=1),$BB$513,HLOOKUP(INDIRECT(ADDRESS(2,COLUMN())),OFFSET($BN$2,0,0,ROW()-1,60),ROW()-1,FALSE))</f>
        <v>5.8275255189999999</v>
      </c>
      <c r="BC210">
        <f ca="1">IF(AND(ISNUMBER($BC$513),$B$294=1),$BC$513,HLOOKUP(INDIRECT(ADDRESS(2,COLUMN())),OFFSET($BN$2,0,0,ROW()-1,60),ROW()-1,FALSE))</f>
        <v>5.8664342029999998</v>
      </c>
      <c r="BD210">
        <f ca="1">IF(AND(ISNUMBER($BD$513),$B$294=1),$BD$513,HLOOKUP(INDIRECT(ADDRESS(2,COLUMN())),OFFSET($BN$2,0,0,ROW()-1,60),ROW()-1,FALSE))</f>
        <v>6.4038137539999997</v>
      </c>
      <c r="BE210">
        <f ca="1">IF(AND(ISNUMBER($BE$513),$B$294=1),$BE$513,HLOOKUP(INDIRECT(ADDRESS(2,COLUMN())),OFFSET($BN$2,0,0,ROW()-1,60),ROW()-1,FALSE))</f>
        <v>8.7426197769999998</v>
      </c>
      <c r="BF210">
        <f ca="1">IF(AND(ISNUMBER($BF$513),$B$294=1),$BF$513,HLOOKUP(INDIRECT(ADDRESS(2,COLUMN())),OFFSET($BN$2,0,0,ROW()-1,60),ROW()-1,FALSE))</f>
        <v>6.9000187410000002</v>
      </c>
      <c r="BG210">
        <f ca="1">IF(AND(ISNUMBER($BG$513),$B$294=1),$BG$513,HLOOKUP(INDIRECT(ADDRESS(2,COLUMN())),OFFSET($BN$2,0,0,ROW()-1,60),ROW()-1,FALSE))</f>
        <v>9.9602303019999994</v>
      </c>
      <c r="BH210">
        <f ca="1">IF(AND(ISNUMBER($BH$513),$B$294=1),$BH$513,HLOOKUP(INDIRECT(ADDRESS(2,COLUMN())),OFFSET($BN$2,0,0,ROW()-1,60),ROW()-1,FALSE))</f>
        <v>6.8080382779999997</v>
      </c>
      <c r="BI210">
        <f ca="1">IF(AND(ISNUMBER($BI$513),$B$294=1),$BI$513,HLOOKUP(INDIRECT(ADDRESS(2,COLUMN())),OFFSET($BN$2,0,0,ROW()-1,60),ROW()-1,FALSE))</f>
        <v>10.68148914</v>
      </c>
      <c r="BJ210">
        <f ca="1">IF(AND(ISNUMBER($BJ$513),$B$294=1),$BJ$513,HLOOKUP(INDIRECT(ADDRESS(2,COLUMN())),OFFSET($BN$2,0,0,ROW()-1,60),ROW()-1,FALSE))</f>
        <v>12.868317340000001</v>
      </c>
      <c r="BK210">
        <f ca="1">IF(AND(ISNUMBER($BK$513),$B$294=1),$BK$513,HLOOKUP(INDIRECT(ADDRESS(2,COLUMN())),OFFSET($BN$2,0,0,ROW()-1,60),ROW()-1,FALSE))</f>
        <v>12.56936091</v>
      </c>
      <c r="BL210">
        <f ca="1">IF(AND(ISNUMBER($BL$513),$B$294=1),$BL$513,HLOOKUP(INDIRECT(ADDRESS(2,COLUMN())),OFFSET($BN$2,0,0,ROW()-1,60),ROW()-1,FALSE))</f>
        <v>17.118635579999999</v>
      </c>
      <c r="BM210">
        <f ca="1">IF(AND(ISNUMBER($BM$513),$B$294=1),$BM$513,HLOOKUP(INDIRECT(ADDRESS(2,COLUMN())),OFFSET($BN$2,0,0,ROW()-1,60),ROW()-1,FALSE))</f>
        <v>13.208850440000001</v>
      </c>
      <c r="BN210" t="str">
        <f>""</f>
        <v/>
      </c>
      <c r="BO210">
        <f>1.922395395</f>
        <v>1.9223953949999999</v>
      </c>
      <c r="BP210">
        <f>4.749922758</f>
        <v>4.7499227580000003</v>
      </c>
      <c r="BQ210">
        <f>4.584713099</f>
        <v>4.584713099</v>
      </c>
      <c r="BR210">
        <f>4.662845434</f>
        <v>4.6628454340000003</v>
      </c>
      <c r="BS210">
        <f>4.85729808</f>
        <v>4.8572980799999996</v>
      </c>
      <c r="BT210">
        <f>3.444243676</f>
        <v>3.4442436760000001</v>
      </c>
      <c r="BU210">
        <f>3.873393042</f>
        <v>3.873393042</v>
      </c>
      <c r="BV210">
        <f>4.62856271</f>
        <v>4.6285627099999997</v>
      </c>
      <c r="BW210">
        <f>4.288519301</f>
        <v>4.288519301</v>
      </c>
      <c r="BX210">
        <f>2.350626593</f>
        <v>2.3506265929999999</v>
      </c>
      <c r="BY210">
        <f>3.95922298</f>
        <v>3.9592229799999998</v>
      </c>
      <c r="BZ210">
        <f>4.167648296</f>
        <v>4.1676482960000003</v>
      </c>
      <c r="CA210">
        <f>4.166277713</f>
        <v>4.1662777130000004</v>
      </c>
      <c r="CB210">
        <f>4.123673207</f>
        <v>4.1236732070000004</v>
      </c>
      <c r="CC210">
        <f>4.108538752</f>
        <v>4.1085387520000003</v>
      </c>
      <c r="CD210">
        <f>3.875620839</f>
        <v>3.8756208390000002</v>
      </c>
      <c r="CE210">
        <f>3.994605872</f>
        <v>3.9946058720000002</v>
      </c>
      <c r="CF210">
        <f>4.104288449</f>
        <v>4.1042884490000002</v>
      </c>
      <c r="CG210">
        <f>4.059344262</f>
        <v>4.0593442619999998</v>
      </c>
      <c r="CH210">
        <f>4.320793201</f>
        <v>4.3207932009999999</v>
      </c>
      <c r="CI210">
        <f>4.099779087</f>
        <v>4.0997790869999999</v>
      </c>
      <c r="CJ210">
        <f>4.769680556</f>
        <v>4.769680556</v>
      </c>
      <c r="CK210">
        <f>4.680925798</f>
        <v>4.6809257979999996</v>
      </c>
      <c r="CL210">
        <f>4.520953014</f>
        <v>4.5209530139999998</v>
      </c>
      <c r="CM210">
        <f>4.484216255</f>
        <v>4.4842162549999998</v>
      </c>
      <c r="CN210">
        <f>4.912047529</f>
        <v>4.9120475289999996</v>
      </c>
      <c r="CO210">
        <f>4.371055556</f>
        <v>4.371055556</v>
      </c>
      <c r="CP210">
        <f>5.089897698</f>
        <v>5.0898976979999997</v>
      </c>
      <c r="CQ210">
        <f>4.901202532</f>
        <v>4.9012025320000001</v>
      </c>
      <c r="CR210">
        <f>5.426253407</f>
        <v>5.4262534069999999</v>
      </c>
      <c r="CS210">
        <f>4.288913537</f>
        <v>4.288913537</v>
      </c>
      <c r="CT210">
        <f>4.451050233</f>
        <v>4.4510502330000001</v>
      </c>
      <c r="CU210">
        <f>4.402093596</f>
        <v>4.4020935960000003</v>
      </c>
      <c r="CV210">
        <f>2.60144482</f>
        <v>2.6014448200000002</v>
      </c>
      <c r="CW210">
        <f>4.358152006</f>
        <v>4.3581520060000001</v>
      </c>
      <c r="CX210">
        <f>4.924566126</f>
        <v>4.9245661260000002</v>
      </c>
      <c r="CY210">
        <f>4.580802438</f>
        <v>4.5808024380000001</v>
      </c>
      <c r="CZ210">
        <f>4.752752803</f>
        <v>4.7527528029999999</v>
      </c>
      <c r="DA210">
        <f>4.825819672</f>
        <v>4.8258196719999997</v>
      </c>
      <c r="DB210">
        <f>5.444206877</f>
        <v>5.4442068770000001</v>
      </c>
      <c r="DC210">
        <f>5.371209838</f>
        <v>5.3712098380000004</v>
      </c>
      <c r="DD210">
        <f>5.520299693</f>
        <v>5.5202996930000001</v>
      </c>
      <c r="DE210">
        <f>5.277017521</f>
        <v>5.2770175210000003</v>
      </c>
      <c r="DF210">
        <f>5.170066754</f>
        <v>5.1700667539999996</v>
      </c>
      <c r="DG210">
        <f>4.778072557</f>
        <v>4.7780725569999998</v>
      </c>
      <c r="DH210">
        <f>5.700423566</f>
        <v>5.7004235660000004</v>
      </c>
      <c r="DI210">
        <f>5.240446068</f>
        <v>5.2404460679999998</v>
      </c>
      <c r="DJ210">
        <f>5.827525519</f>
        <v>5.8275255189999999</v>
      </c>
      <c r="DK210">
        <f>5.866434203</f>
        <v>5.8664342029999998</v>
      </c>
      <c r="DL210">
        <f>6.403813754</f>
        <v>6.4038137539999997</v>
      </c>
      <c r="DM210">
        <f>8.742619777</f>
        <v>8.7426197769999998</v>
      </c>
      <c r="DN210">
        <f>6.900018741</f>
        <v>6.9000187410000002</v>
      </c>
      <c r="DO210">
        <f>9.960230302</f>
        <v>9.9602303019999994</v>
      </c>
      <c r="DP210">
        <f>6.808038278</f>
        <v>6.8080382779999997</v>
      </c>
      <c r="DQ210">
        <f>10.68148914</f>
        <v>10.68148914</v>
      </c>
      <c r="DR210">
        <f>12.86831734</f>
        <v>12.868317340000001</v>
      </c>
      <c r="DS210">
        <f>12.56936091</f>
        <v>12.56936091</v>
      </c>
      <c r="DT210">
        <f>17.11863558</f>
        <v>17.118635579999999</v>
      </c>
      <c r="DU210">
        <f>13.20885044</f>
        <v>13.208850440000001</v>
      </c>
    </row>
    <row r="211" spans="1:125">
      <c r="A211" t="str">
        <f>"    SL Green Realty Corp"</f>
        <v xml:space="preserve">    SL Green Realty Corp</v>
      </c>
      <c r="B211" t="str">
        <f>"SLG US Equity"</f>
        <v>SLG US Equity</v>
      </c>
      <c r="C211" t="str">
        <f t="shared" si="54"/>
        <v>RX951</v>
      </c>
      <c r="D211" t="str">
        <f t="shared" si="55"/>
        <v>EBITDA_TO_INTEREST_EXPN</v>
      </c>
      <c r="E211" t="str">
        <f t="shared" si="56"/>
        <v>动态</v>
      </c>
      <c r="F211" t="str">
        <f ca="1">IF(AND(ISNUMBER($F$514),$B$294=1),$F$514,HLOOKUP(INDIRECT(ADDRESS(2,COLUMN())),OFFSET($BN$2,0,0,ROW()-1,60),ROW()-1,FALSE))</f>
        <v/>
      </c>
      <c r="G211">
        <f ca="1">IF(AND(ISNUMBER($G$514),$B$294=1),$G$514,HLOOKUP(INDIRECT(ADDRESS(2,COLUMN())),OFFSET($BN$2,0,0,ROW()-1,60),ROW()-1,FALSE))</f>
        <v>3.083933773</v>
      </c>
      <c r="H211">
        <f ca="1">IF(AND(ISNUMBER($H$514),$B$294=1),$H$514,HLOOKUP(INDIRECT(ADDRESS(2,COLUMN())),OFFSET($BN$2,0,0,ROW()-1,60),ROW()-1,FALSE))</f>
        <v>2.9589184689999999</v>
      </c>
      <c r="I211">
        <f ca="1">IF(AND(ISNUMBER($I$514),$B$294=1),$I$514,HLOOKUP(INDIRECT(ADDRESS(2,COLUMN())),OFFSET($BN$2,0,0,ROW()-1,60),ROW()-1,FALSE))</f>
        <v>3.4731578019999998</v>
      </c>
      <c r="J211">
        <f ca="1">IF(AND(ISNUMBER($J$514),$B$294=1),$J$514,HLOOKUP(INDIRECT(ADDRESS(2,COLUMN())),OFFSET($BN$2,0,0,ROW()-1,60),ROW()-1,FALSE))</f>
        <v>3.040279613</v>
      </c>
      <c r="K211">
        <f ca="1">IF(AND(ISNUMBER($K$514),$B$294=1),$K$514,HLOOKUP(INDIRECT(ADDRESS(2,COLUMN())),OFFSET($BN$2,0,0,ROW()-1,60),ROW()-1,FALSE))</f>
        <v>2.9447564869999998</v>
      </c>
      <c r="L211">
        <f ca="1">IF(AND(ISNUMBER($L$514),$B$294=1),$L$514,HLOOKUP(INDIRECT(ADDRESS(2,COLUMN())),OFFSET($BN$2,0,0,ROW()-1,60),ROW()-1,FALSE))</f>
        <v>3.1215947270000002</v>
      </c>
      <c r="M211">
        <f ca="1">IF(AND(ISNUMBER($M$514),$B$294=1),$M$514,HLOOKUP(INDIRECT(ADDRESS(2,COLUMN())),OFFSET($BN$2,0,0,ROW()-1,60),ROW()-1,FALSE))</f>
        <v>4.6900499370000004</v>
      </c>
      <c r="N211">
        <f ca="1">IF(AND(ISNUMBER($N$514),$B$294=1),$N$514,HLOOKUP(INDIRECT(ADDRESS(2,COLUMN())),OFFSET($BN$2,0,0,ROW()-1,60),ROW()-1,FALSE))</f>
        <v>2.8123952280000002</v>
      </c>
      <c r="O211">
        <f ca="1">IF(AND(ISNUMBER($O$514),$B$294=1),$O$514,HLOOKUP(INDIRECT(ADDRESS(2,COLUMN())),OFFSET($BN$2,0,0,ROW()-1,60),ROW()-1,FALSE))</f>
        <v>2.7642723679999999</v>
      </c>
      <c r="P211">
        <f ca="1">IF(AND(ISNUMBER($P$514),$B$294=1),$P$514,HLOOKUP(INDIRECT(ADDRESS(2,COLUMN())),OFFSET($BN$2,0,0,ROW()-1,60),ROW()-1,FALSE))</f>
        <v>2.8697714150000002</v>
      </c>
      <c r="Q211">
        <f ca="1">IF(AND(ISNUMBER($Q$514),$B$294=1),$Q$514,HLOOKUP(INDIRECT(ADDRESS(2,COLUMN())),OFFSET($BN$2,0,0,ROW()-1,60),ROW()-1,FALSE))</f>
        <v>3.1123528120000001</v>
      </c>
      <c r="R211">
        <f ca="1">IF(AND(ISNUMBER($R$514),$B$294=1),$R$514,HLOOKUP(INDIRECT(ADDRESS(2,COLUMN())),OFFSET($BN$2,0,0,ROW()-1,60),ROW()-1,FALSE))</f>
        <v>2.8587270390000001</v>
      </c>
      <c r="S211">
        <f ca="1">IF(AND(ISNUMBER($S$514),$B$294=1),$S$514,HLOOKUP(INDIRECT(ADDRESS(2,COLUMN())),OFFSET($BN$2,0,0,ROW()-1,60),ROW()-1,FALSE))</f>
        <v>2.6383651389999998</v>
      </c>
      <c r="T211">
        <f ca="1">IF(AND(ISNUMBER($T$514),$B$294=1),$T$514,HLOOKUP(INDIRECT(ADDRESS(2,COLUMN())),OFFSET($BN$2,0,0,ROW()-1,60),ROW()-1,FALSE))</f>
        <v>2.6601538379999998</v>
      </c>
      <c r="U211">
        <f ca="1">IF(AND(ISNUMBER($U$514),$B$294=1),$U$514,HLOOKUP(INDIRECT(ADDRESS(2,COLUMN())),OFFSET($BN$2,0,0,ROW()-1,60),ROW()-1,FALSE))</f>
        <v>2.7991857910000002</v>
      </c>
      <c r="V211">
        <f ca="1">IF(AND(ISNUMBER($V$514),$B$294=1),$V$514,HLOOKUP(INDIRECT(ADDRESS(2,COLUMN())),OFFSET($BN$2,0,0,ROW()-1,60),ROW()-1,FALSE))</f>
        <v>2.6753554209999999</v>
      </c>
      <c r="W211">
        <f ca="1">IF(AND(ISNUMBER($W$514),$B$294=1),$W$514,HLOOKUP(INDIRECT(ADDRESS(2,COLUMN())),OFFSET($BN$2,0,0,ROW()-1,60),ROW()-1,FALSE))</f>
        <v>2.4491366299999999</v>
      </c>
      <c r="X211">
        <f ca="1">IF(AND(ISNUMBER($X$514),$B$294=1),$X$514,HLOOKUP(INDIRECT(ADDRESS(2,COLUMN())),OFFSET($BN$2,0,0,ROW()-1,60),ROW()-1,FALSE))</f>
        <v>2.347529357</v>
      </c>
      <c r="Y211">
        <f ca="1">IF(AND(ISNUMBER($Y$514),$B$294=1),$Y$514,HLOOKUP(INDIRECT(ADDRESS(2,COLUMN())),OFFSET($BN$2,0,0,ROW()-1,60),ROW()-1,FALSE))</f>
        <v>2.4915254240000002</v>
      </c>
      <c r="Z211">
        <f ca="1">IF(AND(ISNUMBER($Z$514),$B$294=1),$Z$514,HLOOKUP(INDIRECT(ADDRESS(2,COLUMN())),OFFSET($BN$2,0,0,ROW()-1,60),ROW()-1,FALSE))</f>
        <v>2.4907787610000001</v>
      </c>
      <c r="AA211">
        <f ca="1">IF(AND(ISNUMBER($AA$514),$B$294=1),$AA$514,HLOOKUP(INDIRECT(ADDRESS(2,COLUMN())),OFFSET($BN$2,0,0,ROW()-1,60),ROW()-1,FALSE))</f>
        <v>2.210703643</v>
      </c>
      <c r="AB211">
        <f ca="1">IF(AND(ISNUMBER($AB$514),$B$294=1),$AB$514,HLOOKUP(INDIRECT(ADDRESS(2,COLUMN())),OFFSET($BN$2,0,0,ROW()-1,60),ROW()-1,FALSE))</f>
        <v>2.1814823849999998</v>
      </c>
      <c r="AC211">
        <f ca="1">IF(AND(ISNUMBER($AC$514),$B$294=1),$AC$514,HLOOKUP(INDIRECT(ADDRESS(2,COLUMN())),OFFSET($BN$2,0,0,ROW()-1,60),ROW()-1,FALSE))</f>
        <v>2.3149850660000002</v>
      </c>
      <c r="AD211">
        <f ca="1">IF(AND(ISNUMBER($AD$514),$B$294=1),$AD$514,HLOOKUP(INDIRECT(ADDRESS(2,COLUMN())),OFFSET($BN$2,0,0,ROW()-1,60),ROW()-1,FALSE))</f>
        <v>2.2381475690000001</v>
      </c>
      <c r="AE211">
        <f ca="1">IF(AND(ISNUMBER($AE$514),$B$294=1),$AE$514,HLOOKUP(INDIRECT(ADDRESS(2,COLUMN())),OFFSET($BN$2,0,0,ROW()-1,60),ROW()-1,FALSE))</f>
        <v>2.1358515410000001</v>
      </c>
      <c r="AF211">
        <f ca="1">IF(AND(ISNUMBER($AF$514),$B$294=1),$AF$514,HLOOKUP(INDIRECT(ADDRESS(2,COLUMN())),OFFSET($BN$2,0,0,ROW()-1,60),ROW()-1,FALSE))</f>
        <v>2.1643274180000001</v>
      </c>
      <c r="AG211">
        <f ca="1">IF(AND(ISNUMBER($AG$514),$B$294=1),$AG$514,HLOOKUP(INDIRECT(ADDRESS(2,COLUMN())),OFFSET($BN$2,0,0,ROW()-1,60),ROW()-1,FALSE))</f>
        <v>2.2920530079999999</v>
      </c>
      <c r="AH211">
        <f ca="1">IF(AND(ISNUMBER($AH$514),$B$294=1),$AH$514,HLOOKUP(INDIRECT(ADDRESS(2,COLUMN())),OFFSET($BN$2,0,0,ROW()-1,60),ROW()-1,FALSE))</f>
        <v>2.9831193250000001</v>
      </c>
      <c r="AI211">
        <f ca="1">IF(AND(ISNUMBER($AI$514),$B$294=1),$AI$514,HLOOKUP(INDIRECT(ADDRESS(2,COLUMN())),OFFSET($BN$2,0,0,ROW()-1,60),ROW()-1,FALSE))</f>
        <v>2.1594000699999998</v>
      </c>
      <c r="AJ211">
        <f ca="1">IF(AND(ISNUMBER($AJ$514),$B$294=1),$AJ$514,HLOOKUP(INDIRECT(ADDRESS(2,COLUMN())),OFFSET($BN$2,0,0,ROW()-1,60),ROW()-1,FALSE))</f>
        <v>3.3627399489999998</v>
      </c>
      <c r="AK211">
        <f ca="1">IF(AND(ISNUMBER($AK$514),$B$294=1),$AK$514,HLOOKUP(INDIRECT(ADDRESS(2,COLUMN())),OFFSET($BN$2,0,0,ROW()-1,60),ROW()-1,FALSE))</f>
        <v>2.2184680069999998</v>
      </c>
      <c r="AL211">
        <f ca="1">IF(AND(ISNUMBER($AL$514),$B$294=1),$AL$514,HLOOKUP(INDIRECT(ADDRESS(2,COLUMN())),OFFSET($BN$2,0,0,ROW()-1,60),ROW()-1,FALSE))</f>
        <v>2.1646017400000002</v>
      </c>
      <c r="AM211">
        <f ca="1">IF(AND(ISNUMBER($AM$514),$B$294=1),$AM$514,HLOOKUP(INDIRECT(ADDRESS(2,COLUMN())),OFFSET($BN$2,0,0,ROW()-1,60),ROW()-1,FALSE))</f>
        <v>1.8561635299999999</v>
      </c>
      <c r="AN211">
        <f ca="1">IF(AND(ISNUMBER($AN$514),$B$294=1),$AN$514,HLOOKUP(INDIRECT(ADDRESS(2,COLUMN())),OFFSET($BN$2,0,0,ROW()-1,60),ROW()-1,FALSE))</f>
        <v>1.725564404</v>
      </c>
      <c r="AO211">
        <f ca="1">IF(AND(ISNUMBER($AO$514),$B$294=1),$AO$514,HLOOKUP(INDIRECT(ADDRESS(2,COLUMN())),OFFSET($BN$2,0,0,ROW()-1,60),ROW()-1,FALSE))</f>
        <v>1.5956646459999999</v>
      </c>
      <c r="AP211">
        <f ca="1">IF(AND(ISNUMBER($AP$514),$B$294=1),$AP$514,HLOOKUP(INDIRECT(ADDRESS(2,COLUMN())),OFFSET($BN$2,0,0,ROW()-1,60),ROW()-1,FALSE))</f>
        <v>1.384907135</v>
      </c>
      <c r="AQ211">
        <f ca="1">IF(AND(ISNUMBER($AQ$514),$B$294=1),$AQ$514,HLOOKUP(INDIRECT(ADDRESS(2,COLUMN())),OFFSET($BN$2,0,0,ROW()-1,60),ROW()-1,FALSE))</f>
        <v>0.52212560399999997</v>
      </c>
      <c r="AR211">
        <f ca="1">IF(AND(ISNUMBER($AR$514),$B$294=1),$AR$514,HLOOKUP(INDIRECT(ADDRESS(2,COLUMN())),OFFSET($BN$2,0,0,ROW()-1,60),ROW()-1,FALSE))</f>
        <v>1.9371697729999999</v>
      </c>
      <c r="AS211">
        <f ca="1">IF(AND(ISNUMBER($AS$514),$B$294=1),$AS$514,HLOOKUP(INDIRECT(ADDRESS(2,COLUMN())),OFFSET($BN$2,0,0,ROW()-1,60),ROW()-1,FALSE))</f>
        <v>2.2354741690000002</v>
      </c>
      <c r="AT211">
        <f ca="1">IF(AND(ISNUMBER($AT$514),$B$294=1),$AT$514,HLOOKUP(INDIRECT(ADDRESS(2,COLUMN())),OFFSET($BN$2,0,0,ROW()-1,60),ROW()-1,FALSE))</f>
        <v>1.784379103</v>
      </c>
      <c r="AU211">
        <f ca="1">IF(AND(ISNUMBER($AU$514),$B$294=1),$AU$514,HLOOKUP(INDIRECT(ADDRESS(2,COLUMN())),OFFSET($BN$2,0,0,ROW()-1,60),ROW()-1,FALSE))</f>
        <v>1.94386014</v>
      </c>
      <c r="AV211">
        <f ca="1">IF(AND(ISNUMBER($AV$514),$B$294=1),$AV$514,HLOOKUP(INDIRECT(ADDRESS(2,COLUMN())),OFFSET($BN$2,0,0,ROW()-1,60),ROW()-1,FALSE))</f>
        <v>1.9352227319999999</v>
      </c>
      <c r="AW211">
        <f ca="1">IF(AND(ISNUMBER($AW$514),$B$294=1),$AW$514,HLOOKUP(INDIRECT(ADDRESS(2,COLUMN())),OFFSET($BN$2,0,0,ROW()-1,60),ROW()-1,FALSE))</f>
        <v>2.0028815230000001</v>
      </c>
      <c r="AX211">
        <f ca="1">IF(AND(ISNUMBER($AX$514),$B$294=1),$AX$514,HLOOKUP(INDIRECT(ADDRESS(2,COLUMN())),OFFSET($BN$2,0,0,ROW()-1,60),ROW()-1,FALSE))</f>
        <v>2.8621165340000001</v>
      </c>
      <c r="AY211">
        <f ca="1">IF(AND(ISNUMBER($AY$514),$B$294=1),$AY$514,HLOOKUP(INDIRECT(ADDRESS(2,COLUMN())),OFFSET($BN$2,0,0,ROW()-1,60),ROW()-1,FALSE))</f>
        <v>2.7039690900000002</v>
      </c>
      <c r="AZ211">
        <f ca="1">IF(AND(ISNUMBER($AZ$514),$B$294=1),$AZ$514,HLOOKUP(INDIRECT(ADDRESS(2,COLUMN())),OFFSET($BN$2,0,0,ROW()-1,60),ROW()-1,FALSE))</f>
        <v>2.6294544559999999</v>
      </c>
      <c r="BA211">
        <f ca="1">IF(AND(ISNUMBER($BA$514),$B$294=1),$BA$514,HLOOKUP(INDIRECT(ADDRESS(2,COLUMN())),OFFSET($BN$2,0,0,ROW()-1,60),ROW()-1,FALSE))</f>
        <v>2.6270531400000001</v>
      </c>
      <c r="BB211">
        <f ca="1">IF(AND(ISNUMBER($BB$514),$B$294=1),$BB$514,HLOOKUP(INDIRECT(ADDRESS(2,COLUMN())),OFFSET($BN$2,0,0,ROW()-1,60),ROW()-1,FALSE))</f>
        <v>2.9719307879999999</v>
      </c>
      <c r="BC211">
        <f ca="1">IF(AND(ISNUMBER($BC$514),$B$294=1),$BC$514,HLOOKUP(INDIRECT(ADDRESS(2,COLUMN())),OFFSET($BN$2,0,0,ROW()-1,60),ROW()-1,FALSE))</f>
        <v>2.4661485650000001</v>
      </c>
      <c r="BD211">
        <f ca="1">IF(AND(ISNUMBER($BD$514),$B$294=1),$BD$514,HLOOKUP(INDIRECT(ADDRESS(2,COLUMN())),OFFSET($BN$2,0,0,ROW()-1,60),ROW()-1,FALSE))</f>
        <v>2.5977211019999999</v>
      </c>
      <c r="BE211">
        <f ca="1">IF(AND(ISNUMBER($BE$514),$B$294=1),$BE$514,HLOOKUP(INDIRECT(ADDRESS(2,COLUMN())),OFFSET($BN$2,0,0,ROW()-1,60),ROW()-1,FALSE))</f>
        <v>2.3676052190000001</v>
      </c>
      <c r="BF211">
        <f ca="1">IF(AND(ISNUMBER($BF$514),$B$294=1),$BF$514,HLOOKUP(INDIRECT(ADDRESS(2,COLUMN())),OFFSET($BN$2,0,0,ROW()-1,60),ROW()-1,FALSE))</f>
        <v>2.7707788959999999</v>
      </c>
      <c r="BG211">
        <f ca="1">IF(AND(ISNUMBER($BG$514),$B$294=1),$BG$514,HLOOKUP(INDIRECT(ADDRESS(2,COLUMN())),OFFSET($BN$2,0,0,ROW()-1,60),ROW()-1,FALSE))</f>
        <v>2.2458729079999999</v>
      </c>
      <c r="BH211">
        <f ca="1">IF(AND(ISNUMBER($BH$514),$B$294=1),$BH$514,HLOOKUP(INDIRECT(ADDRESS(2,COLUMN())),OFFSET($BN$2,0,0,ROW()-1,60),ROW()-1,FALSE))</f>
        <v>2.536476924</v>
      </c>
      <c r="BI211">
        <f ca="1">IF(AND(ISNUMBER($BI$514),$B$294=1),$BI$514,HLOOKUP(INDIRECT(ADDRESS(2,COLUMN())),OFFSET($BN$2,0,0,ROW()-1,60),ROW()-1,FALSE))</f>
        <v>3.231924818</v>
      </c>
      <c r="BJ211">
        <f ca="1">IF(AND(ISNUMBER($BJ$514),$B$294=1),$BJ$514,HLOOKUP(INDIRECT(ADDRESS(2,COLUMN())),OFFSET($BN$2,0,0,ROW()-1,60),ROW()-1,FALSE))</f>
        <v>2.840525961</v>
      </c>
      <c r="BK211">
        <f ca="1">IF(AND(ISNUMBER($BK$514),$B$294=1),$BK$514,HLOOKUP(INDIRECT(ADDRESS(2,COLUMN())),OFFSET($BN$2,0,0,ROW()-1,60),ROW()-1,FALSE))</f>
        <v>3.137585815</v>
      </c>
      <c r="BL211">
        <f ca="1">IF(AND(ISNUMBER($BL$514),$B$294=1),$BL$514,HLOOKUP(INDIRECT(ADDRESS(2,COLUMN())),OFFSET($BN$2,0,0,ROW()-1,60),ROW()-1,FALSE))</f>
        <v>3.3651588399999999</v>
      </c>
      <c r="BM211">
        <f ca="1">IF(AND(ISNUMBER($BM$514),$B$294=1),$BM$514,HLOOKUP(INDIRECT(ADDRESS(2,COLUMN())),OFFSET($BN$2,0,0,ROW()-1,60),ROW()-1,FALSE))</f>
        <v>3.312251598</v>
      </c>
      <c r="BN211" t="str">
        <f>""</f>
        <v/>
      </c>
      <c r="BO211">
        <f>3.083933773</f>
        <v>3.083933773</v>
      </c>
      <c r="BP211">
        <f>2.958918469</f>
        <v>2.9589184689999999</v>
      </c>
      <c r="BQ211">
        <f>3.473157802</f>
        <v>3.4731578019999998</v>
      </c>
      <c r="BR211">
        <f>3.040279613</f>
        <v>3.040279613</v>
      </c>
      <c r="BS211">
        <f>2.944756487</f>
        <v>2.9447564869999998</v>
      </c>
      <c r="BT211">
        <f>3.121594727</f>
        <v>3.1215947270000002</v>
      </c>
      <c r="BU211">
        <f>4.690049937</f>
        <v>4.6900499370000004</v>
      </c>
      <c r="BV211">
        <f>2.812395228</f>
        <v>2.8123952280000002</v>
      </c>
      <c r="BW211">
        <f>2.764272368</f>
        <v>2.7642723679999999</v>
      </c>
      <c r="BX211">
        <f>2.869771415</f>
        <v>2.8697714150000002</v>
      </c>
      <c r="BY211">
        <f>3.112352812</f>
        <v>3.1123528120000001</v>
      </c>
      <c r="BZ211">
        <f>2.858727039</f>
        <v>2.8587270390000001</v>
      </c>
      <c r="CA211">
        <f>2.638365139</f>
        <v>2.6383651389999998</v>
      </c>
      <c r="CB211">
        <f>2.660153838</f>
        <v>2.6601538379999998</v>
      </c>
      <c r="CC211">
        <f>2.799185791</f>
        <v>2.7991857910000002</v>
      </c>
      <c r="CD211">
        <f>2.675355421</f>
        <v>2.6753554209999999</v>
      </c>
      <c r="CE211">
        <f>2.44913663</f>
        <v>2.4491366299999999</v>
      </c>
      <c r="CF211">
        <f>2.347529357</f>
        <v>2.347529357</v>
      </c>
      <c r="CG211">
        <f>2.491525424</f>
        <v>2.4915254240000002</v>
      </c>
      <c r="CH211">
        <f>2.490778761</f>
        <v>2.4907787610000001</v>
      </c>
      <c r="CI211">
        <f>2.210703643</f>
        <v>2.210703643</v>
      </c>
      <c r="CJ211">
        <f>2.181482385</f>
        <v>2.1814823849999998</v>
      </c>
      <c r="CK211">
        <f>2.314985066</f>
        <v>2.3149850660000002</v>
      </c>
      <c r="CL211">
        <f>2.238147569</f>
        <v>2.2381475690000001</v>
      </c>
      <c r="CM211">
        <f>2.135851541</f>
        <v>2.1358515410000001</v>
      </c>
      <c r="CN211">
        <f>2.164327418</f>
        <v>2.1643274180000001</v>
      </c>
      <c r="CO211">
        <f>2.292053008</f>
        <v>2.2920530079999999</v>
      </c>
      <c r="CP211">
        <f>2.983119325</f>
        <v>2.9831193250000001</v>
      </c>
      <c r="CQ211">
        <f>2.15940007</f>
        <v>2.1594000699999998</v>
      </c>
      <c r="CR211">
        <f>3.362739949</f>
        <v>3.3627399489999998</v>
      </c>
      <c r="CS211">
        <f>2.218468007</f>
        <v>2.2184680069999998</v>
      </c>
      <c r="CT211">
        <f>2.16460174</f>
        <v>2.1646017400000002</v>
      </c>
      <c r="CU211">
        <f>1.85616353</f>
        <v>1.8561635299999999</v>
      </c>
      <c r="CV211">
        <f>1.725564404</f>
        <v>1.725564404</v>
      </c>
      <c r="CW211">
        <f>1.595664646</f>
        <v>1.5956646459999999</v>
      </c>
      <c r="CX211">
        <f>1.384907135</f>
        <v>1.384907135</v>
      </c>
      <c r="CY211">
        <f>0.522125604</f>
        <v>0.52212560399999997</v>
      </c>
      <c r="CZ211">
        <f>1.937169773</f>
        <v>1.9371697729999999</v>
      </c>
      <c r="DA211">
        <f>2.235474169</f>
        <v>2.2354741690000002</v>
      </c>
      <c r="DB211">
        <f>1.784379103</f>
        <v>1.784379103</v>
      </c>
      <c r="DC211">
        <f>1.94386014</f>
        <v>1.94386014</v>
      </c>
      <c r="DD211">
        <f>1.935222732</f>
        <v>1.9352227319999999</v>
      </c>
      <c r="DE211">
        <f>2.002881523</f>
        <v>2.0028815230000001</v>
      </c>
      <c r="DF211">
        <f>2.862116534</f>
        <v>2.8621165340000001</v>
      </c>
      <c r="DG211">
        <f>2.70396909</f>
        <v>2.7039690900000002</v>
      </c>
      <c r="DH211">
        <f>2.629454456</f>
        <v>2.6294544559999999</v>
      </c>
      <c r="DI211">
        <f>2.62705314</f>
        <v>2.6270531400000001</v>
      </c>
      <c r="DJ211">
        <f>2.971930788</f>
        <v>2.9719307879999999</v>
      </c>
      <c r="DK211">
        <f>2.466148565</f>
        <v>2.4661485650000001</v>
      </c>
      <c r="DL211">
        <f>2.597721102</f>
        <v>2.5977211019999999</v>
      </c>
      <c r="DM211">
        <f>2.367605219</f>
        <v>2.3676052190000001</v>
      </c>
      <c r="DN211">
        <f>2.770778896</f>
        <v>2.7707788959999999</v>
      </c>
      <c r="DO211">
        <f>2.245872908</f>
        <v>2.2458729079999999</v>
      </c>
      <c r="DP211">
        <f>2.536476924</f>
        <v>2.536476924</v>
      </c>
      <c r="DQ211">
        <f>3.231924818</f>
        <v>3.231924818</v>
      </c>
      <c r="DR211">
        <f>2.840525961</f>
        <v>2.840525961</v>
      </c>
      <c r="DS211">
        <f>3.137585815</f>
        <v>3.137585815</v>
      </c>
      <c r="DT211">
        <f>3.36515884</f>
        <v>3.3651588399999999</v>
      </c>
      <c r="DU211">
        <f>3.312251598</f>
        <v>3.312251598</v>
      </c>
    </row>
    <row r="212" spans="1:125">
      <c r="A212" t="str">
        <f>"    Vornado Realty Trust"</f>
        <v xml:space="preserve">    Vornado Realty Trust</v>
      </c>
      <c r="B212" t="str">
        <f>"VNO US Equity"</f>
        <v>VNO US Equity</v>
      </c>
      <c r="C212" t="str">
        <f t="shared" si="54"/>
        <v>RX951</v>
      </c>
      <c r="D212" t="str">
        <f t="shared" si="55"/>
        <v>EBITDA_TO_INTEREST_EXPN</v>
      </c>
      <c r="E212" t="str">
        <f t="shared" si="56"/>
        <v>动态</v>
      </c>
      <c r="F212" t="str">
        <f ca="1">IF(AND(ISNUMBER($F$515),$B$294=1),$F$515,HLOOKUP(INDIRECT(ADDRESS(2,COLUMN())),OFFSET($BN$2,0,0,ROW()-1,60),ROW()-1,FALSE))</f>
        <v/>
      </c>
      <c r="G212">
        <f ca="1">IF(AND(ISNUMBER($G$515),$B$294=1),$G$515,HLOOKUP(INDIRECT(ADDRESS(2,COLUMN())),OFFSET($BN$2,0,0,ROW()-1,60),ROW()-1,FALSE))</f>
        <v>2.9057943759999998</v>
      </c>
      <c r="H212">
        <f ca="1">IF(AND(ISNUMBER($H$515),$B$294=1),$H$515,HLOOKUP(INDIRECT(ADDRESS(2,COLUMN())),OFFSET($BN$2,0,0,ROW()-1,60),ROW()-1,FALSE))</f>
        <v>3.1600719420000001</v>
      </c>
      <c r="I212">
        <f ca="1">IF(AND(ISNUMBER($I$515),$B$294=1),$I$515,HLOOKUP(INDIRECT(ADDRESS(2,COLUMN())),OFFSET($BN$2,0,0,ROW()-1,60),ROW()-1,FALSE))</f>
        <v>3.2488196949999999</v>
      </c>
      <c r="J212">
        <f ca="1">IF(AND(ISNUMBER($J$515),$B$294=1),$J$515,HLOOKUP(INDIRECT(ADDRESS(2,COLUMN())),OFFSET($BN$2,0,0,ROW()-1,60),ROW()-1,FALSE))</f>
        <v>3.0852627670000001</v>
      </c>
      <c r="K212">
        <f ca="1">IF(AND(ISNUMBER($K$515),$B$294=1),$K$515,HLOOKUP(INDIRECT(ADDRESS(2,COLUMN())),OFFSET($BN$2,0,0,ROW()-1,60),ROW()-1,FALSE))</f>
        <v>3.1839908800000001</v>
      </c>
      <c r="L212">
        <f ca="1">IF(AND(ISNUMBER($L$515),$B$294=1),$L$515,HLOOKUP(INDIRECT(ADDRESS(2,COLUMN())),OFFSET($BN$2,0,0,ROW()-1,60),ROW()-1,FALSE))</f>
        <v>3.2916891170000002</v>
      </c>
      <c r="M212">
        <f ca="1">IF(AND(ISNUMBER($M$515),$B$294=1),$M$515,HLOOKUP(INDIRECT(ADDRESS(2,COLUMN())),OFFSET($BN$2,0,0,ROW()-1,60),ROW()-1,FALSE))</f>
        <v>3.063224596</v>
      </c>
      <c r="N212">
        <f ca="1">IF(AND(ISNUMBER($N$515),$B$294=1),$N$515,HLOOKUP(INDIRECT(ADDRESS(2,COLUMN())),OFFSET($BN$2,0,0,ROW()-1,60),ROW()-1,FALSE))</f>
        <v>1.3221447120000001</v>
      </c>
      <c r="O212">
        <f ca="1">IF(AND(ISNUMBER($O$515),$B$294=1),$O$515,HLOOKUP(INDIRECT(ADDRESS(2,COLUMN())),OFFSET($BN$2,0,0,ROW()-1,60),ROW()-1,FALSE))</f>
        <v>3.2379416669999999</v>
      </c>
      <c r="P212">
        <f ca="1">IF(AND(ISNUMBER($P$515),$B$294=1),$P$515,HLOOKUP(INDIRECT(ADDRESS(2,COLUMN())),OFFSET($BN$2,0,0,ROW()-1,60),ROW()-1,FALSE))</f>
        <v>3.3479400909999999</v>
      </c>
      <c r="Q212">
        <f ca="1">IF(AND(ISNUMBER($Q$515),$B$294=1),$Q$515,HLOOKUP(INDIRECT(ADDRESS(2,COLUMN())),OFFSET($BN$2,0,0,ROW()-1,60),ROW()-1,FALSE))</f>
        <v>3.4947986800000002</v>
      </c>
      <c r="R212">
        <f ca="1">IF(AND(ISNUMBER($R$515),$B$294=1),$R$515,HLOOKUP(INDIRECT(ADDRESS(2,COLUMN())),OFFSET($BN$2,0,0,ROW()-1,60),ROW()-1,FALSE))</f>
        <v>3.120535812</v>
      </c>
      <c r="S212">
        <f ca="1">IF(AND(ISNUMBER($S$515),$B$294=1),$S$515,HLOOKUP(INDIRECT(ADDRESS(2,COLUMN())),OFFSET($BN$2,0,0,ROW()-1,60),ROW()-1,FALSE))</f>
        <v>2.8516913879999999</v>
      </c>
      <c r="T212">
        <f ca="1">IF(AND(ISNUMBER($T$515),$B$294=1),$T$515,HLOOKUP(INDIRECT(ADDRESS(2,COLUMN())),OFFSET($BN$2,0,0,ROW()-1,60),ROW()-1,FALSE))</f>
        <v>3.0537706930000001</v>
      </c>
      <c r="U212">
        <f ca="1">IF(AND(ISNUMBER($U$515),$B$294=1),$U$515,HLOOKUP(INDIRECT(ADDRESS(2,COLUMN())),OFFSET($BN$2,0,0,ROW()-1,60),ROW()-1,FALSE))</f>
        <v>2.8962882410000002</v>
      </c>
      <c r="V212">
        <f ca="1">IF(AND(ISNUMBER($V$515),$B$294=1),$V$515,HLOOKUP(INDIRECT(ADDRESS(2,COLUMN())),OFFSET($BN$2,0,0,ROW()-1,60),ROW()-1,FALSE))</f>
        <v>3.1056358500000001</v>
      </c>
      <c r="W212">
        <f ca="1">IF(AND(ISNUMBER($W$515),$B$294=1),$W$515,HLOOKUP(INDIRECT(ADDRESS(2,COLUMN())),OFFSET($BN$2,0,0,ROW()-1,60),ROW()-1,FALSE))</f>
        <v>2.5216248700000001</v>
      </c>
      <c r="X212">
        <f ca="1">IF(AND(ISNUMBER($X$515),$B$294=1),$X$515,HLOOKUP(INDIRECT(ADDRESS(2,COLUMN())),OFFSET($BN$2,0,0,ROW()-1,60),ROW()-1,FALSE))</f>
        <v>2.9465139210000002</v>
      </c>
      <c r="Y212">
        <f ca="1">IF(AND(ISNUMBER($Y$515),$B$294=1),$Y$515,HLOOKUP(INDIRECT(ADDRESS(2,COLUMN())),OFFSET($BN$2,0,0,ROW()-1,60),ROW()-1,FALSE))</f>
        <v>2.671009556</v>
      </c>
      <c r="Z212">
        <f ca="1">IF(AND(ISNUMBER($Z$515),$B$294=1),$Z$515,HLOOKUP(INDIRECT(ADDRESS(2,COLUMN())),OFFSET($BN$2,0,0,ROW()-1,60),ROW()-1,FALSE))</f>
        <v>3.3172020670000002</v>
      </c>
      <c r="AA212">
        <f ca="1">IF(AND(ISNUMBER($AA$515),$B$294=1),$AA$515,HLOOKUP(INDIRECT(ADDRESS(2,COLUMN())),OFFSET($BN$2,0,0,ROW()-1,60),ROW()-1,FALSE))</f>
        <v>1.6961726239999999</v>
      </c>
      <c r="AB212">
        <f ca="1">IF(AND(ISNUMBER($AB$515),$B$294=1),$AB$515,HLOOKUP(INDIRECT(ADDRESS(2,COLUMN())),OFFSET($BN$2,0,0,ROW()-1,60),ROW()-1,FALSE))</f>
        <v>2.67741557</v>
      </c>
      <c r="AC212">
        <f ca="1">IF(AND(ISNUMBER($AC$515),$B$294=1),$AC$515,HLOOKUP(INDIRECT(ADDRESS(2,COLUMN())),OFFSET($BN$2,0,0,ROW()-1,60),ROW()-1,FALSE))</f>
        <v>2.6582126769999999</v>
      </c>
      <c r="AD212">
        <f ca="1">IF(AND(ISNUMBER($AD$515),$B$294=1),$AD$515,HLOOKUP(INDIRECT(ADDRESS(2,COLUMN())),OFFSET($BN$2,0,0,ROW()-1,60),ROW()-1,FALSE))</f>
        <v>2.4120514540000002</v>
      </c>
      <c r="AE212">
        <f ca="1">IF(AND(ISNUMBER($AE$515),$B$294=1),$AE$515,HLOOKUP(INDIRECT(ADDRESS(2,COLUMN())),OFFSET($BN$2,0,0,ROW()-1,60),ROW()-1,FALSE))</f>
        <v>2.691396305</v>
      </c>
      <c r="AF212">
        <f ca="1">IF(AND(ISNUMBER($AF$515),$B$294=1),$AF$515,HLOOKUP(INDIRECT(ADDRESS(2,COLUMN())),OFFSET($BN$2,0,0,ROW()-1,60),ROW()-1,FALSE))</f>
        <v>2.5832815650000001</v>
      </c>
      <c r="AG212">
        <f ca="1">IF(AND(ISNUMBER($AG$515),$B$294=1),$AG$515,HLOOKUP(INDIRECT(ADDRESS(2,COLUMN())),OFFSET($BN$2,0,0,ROW()-1,60),ROW()-1,FALSE))</f>
        <v>2.5981191039999998</v>
      </c>
      <c r="AH212">
        <f ca="1">IF(AND(ISNUMBER($AH$515),$B$294=1),$AH$515,HLOOKUP(INDIRECT(ADDRESS(2,COLUMN())),OFFSET($BN$2,0,0,ROW()-1,60),ROW()-1,FALSE))</f>
        <v>2.3395590529999999</v>
      </c>
      <c r="AI212">
        <f ca="1">IF(AND(ISNUMBER($AI$515),$B$294=1),$AI$515,HLOOKUP(INDIRECT(ADDRESS(2,COLUMN())),OFFSET($BN$2,0,0,ROW()-1,60),ROW()-1,FALSE))</f>
        <v>1.5456515529999999</v>
      </c>
      <c r="AJ212">
        <f ca="1">IF(AND(ISNUMBER($AJ$515),$B$294=1),$AJ$515,HLOOKUP(INDIRECT(ADDRESS(2,COLUMN())),OFFSET($BN$2,0,0,ROW()-1,60),ROW()-1,FALSE))</f>
        <v>2.3905647800000001</v>
      </c>
      <c r="AK212">
        <f ca="1">IF(AND(ISNUMBER($AK$515),$B$294=1),$AK$515,HLOOKUP(INDIRECT(ADDRESS(2,COLUMN())),OFFSET($BN$2,0,0,ROW()-1,60),ROW()-1,FALSE))</f>
        <v>2.538442061</v>
      </c>
      <c r="AL212">
        <f ca="1">IF(AND(ISNUMBER($AL$515),$B$294=1),$AL$515,HLOOKUP(INDIRECT(ADDRESS(2,COLUMN())),OFFSET($BN$2,0,0,ROW()-1,60),ROW()-1,FALSE))</f>
        <v>2.5974271880000002</v>
      </c>
      <c r="AM212">
        <f ca="1">IF(AND(ISNUMBER($AM$515),$B$294=1),$AM$515,HLOOKUP(INDIRECT(ADDRESS(2,COLUMN())),OFFSET($BN$2,0,0,ROW()-1,60),ROW()-1,FALSE))</f>
        <v>1.948669692</v>
      </c>
      <c r="AN212">
        <f ca="1">IF(AND(ISNUMBER($AN$515),$B$294=1),$AN$515,HLOOKUP(INDIRECT(ADDRESS(2,COLUMN())),OFFSET($BN$2,0,0,ROW()-1,60),ROW()-1,FALSE))</f>
        <v>2.1506463130000002</v>
      </c>
      <c r="AO212">
        <f ca="1">IF(AND(ISNUMBER($AO$515),$B$294=1),$AO$515,HLOOKUP(INDIRECT(ADDRESS(2,COLUMN())),OFFSET($BN$2,0,0,ROW()-1,60),ROW()-1,FALSE))</f>
        <v>2.1364427930000001</v>
      </c>
      <c r="AP212">
        <f ca="1">IF(AND(ISNUMBER($AP$515),$B$294=1),$AP$515,HLOOKUP(INDIRECT(ADDRESS(2,COLUMN())),OFFSET($BN$2,0,0,ROW()-1,60),ROW()-1,FALSE))</f>
        <v>1.9469003549999999</v>
      </c>
      <c r="AQ212">
        <f ca="1">IF(AND(ISNUMBER($AQ$515),$B$294=1),$AQ$515,HLOOKUP(INDIRECT(ADDRESS(2,COLUMN())),OFFSET($BN$2,0,0,ROW()-1,60),ROW()-1,FALSE))</f>
        <v>2.1911762879999999</v>
      </c>
      <c r="AR212">
        <f ca="1">IF(AND(ISNUMBER($AR$515),$B$294=1),$AR$515,HLOOKUP(INDIRECT(ADDRESS(2,COLUMN())),OFFSET($BN$2,0,0,ROW()-1,60),ROW()-1,FALSE))</f>
        <v>2.0949532500000001</v>
      </c>
      <c r="AS212">
        <f ca="1">IF(AND(ISNUMBER($AS$515),$B$294=1),$AS$515,HLOOKUP(INDIRECT(ADDRESS(2,COLUMN())),OFFSET($BN$2,0,0,ROW()-1,60),ROW()-1,FALSE))</f>
        <v>2.1589832179999999</v>
      </c>
      <c r="AT212">
        <f ca="1">IF(AND(ISNUMBER($AT$515),$B$294=1),$AT$515,HLOOKUP(INDIRECT(ADDRESS(2,COLUMN())),OFFSET($BN$2,0,0,ROW()-1,60),ROW()-1,FALSE))</f>
        <v>2.1557885639999999</v>
      </c>
      <c r="AU212">
        <f ca="1">IF(AND(ISNUMBER($AU$515),$B$294=1),$AU$515,HLOOKUP(INDIRECT(ADDRESS(2,COLUMN())),OFFSET($BN$2,0,0,ROW()-1,60),ROW()-1,FALSE))</f>
        <v>2.4090991640000001</v>
      </c>
      <c r="AV212">
        <f ca="1">IF(AND(ISNUMBER($AV$515),$B$294=1),$AV$515,HLOOKUP(INDIRECT(ADDRESS(2,COLUMN())),OFFSET($BN$2,0,0,ROW()-1,60),ROW()-1,FALSE))</f>
        <v>2.2042652380000001</v>
      </c>
      <c r="AW212">
        <f ca="1">IF(AND(ISNUMBER($AW$515),$B$294=1),$AW$515,HLOOKUP(INDIRECT(ADDRESS(2,COLUMN())),OFFSET($BN$2,0,0,ROW()-1,60),ROW()-1,FALSE))</f>
        <v>2.219904058</v>
      </c>
      <c r="AX212">
        <f ca="1">IF(AND(ISNUMBER($AX$515),$B$294=1),$AX$515,HLOOKUP(INDIRECT(ADDRESS(2,COLUMN())),OFFSET($BN$2,0,0,ROW()-1,60),ROW()-1,FALSE))</f>
        <v>2.1741801710000002</v>
      </c>
      <c r="AY212">
        <f ca="1">IF(AND(ISNUMBER($AY$515),$B$294=1),$AY$515,HLOOKUP(INDIRECT(ADDRESS(2,COLUMN())),OFFSET($BN$2,0,0,ROW()-1,60),ROW()-1,FALSE))</f>
        <v>2.0532753760000002</v>
      </c>
      <c r="AZ212">
        <f ca="1">IF(AND(ISNUMBER($AZ$515),$B$294=1),$AZ$515,HLOOKUP(INDIRECT(ADDRESS(2,COLUMN())),OFFSET($BN$2,0,0,ROW()-1,60),ROW()-1,FALSE))</f>
        <v>2.3499306039999999</v>
      </c>
      <c r="BA212">
        <f ca="1">IF(AND(ISNUMBER($BA$515),$B$294=1),$BA$515,HLOOKUP(INDIRECT(ADDRESS(2,COLUMN())),OFFSET($BN$2,0,0,ROW()-1,60),ROW()-1,FALSE))</f>
        <v>2.435376008</v>
      </c>
      <c r="BB212">
        <f ca="1">IF(AND(ISNUMBER($BB$515),$B$294=1),$BB$515,HLOOKUP(INDIRECT(ADDRESS(2,COLUMN())),OFFSET($BN$2,0,0,ROW()-1,60),ROW()-1,FALSE))</f>
        <v>2.8019038639999998</v>
      </c>
      <c r="BC212">
        <f ca="1">IF(AND(ISNUMBER($BC$515),$B$294=1),$BC$515,HLOOKUP(INDIRECT(ADDRESS(2,COLUMN())),OFFSET($BN$2,0,0,ROW()-1,60),ROW()-1,FALSE))</f>
        <v>3.4089665220000001</v>
      </c>
      <c r="BD212">
        <f ca="1">IF(AND(ISNUMBER($BD$515),$B$294=1),$BD$515,HLOOKUP(INDIRECT(ADDRESS(2,COLUMN())),OFFSET($BN$2,0,0,ROW()-1,60),ROW()-1,FALSE))</f>
        <v>2.4644213439999998</v>
      </c>
      <c r="BE212">
        <f ca="1">IF(AND(ISNUMBER($BE$515),$B$294=1),$BE$515,HLOOKUP(INDIRECT(ADDRESS(2,COLUMN())),OFFSET($BN$2,0,0,ROW()-1,60),ROW()-1,FALSE))</f>
        <v>3.1482604840000001</v>
      </c>
      <c r="BF212">
        <f ca="1">IF(AND(ISNUMBER($BF$515),$B$294=1),$BF$515,HLOOKUP(INDIRECT(ADDRESS(2,COLUMN())),OFFSET($BN$2,0,0,ROW()-1,60),ROW()-1,FALSE))</f>
        <v>3.357868184</v>
      </c>
      <c r="BG212">
        <f ca="1">IF(AND(ISNUMBER($BG$515),$B$294=1),$BG$515,HLOOKUP(INDIRECT(ADDRESS(2,COLUMN())),OFFSET($BN$2,0,0,ROW()-1,60),ROW()-1,FALSE))</f>
        <v>5.796836817</v>
      </c>
      <c r="BH212">
        <f ca="1">IF(AND(ISNUMBER($BH$515),$B$294=1),$BH$515,HLOOKUP(INDIRECT(ADDRESS(2,COLUMN())),OFFSET($BN$2,0,0,ROW()-1,60),ROW()-1,FALSE))</f>
        <v>3.827842425</v>
      </c>
      <c r="BI212">
        <f ca="1">IF(AND(ISNUMBER($BI$515),$B$294=1),$BI$515,HLOOKUP(INDIRECT(ADDRESS(2,COLUMN())),OFFSET($BN$2,0,0,ROW()-1,60),ROW()-1,FALSE))</f>
        <v>4.16286076</v>
      </c>
      <c r="BJ212">
        <f ca="1">IF(AND(ISNUMBER($BJ$515),$B$294=1),$BJ$515,HLOOKUP(INDIRECT(ADDRESS(2,COLUMN())),OFFSET($BN$2,0,0,ROW()-1,60),ROW()-1,FALSE))</f>
        <v>3.7293075130000002</v>
      </c>
      <c r="BK212">
        <f ca="1">IF(AND(ISNUMBER($BK$515),$B$294=1),$BK$515,HLOOKUP(INDIRECT(ADDRESS(2,COLUMN())),OFFSET($BN$2,0,0,ROW()-1,60),ROW()-1,FALSE))</f>
        <v>3.6555185379999999</v>
      </c>
      <c r="BL212">
        <f ca="1">IF(AND(ISNUMBER($BL$515),$B$294=1),$BL$515,HLOOKUP(INDIRECT(ADDRESS(2,COLUMN())),OFFSET($BN$2,0,0,ROW()-1,60),ROW()-1,FALSE))</f>
        <v>3.6084854480000002</v>
      </c>
      <c r="BM212">
        <f ca="1">IF(AND(ISNUMBER($BM$515),$B$294=1),$BM$515,HLOOKUP(INDIRECT(ADDRESS(2,COLUMN())),OFFSET($BN$2,0,0,ROW()-1,60),ROW()-1,FALSE))</f>
        <v>3.6038134080000002</v>
      </c>
      <c r="BN212" t="str">
        <f>""</f>
        <v/>
      </c>
      <c r="BO212">
        <f>2.905794376</f>
        <v>2.9057943759999998</v>
      </c>
      <c r="BP212">
        <f>3.160071942</f>
        <v>3.1600719420000001</v>
      </c>
      <c r="BQ212">
        <f>3.248819695</f>
        <v>3.2488196949999999</v>
      </c>
      <c r="BR212">
        <f>3.085262767</f>
        <v>3.0852627670000001</v>
      </c>
      <c r="BS212">
        <f>3.18399088</f>
        <v>3.1839908800000001</v>
      </c>
      <c r="BT212">
        <f>3.291689117</f>
        <v>3.2916891170000002</v>
      </c>
      <c r="BU212">
        <f>3.063224596</f>
        <v>3.063224596</v>
      </c>
      <c r="BV212">
        <f>1.322144712</f>
        <v>1.3221447120000001</v>
      </c>
      <c r="BW212">
        <f>3.237941667</f>
        <v>3.2379416669999999</v>
      </c>
      <c r="BX212">
        <f>3.347940091</f>
        <v>3.3479400909999999</v>
      </c>
      <c r="BY212">
        <f>3.49479868</f>
        <v>3.4947986800000002</v>
      </c>
      <c r="BZ212">
        <f>3.120535812</f>
        <v>3.120535812</v>
      </c>
      <c r="CA212">
        <f>2.851691388</f>
        <v>2.8516913879999999</v>
      </c>
      <c r="CB212">
        <f>3.053770693</f>
        <v>3.0537706930000001</v>
      </c>
      <c r="CC212">
        <f>2.896288241</f>
        <v>2.8962882410000002</v>
      </c>
      <c r="CD212">
        <f>3.10563585</f>
        <v>3.1056358500000001</v>
      </c>
      <c r="CE212">
        <f>2.52162487</f>
        <v>2.5216248700000001</v>
      </c>
      <c r="CF212">
        <f>2.946513921</f>
        <v>2.9465139210000002</v>
      </c>
      <c r="CG212">
        <f>2.671009556</f>
        <v>2.671009556</v>
      </c>
      <c r="CH212">
        <f>3.317202067</f>
        <v>3.3172020670000002</v>
      </c>
      <c r="CI212">
        <f>1.696172624</f>
        <v>1.6961726239999999</v>
      </c>
      <c r="CJ212">
        <f>2.67741557</f>
        <v>2.67741557</v>
      </c>
      <c r="CK212">
        <f>2.658212677</f>
        <v>2.6582126769999999</v>
      </c>
      <c r="CL212">
        <f>2.412051454</f>
        <v>2.4120514540000002</v>
      </c>
      <c r="CM212">
        <f>2.691396305</f>
        <v>2.691396305</v>
      </c>
      <c r="CN212">
        <f>2.583281565</f>
        <v>2.5832815650000001</v>
      </c>
      <c r="CO212">
        <f>2.598119104</f>
        <v>2.5981191039999998</v>
      </c>
      <c r="CP212">
        <f>2.339559053</f>
        <v>2.3395590529999999</v>
      </c>
      <c r="CQ212">
        <f>1.545651553</f>
        <v>1.5456515529999999</v>
      </c>
      <c r="CR212">
        <f>2.39056478</f>
        <v>2.3905647800000001</v>
      </c>
      <c r="CS212">
        <f>2.538442061</f>
        <v>2.538442061</v>
      </c>
      <c r="CT212">
        <f>2.597427188</f>
        <v>2.5974271880000002</v>
      </c>
      <c r="CU212">
        <f>1.948669692</f>
        <v>1.948669692</v>
      </c>
      <c r="CV212">
        <f>2.150646313</f>
        <v>2.1506463130000002</v>
      </c>
      <c r="CW212">
        <f>2.136442793</f>
        <v>2.1364427930000001</v>
      </c>
      <c r="CX212">
        <f>1.946900355</f>
        <v>1.9469003549999999</v>
      </c>
      <c r="CY212">
        <f>2.191176288</f>
        <v>2.1911762879999999</v>
      </c>
      <c r="CZ212">
        <f>2.09495325</f>
        <v>2.0949532500000001</v>
      </c>
      <c r="DA212">
        <f>2.158983218</f>
        <v>2.1589832179999999</v>
      </c>
      <c r="DB212">
        <f>2.155788564</f>
        <v>2.1557885639999999</v>
      </c>
      <c r="DC212">
        <f>2.409099164</f>
        <v>2.4090991640000001</v>
      </c>
      <c r="DD212">
        <f>2.204265238</f>
        <v>2.2042652380000001</v>
      </c>
      <c r="DE212">
        <f>2.219904058</f>
        <v>2.219904058</v>
      </c>
      <c r="DF212">
        <f>2.174180171</f>
        <v>2.1741801710000002</v>
      </c>
      <c r="DG212">
        <f>2.053275376</f>
        <v>2.0532753760000002</v>
      </c>
      <c r="DH212">
        <f>2.349930604</f>
        <v>2.3499306039999999</v>
      </c>
      <c r="DI212">
        <f>2.435376008</f>
        <v>2.435376008</v>
      </c>
      <c r="DJ212">
        <f>2.801903864</f>
        <v>2.8019038639999998</v>
      </c>
      <c r="DK212">
        <f>3.408966522</f>
        <v>3.4089665220000001</v>
      </c>
      <c r="DL212">
        <f>2.464421344</f>
        <v>2.4644213439999998</v>
      </c>
      <c r="DM212">
        <f>3.148260484</f>
        <v>3.1482604840000001</v>
      </c>
      <c r="DN212">
        <f>3.357868184</f>
        <v>3.357868184</v>
      </c>
      <c r="DO212">
        <f>5.796836817</f>
        <v>5.796836817</v>
      </c>
      <c r="DP212">
        <f>3.827842425</f>
        <v>3.827842425</v>
      </c>
      <c r="DQ212">
        <f>4.16286076</f>
        <v>4.16286076</v>
      </c>
      <c r="DR212">
        <f>3.729307513</f>
        <v>3.7293075130000002</v>
      </c>
      <c r="DS212">
        <f>3.655518538</f>
        <v>3.6555185379999999</v>
      </c>
      <c r="DT212">
        <f>3.608485448</f>
        <v>3.6084854480000002</v>
      </c>
      <c r="DU212">
        <f>3.603813408</f>
        <v>3.6038134080000002</v>
      </c>
    </row>
    <row r="213" spans="1:125">
      <c r="A213" t="str">
        <f>"EBITDA/利息支出+资本化利息"</f>
        <v>EBITDA/利息支出+资本化利息</v>
      </c>
      <c r="B213" t="str">
        <f>""</f>
        <v/>
      </c>
      <c r="E213" t="str">
        <f>"Median"</f>
        <v>Median</v>
      </c>
      <c r="F213" t="str">
        <f ca="1">IF(ISERROR(IF(MEDIAN($F$214:$F$223) = 0, "", MEDIAN($F$214:$F$223))), "", (IF(MEDIAN($F$214:$F$223) = 0, "", MEDIAN($F$214:$F$223))))</f>
        <v/>
      </c>
      <c r="G213">
        <f ca="1">IF(ISERROR(IF(MEDIAN($G$214:$G$223) = 0, "", MEDIAN($G$214:$G$223))), "", (IF(MEDIAN($G$214:$G$223) = 0, "", MEDIAN($G$214:$G$223))))</f>
        <v>2.8763312194999999</v>
      </c>
      <c r="H213">
        <f ca="1">IF(ISERROR(IF(MEDIAN($H$214:$H$223) = 0, "", MEDIAN($H$214:$H$223))), "", (IF(MEDIAN($H$214:$H$223) = 0, "", MEDIAN($H$214:$H$223))))</f>
        <v>3.544225081</v>
      </c>
      <c r="I213">
        <f ca="1">IF(ISERROR(IF(MEDIAN($I$214:$I$223) = 0, "", MEDIAN($I$214:$I$223))), "", (IF(MEDIAN($I$214:$I$223) = 0, "", MEDIAN($I$214:$I$223))))</f>
        <v>3.3442503055000001</v>
      </c>
      <c r="J213">
        <f ca="1">IF(ISERROR(IF(MEDIAN($J$214:$J$223) = 0, "", MEDIAN($J$214:$J$223))), "", (IF(MEDIAN($J$214:$J$223) = 0, "", MEDIAN($J$214:$J$223))))</f>
        <v>3.2141951815000001</v>
      </c>
      <c r="K213">
        <f ca="1">IF(ISERROR(IF(MEDIAN($K$214:$K$223) = 0, "", MEDIAN($K$214:$K$223))), "", (IF(MEDIAN($K$214:$K$223) = 0, "", MEDIAN($K$214:$K$223))))</f>
        <v>3.5019874780000002</v>
      </c>
      <c r="L213">
        <f ca="1">IF(ISERROR(IF(MEDIAN($L$214:$L$223) = 0, "", MEDIAN($L$214:$L$223))), "", (IF(MEDIAN($L$214:$L$223) = 0, "", MEDIAN($L$214:$L$223))))</f>
        <v>3.0888475035000003</v>
      </c>
      <c r="M213">
        <f ca="1">IF(ISERROR(IF(MEDIAN($M$214:$M$223) = 0, "", MEDIAN($M$214:$M$223))), "", (IF(MEDIAN($M$214:$M$223) = 0, "", MEDIAN($M$214:$M$223))))</f>
        <v>3.473197125</v>
      </c>
      <c r="N213">
        <f ca="1">IF(ISERROR(IF(MEDIAN($N$214:$N$223) = 0, "", MEDIAN($N$214:$N$223))), "", (IF(MEDIAN($N$214:$N$223) = 0, "", MEDIAN($N$214:$N$223))))</f>
        <v>3.1092988065</v>
      </c>
      <c r="O213">
        <f ca="1">IF(ISERROR(IF(MEDIAN($O$214:$O$223) = 0, "", MEDIAN($O$214:$O$223))), "", (IF(MEDIAN($O$214:$O$223) = 0, "", MEDIAN($O$214:$O$223))))</f>
        <v>3.1014028265000002</v>
      </c>
      <c r="P213">
        <f ca="1">IF(ISERROR(IF(MEDIAN($P$214:$P$223) = 0, "", MEDIAN($P$214:$P$223))), "", (IF(MEDIAN($P$214:$P$223) = 0, "", MEDIAN($P$214:$P$223))))</f>
        <v>2.7177677420000004</v>
      </c>
      <c r="Q213">
        <f ca="1">IF(ISERROR(IF(MEDIAN($Q$214:$Q$223) = 0, "", MEDIAN($Q$214:$Q$223))), "", (IF(MEDIAN($Q$214:$Q$223) = 0, "", MEDIAN($Q$214:$Q$223))))</f>
        <v>3.1382159585</v>
      </c>
      <c r="R213">
        <f ca="1">IF(ISERROR(IF(MEDIAN($R$214:$R$223) = 0, "", MEDIAN($R$214:$R$223))), "", (IF(MEDIAN($R$214:$R$223) = 0, "", MEDIAN($R$214:$R$223))))</f>
        <v>2.9355936580000002</v>
      </c>
      <c r="S213">
        <f ca="1">IF(ISERROR(IF(MEDIAN($S$214:$S$223) = 0, "", MEDIAN($S$214:$S$223))), "", (IF(MEDIAN($S$214:$S$223) = 0, "", MEDIAN($S$214:$S$223))))</f>
        <v>2.8559325960000002</v>
      </c>
      <c r="T213">
        <f ca="1">IF(ISERROR(IF(MEDIAN($T$214:$T$223) = 0, "", MEDIAN($T$214:$T$223))), "", (IF(MEDIAN($T$214:$T$223) = 0, "", MEDIAN($T$214:$T$223))))</f>
        <v>2.6644662759999997</v>
      </c>
      <c r="U213">
        <f ca="1">IF(ISERROR(IF(MEDIAN($U$214:$U$223) = 0, "", MEDIAN($U$214:$U$223))), "", (IF(MEDIAN($U$214:$U$223) = 0, "", MEDIAN($U$214:$U$223))))</f>
        <v>2.7162883569999998</v>
      </c>
      <c r="V213">
        <f ca="1">IF(ISERROR(IF(MEDIAN($V$214:$V$223) = 0, "", MEDIAN($V$214:$V$223))), "", (IF(MEDIAN($V$214:$V$223) = 0, "", MEDIAN($V$214:$V$223))))</f>
        <v>2.7404991845</v>
      </c>
      <c r="W213">
        <f ca="1">IF(ISERROR(IF(MEDIAN($W$214:$W$223) = 0, "", MEDIAN($W$214:$W$223))), "", (IF(MEDIAN($W$214:$W$223) = 0, "", MEDIAN($W$214:$W$223))))</f>
        <v>2.4513061235000002</v>
      </c>
      <c r="X213">
        <f ca="1">IF(ISERROR(IF(MEDIAN($X$214:$X$223) = 0, "", MEDIAN($X$214:$X$223))), "", (IF(MEDIAN($X$214:$X$223) = 0, "", MEDIAN($X$214:$X$223))))</f>
        <v>2.6527991845000001</v>
      </c>
      <c r="Y213">
        <f ca="1">IF(ISERROR(IF(MEDIAN($Y$214:$Y$223) = 0, "", MEDIAN($Y$214:$Y$223))), "", (IF(MEDIAN($Y$214:$Y$223) = 0, "", MEDIAN($Y$214:$Y$223))))</f>
        <v>2.6563384675000004</v>
      </c>
      <c r="Z213">
        <f ca="1">IF(ISERROR(IF(MEDIAN($Z$214:$Z$223) = 0, "", MEDIAN($Z$214:$Z$223))), "", (IF(MEDIAN($Z$214:$Z$223) = 0, "", MEDIAN($Z$214:$Z$223))))</f>
        <v>2.5808133719999997</v>
      </c>
      <c r="AA213">
        <f ca="1">IF(ISERROR(IF(MEDIAN($AA$214:$AA$223) = 0, "", MEDIAN($AA$214:$AA$223))), "", (IF(MEDIAN($AA$214:$AA$223) = 0, "", MEDIAN($AA$214:$AA$223))))</f>
        <v>2.5603879305000001</v>
      </c>
      <c r="AB213">
        <f ca="1">IF(ISERROR(IF(MEDIAN($AB$214:$AB$223) = 0, "", MEDIAN($AB$214:$AB$223))), "", (IF(MEDIAN($AB$214:$AB$223) = 0, "", MEDIAN($AB$214:$AB$223))))</f>
        <v>2.6733292075000001</v>
      </c>
      <c r="AC213">
        <f ca="1">IF(ISERROR(IF(MEDIAN($AC$214:$AC$223) = 0, "", MEDIAN($AC$214:$AC$223))), "", (IF(MEDIAN($AC$214:$AC$223) = 0, "", MEDIAN($AC$214:$AC$223))))</f>
        <v>2.6786634540000001</v>
      </c>
      <c r="AD213">
        <f ca="1">IF(ISERROR(IF(MEDIAN($AD$214:$AD$223) = 0, "", MEDIAN($AD$214:$AD$223))), "", (IF(MEDIAN($AD$214:$AD$223) = 0, "", MEDIAN($AD$214:$AD$223))))</f>
        <v>2.4577001030000001</v>
      </c>
      <c r="AE213">
        <f ca="1">IF(ISERROR(IF(MEDIAN($AE$214:$AE$223) = 0, "", MEDIAN($AE$214:$AE$223))), "", (IF(MEDIAN($AE$214:$AE$223) = 0, "", MEDIAN($AE$214:$AE$223))))</f>
        <v>2.4100771729999999</v>
      </c>
      <c r="AF213">
        <f ca="1">IF(ISERROR(IF(MEDIAN($AF$214:$AF$223) = 0, "", MEDIAN($AF$214:$AF$223))), "", (IF(MEDIAN($AF$214:$AF$223) = 0, "", MEDIAN($AF$214:$AF$223))))</f>
        <v>2.4886968270000001</v>
      </c>
      <c r="AG213">
        <f ca="1">IF(ISERROR(IF(MEDIAN($AG$214:$AG$223) = 0, "", MEDIAN($AG$214:$AG$223))), "", (IF(MEDIAN($AG$214:$AG$223) = 0, "", MEDIAN($AG$214:$AG$223))))</f>
        <v>2.5407772744999999</v>
      </c>
      <c r="AH213">
        <f ca="1">IF(ISERROR(IF(MEDIAN($AH$214:$AH$223) = 0, "", MEDIAN($AH$214:$AH$223))), "", (IF(MEDIAN($AH$214:$AH$223) = 0, "", MEDIAN($AH$214:$AH$223))))</f>
        <v>2.573472862</v>
      </c>
      <c r="AI213">
        <f ca="1">IF(ISERROR(IF(MEDIAN($AI$214:$AI$223) = 0, "", MEDIAN($AI$214:$AI$223))), "", (IF(MEDIAN($AI$214:$AI$223) = 0, "", MEDIAN($AI$214:$AI$223))))</f>
        <v>2.4034175764999999</v>
      </c>
      <c r="AJ213">
        <f ca="1">IF(ISERROR(IF(MEDIAN($AJ$214:$AJ$223) = 0, "", MEDIAN($AJ$214:$AJ$223))), "", (IF(MEDIAN($AJ$214:$AJ$223) = 0, "", MEDIAN($AJ$214:$AJ$223))))</f>
        <v>2.5269176285000001</v>
      </c>
      <c r="AK213">
        <f ca="1">IF(ISERROR(IF(MEDIAN($AK$214:$AK$223) = 0, "", MEDIAN($AK$214:$AK$223))), "", (IF(MEDIAN($AK$214:$AK$223) = 0, "", MEDIAN($AK$214:$AK$223))))</f>
        <v>2.6303796454999997</v>
      </c>
      <c r="AL213">
        <f ca="1">IF(ISERROR(IF(MEDIAN($AL$214:$AL$223) = 0, "", MEDIAN($AL$214:$AL$223))), "", (IF(MEDIAN($AL$214:$AL$223) = 0, "", MEDIAN($AL$214:$AL$223))))</f>
        <v>2.6303343379999999</v>
      </c>
      <c r="AM213">
        <f ca="1">IF(ISERROR(IF(MEDIAN($AM$214:$AM$223) = 0, "", MEDIAN($AM$214:$AM$223))), "", (IF(MEDIAN($AM$214:$AM$223) = 0, "", MEDIAN($AM$214:$AM$223))))</f>
        <v>2.2232515314999999</v>
      </c>
      <c r="AN213">
        <f ca="1">IF(ISERROR(IF(MEDIAN($AN$214:$AN$223) = 0, "", MEDIAN($AN$214:$AN$223))), "", (IF(MEDIAN($AN$214:$AN$223) = 0, "", MEDIAN($AN$214:$AN$223))))</f>
        <v>2.6668510120000004</v>
      </c>
      <c r="AO213">
        <f ca="1">IF(ISERROR(IF(MEDIAN($AO$214:$AO$223) = 0, "", MEDIAN($AO$214:$AO$223))), "", (IF(MEDIAN($AO$214:$AO$223) = 0, "", MEDIAN($AO$214:$AO$223))))</f>
        <v>2.8020603880000001</v>
      </c>
      <c r="AP213">
        <f ca="1">IF(ISERROR(IF(MEDIAN($AP$214:$AP$223) = 0, "", MEDIAN($AP$214:$AP$223))), "", (IF(MEDIAN($AP$214:$AP$223) = 0, "", MEDIAN($AP$214:$AP$223))))</f>
        <v>2.7047926840000001</v>
      </c>
      <c r="AQ213">
        <f ca="1">IF(ISERROR(IF(MEDIAN($AQ$214:$AQ$223) = 0, "", MEDIAN($AQ$214:$AQ$223))), "", (IF(MEDIAN($AQ$214:$AQ$223) = 0, "", MEDIAN($AQ$214:$AQ$223))))</f>
        <v>2.6281052009999999</v>
      </c>
      <c r="AR213">
        <f ca="1">IF(ISERROR(IF(MEDIAN($AR$214:$AR$223) = 0, "", MEDIAN($AR$214:$AR$223))), "", (IF(MEDIAN($AR$214:$AR$223) = 0, "", MEDIAN($AR$214:$AR$223))))</f>
        <v>2.3569065720000002</v>
      </c>
      <c r="AS213">
        <f ca="1">IF(ISERROR(IF(MEDIAN($AS$214:$AS$223) = 0, "", MEDIAN($AS$214:$AS$223))), "", (IF(MEDIAN($AS$214:$AS$223) = 0, "", MEDIAN($AS$214:$AS$223))))</f>
        <v>2.290095349</v>
      </c>
      <c r="AT213">
        <f ca="1">IF(ISERROR(IF(MEDIAN($AT$214:$AT$223) = 0, "", MEDIAN($AT$214:$AT$223))), "", (IF(MEDIAN($AT$214:$AT$223) = 0, "", MEDIAN($AT$214:$AT$223))))</f>
        <v>2.2516225479999998</v>
      </c>
      <c r="AU213">
        <f ca="1">IF(ISERROR(IF(MEDIAN($AU$214:$AU$223) = 0, "", MEDIAN($AU$214:$AU$223))), "", (IF(MEDIAN($AU$214:$AU$223) = 0, "", MEDIAN($AU$214:$AU$223))))</f>
        <v>2.2140838619999998</v>
      </c>
      <c r="AV213">
        <f ca="1">IF(ISERROR(IF(MEDIAN($AV$214:$AV$223) = 0, "", MEDIAN($AV$214:$AV$223))), "", (IF(MEDIAN($AV$214:$AV$223) = 0, "", MEDIAN($AV$214:$AV$223))))</f>
        <v>2.1579474620000001</v>
      </c>
      <c r="AW213">
        <f ca="1">IF(ISERROR(IF(MEDIAN($AW$214:$AW$223) = 0, "", MEDIAN($AW$214:$AW$223))), "", (IF(MEDIAN($AW$214:$AW$223) = 0, "", MEDIAN($AW$214:$AW$223))))</f>
        <v>2.1828409610000001</v>
      </c>
      <c r="AX213">
        <f ca="1">IF(ISERROR(IF(MEDIAN($AX$214:$AX$223) = 0, "", MEDIAN($AX$214:$AX$223))), "", (IF(MEDIAN($AX$214:$AX$223) = 0, "", MEDIAN($AX$214:$AX$223))))</f>
        <v>2.8621165340000001</v>
      </c>
      <c r="AY213">
        <f ca="1">IF(ISERROR(IF(MEDIAN($AY$214:$AY$223) = 0, "", MEDIAN($AY$214:$AY$223))), "", (IF(MEDIAN($AY$214:$AY$223) = 0, "", MEDIAN($AY$214:$AY$223))))</f>
        <v>2.5243243240000002</v>
      </c>
      <c r="AZ213">
        <f ca="1">IF(ISERROR(IF(MEDIAN($AZ$214:$AZ$223) = 0, "", MEDIAN($AZ$214:$AZ$223))), "", (IF(MEDIAN($AZ$214:$AZ$223) = 0, "", MEDIAN($AZ$214:$AZ$223))))</f>
        <v>2.2232789689999999</v>
      </c>
      <c r="BA213">
        <f ca="1">IF(ISERROR(IF(MEDIAN($BA$214:$BA$223) = 0, "", MEDIAN($BA$214:$BA$223))), "", (IF(MEDIAN($BA$214:$BA$223) = 0, "", MEDIAN($BA$214:$BA$223))))</f>
        <v>2.3184389680000002</v>
      </c>
      <c r="BB213">
        <f ca="1">IF(ISERROR(IF(MEDIAN($BB$214:$BB$223) = 0, "", MEDIAN($BB$214:$BB$223))), "", (IF(MEDIAN($BB$214:$BB$223) = 0, "", MEDIAN($BB$214:$BB$223))))</f>
        <v>2.8314969479999998</v>
      </c>
      <c r="BC213">
        <f ca="1">IF(ISERROR(IF(MEDIAN($BC$214:$BC$223) = 0, "", MEDIAN($BC$214:$BC$223))), "", (IF(MEDIAN($BC$214:$BC$223) = 0, "", MEDIAN($BC$214:$BC$223))))</f>
        <v>2.4858781489999999</v>
      </c>
      <c r="BD213">
        <f ca="1">IF(ISERROR(IF(MEDIAN($BD$214:$BD$223) = 0, "", MEDIAN($BD$214:$BD$223))), "", (IF(MEDIAN($BD$214:$BD$223) = 0, "", MEDIAN($BD$214:$BD$223))))</f>
        <v>2.7785729030000001</v>
      </c>
      <c r="BE213">
        <f ca="1">IF(ISERROR(IF(MEDIAN($BE$214:$BE$223) = 0, "", MEDIAN($BE$214:$BE$223))), "", (IF(MEDIAN($BE$214:$BE$223) = 0, "", MEDIAN($BE$214:$BE$223))))</f>
        <v>2.8522579709999998</v>
      </c>
      <c r="BF213">
        <f ca="1">IF(ISERROR(IF(MEDIAN($BF$214:$BF$223) = 0, "", MEDIAN($BF$214:$BF$223))), "", (IF(MEDIAN($BF$214:$BF$223) = 0, "", MEDIAN($BF$214:$BF$223))))</f>
        <v>2.7707788959999999</v>
      </c>
      <c r="BG213">
        <f ca="1">IF(ISERROR(IF(MEDIAN($BG$214:$BG$223) = 0, "", MEDIAN($BG$214:$BG$223))), "", (IF(MEDIAN($BG$214:$BG$223) = 0, "", MEDIAN($BG$214:$BG$223))))</f>
        <v>2.778499107</v>
      </c>
      <c r="BH213">
        <f ca="1">IF(ISERROR(IF(MEDIAN($BH$214:$BH$223) = 0, "", MEDIAN($BH$214:$BH$223))), "", (IF(MEDIAN($BH$214:$BH$223) = 0, "", MEDIAN($BH$214:$BH$223))))</f>
        <v>3.0644730990000002</v>
      </c>
      <c r="BI213">
        <f ca="1">IF(ISERROR(IF(MEDIAN($BI$214:$BI$223) = 0, "", MEDIAN($BI$214:$BI$223))), "", (IF(MEDIAN($BI$214:$BI$223) = 0, "", MEDIAN($BI$214:$BI$223))))</f>
        <v>3.322379733</v>
      </c>
      <c r="BJ213">
        <f ca="1">IF(ISERROR(IF(MEDIAN($BJ$214:$BJ$223) = 0, "", MEDIAN($BJ$214:$BJ$223))), "", (IF(MEDIAN($BJ$214:$BJ$223) = 0, "", MEDIAN($BJ$214:$BJ$223))))</f>
        <v>3.0297151000000002</v>
      </c>
      <c r="BK213">
        <f ca="1">IF(ISERROR(IF(MEDIAN($BK$214:$BK$223) = 0, "", MEDIAN($BK$214:$BK$223))), "", (IF(MEDIAN($BK$214:$BK$223) = 0, "", MEDIAN($BK$214:$BK$223))))</f>
        <v>3.137585815</v>
      </c>
      <c r="BL213">
        <f ca="1">IF(ISERROR(IF(MEDIAN($BL$214:$BL$223) = 0, "", MEDIAN($BL$214:$BL$223))), "", (IF(MEDIAN($BL$214:$BL$223) = 0, "", MEDIAN($BL$214:$BL$223))))</f>
        <v>3.3651588399999999</v>
      </c>
      <c r="BM213">
        <f ca="1">IF(ISERROR(IF(MEDIAN($BM$214:$BM$223) = 0, "", MEDIAN($BM$214:$BM$223))), "", (IF(MEDIAN($BM$214:$BM$223) = 0, "", MEDIAN($BM$214:$BM$223))))</f>
        <v>3.1207809040000001</v>
      </c>
      <c r="BN213" t="str">
        <f>""</f>
        <v/>
      </c>
      <c r="BO213">
        <f>2.87633122</f>
        <v>2.87633122</v>
      </c>
      <c r="BP213">
        <f>3.544225081</f>
        <v>3.544225081</v>
      </c>
      <c r="BQ213">
        <f>3.344250305</f>
        <v>3.3442503050000001</v>
      </c>
      <c r="BR213">
        <f>3.214195182</f>
        <v>3.2141951820000001</v>
      </c>
      <c r="BS213">
        <f>3.501987478</f>
        <v>3.5019874780000002</v>
      </c>
      <c r="BT213">
        <f>3.088847503</f>
        <v>3.0888475030000002</v>
      </c>
      <c r="BU213">
        <f>3.473197125</f>
        <v>3.473197125</v>
      </c>
      <c r="BV213">
        <f>3.109298806</f>
        <v>3.109298806</v>
      </c>
      <c r="BW213">
        <f>3.101402826</f>
        <v>3.1014028260000002</v>
      </c>
      <c r="BX213">
        <f>2.717767742</f>
        <v>2.7177677419999999</v>
      </c>
      <c r="BY213">
        <f>3.138215958</f>
        <v>3.138215958</v>
      </c>
      <c r="BZ213">
        <f>2.935593658</f>
        <v>2.9355936580000002</v>
      </c>
      <c r="CA213">
        <f>2.855932596</f>
        <v>2.8559325960000002</v>
      </c>
      <c r="CB213">
        <f>2.664466276</f>
        <v>2.6644662760000002</v>
      </c>
      <c r="CC213">
        <f>2.716288357</f>
        <v>2.7162883569999998</v>
      </c>
      <c r="CD213">
        <f>2.740499184</f>
        <v>2.7404991839999999</v>
      </c>
      <c r="CE213">
        <f>2.451306123</f>
        <v>2.4513061230000002</v>
      </c>
      <c r="CF213">
        <f>2.652799185</f>
        <v>2.6527991850000001</v>
      </c>
      <c r="CG213">
        <f>2.656338467</f>
        <v>2.6563384669999999</v>
      </c>
      <c r="CH213">
        <f>2.580813372</f>
        <v>2.5808133720000002</v>
      </c>
      <c r="CI213">
        <f>2.56038793</f>
        <v>2.5603879300000001</v>
      </c>
      <c r="CJ213">
        <f>2.673329208</f>
        <v>2.6733292080000002</v>
      </c>
      <c r="CK213">
        <f>2.678663454</f>
        <v>2.6786634540000001</v>
      </c>
      <c r="CL213">
        <f>2.457700103</f>
        <v>2.4577001030000001</v>
      </c>
      <c r="CM213">
        <f>2.410077173</f>
        <v>2.4100771729999999</v>
      </c>
      <c r="CN213">
        <f>2.488696827</f>
        <v>2.4886968270000001</v>
      </c>
      <c r="CO213">
        <f>2.540777274</f>
        <v>2.5407772739999999</v>
      </c>
      <c r="CP213">
        <f>2.573472862</f>
        <v>2.573472862</v>
      </c>
      <c r="CQ213">
        <f>2.403417576</f>
        <v>2.4034175759999998</v>
      </c>
      <c r="CR213">
        <f>2.526917629</f>
        <v>2.5269176290000002</v>
      </c>
      <c r="CS213">
        <f>2.630379645</f>
        <v>2.6303796450000001</v>
      </c>
      <c r="CT213">
        <f>2.630334338</f>
        <v>2.6303343379999999</v>
      </c>
      <c r="CU213">
        <f>2.223251531</f>
        <v>2.2232515309999998</v>
      </c>
      <c r="CV213">
        <f>2.666851012</f>
        <v>2.666851012</v>
      </c>
      <c r="CW213">
        <f>2.802060388</f>
        <v>2.8020603880000001</v>
      </c>
      <c r="CX213">
        <f>2.704792684</f>
        <v>2.7047926840000001</v>
      </c>
      <c r="CY213">
        <f>2.628105201</f>
        <v>2.6281052009999999</v>
      </c>
      <c r="CZ213">
        <f>2.356906572</f>
        <v>2.3569065720000002</v>
      </c>
      <c r="DA213">
        <f>2.290095349</f>
        <v>2.290095349</v>
      </c>
      <c r="DB213">
        <f>2.251622548</f>
        <v>2.2516225479999998</v>
      </c>
      <c r="DC213">
        <f>2.214083862</f>
        <v>2.2140838619999998</v>
      </c>
      <c r="DD213">
        <f>2.157947462</f>
        <v>2.1579474620000001</v>
      </c>
      <c r="DE213">
        <f>2.182840961</f>
        <v>2.1828409610000001</v>
      </c>
      <c r="DF213">
        <f>2.862116534</f>
        <v>2.8621165340000001</v>
      </c>
      <c r="DG213">
        <f>2.524324324</f>
        <v>2.5243243240000002</v>
      </c>
      <c r="DH213">
        <f>2.223278969</f>
        <v>2.2232789689999999</v>
      </c>
      <c r="DI213">
        <f>2.318438968</f>
        <v>2.3184389680000002</v>
      </c>
      <c r="DJ213">
        <f>2.831496948</f>
        <v>2.8314969479999998</v>
      </c>
      <c r="DK213">
        <f>2.485878149</f>
        <v>2.4858781489999999</v>
      </c>
      <c r="DL213">
        <f>2.778572903</f>
        <v>2.7785729030000001</v>
      </c>
      <c r="DM213">
        <f>2.852257971</f>
        <v>2.8522579709999998</v>
      </c>
      <c r="DN213">
        <f>2.770778896</f>
        <v>2.7707788959999999</v>
      </c>
      <c r="DO213">
        <f>2.778499107</f>
        <v>2.778499107</v>
      </c>
      <c r="DP213">
        <f>3.064473099</f>
        <v>3.0644730990000002</v>
      </c>
      <c r="DQ213">
        <f>3.322379733</f>
        <v>3.322379733</v>
      </c>
      <c r="DR213">
        <f>3.0297151</f>
        <v>3.0297151000000002</v>
      </c>
      <c r="DS213">
        <f>3.137585815</f>
        <v>3.137585815</v>
      </c>
      <c r="DT213">
        <f>3.36515884</f>
        <v>3.3651588399999999</v>
      </c>
      <c r="DU213">
        <f>3.120780904</f>
        <v>3.1207809040000001</v>
      </c>
    </row>
    <row r="214" spans="1:125">
      <c r="A214" t="str">
        <f>"    Boston Properties Inc"</f>
        <v xml:space="preserve">    Boston Properties Inc</v>
      </c>
      <c r="B214" t="str">
        <f>"BXP US Equity"</f>
        <v>BXP US Equity</v>
      </c>
      <c r="C214" t="str">
        <f t="shared" ref="C214:C223" si="57">"RR059"</f>
        <v>RR059</v>
      </c>
      <c r="D214" t="str">
        <f t="shared" ref="D214:D223" si="58">"EBITDA_TO_TOT_INT_EXP"</f>
        <v>EBITDA_TO_TOT_INT_EXP</v>
      </c>
      <c r="E214" t="str">
        <f t="shared" ref="E214:E223" si="59">"动态"</f>
        <v>动态</v>
      </c>
      <c r="F214" t="str">
        <f ca="1">IF(AND(ISNUMBER($F$516),$B$294=1),$F$516,HLOOKUP(INDIRECT(ADDRESS(2,COLUMN())),OFFSET($BN$2,0,0,ROW()-1,60),ROW()-1,FALSE))</f>
        <v/>
      </c>
      <c r="G214">
        <f ca="1">IF(AND(ISNUMBER($G$516),$B$294=1),$G$516,HLOOKUP(INDIRECT(ADDRESS(2,COLUMN())),OFFSET($BN$2,0,0,ROW()-1,60),ROW()-1,FALSE))</f>
        <v>3.5025466430000001</v>
      </c>
      <c r="H214">
        <f ca="1">IF(AND(ISNUMBER($H$516),$B$294=1),$H$516,HLOOKUP(INDIRECT(ADDRESS(2,COLUMN())),OFFSET($BN$2,0,0,ROW()-1,60),ROW()-1,FALSE))</f>
        <v>3.5504002209999999</v>
      </c>
      <c r="I214">
        <f ca="1">IF(AND(ISNUMBER($I$516),$B$294=1),$I$516,HLOOKUP(INDIRECT(ADDRESS(2,COLUMN())),OFFSET($BN$2,0,0,ROW()-1,60),ROW()-1,FALSE))</f>
        <v>3.5696178239999998</v>
      </c>
      <c r="J214">
        <f ca="1">IF(AND(ISNUMBER($J$516),$B$294=1),$J$516,HLOOKUP(INDIRECT(ADDRESS(2,COLUMN())),OFFSET($BN$2,0,0,ROW()-1,60),ROW()-1,FALSE))</f>
        <v>3.3874062610000002</v>
      </c>
      <c r="K214">
        <f ca="1">IF(AND(ISNUMBER($K$516),$B$294=1),$K$516,HLOOKUP(INDIRECT(ADDRESS(2,COLUMN())),OFFSET($BN$2,0,0,ROW()-1,60),ROW()-1,FALSE))</f>
        <v>3.474472392</v>
      </c>
      <c r="L214">
        <f ca="1">IF(AND(ISNUMBER($L$516),$B$294=1),$L$516,HLOOKUP(INDIRECT(ADDRESS(2,COLUMN())),OFFSET($BN$2,0,0,ROW()-1,60),ROW()-1,FALSE))</f>
        <v>3.1578795589999999</v>
      </c>
      <c r="M214">
        <f ca="1">IF(AND(ISNUMBER($M$516),$B$294=1),$M$516,HLOOKUP(INDIRECT(ADDRESS(2,COLUMN())),OFFSET($BN$2,0,0,ROW()-1,60),ROW()-1,FALSE))</f>
        <v>3.2314407059999999</v>
      </c>
      <c r="N214">
        <f ca="1">IF(AND(ISNUMBER($N$516),$B$294=1),$N$516,HLOOKUP(INDIRECT(ADDRESS(2,COLUMN())),OFFSET($BN$2,0,0,ROW()-1,60),ROW()-1,FALSE))</f>
        <v>3.576611566</v>
      </c>
      <c r="O214">
        <f ca="1">IF(AND(ISNUMBER($O$516),$B$294=1),$O$516,HLOOKUP(INDIRECT(ADDRESS(2,COLUMN())),OFFSET($BN$2,0,0,ROW()-1,60),ROW()-1,FALSE))</f>
        <v>3.2752716730000002</v>
      </c>
      <c r="P214">
        <f ca="1">IF(AND(ISNUMBER($P$516),$B$294=1),$P$516,HLOOKUP(INDIRECT(ADDRESS(2,COLUMN())),OFFSET($BN$2,0,0,ROW()-1,60),ROW()-1,FALSE))</f>
        <v>3.2315598290000001</v>
      </c>
      <c r="Q214">
        <f ca="1">IF(AND(ISNUMBER($Q$516),$B$294=1),$Q$516,HLOOKUP(INDIRECT(ADDRESS(2,COLUMN())),OFFSET($BN$2,0,0,ROW()-1,60),ROW()-1,FALSE))</f>
        <v>3.1756457440000001</v>
      </c>
      <c r="R214">
        <f ca="1">IF(AND(ISNUMBER($R$516),$B$294=1),$R$516,HLOOKUP(INDIRECT(ADDRESS(2,COLUMN())),OFFSET($BN$2,0,0,ROW()-1,60),ROW()-1,FALSE))</f>
        <v>3.0879525710000002</v>
      </c>
      <c r="S214">
        <f ca="1">IF(AND(ISNUMBER($S$516),$B$294=1),$S$516,HLOOKUP(INDIRECT(ADDRESS(2,COLUMN())),OFFSET($BN$2,0,0,ROW()-1,60),ROW()-1,FALSE))</f>
        <v>2.9567256770000001</v>
      </c>
      <c r="T214">
        <f ca="1">IF(AND(ISNUMBER($T$516),$B$294=1),$T$516,HLOOKUP(INDIRECT(ADDRESS(2,COLUMN())),OFFSET($BN$2,0,0,ROW()-1,60),ROW()-1,FALSE))</f>
        <v>2.9637938039999998</v>
      </c>
      <c r="U214">
        <f ca="1">IF(AND(ISNUMBER($U$516),$B$294=1),$U$516,HLOOKUP(INDIRECT(ADDRESS(2,COLUMN())),OFFSET($BN$2,0,0,ROW()-1,60),ROW()-1,FALSE))</f>
        <v>2.8278878700000001</v>
      </c>
      <c r="V214">
        <f ca="1">IF(AND(ISNUMBER($V$516),$B$294=1),$V$516,HLOOKUP(INDIRECT(ADDRESS(2,COLUMN())),OFFSET($BN$2,0,0,ROW()-1,60),ROW()-1,FALSE))</f>
        <v>2.5229272530000002</v>
      </c>
      <c r="W214">
        <f ca="1">IF(AND(ISNUMBER($W$516),$B$294=1),$W$516,HLOOKUP(INDIRECT(ADDRESS(2,COLUMN())),OFFSET($BN$2,0,0,ROW()-1,60),ROW()-1,FALSE))</f>
        <v>2.5202540390000001</v>
      </c>
      <c r="X214">
        <f ca="1">IF(AND(ISNUMBER($X$516),$B$294=1),$X$516,HLOOKUP(INDIRECT(ADDRESS(2,COLUMN())),OFFSET($BN$2,0,0,ROW()-1,60),ROW()-1,FALSE))</f>
        <v>2.4428140520000001</v>
      </c>
      <c r="Y214">
        <f ca="1">IF(AND(ISNUMBER($Y$516),$B$294=1),$Y$516,HLOOKUP(INDIRECT(ADDRESS(2,COLUMN())),OFFSET($BN$2,0,0,ROW()-1,60),ROW()-1,FALSE))</f>
        <v>2.577255482</v>
      </c>
      <c r="Z214">
        <f ca="1">IF(AND(ISNUMBER($Z$516),$B$294=1),$Z$516,HLOOKUP(INDIRECT(ADDRESS(2,COLUMN())),OFFSET($BN$2,0,0,ROW()-1,60),ROW()-1,FALSE))</f>
        <v>2.1697068380000002</v>
      </c>
      <c r="AA214">
        <f ca="1">IF(AND(ISNUMBER($AA$516),$B$294=1),$AA$516,HLOOKUP(INDIRECT(ADDRESS(2,COLUMN())),OFFSET($BN$2,0,0,ROW()-1,60),ROW()-1,FALSE))</f>
        <v>2.493321576</v>
      </c>
      <c r="AB214">
        <f ca="1">IF(AND(ISNUMBER($AB$516),$B$294=1),$AB$516,HLOOKUP(INDIRECT(ADDRESS(2,COLUMN())),OFFSET($BN$2,0,0,ROW()-1,60),ROW()-1,FALSE))</f>
        <v>2.3814991750000001</v>
      </c>
      <c r="AC214">
        <f ca="1">IF(AND(ISNUMBER($AC$516),$B$294=1),$AC$516,HLOOKUP(INDIRECT(ADDRESS(2,COLUMN())),OFFSET($BN$2,0,0,ROW()-1,60),ROW()-1,FALSE))</f>
        <v>2.5944673229999999</v>
      </c>
      <c r="AD214">
        <f ca="1">IF(AND(ISNUMBER($AD$516),$B$294=1),$AD$516,HLOOKUP(INDIRECT(ADDRESS(2,COLUMN())),OFFSET($BN$2,0,0,ROW()-1,60),ROW()-1,FALSE))</f>
        <v>2.2145984250000001</v>
      </c>
      <c r="AE214">
        <f ca="1">IF(AND(ISNUMBER($AE$516),$B$294=1),$AE$516,HLOOKUP(INDIRECT(ADDRESS(2,COLUMN())),OFFSET($BN$2,0,0,ROW()-1,60),ROW()-1,FALSE))</f>
        <v>2.3344485929999998</v>
      </c>
      <c r="AF214">
        <f ca="1">IF(AND(ISNUMBER($AF$516),$B$294=1),$AF$516,HLOOKUP(INDIRECT(ADDRESS(2,COLUMN())),OFFSET($BN$2,0,0,ROW()-1,60),ROW()-1,FALSE))</f>
        <v>2.5280483180000002</v>
      </c>
      <c r="AG214">
        <f ca="1">IF(AND(ISNUMBER($AG$516),$B$294=1),$AG$516,HLOOKUP(INDIRECT(ADDRESS(2,COLUMN())),OFFSET($BN$2,0,0,ROW()-1,60),ROW()-1,FALSE))</f>
        <v>2.483435445</v>
      </c>
      <c r="AH214">
        <f ca="1">IF(AND(ISNUMBER($AH$516),$B$294=1),$AH$516,HLOOKUP(INDIRECT(ADDRESS(2,COLUMN())),OFFSET($BN$2,0,0,ROW()-1,60),ROW()-1,FALSE))</f>
        <v>2.2540077470000002</v>
      </c>
      <c r="AI214">
        <f ca="1">IF(AND(ISNUMBER($AI$516),$B$294=1),$AI$516,HLOOKUP(INDIRECT(ADDRESS(2,COLUMN())),OFFSET($BN$2,0,0,ROW()-1,60),ROW()-1,FALSE))</f>
        <v>2.262847404</v>
      </c>
      <c r="AJ214">
        <f ca="1">IF(AND(ISNUMBER($AJ$516),$B$294=1),$AJ$516,HLOOKUP(INDIRECT(ADDRESS(2,COLUMN())),OFFSET($BN$2,0,0,ROW()-1,60),ROW()-1,FALSE))</f>
        <v>2.1994586620000001</v>
      </c>
      <c r="AK214">
        <f ca="1">IF(AND(ISNUMBER($AK$516),$B$294=1),$AK$516,HLOOKUP(INDIRECT(ADDRESS(2,COLUMN())),OFFSET($BN$2,0,0,ROW()-1,60),ROW()-1,FALSE))</f>
        <v>2.353902889</v>
      </c>
      <c r="AL214">
        <f ca="1">IF(AND(ISNUMBER($AL$516),$B$294=1),$AL$516,HLOOKUP(INDIRECT(ADDRESS(2,COLUMN())),OFFSET($BN$2,0,0,ROW()-1,60),ROW()-1,FALSE))</f>
        <v>2.2071128240000002</v>
      </c>
      <c r="AM214">
        <f ca="1">IF(AND(ISNUMBER($AM$516),$B$294=1),$AM$516,HLOOKUP(INDIRECT(ADDRESS(2,COLUMN())),OFFSET($BN$2,0,0,ROW()-1,60),ROW()-1,FALSE))</f>
        <v>2.270004009</v>
      </c>
      <c r="AN214">
        <f ca="1">IF(AND(ISNUMBER($AN$516),$B$294=1),$AN$516,HLOOKUP(INDIRECT(ADDRESS(2,COLUMN())),OFFSET($BN$2,0,0,ROW()-1,60),ROW()-1,FALSE))</f>
        <v>2.474420464</v>
      </c>
      <c r="AO214">
        <f ca="1">IF(AND(ISNUMBER($AO$516),$B$294=1),$AO$516,HLOOKUP(INDIRECT(ADDRESS(2,COLUMN())),OFFSET($BN$2,0,0,ROW()-1,60),ROW()-1,FALSE))</f>
        <v>2.6547011559999998</v>
      </c>
      <c r="AP214">
        <f ca="1">IF(AND(ISNUMBER($AP$516),$B$294=1),$AP$516,HLOOKUP(INDIRECT(ADDRESS(2,COLUMN())),OFFSET($BN$2,0,0,ROW()-1,60),ROW()-1,FALSE))</f>
        <v>2.2303086890000001</v>
      </c>
      <c r="AQ214">
        <f ca="1">IF(AND(ISNUMBER($AQ$516),$B$294=1),$AQ$516,HLOOKUP(INDIRECT(ADDRESS(2,COLUMN())),OFFSET($BN$2,0,0,ROW()-1,60),ROW()-1,FALSE))</f>
        <v>2.6281052009999999</v>
      </c>
      <c r="AR214">
        <f ca="1">IF(AND(ISNUMBER($AR$516),$B$294=1),$AR$516,HLOOKUP(INDIRECT(ADDRESS(2,COLUMN())),OFFSET($BN$2,0,0,ROW()-1,60),ROW()-1,FALSE))</f>
        <v>2.3569065720000002</v>
      </c>
      <c r="AS214">
        <f ca="1">IF(AND(ISNUMBER($AS$516),$B$294=1),$AS$516,HLOOKUP(INDIRECT(ADDRESS(2,COLUMN())),OFFSET($BN$2,0,0,ROW()-1,60),ROW()-1,FALSE))</f>
        <v>2.8242221719999998</v>
      </c>
      <c r="AT214">
        <f ca="1">IF(AND(ISNUMBER($AT$516),$B$294=1),$AT$516,HLOOKUP(INDIRECT(ADDRESS(2,COLUMN())),OFFSET($BN$2,0,0,ROW()-1,60),ROW()-1,FALSE))</f>
        <v>2.7563408859999998</v>
      </c>
      <c r="AU214">
        <f ca="1">IF(AND(ISNUMBER($AU$516),$B$294=1),$AU$516,HLOOKUP(INDIRECT(ADDRESS(2,COLUMN())),OFFSET($BN$2,0,0,ROW()-1,60),ROW()-1,FALSE))</f>
        <v>3.0360787400000002</v>
      </c>
      <c r="AV214">
        <f ca="1">IF(AND(ISNUMBER($AV$516),$B$294=1),$AV$516,HLOOKUP(INDIRECT(ADDRESS(2,COLUMN())),OFFSET($BN$2,0,0,ROW()-1,60),ROW()-1,FALSE))</f>
        <v>2.9275747170000002</v>
      </c>
      <c r="AW214">
        <f ca="1">IF(AND(ISNUMBER($AW$516),$B$294=1),$AW$516,HLOOKUP(INDIRECT(ADDRESS(2,COLUMN())),OFFSET($BN$2,0,0,ROW()-1,60),ROW()-1,FALSE))</f>
        <v>2.9054174879999999</v>
      </c>
      <c r="AX214">
        <f ca="1">IF(AND(ISNUMBER($AX$516),$B$294=1),$AX$516,HLOOKUP(INDIRECT(ADDRESS(2,COLUMN())),OFFSET($BN$2,0,0,ROW()-1,60),ROW()-1,FALSE))</f>
        <v>2.893206862</v>
      </c>
      <c r="AY214">
        <f ca="1">IF(AND(ISNUMBER($AY$516),$B$294=1),$AY$516,HLOOKUP(INDIRECT(ADDRESS(2,COLUMN())),OFFSET($BN$2,0,0,ROW()-1,60),ROW()-1,FALSE))</f>
        <v>3.1238364980000002</v>
      </c>
      <c r="AZ214">
        <f ca="1">IF(AND(ISNUMBER($AZ$516),$B$294=1),$AZ$516,HLOOKUP(INDIRECT(ADDRESS(2,COLUMN())),OFFSET($BN$2,0,0,ROW()-1,60),ROW()-1,FALSE))</f>
        <v>3.0627901720000001</v>
      </c>
      <c r="BA214">
        <f ca="1">IF(AND(ISNUMBER($BA$516),$B$294=1),$BA$516,HLOOKUP(INDIRECT(ADDRESS(2,COLUMN())),OFFSET($BN$2,0,0,ROW()-1,60),ROW()-1,FALSE))</f>
        <v>2.8552583729999998</v>
      </c>
      <c r="BB214">
        <f ca="1">IF(AND(ISNUMBER($BB$516),$B$294=1),$BB$516,HLOOKUP(INDIRECT(ADDRESS(2,COLUMN())),OFFSET($BN$2,0,0,ROW()-1,60),ROW()-1,FALSE))</f>
        <v>2.8314969479999998</v>
      </c>
      <c r="BC214">
        <f ca="1">IF(AND(ISNUMBER($BC$516),$B$294=1),$BC$516,HLOOKUP(INDIRECT(ADDRESS(2,COLUMN())),OFFSET($BN$2,0,0,ROW()-1,60),ROW()-1,FALSE))</f>
        <v>2.9114840279999998</v>
      </c>
      <c r="BD214">
        <f ca="1">IF(AND(ISNUMBER($BD$516),$B$294=1),$BD$516,HLOOKUP(INDIRECT(ADDRESS(2,COLUMN())),OFFSET($BN$2,0,0,ROW()-1,60),ROW()-1,FALSE))</f>
        <v>2.8185029049999999</v>
      </c>
      <c r="BE214">
        <f ca="1">IF(AND(ISNUMBER($BE$516),$B$294=1),$BE$516,HLOOKUP(INDIRECT(ADDRESS(2,COLUMN())),OFFSET($BN$2,0,0,ROW()-1,60),ROW()-1,FALSE))</f>
        <v>2.8423792859999999</v>
      </c>
      <c r="BF214">
        <f ca="1">IF(AND(ISNUMBER($BF$516),$B$294=1),$BF$516,HLOOKUP(INDIRECT(ADDRESS(2,COLUMN())),OFFSET($BN$2,0,0,ROW()-1,60),ROW()-1,FALSE))</f>
        <v>2.7548030080000001</v>
      </c>
      <c r="BG214">
        <f ca="1">IF(AND(ISNUMBER($BG$516),$B$294=1),$BG$516,HLOOKUP(INDIRECT(ADDRESS(2,COLUMN())),OFFSET($BN$2,0,0,ROW()-1,60),ROW()-1,FALSE))</f>
        <v>2.778499107</v>
      </c>
      <c r="BH214">
        <f ca="1">IF(AND(ISNUMBER($BH$516),$B$294=1),$BH$516,HLOOKUP(INDIRECT(ADDRESS(2,COLUMN())),OFFSET($BN$2,0,0,ROW()-1,60),ROW()-1,FALSE))</f>
        <v>2.5590599589999998</v>
      </c>
      <c r="BI214">
        <f ca="1">IF(AND(ISNUMBER($BI$516),$B$294=1),$BI$516,HLOOKUP(INDIRECT(ADDRESS(2,COLUMN())),OFFSET($BN$2,0,0,ROW()-1,60),ROW()-1,FALSE))</f>
        <v>2.615663981</v>
      </c>
      <c r="BJ214">
        <f ca="1">IF(AND(ISNUMBER($BJ$516),$B$294=1),$BJ$516,HLOOKUP(INDIRECT(ADDRESS(2,COLUMN())),OFFSET($BN$2,0,0,ROW()-1,60),ROW()-1,FALSE))</f>
        <v>2.636726635</v>
      </c>
      <c r="BK214">
        <f ca="1">IF(AND(ISNUMBER($BK$516),$B$294=1),$BK$516,HLOOKUP(INDIRECT(ADDRESS(2,COLUMN())),OFFSET($BN$2,0,0,ROW()-1,60),ROW()-1,FALSE))</f>
        <v>2.5989425339999999</v>
      </c>
      <c r="BL214">
        <f ca="1">IF(AND(ISNUMBER($BL$516),$B$294=1),$BL$516,HLOOKUP(INDIRECT(ADDRESS(2,COLUMN())),OFFSET($BN$2,0,0,ROW()-1,60),ROW()-1,FALSE))</f>
        <v>2.472508301</v>
      </c>
      <c r="BM214" t="str">
        <f ca="1">IF(AND(ISNUMBER($BM$516),$B$294=1),$BM$516,HLOOKUP(INDIRECT(ADDRESS(2,COLUMN())),OFFSET($BN$2,0,0,ROW()-1,60),ROW()-1,FALSE))</f>
        <v/>
      </c>
      <c r="BN214" t="str">
        <f>""</f>
        <v/>
      </c>
      <c r="BO214">
        <f>3.502546643</f>
        <v>3.5025466430000001</v>
      </c>
      <c r="BP214">
        <f>3.550400221</f>
        <v>3.5504002209999999</v>
      </c>
      <c r="BQ214">
        <f>3.569617824</f>
        <v>3.5696178239999998</v>
      </c>
      <c r="BR214">
        <f>3.387406261</f>
        <v>3.3874062610000002</v>
      </c>
      <c r="BS214">
        <f>3.474472392</f>
        <v>3.474472392</v>
      </c>
      <c r="BT214">
        <f>3.157879559</f>
        <v>3.1578795589999999</v>
      </c>
      <c r="BU214">
        <f>3.231440706</f>
        <v>3.2314407059999999</v>
      </c>
      <c r="BV214">
        <f>3.576611566</f>
        <v>3.576611566</v>
      </c>
      <c r="BW214">
        <f>3.275271673</f>
        <v>3.2752716730000002</v>
      </c>
      <c r="BX214">
        <f>3.231559829</f>
        <v>3.2315598290000001</v>
      </c>
      <c r="BY214">
        <f>3.175645744</f>
        <v>3.1756457440000001</v>
      </c>
      <c r="BZ214">
        <f>3.087952571</f>
        <v>3.0879525710000002</v>
      </c>
      <c r="CA214">
        <f>2.956725677</f>
        <v>2.9567256770000001</v>
      </c>
      <c r="CB214">
        <f>2.963793804</f>
        <v>2.9637938039999998</v>
      </c>
      <c r="CC214">
        <f>2.82788787</f>
        <v>2.8278878700000001</v>
      </c>
      <c r="CD214">
        <f>2.522927253</f>
        <v>2.5229272530000002</v>
      </c>
      <c r="CE214">
        <f>2.520254039</f>
        <v>2.5202540390000001</v>
      </c>
      <c r="CF214">
        <f>2.442814052</f>
        <v>2.4428140520000001</v>
      </c>
      <c r="CG214">
        <f>2.577255482</f>
        <v>2.577255482</v>
      </c>
      <c r="CH214">
        <f>2.169706838</f>
        <v>2.1697068380000002</v>
      </c>
      <c r="CI214">
        <f>2.493321576</f>
        <v>2.493321576</v>
      </c>
      <c r="CJ214">
        <f>2.381499175</f>
        <v>2.3814991750000001</v>
      </c>
      <c r="CK214">
        <f>2.594467323</f>
        <v>2.5944673229999999</v>
      </c>
      <c r="CL214">
        <f>2.214598425</f>
        <v>2.2145984250000001</v>
      </c>
      <c r="CM214">
        <f>2.334448593</f>
        <v>2.3344485929999998</v>
      </c>
      <c r="CN214">
        <f>2.528048318</f>
        <v>2.5280483180000002</v>
      </c>
      <c r="CO214">
        <f>2.483435445</f>
        <v>2.483435445</v>
      </c>
      <c r="CP214">
        <f>2.254007747</f>
        <v>2.2540077470000002</v>
      </c>
      <c r="CQ214">
        <f>2.262847404</f>
        <v>2.262847404</v>
      </c>
      <c r="CR214">
        <f>2.199458662</f>
        <v>2.1994586620000001</v>
      </c>
      <c r="CS214">
        <f>2.353902889</f>
        <v>2.353902889</v>
      </c>
      <c r="CT214">
        <f>2.207112824</f>
        <v>2.2071128240000002</v>
      </c>
      <c r="CU214">
        <f>2.270004009</f>
        <v>2.270004009</v>
      </c>
      <c r="CV214">
        <f>2.474420464</f>
        <v>2.474420464</v>
      </c>
      <c r="CW214">
        <f>2.654701156</f>
        <v>2.6547011559999998</v>
      </c>
      <c r="CX214">
        <f>2.230308689</f>
        <v>2.2303086890000001</v>
      </c>
      <c r="CY214">
        <f>2.628105201</f>
        <v>2.6281052009999999</v>
      </c>
      <c r="CZ214">
        <f>2.356906572</f>
        <v>2.3569065720000002</v>
      </c>
      <c r="DA214">
        <f>2.824222172</f>
        <v>2.8242221719999998</v>
      </c>
      <c r="DB214">
        <f>2.756340886</f>
        <v>2.7563408859999998</v>
      </c>
      <c r="DC214">
        <f>3.03607874</f>
        <v>3.0360787400000002</v>
      </c>
      <c r="DD214">
        <f>2.927574717</f>
        <v>2.9275747170000002</v>
      </c>
      <c r="DE214">
        <f>2.905417488</f>
        <v>2.9054174879999999</v>
      </c>
      <c r="DF214">
        <f>2.893206862</f>
        <v>2.893206862</v>
      </c>
      <c r="DG214">
        <f>3.123836498</f>
        <v>3.1238364980000002</v>
      </c>
      <c r="DH214">
        <f>3.062790172</f>
        <v>3.0627901720000001</v>
      </c>
      <c r="DI214">
        <f>2.855258373</f>
        <v>2.8552583729999998</v>
      </c>
      <c r="DJ214">
        <f>2.831496948</f>
        <v>2.8314969479999998</v>
      </c>
      <c r="DK214">
        <f>2.911484028</f>
        <v>2.9114840279999998</v>
      </c>
      <c r="DL214">
        <f>2.818502905</f>
        <v>2.8185029049999999</v>
      </c>
      <c r="DM214">
        <f>2.842379286</f>
        <v>2.8423792859999999</v>
      </c>
      <c r="DN214">
        <f>2.754803008</f>
        <v>2.7548030080000001</v>
      </c>
      <c r="DO214">
        <f>2.778499107</f>
        <v>2.778499107</v>
      </c>
      <c r="DP214">
        <f>2.559059959</f>
        <v>2.5590599589999998</v>
      </c>
      <c r="DQ214">
        <f>2.615663981</f>
        <v>2.615663981</v>
      </c>
      <c r="DR214">
        <f>2.636726635</f>
        <v>2.636726635</v>
      </c>
      <c r="DS214">
        <f>2.598942534</f>
        <v>2.5989425339999999</v>
      </c>
      <c r="DT214">
        <f>2.472508301</f>
        <v>2.472508301</v>
      </c>
      <c r="DU214" t="str">
        <f>""</f>
        <v/>
      </c>
    </row>
    <row r="215" spans="1:125">
      <c r="A215" t="str">
        <f>"    Brandywine Realty Trust"</f>
        <v xml:space="preserve">    Brandywine Realty Trust</v>
      </c>
      <c r="B215" t="str">
        <f>"BDN US Equity"</f>
        <v>BDN US Equity</v>
      </c>
      <c r="C215" t="str">
        <f t="shared" si="57"/>
        <v>RR059</v>
      </c>
      <c r="D215" t="str">
        <f t="shared" si="58"/>
        <v>EBITDA_TO_TOT_INT_EXP</v>
      </c>
      <c r="E215" t="str">
        <f t="shared" si="59"/>
        <v>动态</v>
      </c>
      <c r="F215" t="str">
        <f ca="1">IF(AND(ISNUMBER($F$517),$B$294=1),$F$517,HLOOKUP(INDIRECT(ADDRESS(2,COLUMN())),OFFSET($BN$2,0,0,ROW()-1,60),ROW()-1,FALSE))</f>
        <v/>
      </c>
      <c r="G215">
        <f ca="1">IF(AND(ISNUMBER($G$517),$B$294=1),$G$517,HLOOKUP(INDIRECT(ADDRESS(2,COLUMN())),OFFSET($BN$2,0,0,ROW()-1,60),ROW()-1,FALSE))</f>
        <v>3.4444550440000001</v>
      </c>
      <c r="H215">
        <f ca="1">IF(AND(ISNUMBER($H$517),$B$294=1),$H$517,HLOOKUP(INDIRECT(ADDRESS(2,COLUMN())),OFFSET($BN$2,0,0,ROW()-1,60),ROW()-1,FALSE))</f>
        <v>3.5380499410000001</v>
      </c>
      <c r="I215">
        <f ca="1">IF(AND(ISNUMBER($I$517),$B$294=1),$I$517,HLOOKUP(INDIRECT(ADDRESS(2,COLUMN())),OFFSET($BN$2,0,0,ROW()-1,60),ROW()-1,FALSE))</f>
        <v>3.3190965480000001</v>
      </c>
      <c r="J215">
        <f ca="1">IF(AND(ISNUMBER($J$517),$B$294=1),$J$517,HLOOKUP(INDIRECT(ADDRESS(2,COLUMN())),OFFSET($BN$2,0,0,ROW()-1,60),ROW()-1,FALSE))</f>
        <v>2.866413203</v>
      </c>
      <c r="K215">
        <f ca="1">IF(AND(ISNUMBER($K$517),$B$294=1),$K$517,HLOOKUP(INDIRECT(ADDRESS(2,COLUMN())),OFFSET($BN$2,0,0,ROW()-1,60),ROW()-1,FALSE))</f>
        <v>1.9054170619999999</v>
      </c>
      <c r="L215">
        <f ca="1">IF(AND(ISNUMBER($L$517),$B$294=1),$L$517,HLOOKUP(INDIRECT(ADDRESS(2,COLUMN())),OFFSET($BN$2,0,0,ROW()-1,60),ROW()-1,FALSE))</f>
        <v>3.022833178</v>
      </c>
      <c r="M215">
        <f ca="1">IF(AND(ISNUMBER($M$517),$B$294=1),$M$517,HLOOKUP(INDIRECT(ADDRESS(2,COLUMN())),OFFSET($BN$2,0,0,ROW()-1,60),ROW()-1,FALSE))</f>
        <v>2.68432337</v>
      </c>
      <c r="N215">
        <f ca="1">IF(AND(ISNUMBER($N$517),$B$294=1),$N$517,HLOOKUP(INDIRECT(ADDRESS(2,COLUMN())),OFFSET($BN$2,0,0,ROW()-1,60),ROW()-1,FALSE))</f>
        <v>2.2785153569999999</v>
      </c>
      <c r="O215">
        <f ca="1">IF(AND(ISNUMBER($O$517),$B$294=1),$O$517,HLOOKUP(INDIRECT(ADDRESS(2,COLUMN())),OFFSET($BN$2,0,0,ROW()-1,60),ROW()-1,FALSE))</f>
        <v>9.2604143E-2</v>
      </c>
      <c r="P215">
        <f ca="1">IF(AND(ISNUMBER($P$517),$B$294=1),$P$517,HLOOKUP(INDIRECT(ADDRESS(2,COLUMN())),OFFSET($BN$2,0,0,ROW()-1,60),ROW()-1,FALSE))</f>
        <v>2.6712831480000001</v>
      </c>
      <c r="Q215">
        <f ca="1">IF(AND(ISNUMBER($Q$517),$B$294=1),$Q$517,HLOOKUP(INDIRECT(ADDRESS(2,COLUMN())),OFFSET($BN$2,0,0,ROW()-1,60),ROW()-1,FALSE))</f>
        <v>2.606538424</v>
      </c>
      <c r="R215">
        <f ca="1">IF(AND(ISNUMBER($R$517),$B$294=1),$R$517,HLOOKUP(INDIRECT(ADDRESS(2,COLUMN())),OFFSET($BN$2,0,0,ROW()-1,60),ROW()-1,FALSE))</f>
        <v>2.5046045239999999</v>
      </c>
      <c r="S215">
        <f ca="1">IF(AND(ISNUMBER($S$517),$B$294=1),$S$517,HLOOKUP(INDIRECT(ADDRESS(2,COLUMN())),OFFSET($BN$2,0,0,ROW()-1,60),ROW()-1,FALSE))</f>
        <v>2.4063716479999999</v>
      </c>
      <c r="T215">
        <f ca="1">IF(AND(ISNUMBER($T$517),$B$294=1),$T$517,HLOOKUP(INDIRECT(ADDRESS(2,COLUMN())),OFFSET($BN$2,0,0,ROW()-1,60),ROW()-1,FALSE))</f>
        <v>2.3365373649999999</v>
      </c>
      <c r="U215">
        <f ca="1">IF(AND(ISNUMBER($U$517),$B$294=1),$U$517,HLOOKUP(INDIRECT(ADDRESS(2,COLUMN())),OFFSET($BN$2,0,0,ROW()-1,60),ROW()-1,FALSE))</f>
        <v>2.4636308329999999</v>
      </c>
      <c r="V215">
        <f ca="1">IF(AND(ISNUMBER($V$517),$B$294=1),$V$517,HLOOKUP(INDIRECT(ADDRESS(2,COLUMN())),OFFSET($BN$2,0,0,ROW()-1,60),ROW()-1,FALSE))</f>
        <v>2.399148324</v>
      </c>
      <c r="W215">
        <f ca="1">IF(AND(ISNUMBER($W$517),$B$294=1),$W$517,HLOOKUP(INDIRECT(ADDRESS(2,COLUMN())),OFFSET($BN$2,0,0,ROW()-1,60),ROW()-1,FALSE))</f>
        <v>2.1605269809999998</v>
      </c>
      <c r="X215">
        <f ca="1">IF(AND(ISNUMBER($X$517),$B$294=1),$X$517,HLOOKUP(INDIRECT(ADDRESS(2,COLUMN())),OFFSET($BN$2,0,0,ROW()-1,60),ROW()-1,FALSE))</f>
        <v>2.4333323070000001</v>
      </c>
      <c r="Y215">
        <f ca="1">IF(AND(ISNUMBER($Y$517),$B$294=1),$Y$517,HLOOKUP(INDIRECT(ADDRESS(2,COLUMN())),OFFSET($BN$2,0,0,ROW()-1,60),ROW()-1,FALSE))</f>
        <v>2.3827012399999998</v>
      </c>
      <c r="Z215">
        <f ca="1">IF(AND(ISNUMBER($Z$517),$B$294=1),$Z$517,HLOOKUP(INDIRECT(ADDRESS(2,COLUMN())),OFFSET($BN$2,0,0,ROW()-1,60),ROW()-1,FALSE))</f>
        <v>2.4243788770000001</v>
      </c>
      <c r="AA215">
        <f ca="1">IF(AND(ISNUMBER($AA$517),$B$294=1),$AA$517,HLOOKUP(INDIRECT(ADDRESS(2,COLUMN())),OFFSET($BN$2,0,0,ROW()-1,60),ROW()-1,FALSE))</f>
        <v>-2.1492151210000001</v>
      </c>
      <c r="AB215">
        <f ca="1">IF(AND(ISNUMBER($AB$517),$B$294=1),$AB$517,HLOOKUP(INDIRECT(ADDRESS(2,COLUMN())),OFFSET($BN$2,0,0,ROW()-1,60),ROW()-1,FALSE))</f>
        <v>2.2340204039999998</v>
      </c>
      <c r="AC215">
        <f ca="1">IF(AND(ISNUMBER($AC$517),$B$294=1),$AC$517,HLOOKUP(INDIRECT(ADDRESS(2,COLUMN())),OFFSET($BN$2,0,0,ROW()-1,60),ROW()-1,FALSE))</f>
        <v>2.2343072799999999</v>
      </c>
      <c r="AD215">
        <f ca="1">IF(AND(ISNUMBER($AD$517),$B$294=1),$AD$517,HLOOKUP(INDIRECT(ADDRESS(2,COLUMN())),OFFSET($BN$2,0,0,ROW()-1,60),ROW()-1,FALSE))</f>
        <v>2.2284080130000001</v>
      </c>
      <c r="AE215">
        <f ca="1">IF(AND(ISNUMBER($AE$517),$B$294=1),$AE$517,HLOOKUP(INDIRECT(ADDRESS(2,COLUMN())),OFFSET($BN$2,0,0,ROW()-1,60),ROW()-1,FALSE))</f>
        <v>2.4024634329999999</v>
      </c>
      <c r="AF215">
        <f ca="1">IF(AND(ISNUMBER($AF$517),$B$294=1),$AF$517,HLOOKUP(INDIRECT(ADDRESS(2,COLUMN())),OFFSET($BN$2,0,0,ROW()-1,60),ROW()-1,FALSE))</f>
        <v>2.3916567990000002</v>
      </c>
      <c r="AG215">
        <f ca="1">IF(AND(ISNUMBER($AG$517),$B$294=1),$AG$517,HLOOKUP(INDIRECT(ADDRESS(2,COLUMN())),OFFSET($BN$2,0,0,ROW()-1,60),ROW()-1,FALSE))</f>
        <v>2.2738345949999998</v>
      </c>
      <c r="AH215">
        <f ca="1">IF(AND(ISNUMBER($AH$517),$B$294=1),$AH$517,HLOOKUP(INDIRECT(ADDRESS(2,COLUMN())),OFFSET($BN$2,0,0,ROW()-1,60),ROW()-1,FALSE))</f>
        <v>2.3730509870000001</v>
      </c>
      <c r="AI215">
        <f ca="1">IF(AND(ISNUMBER($AI$517),$B$294=1),$AI$517,HLOOKUP(INDIRECT(ADDRESS(2,COLUMN())),OFFSET($BN$2,0,0,ROW()-1,60),ROW()-1,FALSE))</f>
        <v>2.1919361500000001</v>
      </c>
      <c r="AJ215">
        <f ca="1">IF(AND(ISNUMBER($AJ$517),$B$294=1),$AJ$517,HLOOKUP(INDIRECT(ADDRESS(2,COLUMN())),OFFSET($BN$2,0,0,ROW()-1,60),ROW()-1,FALSE))</f>
        <v>2.2693110650000001</v>
      </c>
      <c r="AK215">
        <f ca="1">IF(AND(ISNUMBER($AK$517),$B$294=1),$AK$517,HLOOKUP(INDIRECT(ADDRESS(2,COLUMN())),OFFSET($BN$2,0,0,ROW()-1,60),ROW()-1,FALSE))</f>
        <v>2.1213315690000001</v>
      </c>
      <c r="AL215">
        <f ca="1">IF(AND(ISNUMBER($AL$517),$B$294=1),$AL$517,HLOOKUP(INDIRECT(ADDRESS(2,COLUMN())),OFFSET($BN$2,0,0,ROW()-1,60),ROW()-1,FALSE))</f>
        <v>2.3972528870000001</v>
      </c>
      <c r="AM215">
        <f ca="1">IF(AND(ISNUMBER($AM$517),$B$294=1),$AM$517,HLOOKUP(INDIRECT(ADDRESS(2,COLUMN())),OFFSET($BN$2,0,0,ROW()-1,60),ROW()-1,FALSE))</f>
        <v>1.8000370889999999</v>
      </c>
      <c r="AN215">
        <f ca="1">IF(AND(ISNUMBER($AN$517),$B$294=1),$AN$517,HLOOKUP(INDIRECT(ADDRESS(2,COLUMN())),OFFSET($BN$2,0,0,ROW()-1,60),ROW()-1,FALSE))</f>
        <v>2.3099231100000002</v>
      </c>
      <c r="AO215">
        <f ca="1">IF(AND(ISNUMBER($AO$517),$B$294=1),$AO$517,HLOOKUP(INDIRECT(ADDRESS(2,COLUMN())),OFFSET($BN$2,0,0,ROW()-1,60),ROW()-1,FALSE))</f>
        <v>2.0463290550000002</v>
      </c>
      <c r="AP215">
        <f ca="1">IF(AND(ISNUMBER($AP$517),$B$294=1),$AP$517,HLOOKUP(INDIRECT(ADDRESS(2,COLUMN())),OFFSET($BN$2,0,0,ROW()-1,60),ROW()-1,FALSE))</f>
        <v>2.148347641</v>
      </c>
      <c r="AQ215">
        <f ca="1">IF(AND(ISNUMBER($AQ$517),$B$294=1),$AQ$517,HLOOKUP(INDIRECT(ADDRESS(2,COLUMN())),OFFSET($BN$2,0,0,ROW()-1,60),ROW()-1,FALSE))</f>
        <v>1.497554335</v>
      </c>
      <c r="AR215">
        <f ca="1">IF(AND(ISNUMBER($AR$517),$B$294=1),$AR$517,HLOOKUP(INDIRECT(ADDRESS(2,COLUMN())),OFFSET($BN$2,0,0,ROW()-1,60),ROW()-1,FALSE))</f>
        <v>1.8834768049999999</v>
      </c>
      <c r="AS215">
        <f ca="1">IF(AND(ISNUMBER($AS$517),$B$294=1),$AS$517,HLOOKUP(INDIRECT(ADDRESS(2,COLUMN())),OFFSET($BN$2,0,0,ROW()-1,60),ROW()-1,FALSE))</f>
        <v>2.0352888760000001</v>
      </c>
      <c r="AT215">
        <f ca="1">IF(AND(ISNUMBER($AT$517),$B$294=1),$AT$517,HLOOKUP(INDIRECT(ADDRESS(2,COLUMN())),OFFSET($BN$2,0,0,ROW()-1,60),ROW()-1,FALSE))</f>
        <v>2.2034242229999998</v>
      </c>
      <c r="AU215">
        <f ca="1">IF(AND(ISNUMBER($AU$517),$B$294=1),$AU$517,HLOOKUP(INDIRECT(ADDRESS(2,COLUMN())),OFFSET($BN$2,0,0,ROW()-1,60),ROW()-1,FALSE))</f>
        <v>2.0230655610000001</v>
      </c>
      <c r="AV215">
        <f ca="1">IF(AND(ISNUMBER($AV$517),$B$294=1),$AV$517,HLOOKUP(INDIRECT(ADDRESS(2,COLUMN())),OFFSET($BN$2,0,0,ROW()-1,60),ROW()-1,FALSE))</f>
        <v>2.0986692709999999</v>
      </c>
      <c r="AW215">
        <f ca="1">IF(AND(ISNUMBER($AW$517),$B$294=1),$AW$517,HLOOKUP(INDIRECT(ADDRESS(2,COLUMN())),OFFSET($BN$2,0,0,ROW()-1,60),ROW()-1,FALSE))</f>
        <v>1.7703610409999999</v>
      </c>
      <c r="AX215">
        <f ca="1">IF(AND(ISNUMBER($AX$517),$B$294=1),$AX$517,HLOOKUP(INDIRECT(ADDRESS(2,COLUMN())),OFFSET($BN$2,0,0,ROW()-1,60),ROW()-1,FALSE))</f>
        <v>2.0293962099999998</v>
      </c>
      <c r="AY215">
        <f ca="1">IF(AND(ISNUMBER($AY$517),$B$294=1),$AY$517,HLOOKUP(INDIRECT(ADDRESS(2,COLUMN())),OFFSET($BN$2,0,0,ROW()-1,60),ROW()-1,FALSE))</f>
        <v>2.0781482580000001</v>
      </c>
      <c r="AZ215">
        <f ca="1">IF(AND(ISNUMBER($AZ$517),$B$294=1),$AZ$517,HLOOKUP(INDIRECT(ADDRESS(2,COLUMN())),OFFSET($BN$2,0,0,ROW()-1,60),ROW()-1,FALSE))</f>
        <v>1.8945964989999999</v>
      </c>
      <c r="BA215">
        <f ca="1">IF(AND(ISNUMBER($BA$517),$B$294=1),$BA$517,HLOOKUP(INDIRECT(ADDRESS(2,COLUMN())),OFFSET($BN$2,0,0,ROW()-1,60),ROW()-1,FALSE))</f>
        <v>1.9900012680000001</v>
      </c>
      <c r="BB215">
        <f ca="1">IF(AND(ISNUMBER($BB$517),$B$294=1),$BB$517,HLOOKUP(INDIRECT(ADDRESS(2,COLUMN())),OFFSET($BN$2,0,0,ROW()-1,60),ROW()-1,FALSE))</f>
        <v>2.0190544209999999</v>
      </c>
      <c r="BC215">
        <f ca="1">IF(AND(ISNUMBER($BC$517),$B$294=1),$BC$517,HLOOKUP(INDIRECT(ADDRESS(2,COLUMN())),OFFSET($BN$2,0,0,ROW()-1,60),ROW()-1,FALSE))</f>
        <v>1.586024068</v>
      </c>
      <c r="BD215">
        <f ca="1">IF(AND(ISNUMBER($BD$517),$B$294=1),$BD$517,HLOOKUP(INDIRECT(ADDRESS(2,COLUMN())),OFFSET($BN$2,0,0,ROW()-1,60),ROW()-1,FALSE))</f>
        <v>3.007881995</v>
      </c>
      <c r="BE215">
        <f ca="1">IF(AND(ISNUMBER($BE$517),$B$294=1),$BE$517,HLOOKUP(INDIRECT(ADDRESS(2,COLUMN())),OFFSET($BN$2,0,0,ROW()-1,60),ROW()-1,FALSE))</f>
        <v>2.954793059</v>
      </c>
      <c r="BF215">
        <f ca="1">IF(AND(ISNUMBER($BF$517),$B$294=1),$BF$517,HLOOKUP(INDIRECT(ADDRESS(2,COLUMN())),OFFSET($BN$2,0,0,ROW()-1,60),ROW()-1,FALSE))</f>
        <v>2.7416832750000002</v>
      </c>
      <c r="BG215">
        <f ca="1">IF(AND(ISNUMBER($BG$517),$B$294=1),$BG$517,HLOOKUP(INDIRECT(ADDRESS(2,COLUMN())),OFFSET($BN$2,0,0,ROW()-1,60),ROW()-1,FALSE))</f>
        <v>2.7353422549999999</v>
      </c>
      <c r="BH215">
        <f ca="1">IF(AND(ISNUMBER($BH$517),$B$294=1),$BH$517,HLOOKUP(INDIRECT(ADDRESS(2,COLUMN())),OFFSET($BN$2,0,0,ROW()-1,60),ROW()-1,FALSE))</f>
        <v>1.3521875539999999</v>
      </c>
      <c r="BI215">
        <f ca="1">IF(AND(ISNUMBER($BI$517),$B$294=1),$BI$517,HLOOKUP(INDIRECT(ADDRESS(2,COLUMN())),OFFSET($BN$2,0,0,ROW()-1,60),ROW()-1,FALSE))</f>
        <v>3.783059926</v>
      </c>
      <c r="BJ215">
        <f ca="1">IF(AND(ISNUMBER($BJ$517),$B$294=1),$BJ$517,HLOOKUP(INDIRECT(ADDRESS(2,COLUMN())),OFFSET($BN$2,0,0,ROW()-1,60),ROW()-1,FALSE))</f>
        <v>3.13368</v>
      </c>
      <c r="BK215" t="str">
        <f ca="1">IF(AND(ISNUMBER($BK$517),$B$294=1),$BK$517,HLOOKUP(INDIRECT(ADDRESS(2,COLUMN())),OFFSET($BN$2,0,0,ROW()-1,60),ROW()-1,FALSE))</f>
        <v/>
      </c>
      <c r="BL215">
        <f ca="1">IF(AND(ISNUMBER($BL$517),$B$294=1),$BL$517,HLOOKUP(INDIRECT(ADDRESS(2,COLUMN())),OFFSET($BN$2,0,0,ROW()-1,60),ROW()-1,FALSE))</f>
        <v>3.294267423</v>
      </c>
      <c r="BM215">
        <f ca="1">IF(AND(ISNUMBER($BM$517),$B$294=1),$BM$517,HLOOKUP(INDIRECT(ADDRESS(2,COLUMN())),OFFSET($BN$2,0,0,ROW()-1,60),ROW()-1,FALSE))</f>
        <v>2.8425300180000002</v>
      </c>
      <c r="BN215" t="str">
        <f>""</f>
        <v/>
      </c>
      <c r="BO215">
        <f>3.444455044</f>
        <v>3.4444550440000001</v>
      </c>
      <c r="BP215">
        <f>3.538049941</f>
        <v>3.5380499410000001</v>
      </c>
      <c r="BQ215">
        <f>3.319096548</f>
        <v>3.3190965480000001</v>
      </c>
      <c r="BR215">
        <f>2.866413203</f>
        <v>2.866413203</v>
      </c>
      <c r="BS215">
        <f>1.905417062</f>
        <v>1.9054170619999999</v>
      </c>
      <c r="BT215">
        <f>3.022833178</f>
        <v>3.022833178</v>
      </c>
      <c r="BU215">
        <f>2.68432337</f>
        <v>2.68432337</v>
      </c>
      <c r="BV215">
        <f>2.278515357</f>
        <v>2.2785153569999999</v>
      </c>
      <c r="BW215">
        <f>0.092604143</f>
        <v>9.2604143E-2</v>
      </c>
      <c r="BX215">
        <f>2.671283148</f>
        <v>2.6712831480000001</v>
      </c>
      <c r="BY215">
        <f>2.606538424</f>
        <v>2.606538424</v>
      </c>
      <c r="BZ215">
        <f>2.504604524</f>
        <v>2.5046045239999999</v>
      </c>
      <c r="CA215">
        <f>2.406371648</f>
        <v>2.4063716479999999</v>
      </c>
      <c r="CB215">
        <f>2.336537365</f>
        <v>2.3365373649999999</v>
      </c>
      <c r="CC215">
        <f>2.463630833</f>
        <v>2.4636308329999999</v>
      </c>
      <c r="CD215">
        <f>2.399148324</f>
        <v>2.399148324</v>
      </c>
      <c r="CE215">
        <f>2.160526981</f>
        <v>2.1605269809999998</v>
      </c>
      <c r="CF215">
        <f>2.433332307</f>
        <v>2.4333323070000001</v>
      </c>
      <c r="CG215">
        <f>2.38270124</f>
        <v>2.3827012399999998</v>
      </c>
      <c r="CH215">
        <f>2.424378877</f>
        <v>2.4243788770000001</v>
      </c>
      <c r="CI215">
        <f>-2.149215121</f>
        <v>-2.1492151210000001</v>
      </c>
      <c r="CJ215">
        <f>2.234020404</f>
        <v>2.2340204039999998</v>
      </c>
      <c r="CK215">
        <f>2.23430728</f>
        <v>2.2343072799999999</v>
      </c>
      <c r="CL215">
        <f>2.228408013</f>
        <v>2.2284080130000001</v>
      </c>
      <c r="CM215">
        <f>2.402463433</f>
        <v>2.4024634329999999</v>
      </c>
      <c r="CN215">
        <f>2.391656799</f>
        <v>2.3916567990000002</v>
      </c>
      <c r="CO215">
        <f>2.273834595</f>
        <v>2.2738345949999998</v>
      </c>
      <c r="CP215">
        <f>2.373050987</f>
        <v>2.3730509870000001</v>
      </c>
      <c r="CQ215">
        <f>2.19193615</f>
        <v>2.1919361500000001</v>
      </c>
      <c r="CR215">
        <f>2.269311065</f>
        <v>2.2693110650000001</v>
      </c>
      <c r="CS215">
        <f>2.121331569</f>
        <v>2.1213315690000001</v>
      </c>
      <c r="CT215">
        <f>2.397252887</f>
        <v>2.3972528870000001</v>
      </c>
      <c r="CU215">
        <f>1.800037089</f>
        <v>1.8000370889999999</v>
      </c>
      <c r="CV215">
        <f>2.30992311</f>
        <v>2.3099231100000002</v>
      </c>
      <c r="CW215">
        <f>2.046329055</f>
        <v>2.0463290550000002</v>
      </c>
      <c r="CX215">
        <f>2.148347641</f>
        <v>2.148347641</v>
      </c>
      <c r="CY215">
        <f>1.497554335</f>
        <v>1.497554335</v>
      </c>
      <c r="CZ215">
        <f>1.883476805</f>
        <v>1.8834768049999999</v>
      </c>
      <c r="DA215">
        <f>2.035288876</f>
        <v>2.0352888760000001</v>
      </c>
      <c r="DB215">
        <f>2.203424223</f>
        <v>2.2034242229999998</v>
      </c>
      <c r="DC215">
        <f>2.023065561</f>
        <v>2.0230655610000001</v>
      </c>
      <c r="DD215">
        <f>2.098669271</f>
        <v>2.0986692709999999</v>
      </c>
      <c r="DE215">
        <f>1.770361041</f>
        <v>1.7703610409999999</v>
      </c>
      <c r="DF215">
        <f>2.02939621</f>
        <v>2.0293962099999998</v>
      </c>
      <c r="DG215">
        <f>2.078148258</f>
        <v>2.0781482580000001</v>
      </c>
      <c r="DH215">
        <f>1.894596499</f>
        <v>1.8945964989999999</v>
      </c>
      <c r="DI215">
        <f>1.990001268</f>
        <v>1.9900012680000001</v>
      </c>
      <c r="DJ215">
        <f>2.019054421</f>
        <v>2.0190544209999999</v>
      </c>
      <c r="DK215">
        <f>1.586024068</f>
        <v>1.586024068</v>
      </c>
      <c r="DL215">
        <f>3.007881995</f>
        <v>3.007881995</v>
      </c>
      <c r="DM215">
        <f>2.954793059</f>
        <v>2.954793059</v>
      </c>
      <c r="DN215">
        <f>2.741683275</f>
        <v>2.7416832750000002</v>
      </c>
      <c r="DO215">
        <f>2.735342255</f>
        <v>2.7353422549999999</v>
      </c>
      <c r="DP215">
        <f>1.352187554</f>
        <v>1.3521875539999999</v>
      </c>
      <c r="DQ215">
        <f>3.783059926</f>
        <v>3.783059926</v>
      </c>
      <c r="DR215">
        <f>3.13368</f>
        <v>3.13368</v>
      </c>
      <c r="DS215" t="str">
        <f>""</f>
        <v/>
      </c>
      <c r="DT215">
        <f>3.294267423</f>
        <v>3.294267423</v>
      </c>
      <c r="DU215">
        <f>2.842530018</f>
        <v>2.8425300180000002</v>
      </c>
    </row>
    <row r="216" spans="1:125">
      <c r="A216" t="str">
        <f>"    Columbia Property Trust Inc"</f>
        <v xml:space="preserve">    Columbia Property Trust Inc</v>
      </c>
      <c r="B216" t="str">
        <f>"CXP US Equity"</f>
        <v>CXP US Equity</v>
      </c>
      <c r="C216" t="str">
        <f t="shared" si="57"/>
        <v>RR059</v>
      </c>
      <c r="D216" t="str">
        <f t="shared" si="58"/>
        <v>EBITDA_TO_TOT_INT_EXP</v>
      </c>
      <c r="E216" t="str">
        <f t="shared" si="59"/>
        <v>动态</v>
      </c>
      <c r="F216" t="str">
        <f ca="1">IF(AND(ISNUMBER($F$518),$B$294=1),$F$518,HLOOKUP(INDIRECT(ADDRESS(2,COLUMN())),OFFSET($BN$2,0,0,ROW()-1,60),ROW()-1,FALSE))</f>
        <v/>
      </c>
      <c r="G216">
        <f ca="1">IF(AND(ISNUMBER($G$518),$B$294=1),$G$518,HLOOKUP(INDIRECT(ADDRESS(2,COLUMN())),OFFSET($BN$2,0,0,ROW()-1,60),ROW()-1,FALSE))</f>
        <v>2.5902970569999999</v>
      </c>
      <c r="H216">
        <f ca="1">IF(AND(ISNUMBER($H$518),$B$294=1),$H$518,HLOOKUP(INDIRECT(ADDRESS(2,COLUMN())),OFFSET($BN$2,0,0,ROW()-1,60),ROW()-1,FALSE))</f>
        <v>2.3295091979999998</v>
      </c>
      <c r="I216">
        <f ca="1">IF(AND(ISNUMBER($I$518),$B$294=1),$I$518,HLOOKUP(INDIRECT(ADDRESS(2,COLUMN())),OFFSET($BN$2,0,0,ROW()-1,60),ROW()-1,FALSE))</f>
        <v>2.9930161800000001</v>
      </c>
      <c r="J216">
        <f ca="1">IF(AND(ISNUMBER($J$518),$B$294=1),$J$518,HLOOKUP(INDIRECT(ADDRESS(2,COLUMN())),OFFSET($BN$2,0,0,ROW()-1,60),ROW()-1,FALSE))</f>
        <v>3.0664902409999999</v>
      </c>
      <c r="K216">
        <f ca="1">IF(AND(ISNUMBER($K$518),$B$294=1),$K$518,HLOOKUP(INDIRECT(ADDRESS(2,COLUMN())),OFFSET($BN$2,0,0,ROW()-1,60),ROW()-1,FALSE))</f>
        <v>3.8159141769999998</v>
      </c>
      <c r="L216">
        <f ca="1">IF(AND(ISNUMBER($L$518),$B$294=1),$L$518,HLOOKUP(INDIRECT(ADDRESS(2,COLUMN())),OFFSET($BN$2,0,0,ROW()-1,60),ROW()-1,FALSE))</f>
        <v>3.540903256</v>
      </c>
      <c r="M216">
        <f ca="1">IF(AND(ISNUMBER($M$518),$B$294=1),$M$518,HLOOKUP(INDIRECT(ADDRESS(2,COLUMN())),OFFSET($BN$2,0,0,ROW()-1,60),ROW()-1,FALSE))</f>
        <v>4.1956271579999997</v>
      </c>
      <c r="N216">
        <f ca="1">IF(AND(ISNUMBER($N$518),$B$294=1),$N$518,HLOOKUP(INDIRECT(ADDRESS(2,COLUMN())),OFFSET($BN$2,0,0,ROW()-1,60),ROW()-1,FALSE))</f>
        <v>3.8425434429999998</v>
      </c>
      <c r="O216">
        <f ca="1">IF(AND(ISNUMBER($O$518),$B$294=1),$O$518,HLOOKUP(INDIRECT(ADDRESS(2,COLUMN())),OFFSET($BN$2,0,0,ROW()-1,60),ROW()-1,FALSE))</f>
        <v>3.9111636459999999</v>
      </c>
      <c r="P216">
        <f ca="1">IF(AND(ISNUMBER($P$518),$B$294=1),$P$518,HLOOKUP(INDIRECT(ADDRESS(2,COLUMN())),OFFSET($BN$2,0,0,ROW()-1,60),ROW()-1,FALSE))</f>
        <v>3.3845175360000002</v>
      </c>
      <c r="Q216">
        <f ca="1">IF(AND(ISNUMBER($Q$518),$B$294=1),$Q$518,HLOOKUP(INDIRECT(ADDRESS(2,COLUMN())),OFFSET($BN$2,0,0,ROW()-1,60),ROW()-1,FALSE))</f>
        <v>3.7382385239999998</v>
      </c>
      <c r="R216">
        <f ca="1">IF(AND(ISNUMBER($R$518),$B$294=1),$R$518,HLOOKUP(INDIRECT(ADDRESS(2,COLUMN())),OFFSET($BN$2,0,0,ROW()-1,60),ROW()-1,FALSE))</f>
        <v>3.7246322840000001</v>
      </c>
      <c r="S216">
        <f ca="1">IF(AND(ISNUMBER($S$518),$B$294=1),$S$518,HLOOKUP(INDIRECT(ADDRESS(2,COLUMN())),OFFSET($BN$2,0,0,ROW()-1,60),ROW()-1,FALSE))</f>
        <v>3.3972442549999999</v>
      </c>
      <c r="T216">
        <f ca="1">IF(AND(ISNUMBER($T$518),$B$294=1),$T$518,HLOOKUP(INDIRECT(ADDRESS(2,COLUMN())),OFFSET($BN$2,0,0,ROW()-1,60),ROW()-1,FALSE))</f>
        <v>3.8059980279999999</v>
      </c>
      <c r="U216">
        <f ca="1">IF(AND(ISNUMBER($U$518),$B$294=1),$U$518,HLOOKUP(INDIRECT(ADDRESS(2,COLUMN())),OFFSET($BN$2,0,0,ROW()-1,60),ROW()-1,FALSE))</f>
        <v>4.0133085900000003</v>
      </c>
      <c r="V216">
        <f ca="1">IF(AND(ISNUMBER($V$518),$B$294=1),$V$518,HLOOKUP(INDIRECT(ADDRESS(2,COLUMN())),OFFSET($BN$2,0,0,ROW()-1,60),ROW()-1,FALSE))</f>
        <v>3.6284757120000002</v>
      </c>
      <c r="W216">
        <f ca="1">IF(AND(ISNUMBER($W$518),$B$294=1),$W$518,HLOOKUP(INDIRECT(ADDRESS(2,COLUMN())),OFFSET($BN$2,0,0,ROW()-1,60),ROW()-1,FALSE))</f>
        <v>3.3673407790000001</v>
      </c>
      <c r="X216">
        <f ca="1">IF(AND(ISNUMBER($X$518),$B$294=1),$X$518,HLOOKUP(INDIRECT(ADDRESS(2,COLUMN())),OFFSET($BN$2,0,0,ROW()-1,60),ROW()-1,FALSE))</f>
        <v>3.1926073700000002</v>
      </c>
      <c r="Y216">
        <f ca="1">IF(AND(ISNUMBER($Y$518),$B$294=1),$Y$518,HLOOKUP(INDIRECT(ADDRESS(2,COLUMN())),OFFSET($BN$2,0,0,ROW()-1,60),ROW()-1,FALSE))</f>
        <v>3.3000499059999999</v>
      </c>
      <c r="Z216">
        <f ca="1">IF(AND(ISNUMBER($Z$518),$B$294=1),$Z$518,HLOOKUP(INDIRECT(ADDRESS(2,COLUMN())),OFFSET($BN$2,0,0,ROW()-1,60),ROW()-1,FALSE))</f>
        <v>1.9195683779999999</v>
      </c>
      <c r="AA216">
        <f ca="1">IF(AND(ISNUMBER($AA$518),$B$294=1),$AA$518,HLOOKUP(INDIRECT(ADDRESS(2,COLUMN())),OFFSET($BN$2,0,0,ROW()-1,60),ROW()-1,FALSE))</f>
        <v>2.835900428</v>
      </c>
      <c r="AB216">
        <f ca="1">IF(AND(ISNUMBER($AB$518),$B$294=1),$AB$518,HLOOKUP(INDIRECT(ADDRESS(2,COLUMN())),OFFSET($BN$2,0,0,ROW()-1,60),ROW()-1,FALSE))</f>
        <v>3.1072189610000001</v>
      </c>
      <c r="AC216">
        <f ca="1">IF(AND(ISNUMBER($AC$518),$B$294=1),$AC$518,HLOOKUP(INDIRECT(ADDRESS(2,COLUMN())),OFFSET($BN$2,0,0,ROW()-1,60),ROW()-1,FALSE))</f>
        <v>3.0933046819999999</v>
      </c>
      <c r="AD216">
        <f ca="1">IF(AND(ISNUMBER($AD$518),$B$294=1),$AD$518,HLOOKUP(INDIRECT(ADDRESS(2,COLUMN())),OFFSET($BN$2,0,0,ROW()-1,60),ROW()-1,FALSE))</f>
        <v>3.23149804</v>
      </c>
      <c r="AE216">
        <f ca="1">IF(AND(ISNUMBER($AE$518),$B$294=1),$AE$518,HLOOKUP(INDIRECT(ADDRESS(2,COLUMN())),OFFSET($BN$2,0,0,ROW()-1,60),ROW()-1,FALSE))</f>
        <v>2.4176909129999999</v>
      </c>
      <c r="AF216">
        <f ca="1">IF(AND(ISNUMBER($AF$518),$B$294=1),$AF$518,HLOOKUP(INDIRECT(ADDRESS(2,COLUMN())),OFFSET($BN$2,0,0,ROW()-1,60),ROW()-1,FALSE))</f>
        <v>3.2119330079999999</v>
      </c>
      <c r="AG216">
        <f ca="1">IF(AND(ISNUMBER($AG$518),$B$294=1),$AG$518,HLOOKUP(INDIRECT(ADDRESS(2,COLUMN())),OFFSET($BN$2,0,0,ROW()-1,60),ROW()-1,FALSE))</f>
        <v>2.8739931520000002</v>
      </c>
      <c r="AH216">
        <f ca="1">IF(AND(ISNUMBER($AH$518),$B$294=1),$AH$518,HLOOKUP(INDIRECT(ADDRESS(2,COLUMN())),OFFSET($BN$2,0,0,ROW()-1,60),ROW()-1,FALSE))</f>
        <v>3.3678321680000001</v>
      </c>
      <c r="AI216">
        <f ca="1">IF(AND(ISNUMBER($AI$518),$B$294=1),$AI$518,HLOOKUP(INDIRECT(ADDRESS(2,COLUMN())),OFFSET($BN$2,0,0,ROW()-1,60),ROW()-1,FALSE))</f>
        <v>4.6591104239999996</v>
      </c>
      <c r="AJ216">
        <f ca="1">IF(AND(ISNUMBER($AJ$518),$B$294=1),$AJ$518,HLOOKUP(INDIRECT(ADDRESS(2,COLUMN())),OFFSET($BN$2,0,0,ROW()-1,60),ROW()-1,FALSE))</f>
        <v>3.8045025890000002</v>
      </c>
      <c r="AK216">
        <f ca="1">IF(AND(ISNUMBER($AK$518),$B$294=1),$AK$518,HLOOKUP(INDIRECT(ADDRESS(2,COLUMN())),OFFSET($BN$2,0,0,ROW()-1,60),ROW()-1,FALSE))</f>
        <v>3.3040027909999998</v>
      </c>
      <c r="AL216">
        <f ca="1">IF(AND(ISNUMBER($AL$518),$B$294=1),$AL$518,HLOOKUP(INDIRECT(ADDRESS(2,COLUMN())),OFFSET($BN$2,0,0,ROW()-1,60),ROW()-1,FALSE))</f>
        <v>3.2792664469999999</v>
      </c>
      <c r="AM216">
        <f ca="1">IF(AND(ISNUMBER($AM$518),$B$294=1),$AM$518,HLOOKUP(INDIRECT(ADDRESS(2,COLUMN())),OFFSET($BN$2,0,0,ROW()-1,60),ROW()-1,FALSE))</f>
        <v>4.2001426190000002</v>
      </c>
      <c r="AN216">
        <f ca="1">IF(AND(ISNUMBER($AN$518),$B$294=1),$AN$518,HLOOKUP(INDIRECT(ADDRESS(2,COLUMN())),OFFSET($BN$2,0,0,ROW()-1,60),ROW()-1,FALSE))</f>
        <v>3.1974644639999998</v>
      </c>
      <c r="AO216">
        <f ca="1">IF(AND(ISNUMBER($AO$518),$B$294=1),$AO$518,HLOOKUP(INDIRECT(ADDRESS(2,COLUMN())),OFFSET($BN$2,0,0,ROW()-1,60),ROW()-1,FALSE))</f>
        <v>3.0928870650000002</v>
      </c>
      <c r="AP216">
        <f ca="1">IF(AND(ISNUMBER($AP$518),$B$294=1),$AP$518,HLOOKUP(INDIRECT(ADDRESS(2,COLUMN())),OFFSET($BN$2,0,0,ROW()-1,60),ROW()-1,FALSE))</f>
        <v>3.0933461640000002</v>
      </c>
      <c r="AQ216" t="str">
        <f ca="1">IF(AND(ISNUMBER($AQ$518),$B$294=1),$AQ$518,HLOOKUP(INDIRECT(ADDRESS(2,COLUMN())),OFFSET($BN$2,0,0,ROW()-1,60),ROW()-1,FALSE))</f>
        <v/>
      </c>
      <c r="AR216" t="str">
        <f ca="1">IF(AND(ISNUMBER($AR$518),$B$294=1),$AR$518,HLOOKUP(INDIRECT(ADDRESS(2,COLUMN())),OFFSET($BN$2,0,0,ROW()-1,60),ROW()-1,FALSE))</f>
        <v/>
      </c>
      <c r="AS216" t="str">
        <f ca="1">IF(AND(ISNUMBER($AS$518),$B$294=1),$AS$518,HLOOKUP(INDIRECT(ADDRESS(2,COLUMN())),OFFSET($BN$2,0,0,ROW()-1,60),ROW()-1,FALSE))</f>
        <v/>
      </c>
      <c r="AT216" t="str">
        <f ca="1">IF(AND(ISNUMBER($AT$518),$B$294=1),$AT$518,HLOOKUP(INDIRECT(ADDRESS(2,COLUMN())),OFFSET($BN$2,0,0,ROW()-1,60),ROW()-1,FALSE))</f>
        <v/>
      </c>
      <c r="AU216" t="str">
        <f ca="1">IF(AND(ISNUMBER($AU$518),$B$294=1),$AU$518,HLOOKUP(INDIRECT(ADDRESS(2,COLUMN())),OFFSET($BN$2,0,0,ROW()-1,60),ROW()-1,FALSE))</f>
        <v/>
      </c>
      <c r="AV216" t="str">
        <f ca="1">IF(AND(ISNUMBER($AV$518),$B$294=1),$AV$518,HLOOKUP(INDIRECT(ADDRESS(2,COLUMN())),OFFSET($BN$2,0,0,ROW()-1,60),ROW()-1,FALSE))</f>
        <v/>
      </c>
      <c r="AW216" t="str">
        <f ca="1">IF(AND(ISNUMBER($AW$518),$B$294=1),$AW$518,HLOOKUP(INDIRECT(ADDRESS(2,COLUMN())),OFFSET($BN$2,0,0,ROW()-1,60),ROW()-1,FALSE))</f>
        <v/>
      </c>
      <c r="AX216" t="str">
        <f ca="1">IF(AND(ISNUMBER($AX$518),$B$294=1),$AX$518,HLOOKUP(INDIRECT(ADDRESS(2,COLUMN())),OFFSET($BN$2,0,0,ROW()-1,60),ROW()-1,FALSE))</f>
        <v/>
      </c>
      <c r="AY216" t="str">
        <f ca="1">IF(AND(ISNUMBER($AY$518),$B$294=1),$AY$518,HLOOKUP(INDIRECT(ADDRESS(2,COLUMN())),OFFSET($BN$2,0,0,ROW()-1,60),ROW()-1,FALSE))</f>
        <v/>
      </c>
      <c r="AZ216" t="str">
        <f ca="1">IF(AND(ISNUMBER($AZ$518),$B$294=1),$AZ$518,HLOOKUP(INDIRECT(ADDRESS(2,COLUMN())),OFFSET($BN$2,0,0,ROW()-1,60),ROW()-1,FALSE))</f>
        <v/>
      </c>
      <c r="BA216" t="str">
        <f ca="1">IF(AND(ISNUMBER($BA$518),$B$294=1),$BA$518,HLOOKUP(INDIRECT(ADDRESS(2,COLUMN())),OFFSET($BN$2,0,0,ROW()-1,60),ROW()-1,FALSE))</f>
        <v/>
      </c>
      <c r="BB216" t="str">
        <f ca="1">IF(AND(ISNUMBER($BB$518),$B$294=1),$BB$518,HLOOKUP(INDIRECT(ADDRESS(2,COLUMN())),OFFSET($BN$2,0,0,ROW()-1,60),ROW()-1,FALSE))</f>
        <v/>
      </c>
      <c r="BC216" t="str">
        <f ca="1">IF(AND(ISNUMBER($BC$518),$B$294=1),$BC$518,HLOOKUP(INDIRECT(ADDRESS(2,COLUMN())),OFFSET($BN$2,0,0,ROW()-1,60),ROW()-1,FALSE))</f>
        <v/>
      </c>
      <c r="BD216" t="str">
        <f ca="1">IF(AND(ISNUMBER($BD$518),$B$294=1),$BD$518,HLOOKUP(INDIRECT(ADDRESS(2,COLUMN())),OFFSET($BN$2,0,0,ROW()-1,60),ROW()-1,FALSE))</f>
        <v/>
      </c>
      <c r="BE216" t="str">
        <f ca="1">IF(AND(ISNUMBER($BE$518),$B$294=1),$BE$518,HLOOKUP(INDIRECT(ADDRESS(2,COLUMN())),OFFSET($BN$2,0,0,ROW()-1,60),ROW()-1,FALSE))</f>
        <v/>
      </c>
      <c r="BF216" t="str">
        <f ca="1">IF(AND(ISNUMBER($BF$518),$B$294=1),$BF$518,HLOOKUP(INDIRECT(ADDRESS(2,COLUMN())),OFFSET($BN$2,0,0,ROW()-1,60),ROW()-1,FALSE))</f>
        <v/>
      </c>
      <c r="BG216" t="str">
        <f ca="1">IF(AND(ISNUMBER($BG$518),$B$294=1),$BG$518,HLOOKUP(INDIRECT(ADDRESS(2,COLUMN())),OFFSET($BN$2,0,0,ROW()-1,60),ROW()-1,FALSE))</f>
        <v/>
      </c>
      <c r="BH216" t="str">
        <f ca="1">IF(AND(ISNUMBER($BH$518),$B$294=1),$BH$518,HLOOKUP(INDIRECT(ADDRESS(2,COLUMN())),OFFSET($BN$2,0,0,ROW()-1,60),ROW()-1,FALSE))</f>
        <v/>
      </c>
      <c r="BI216" t="str">
        <f ca="1">IF(AND(ISNUMBER($BI$518),$B$294=1),$BI$518,HLOOKUP(INDIRECT(ADDRESS(2,COLUMN())),OFFSET($BN$2,0,0,ROW()-1,60),ROW()-1,FALSE))</f>
        <v/>
      </c>
      <c r="BJ216" t="str">
        <f ca="1">IF(AND(ISNUMBER($BJ$518),$B$294=1),$BJ$518,HLOOKUP(INDIRECT(ADDRESS(2,COLUMN())),OFFSET($BN$2,0,0,ROW()-1,60),ROW()-1,FALSE))</f>
        <v/>
      </c>
      <c r="BK216" t="str">
        <f ca="1">IF(AND(ISNUMBER($BK$518),$B$294=1),$BK$518,HLOOKUP(INDIRECT(ADDRESS(2,COLUMN())),OFFSET($BN$2,0,0,ROW()-1,60),ROW()-1,FALSE))</f>
        <v/>
      </c>
      <c r="BL216" t="str">
        <f ca="1">IF(AND(ISNUMBER($BL$518),$B$294=1),$BL$518,HLOOKUP(INDIRECT(ADDRESS(2,COLUMN())),OFFSET($BN$2,0,0,ROW()-1,60),ROW()-1,FALSE))</f>
        <v/>
      </c>
      <c r="BM216" t="str">
        <f ca="1">IF(AND(ISNUMBER($BM$518),$B$294=1),$BM$518,HLOOKUP(INDIRECT(ADDRESS(2,COLUMN())),OFFSET($BN$2,0,0,ROW()-1,60),ROW()-1,FALSE))</f>
        <v/>
      </c>
      <c r="BN216" t="str">
        <f>""</f>
        <v/>
      </c>
      <c r="BO216">
        <f>2.590297057</f>
        <v>2.5902970569999999</v>
      </c>
      <c r="BP216">
        <f>2.329509198</f>
        <v>2.3295091979999998</v>
      </c>
      <c r="BQ216">
        <f>2.99301618</f>
        <v>2.9930161800000001</v>
      </c>
      <c r="BR216">
        <f>3.066490241</f>
        <v>3.0664902409999999</v>
      </c>
      <c r="BS216">
        <f>3.815914177</f>
        <v>3.8159141769999998</v>
      </c>
      <c r="BT216">
        <f>3.540903256</f>
        <v>3.540903256</v>
      </c>
      <c r="BU216">
        <f>4.195627158</f>
        <v>4.1956271579999997</v>
      </c>
      <c r="BV216">
        <f>3.842543443</f>
        <v>3.8425434429999998</v>
      </c>
      <c r="BW216">
        <f>3.911163646</f>
        <v>3.9111636459999999</v>
      </c>
      <c r="BX216">
        <f>3.384517536</f>
        <v>3.3845175360000002</v>
      </c>
      <c r="BY216">
        <f>3.738238524</f>
        <v>3.7382385239999998</v>
      </c>
      <c r="BZ216">
        <f>3.724632284</f>
        <v>3.7246322840000001</v>
      </c>
      <c r="CA216">
        <f>3.397244255</f>
        <v>3.3972442549999999</v>
      </c>
      <c r="CB216">
        <f>3.805998028</f>
        <v>3.8059980279999999</v>
      </c>
      <c r="CC216">
        <f>4.01330859</f>
        <v>4.0133085900000003</v>
      </c>
      <c r="CD216">
        <f>3.628475712</f>
        <v>3.6284757120000002</v>
      </c>
      <c r="CE216">
        <f>3.367340779</f>
        <v>3.3673407790000001</v>
      </c>
      <c r="CF216">
        <f>3.19260737</f>
        <v>3.1926073700000002</v>
      </c>
      <c r="CG216">
        <f>3.300049906</f>
        <v>3.3000499059999999</v>
      </c>
      <c r="CH216">
        <f>1.919568378</f>
        <v>1.9195683779999999</v>
      </c>
      <c r="CI216">
        <f>2.835900428</f>
        <v>2.835900428</v>
      </c>
      <c r="CJ216">
        <f>3.107218961</f>
        <v>3.1072189610000001</v>
      </c>
      <c r="CK216">
        <f>3.093304682</f>
        <v>3.0933046819999999</v>
      </c>
      <c r="CL216">
        <f>3.23149804</f>
        <v>3.23149804</v>
      </c>
      <c r="CM216">
        <f>2.417690913</f>
        <v>2.4176909129999999</v>
      </c>
      <c r="CN216">
        <f>3.211933008</f>
        <v>3.2119330079999999</v>
      </c>
      <c r="CO216">
        <f>2.873993152</f>
        <v>2.8739931520000002</v>
      </c>
      <c r="CP216">
        <f>3.367832168</f>
        <v>3.3678321680000001</v>
      </c>
      <c r="CQ216">
        <f>4.659110424</f>
        <v>4.6591104239999996</v>
      </c>
      <c r="CR216">
        <f>3.804502589</f>
        <v>3.8045025890000002</v>
      </c>
      <c r="CS216">
        <f>3.304002791</f>
        <v>3.3040027909999998</v>
      </c>
      <c r="CT216">
        <f>3.279266447</f>
        <v>3.2792664469999999</v>
      </c>
      <c r="CU216">
        <f>4.200142619</f>
        <v>4.2001426190000002</v>
      </c>
      <c r="CV216">
        <f>3.197464464</f>
        <v>3.1974644639999998</v>
      </c>
      <c r="CW216">
        <f>3.092887065</f>
        <v>3.0928870650000002</v>
      </c>
      <c r="CX216">
        <f>3.093346164</f>
        <v>3.0933461640000002</v>
      </c>
      <c r="CY216" t="str">
        <f>""</f>
        <v/>
      </c>
      <c r="CZ216" t="str">
        <f>""</f>
        <v/>
      </c>
      <c r="DA216" t="str">
        <f>""</f>
        <v/>
      </c>
      <c r="DB216" t="str">
        <f>""</f>
        <v/>
      </c>
      <c r="DC216" t="str">
        <f>""</f>
        <v/>
      </c>
      <c r="DD216" t="str">
        <f>""</f>
        <v/>
      </c>
      <c r="DE216" t="str">
        <f>""</f>
        <v/>
      </c>
      <c r="DF216" t="str">
        <f>""</f>
        <v/>
      </c>
      <c r="DG216" t="str">
        <f>""</f>
        <v/>
      </c>
      <c r="DH216" t="str">
        <f>""</f>
        <v/>
      </c>
      <c r="DI216" t="str">
        <f>""</f>
        <v/>
      </c>
      <c r="DJ216" t="str">
        <f>""</f>
        <v/>
      </c>
      <c r="DK216" t="str">
        <f>""</f>
        <v/>
      </c>
      <c r="DL216" t="str">
        <f>""</f>
        <v/>
      </c>
      <c r="DM216" t="str">
        <f>""</f>
        <v/>
      </c>
      <c r="DN216" t="str">
        <f>""</f>
        <v/>
      </c>
      <c r="DO216" t="str">
        <f>""</f>
        <v/>
      </c>
      <c r="DP216" t="str">
        <f>""</f>
        <v/>
      </c>
      <c r="DQ216" t="str">
        <f>""</f>
        <v/>
      </c>
      <c r="DR216" t="str">
        <f>""</f>
        <v/>
      </c>
      <c r="DS216" t="str">
        <f>""</f>
        <v/>
      </c>
      <c r="DT216" t="str">
        <f>""</f>
        <v/>
      </c>
      <c r="DU216" t="str">
        <f>""</f>
        <v/>
      </c>
    </row>
    <row r="217" spans="1:125">
      <c r="A217" t="str">
        <f>"    Corporate Office Properties Tr"</f>
        <v xml:space="preserve">    Corporate Office Properties Tr</v>
      </c>
      <c r="B217" t="str">
        <f>"OFC US Equity"</f>
        <v>OFC US Equity</v>
      </c>
      <c r="C217" t="str">
        <f t="shared" si="57"/>
        <v>RR059</v>
      </c>
      <c r="D217" t="str">
        <f t="shared" si="58"/>
        <v>EBITDA_TO_TOT_INT_EXP</v>
      </c>
      <c r="E217" t="str">
        <f t="shared" si="59"/>
        <v>动态</v>
      </c>
      <c r="F217" t="str">
        <f ca="1">IF(AND(ISNUMBER($F$519),$B$294=1),$F$519,HLOOKUP(INDIRECT(ADDRESS(2,COLUMN())),OFFSET($BN$2,0,0,ROW()-1,60),ROW()-1,FALSE))</f>
        <v/>
      </c>
      <c r="G217">
        <f ca="1">IF(AND(ISNUMBER($G$519),$B$294=1),$G$519,HLOOKUP(INDIRECT(ADDRESS(2,COLUMN())),OFFSET($BN$2,0,0,ROW()-1,60),ROW()-1,FALSE))</f>
        <v>2.9336066789999999</v>
      </c>
      <c r="H217">
        <f ca="1">IF(AND(ISNUMBER($H$519),$B$294=1),$H$519,HLOOKUP(INDIRECT(ADDRESS(2,COLUMN())),OFFSET($BN$2,0,0,ROW()-1,60),ROW()-1,FALSE))</f>
        <v>3.5700699980000001</v>
      </c>
      <c r="I217">
        <f ca="1">IF(AND(ISNUMBER($I$519),$B$294=1),$I$519,HLOOKUP(INDIRECT(ADDRESS(2,COLUMN())),OFFSET($BN$2,0,0,ROW()-1,60),ROW()-1,FALSE))</f>
        <v>3.3694040630000002</v>
      </c>
      <c r="J217">
        <f ca="1">IF(AND(ISNUMBER($J$519),$B$294=1),$J$519,HLOOKUP(INDIRECT(ADDRESS(2,COLUMN())),OFFSET($BN$2,0,0,ROW()-1,60),ROW()-1,FALSE))</f>
        <v>3.3619001220000002</v>
      </c>
      <c r="K217">
        <f ca="1">IF(AND(ISNUMBER($K$519),$B$294=1),$K$519,HLOOKUP(INDIRECT(ADDRESS(2,COLUMN())),OFFSET($BN$2,0,0,ROW()-1,60),ROW()-1,FALSE))</f>
        <v>3.529502564</v>
      </c>
      <c r="L217">
        <f ca="1">IF(AND(ISNUMBER($L$519),$B$294=1),$L$519,HLOOKUP(INDIRECT(ADDRESS(2,COLUMN())),OFFSET($BN$2,0,0,ROW()-1,60),ROW()-1,FALSE))</f>
        <v>2.2590123580000001</v>
      </c>
      <c r="M217">
        <f ca="1">IF(AND(ISNUMBER($M$519),$B$294=1),$M$519,HLOOKUP(INDIRECT(ADDRESS(2,COLUMN())),OFFSET($BN$2,0,0,ROW()-1,60),ROW()-1,FALSE))</f>
        <v>0.28200843799999997</v>
      </c>
      <c r="N217">
        <f ca="1">IF(AND(ISNUMBER($N$519),$B$294=1),$N$519,HLOOKUP(INDIRECT(ADDRESS(2,COLUMN())),OFFSET($BN$2,0,0,ROW()-1,60),ROW()-1,FALSE))</f>
        <v>2.5865767580000001</v>
      </c>
      <c r="O217">
        <f ca="1">IF(AND(ISNUMBER($O$519),$B$294=1),$O$519,HLOOKUP(INDIRECT(ADDRESS(2,COLUMN())),OFFSET($BN$2,0,0,ROW()-1,60),ROW()-1,FALSE))</f>
        <v>2.3845831409999998</v>
      </c>
      <c r="P217">
        <f ca="1">IF(AND(ISNUMBER($P$519),$B$294=1),$P$519,HLOOKUP(INDIRECT(ADDRESS(2,COLUMN())),OFFSET($BN$2,0,0,ROW()-1,60),ROW()-1,FALSE))</f>
        <v>2.7642523360000002</v>
      </c>
      <c r="Q217">
        <f ca="1">IF(AND(ISNUMBER($Q$519),$B$294=1),$Q$519,HLOOKUP(INDIRECT(ADDRESS(2,COLUMN())),OFFSET($BN$2,0,0,ROW()-1,60),ROW()-1,FALSE))</f>
        <v>3.026562105</v>
      </c>
      <c r="R217">
        <f ca="1">IF(AND(ISNUMBER($R$519),$B$294=1),$R$519,HLOOKUP(INDIRECT(ADDRESS(2,COLUMN())),OFFSET($BN$2,0,0,ROW()-1,60),ROW()-1,FALSE))</f>
        <v>2.7281671749999998</v>
      </c>
      <c r="S217">
        <f ca="1">IF(AND(ISNUMBER($S$519),$B$294=1),$S$519,HLOOKUP(INDIRECT(ADDRESS(2,COLUMN())),OFFSET($BN$2,0,0,ROW()-1,60),ROW()-1,FALSE))</f>
        <v>2.7551395150000002</v>
      </c>
      <c r="T217">
        <f ca="1">IF(AND(ISNUMBER($T$519),$B$294=1),$T$519,HLOOKUP(INDIRECT(ADDRESS(2,COLUMN())),OFFSET($BN$2,0,0,ROW()-1,60),ROW()-1,FALSE))</f>
        <v>2.6129032259999998</v>
      </c>
      <c r="U217">
        <f ca="1">IF(AND(ISNUMBER($U$519),$B$294=1),$U$519,HLOOKUP(INDIRECT(ADDRESS(2,COLUMN())),OFFSET($BN$2,0,0,ROW()-1,60),ROW()-1,FALSE))</f>
        <v>2.555430501</v>
      </c>
      <c r="V217">
        <f ca="1">IF(AND(ISNUMBER($V$519),$B$294=1),$V$519,HLOOKUP(INDIRECT(ADDRESS(2,COLUMN())),OFFSET($BN$2,0,0,ROW()-1,60),ROW()-1,FALSE))</f>
        <v>3.0903375400000002</v>
      </c>
      <c r="W217">
        <f ca="1">IF(AND(ISNUMBER($W$519),$B$294=1),$W$519,HLOOKUP(INDIRECT(ADDRESS(2,COLUMN())),OFFSET($BN$2,0,0,ROW()-1,60),ROW()-1,FALSE))</f>
        <v>2.8534737379999999</v>
      </c>
      <c r="X217">
        <f ca="1">IF(AND(ISNUMBER($X$519),$B$294=1),$X$519,HLOOKUP(INDIRECT(ADDRESS(2,COLUMN())),OFFSET($BN$2,0,0,ROW()-1,60),ROW()-1,FALSE))</f>
        <v>2.803128772</v>
      </c>
      <c r="Y217">
        <f ca="1">IF(AND(ISNUMBER($Y$519),$B$294=1),$Y$519,HLOOKUP(INDIRECT(ADDRESS(2,COLUMN())),OFFSET($BN$2,0,0,ROW()-1,60),ROW()-1,FALSE))</f>
        <v>3.0036634769999999</v>
      </c>
      <c r="Z217">
        <f ca="1">IF(AND(ISNUMBER($Z$519),$B$294=1),$Z$519,HLOOKUP(INDIRECT(ADDRESS(2,COLUMN())),OFFSET($BN$2,0,0,ROW()-1,60),ROW()-1,FALSE))</f>
        <v>2.8623622740000001</v>
      </c>
      <c r="AA217">
        <f ca="1">IF(AND(ISNUMBER($AA$519),$B$294=1),$AA$519,HLOOKUP(INDIRECT(ADDRESS(2,COLUMN())),OFFSET($BN$2,0,0,ROW()-1,60),ROW()-1,FALSE))</f>
        <v>2.6274542849999998</v>
      </c>
      <c r="AB217">
        <f ca="1">IF(AND(ISNUMBER($AB$519),$B$294=1),$AB$519,HLOOKUP(INDIRECT(ADDRESS(2,COLUMN())),OFFSET($BN$2,0,0,ROW()-1,60),ROW()-1,FALSE))</f>
        <v>0.85198393299999997</v>
      </c>
      <c r="AC217">
        <f ca="1">IF(AND(ISNUMBER($AC$519),$B$294=1),$AC$519,HLOOKUP(INDIRECT(ADDRESS(2,COLUMN())),OFFSET($BN$2,0,0,ROW()-1,60),ROW()-1,FALSE))</f>
        <v>2.3631955169999999</v>
      </c>
      <c r="AD217">
        <f ca="1">IF(AND(ISNUMBER($AD$519),$B$294=1),$AD$519,HLOOKUP(INDIRECT(ADDRESS(2,COLUMN())),OFFSET($BN$2,0,0,ROW()-1,60),ROW()-1,FALSE))</f>
        <v>2.405051185</v>
      </c>
      <c r="AE217">
        <f ca="1">IF(AND(ISNUMBER($AE$519),$B$294=1),$AE$519,HLOOKUP(INDIRECT(ADDRESS(2,COLUMN())),OFFSET($BN$2,0,0,ROW()-1,60),ROW()-1,FALSE))</f>
        <v>0.89020642800000005</v>
      </c>
      <c r="AF217">
        <f ca="1">IF(AND(ISNUMBER($AF$519),$B$294=1),$AF$519,HLOOKUP(INDIRECT(ADDRESS(2,COLUMN())),OFFSET($BN$2,0,0,ROW()-1,60),ROW()-1,FALSE))</f>
        <v>2.243653229</v>
      </c>
      <c r="AG217">
        <f ca="1">IF(AND(ISNUMBER($AG$519),$B$294=1),$AG$519,HLOOKUP(INDIRECT(ADDRESS(2,COLUMN())),OFFSET($BN$2,0,0,ROW()-1,60),ROW()-1,FALSE))</f>
        <v>1.5522997160000001</v>
      </c>
      <c r="AH217">
        <f ca="1">IF(AND(ISNUMBER($AH$519),$B$294=1),$AH$519,HLOOKUP(INDIRECT(ADDRESS(2,COLUMN())),OFFSET($BN$2,0,0,ROW()-1,60),ROW()-1,FALSE))</f>
        <v>1.237941805</v>
      </c>
      <c r="AI217">
        <f ca="1">IF(AND(ISNUMBER($AI$519),$B$294=1),$AI$519,HLOOKUP(INDIRECT(ADDRESS(2,COLUMN())),OFFSET($BN$2,0,0,ROW()-1,60),ROW()-1,FALSE))</f>
        <v>2.634776617</v>
      </c>
      <c r="AJ217">
        <f ca="1">IF(AND(ISNUMBER($AJ$519),$B$294=1),$AJ$519,HLOOKUP(INDIRECT(ADDRESS(2,COLUMN())),OFFSET($BN$2,0,0,ROW()-1,60),ROW()-1,FALSE))</f>
        <v>2.036676199</v>
      </c>
      <c r="AK217">
        <f ca="1">IF(AND(ISNUMBER($AK$519),$B$294=1),$AK$519,HLOOKUP(INDIRECT(ADDRESS(2,COLUMN())),OFFSET($BN$2,0,0,ROW()-1,60),ROW()-1,FALSE))</f>
        <v>2.1225483610000002</v>
      </c>
      <c r="AL217">
        <f ca="1">IF(AND(ISNUMBER($AL$519),$B$294=1),$AL$519,HLOOKUP(INDIRECT(ADDRESS(2,COLUMN())),OFFSET($BN$2,0,0,ROW()-1,60),ROW()-1,FALSE))</f>
        <v>2.2450891849999999</v>
      </c>
      <c r="AM217">
        <f ca="1">IF(AND(ISNUMBER($AM$519),$B$294=1),$AM$519,HLOOKUP(INDIRECT(ADDRESS(2,COLUMN())),OFFSET($BN$2,0,0,ROW()-1,60),ROW()-1,FALSE))</f>
        <v>1.0720183190000001</v>
      </c>
      <c r="AN217">
        <f ca="1">IF(AND(ISNUMBER($AN$519),$B$294=1),$AN$519,HLOOKUP(INDIRECT(ADDRESS(2,COLUMN())),OFFSET($BN$2,0,0,ROW()-1,60),ROW()-1,FALSE))</f>
        <v>3.6889850609999999</v>
      </c>
      <c r="AO217">
        <f ca="1">IF(AND(ISNUMBER($AO$519),$B$294=1),$AO$519,HLOOKUP(INDIRECT(ADDRESS(2,COLUMN())),OFFSET($BN$2,0,0,ROW()-1,60),ROW()-1,FALSE))</f>
        <v>2.8568015930000001</v>
      </c>
      <c r="AP217">
        <f ca="1">IF(AND(ISNUMBER($AP$519),$B$294=1),$AP$519,HLOOKUP(INDIRECT(ADDRESS(2,COLUMN())),OFFSET($BN$2,0,0,ROW()-1,60),ROW()-1,FALSE))</f>
        <v>2.6516637329999999</v>
      </c>
      <c r="AQ217">
        <f ca="1">IF(AND(ISNUMBER($AQ$519),$B$294=1),$AQ$519,HLOOKUP(INDIRECT(ADDRESS(2,COLUMN())),OFFSET($BN$2,0,0,ROW()-1,60),ROW()-1,FALSE))</f>
        <v>2.898259516</v>
      </c>
      <c r="AR217">
        <f ca="1">IF(AND(ISNUMBER($AR$519),$B$294=1),$AR$519,HLOOKUP(INDIRECT(ADDRESS(2,COLUMN())),OFFSET($BN$2,0,0,ROW()-1,60),ROW()-1,FALSE))</f>
        <v>2.2790526350000002</v>
      </c>
      <c r="AS217">
        <f ca="1">IF(AND(ISNUMBER($AS$519),$B$294=1),$AS$519,HLOOKUP(INDIRECT(ADDRESS(2,COLUMN())),OFFSET($BN$2,0,0,ROW()-1,60),ROW()-1,FALSE))</f>
        <v>2.290095349</v>
      </c>
      <c r="AT217">
        <f ca="1">IF(AND(ISNUMBER($AT$519),$B$294=1),$AT$519,HLOOKUP(INDIRECT(ADDRESS(2,COLUMN())),OFFSET($BN$2,0,0,ROW()-1,60),ROW()-1,FALSE))</f>
        <v>2.1390554719999999</v>
      </c>
      <c r="AU217">
        <f ca="1">IF(AND(ISNUMBER($AU$519),$B$294=1),$AU$519,HLOOKUP(INDIRECT(ADDRESS(2,COLUMN())),OFFSET($BN$2,0,0,ROW()-1,60),ROW()-1,FALSE))</f>
        <v>1.7717096020000001</v>
      </c>
      <c r="AV217">
        <f ca="1">IF(AND(ISNUMBER($AV$519),$B$294=1),$AV$519,HLOOKUP(INDIRECT(ADDRESS(2,COLUMN())),OFFSET($BN$2,0,0,ROW()-1,60),ROW()-1,FALSE))</f>
        <v>2.1579474620000001</v>
      </c>
      <c r="AW217">
        <f ca="1">IF(AND(ISNUMBER($AW$519),$B$294=1),$AW$519,HLOOKUP(INDIRECT(ADDRESS(2,COLUMN())),OFFSET($BN$2,0,0,ROW()-1,60),ROW()-1,FALSE))</f>
        <v>2.1828409610000001</v>
      </c>
      <c r="AX217">
        <f ca="1">IF(AND(ISNUMBER($AX$519),$B$294=1),$AX$519,HLOOKUP(INDIRECT(ADDRESS(2,COLUMN())),OFFSET($BN$2,0,0,ROW()-1,60),ROW()-1,FALSE))</f>
        <v>2.1525895450000001</v>
      </c>
      <c r="AY217">
        <f ca="1">IF(AND(ISNUMBER($AY$519),$B$294=1),$AY$519,HLOOKUP(INDIRECT(ADDRESS(2,COLUMN())),OFFSET($BN$2,0,0,ROW()-1,60),ROW()-1,FALSE))</f>
        <v>2.095577086</v>
      </c>
      <c r="AZ217">
        <f ca="1">IF(AND(ISNUMBER($AZ$519),$B$294=1),$AZ$519,HLOOKUP(INDIRECT(ADDRESS(2,COLUMN())),OFFSET($BN$2,0,0,ROW()-1,60),ROW()-1,FALSE))</f>
        <v>2.119256112</v>
      </c>
      <c r="BA217">
        <f ca="1">IF(AND(ISNUMBER($BA$519),$B$294=1),$BA$519,HLOOKUP(INDIRECT(ADDRESS(2,COLUMN())),OFFSET($BN$2,0,0,ROW()-1,60),ROW()-1,FALSE))</f>
        <v>2.197997462</v>
      </c>
      <c r="BB217">
        <f ca="1">IF(AND(ISNUMBER($BB$519),$B$294=1),$BB$519,HLOOKUP(INDIRECT(ADDRESS(2,COLUMN())),OFFSET($BN$2,0,0,ROW()-1,60),ROW()-1,FALSE))</f>
        <v>2.1949312089999999</v>
      </c>
      <c r="BC217">
        <f ca="1">IF(AND(ISNUMBER($BC$519),$B$294=1),$BC$519,HLOOKUP(INDIRECT(ADDRESS(2,COLUMN())),OFFSET($BN$2,0,0,ROW()-1,60),ROW()-1,FALSE))</f>
        <v>2.7320172010000001</v>
      </c>
      <c r="BD217">
        <f ca="1">IF(AND(ISNUMBER($BD$519),$B$294=1),$BD$519,HLOOKUP(INDIRECT(ADDRESS(2,COLUMN())),OFFSET($BN$2,0,0,ROW()-1,60),ROW()-1,FALSE))</f>
        <v>2.7785729030000001</v>
      </c>
      <c r="BE217">
        <f ca="1">IF(AND(ISNUMBER($BE$519),$B$294=1),$BE$519,HLOOKUP(INDIRECT(ADDRESS(2,COLUMN())),OFFSET($BN$2,0,0,ROW()-1,60),ROW()-1,FALSE))</f>
        <v>2.8522579709999998</v>
      </c>
      <c r="BF217">
        <f ca="1">IF(AND(ISNUMBER($BF$519),$B$294=1),$BF$519,HLOOKUP(INDIRECT(ADDRESS(2,COLUMN())),OFFSET($BN$2,0,0,ROW()-1,60),ROW()-1,FALSE))</f>
        <v>2.9112891150000002</v>
      </c>
      <c r="BG217">
        <f ca="1">IF(AND(ISNUMBER($BG$519),$B$294=1),$BG$519,HLOOKUP(INDIRECT(ADDRESS(2,COLUMN())),OFFSET($BN$2,0,0,ROW()-1,60),ROW()-1,FALSE))</f>
        <v>2.9604493330000001</v>
      </c>
      <c r="BH217">
        <f ca="1">IF(AND(ISNUMBER($BH$519),$B$294=1),$BH$519,HLOOKUP(INDIRECT(ADDRESS(2,COLUMN())),OFFSET($BN$2,0,0,ROW()-1,60),ROW()-1,FALSE))</f>
        <v>3.0644730990000002</v>
      </c>
      <c r="BI217">
        <f ca="1">IF(AND(ISNUMBER($BI$519),$B$294=1),$BI$519,HLOOKUP(INDIRECT(ADDRESS(2,COLUMN())),OFFSET($BN$2,0,0,ROW()-1,60),ROW()-1,FALSE))</f>
        <v>3.3562738329999999</v>
      </c>
      <c r="BJ217">
        <f ca="1">IF(AND(ISNUMBER($BJ$519),$B$294=1),$BJ$519,HLOOKUP(INDIRECT(ADDRESS(2,COLUMN())),OFFSET($BN$2,0,0,ROW()-1,60),ROW()-1,FALSE))</f>
        <v>2.894344034</v>
      </c>
      <c r="BK217">
        <f ca="1">IF(AND(ISNUMBER($BK$519),$B$294=1),$BK$519,HLOOKUP(INDIRECT(ADDRESS(2,COLUMN())),OFFSET($BN$2,0,0,ROW()-1,60),ROW()-1,FALSE))</f>
        <v>2.8615223140000001</v>
      </c>
      <c r="BL217">
        <f ca="1">IF(AND(ISNUMBER($BL$519),$B$294=1),$BL$519,HLOOKUP(INDIRECT(ADDRESS(2,COLUMN())),OFFSET($BN$2,0,0,ROW()-1,60),ROW()-1,FALSE))</f>
        <v>2.781604068</v>
      </c>
      <c r="BM217">
        <f ca="1">IF(AND(ISNUMBER($BM$519),$B$294=1),$BM$519,HLOOKUP(INDIRECT(ADDRESS(2,COLUMN())),OFFSET($BN$2,0,0,ROW()-1,60),ROW()-1,FALSE))</f>
        <v>2.6268811140000001</v>
      </c>
      <c r="BN217" t="str">
        <f>""</f>
        <v/>
      </c>
      <c r="BO217">
        <f>2.933606679</f>
        <v>2.9336066789999999</v>
      </c>
      <c r="BP217">
        <f>3.570069998</f>
        <v>3.5700699980000001</v>
      </c>
      <c r="BQ217">
        <f>3.369404063</f>
        <v>3.3694040630000002</v>
      </c>
      <c r="BR217">
        <f>3.361900122</f>
        <v>3.3619001220000002</v>
      </c>
      <c r="BS217">
        <f>3.529502564</f>
        <v>3.529502564</v>
      </c>
      <c r="BT217">
        <f>2.259012358</f>
        <v>2.2590123580000001</v>
      </c>
      <c r="BU217">
        <f>0.282008438</f>
        <v>0.28200843799999997</v>
      </c>
      <c r="BV217">
        <f>2.586576758</f>
        <v>2.5865767580000001</v>
      </c>
      <c r="BW217">
        <f>2.384583141</f>
        <v>2.3845831409999998</v>
      </c>
      <c r="BX217">
        <f>2.764252336</f>
        <v>2.7642523360000002</v>
      </c>
      <c r="BY217">
        <f>3.026562105</f>
        <v>3.026562105</v>
      </c>
      <c r="BZ217">
        <f>2.728167175</f>
        <v>2.7281671749999998</v>
      </c>
      <c r="CA217">
        <f>2.755139515</f>
        <v>2.7551395150000002</v>
      </c>
      <c r="CB217">
        <f>2.612903226</f>
        <v>2.6129032259999998</v>
      </c>
      <c r="CC217">
        <f>2.555430501</f>
        <v>2.555430501</v>
      </c>
      <c r="CD217">
        <f>3.09033754</f>
        <v>3.0903375400000002</v>
      </c>
      <c r="CE217">
        <f>2.853473738</f>
        <v>2.8534737379999999</v>
      </c>
      <c r="CF217">
        <f>2.803128772</f>
        <v>2.803128772</v>
      </c>
      <c r="CG217">
        <f>3.003663477</f>
        <v>3.0036634769999999</v>
      </c>
      <c r="CH217">
        <f>2.862362274</f>
        <v>2.8623622740000001</v>
      </c>
      <c r="CI217">
        <f>2.627454285</f>
        <v>2.6274542849999998</v>
      </c>
      <c r="CJ217">
        <f>0.851983933</f>
        <v>0.85198393299999997</v>
      </c>
      <c r="CK217">
        <f>2.363195517</f>
        <v>2.3631955169999999</v>
      </c>
      <c r="CL217">
        <f>2.405051185</f>
        <v>2.405051185</v>
      </c>
      <c r="CM217">
        <f>0.890206428</f>
        <v>0.89020642800000005</v>
      </c>
      <c r="CN217">
        <f>2.243653229</f>
        <v>2.243653229</v>
      </c>
      <c r="CO217">
        <f>1.552299716</f>
        <v>1.5522997160000001</v>
      </c>
      <c r="CP217">
        <f>1.237941805</f>
        <v>1.237941805</v>
      </c>
      <c r="CQ217">
        <f>2.634776617</f>
        <v>2.634776617</v>
      </c>
      <c r="CR217">
        <f>2.036676199</f>
        <v>2.036676199</v>
      </c>
      <c r="CS217">
        <f>2.122548361</f>
        <v>2.1225483610000002</v>
      </c>
      <c r="CT217">
        <f>2.245089185</f>
        <v>2.2450891849999999</v>
      </c>
      <c r="CU217">
        <f>1.072018319</f>
        <v>1.0720183190000001</v>
      </c>
      <c r="CV217">
        <f>3.688985061</f>
        <v>3.6889850609999999</v>
      </c>
      <c r="CW217">
        <f>2.856801593</f>
        <v>2.8568015930000001</v>
      </c>
      <c r="CX217">
        <f>2.651663733</f>
        <v>2.6516637329999999</v>
      </c>
      <c r="CY217">
        <f>2.898259516</f>
        <v>2.898259516</v>
      </c>
      <c r="CZ217">
        <f>2.279052635</f>
        <v>2.2790526350000002</v>
      </c>
      <c r="DA217">
        <f>2.290095349</f>
        <v>2.290095349</v>
      </c>
      <c r="DB217">
        <f>2.139055472</f>
        <v>2.1390554719999999</v>
      </c>
      <c r="DC217">
        <f>1.771709602</f>
        <v>1.7717096020000001</v>
      </c>
      <c r="DD217">
        <f>2.157947462</f>
        <v>2.1579474620000001</v>
      </c>
      <c r="DE217">
        <f>2.182840961</f>
        <v>2.1828409610000001</v>
      </c>
      <c r="DF217">
        <f>2.152589545</f>
        <v>2.1525895450000001</v>
      </c>
      <c r="DG217">
        <f>2.095577086</f>
        <v>2.095577086</v>
      </c>
      <c r="DH217">
        <f>2.119256112</f>
        <v>2.119256112</v>
      </c>
      <c r="DI217">
        <f>2.197997462</f>
        <v>2.197997462</v>
      </c>
      <c r="DJ217">
        <f>2.194931209</f>
        <v>2.1949312089999999</v>
      </c>
      <c r="DK217">
        <f>2.732017201</f>
        <v>2.7320172010000001</v>
      </c>
      <c r="DL217">
        <f>2.778572903</f>
        <v>2.7785729030000001</v>
      </c>
      <c r="DM217">
        <f>2.852257971</f>
        <v>2.8522579709999998</v>
      </c>
      <c r="DN217">
        <f>2.911289115</f>
        <v>2.9112891150000002</v>
      </c>
      <c r="DO217">
        <f>2.960449333</f>
        <v>2.9604493330000001</v>
      </c>
      <c r="DP217">
        <f>3.064473099</f>
        <v>3.0644730990000002</v>
      </c>
      <c r="DQ217">
        <f>3.356273833</f>
        <v>3.3562738329999999</v>
      </c>
      <c r="DR217">
        <f>2.894344034</f>
        <v>2.894344034</v>
      </c>
      <c r="DS217">
        <f>2.861522314</f>
        <v>2.8615223140000001</v>
      </c>
      <c r="DT217">
        <f>2.781604068</f>
        <v>2.781604068</v>
      </c>
      <c r="DU217">
        <f>2.626881114</f>
        <v>2.6268811140000001</v>
      </c>
    </row>
    <row r="218" spans="1:125">
      <c r="A218" t="str">
        <f>"    Highwoods Properties Inc"</f>
        <v xml:space="preserve">    Highwoods Properties Inc</v>
      </c>
      <c r="B218" t="str">
        <f>"HIW US Equity"</f>
        <v>HIW US Equity</v>
      </c>
      <c r="C218" t="str">
        <f t="shared" si="57"/>
        <v>RR059</v>
      </c>
      <c r="D218" t="str">
        <f t="shared" si="58"/>
        <v>EBITDA_TO_TOT_INT_EXP</v>
      </c>
      <c r="E218" t="str">
        <f t="shared" si="59"/>
        <v>动态</v>
      </c>
      <c r="F218" t="str">
        <f ca="1">IF(AND(ISNUMBER($F$520),$B$294=1),$F$520,HLOOKUP(INDIRECT(ADDRESS(2,COLUMN())),OFFSET($BN$2,0,0,ROW()-1,60),ROW()-1,FALSE))</f>
        <v/>
      </c>
      <c r="G218">
        <f ca="1">IF(AND(ISNUMBER($G$520),$B$294=1),$G$520,HLOOKUP(INDIRECT(ADDRESS(2,COLUMN())),OFFSET($BN$2,0,0,ROW()-1,60),ROW()-1,FALSE))</f>
        <v>5.6456755469999997</v>
      </c>
      <c r="H218">
        <f ca="1">IF(AND(ISNUMBER($H$520),$B$294=1),$H$520,HLOOKUP(INDIRECT(ADDRESS(2,COLUMN())),OFFSET($BN$2,0,0,ROW()-1,60),ROW()-1,FALSE))</f>
        <v>5.7216320490000001</v>
      </c>
      <c r="I218">
        <f ca="1">IF(AND(ISNUMBER($I$520),$B$294=1),$I$520,HLOOKUP(INDIRECT(ADDRESS(2,COLUMN())),OFFSET($BN$2,0,0,ROW()-1,60),ROW()-1,FALSE))</f>
        <v>5.7704563440000003</v>
      </c>
      <c r="J218">
        <f ca="1">IF(AND(ISNUMBER($J$520),$B$294=1),$J$520,HLOOKUP(INDIRECT(ADDRESS(2,COLUMN())),OFFSET($BN$2,0,0,ROW()-1,60),ROW()-1,FALSE))</f>
        <v>4.7629471690000003</v>
      </c>
      <c r="K218">
        <f ca="1">IF(AND(ISNUMBER($K$520),$B$294=1),$K$520,HLOOKUP(INDIRECT(ADDRESS(2,COLUMN())),OFFSET($BN$2,0,0,ROW()-1,60),ROW()-1,FALSE))</f>
        <v>4.9820753330000001</v>
      </c>
      <c r="L218">
        <f ca="1">IF(AND(ISNUMBER($L$520),$B$294=1),$L$520,HLOOKUP(INDIRECT(ADDRESS(2,COLUMN())),OFFSET($BN$2,0,0,ROW()-1,60),ROW()-1,FALSE))</f>
        <v>4.7540473529999998</v>
      </c>
      <c r="M218">
        <f ca="1">IF(AND(ISNUMBER($M$520),$B$294=1),$M$520,HLOOKUP(INDIRECT(ADDRESS(2,COLUMN())),OFFSET($BN$2,0,0,ROW()-1,60),ROW()-1,FALSE))</f>
        <v>4.7470864659999998</v>
      </c>
      <c r="N218">
        <f ca="1">IF(AND(ISNUMBER($N$520),$B$294=1),$N$520,HLOOKUP(INDIRECT(ADDRESS(2,COLUMN())),OFFSET($BN$2,0,0,ROW()-1,60),ROW()-1,FALSE))</f>
        <v>4.2469299410000003</v>
      </c>
      <c r="O218">
        <f ca="1">IF(AND(ISNUMBER($O$520),$B$294=1),$O$520,HLOOKUP(INDIRECT(ADDRESS(2,COLUMN())),OFFSET($BN$2,0,0,ROW()-1,60),ROW()-1,FALSE))</f>
        <v>4.1768378139999998</v>
      </c>
      <c r="P218">
        <f ca="1">IF(AND(ISNUMBER($P$520),$B$294=1),$P$520,HLOOKUP(INDIRECT(ADDRESS(2,COLUMN())),OFFSET($BN$2,0,0,ROW()-1,60),ROW()-1,FALSE))</f>
        <v>4.1167325310000003</v>
      </c>
      <c r="Q218">
        <f ca="1">IF(AND(ISNUMBER($Q$520),$B$294=1),$Q$520,HLOOKUP(INDIRECT(ADDRESS(2,COLUMN())),OFFSET($BN$2,0,0,ROW()-1,60),ROW()-1,FALSE))</f>
        <v>3.8960147570000001</v>
      </c>
      <c r="R218">
        <f ca="1">IF(AND(ISNUMBER($R$520),$B$294=1),$R$520,HLOOKUP(INDIRECT(ADDRESS(2,COLUMN())),OFFSET($BN$2,0,0,ROW()-1,60),ROW()-1,FALSE))</f>
        <v>3.7775212690000002</v>
      </c>
      <c r="S218">
        <f ca="1">IF(AND(ISNUMBER($S$520),$B$294=1),$S$520,HLOOKUP(INDIRECT(ADDRESS(2,COLUMN())),OFFSET($BN$2,0,0,ROW()-1,60),ROW()-1,FALSE))</f>
        <v>3.6293636720000002</v>
      </c>
      <c r="T218">
        <f ca="1">IF(AND(ISNUMBER($T$520),$B$294=1),$T$520,HLOOKUP(INDIRECT(ADDRESS(2,COLUMN())),OFFSET($BN$2,0,0,ROW()-1,60),ROW()-1,FALSE))</f>
        <v>3.68803868</v>
      </c>
      <c r="U218">
        <f ca="1">IF(AND(ISNUMBER($U$520),$B$294=1),$U$520,HLOOKUP(INDIRECT(ADDRESS(2,COLUMN())),OFFSET($BN$2,0,0,ROW()-1,60),ROW()-1,FALSE))</f>
        <v>3.9786004510000001</v>
      </c>
      <c r="V218">
        <f ca="1">IF(AND(ISNUMBER($V$520),$B$294=1),$V$520,HLOOKUP(INDIRECT(ADDRESS(2,COLUMN())),OFFSET($BN$2,0,0,ROW()-1,60),ROW()-1,FALSE))</f>
        <v>3.7098230569999999</v>
      </c>
      <c r="W218">
        <f ca="1">IF(AND(ISNUMBER($W$520),$B$294=1),$W$520,HLOOKUP(INDIRECT(ADDRESS(2,COLUMN())),OFFSET($BN$2,0,0,ROW()-1,60),ROW()-1,FALSE))</f>
        <v>3.7347361920000002</v>
      </c>
      <c r="X218">
        <f ca="1">IF(AND(ISNUMBER($X$520),$B$294=1),$X$520,HLOOKUP(INDIRECT(ADDRESS(2,COLUMN())),OFFSET($BN$2,0,0,ROW()-1,60),ROW()-1,FALSE))</f>
        <v>3.3995342380000002</v>
      </c>
      <c r="Y218">
        <f ca="1">IF(AND(ISNUMBER($Y$520),$B$294=1),$Y$520,HLOOKUP(INDIRECT(ADDRESS(2,COLUMN())),OFFSET($BN$2,0,0,ROW()-1,60),ROW()-1,FALSE))</f>
        <v>3.282415705</v>
      </c>
      <c r="Z218">
        <f ca="1">IF(AND(ISNUMBER($Z$520),$B$294=1),$Z$520,HLOOKUP(INDIRECT(ADDRESS(2,COLUMN())),OFFSET($BN$2,0,0,ROW()-1,60),ROW()-1,FALSE))</f>
        <v>3.1034695640000001</v>
      </c>
      <c r="AA218">
        <f ca="1">IF(AND(ISNUMBER($AA$520),$B$294=1),$AA$520,HLOOKUP(INDIRECT(ADDRESS(2,COLUMN())),OFFSET($BN$2,0,0,ROW()-1,60),ROW()-1,FALSE))</f>
        <v>3.0740196489999998</v>
      </c>
      <c r="AB218">
        <f ca="1">IF(AND(ISNUMBER($AB$520),$B$294=1),$AB$520,HLOOKUP(INDIRECT(ADDRESS(2,COLUMN())),OFFSET($BN$2,0,0,ROW()-1,60),ROW()-1,FALSE))</f>
        <v>2.9000835770000002</v>
      </c>
      <c r="AC218">
        <f ca="1">IF(AND(ISNUMBER($AC$520),$B$294=1),$AC$520,HLOOKUP(INDIRECT(ADDRESS(2,COLUMN())),OFFSET($BN$2,0,0,ROW()-1,60),ROW()-1,FALSE))</f>
        <v>2.9901211480000001</v>
      </c>
      <c r="AD218">
        <f ca="1">IF(AND(ISNUMBER($AD$520),$B$294=1),$AD$520,HLOOKUP(INDIRECT(ADDRESS(2,COLUMN())),OFFSET($BN$2,0,0,ROW()-1,60),ROW()-1,FALSE))</f>
        <v>2.9120061160000001</v>
      </c>
      <c r="AE218">
        <f ca="1">IF(AND(ISNUMBER($AE$520),$B$294=1),$AE$520,HLOOKUP(INDIRECT(ADDRESS(2,COLUMN())),OFFSET($BN$2,0,0,ROW()-1,60),ROW()-1,FALSE))</f>
        <v>2.9875155539999998</v>
      </c>
      <c r="AF218">
        <f ca="1">IF(AND(ISNUMBER($AF$520),$B$294=1),$AF$520,HLOOKUP(INDIRECT(ADDRESS(2,COLUMN())),OFFSET($BN$2,0,0,ROW()-1,60),ROW()-1,FALSE))</f>
        <v>2.4493453359999999</v>
      </c>
      <c r="AG218">
        <f ca="1">IF(AND(ISNUMBER($AG$520),$B$294=1),$AG$520,HLOOKUP(INDIRECT(ADDRESS(2,COLUMN())),OFFSET($BN$2,0,0,ROW()-1,60),ROW()-1,FALSE))</f>
        <v>2.785133853</v>
      </c>
      <c r="AH218">
        <f ca="1">IF(AND(ISNUMBER($AH$520),$B$294=1),$AH$520,HLOOKUP(INDIRECT(ADDRESS(2,COLUMN())),OFFSET($BN$2,0,0,ROW()-1,60),ROW()-1,FALSE))</f>
        <v>2.773894737</v>
      </c>
      <c r="AI218">
        <f ca="1">IF(AND(ISNUMBER($AI$520),$B$294=1),$AI$520,HLOOKUP(INDIRECT(ADDRESS(2,COLUMN())),OFFSET($BN$2,0,0,ROW()-1,60),ROW()-1,FALSE))</f>
        <v>1.8111404090000001</v>
      </c>
      <c r="AJ218">
        <f ca="1">IF(AND(ISNUMBER($AJ$520),$B$294=1),$AJ$520,HLOOKUP(INDIRECT(ADDRESS(2,COLUMN())),OFFSET($BN$2,0,0,ROW()-1,60),ROW()-1,FALSE))</f>
        <v>2.67193426</v>
      </c>
      <c r="AK218">
        <f ca="1">IF(AND(ISNUMBER($AK$520),$B$294=1),$AK$520,HLOOKUP(INDIRECT(ADDRESS(2,COLUMN())),OFFSET($BN$2,0,0,ROW()-1,60),ROW()-1,FALSE))</f>
        <v>2.957303467</v>
      </c>
      <c r="AL218">
        <f ca="1">IF(AND(ISNUMBER($AL$520),$B$294=1),$AL$520,HLOOKUP(INDIRECT(ADDRESS(2,COLUMN())),OFFSET($BN$2,0,0,ROW()-1,60),ROW()-1,FALSE))</f>
        <v>2.7706042790000001</v>
      </c>
      <c r="AM218">
        <f ca="1">IF(AND(ISNUMBER($AM$520),$B$294=1),$AM$520,HLOOKUP(INDIRECT(ADDRESS(2,COLUMN())),OFFSET($BN$2,0,0,ROW()-1,60),ROW()-1,FALSE))</f>
        <v>2.1764990540000002</v>
      </c>
      <c r="AN218">
        <f ca="1">IF(AND(ISNUMBER($AN$520),$B$294=1),$AN$520,HLOOKUP(INDIRECT(ADDRESS(2,COLUMN())),OFFSET($BN$2,0,0,ROW()-1,60),ROW()-1,FALSE))</f>
        <v>2.7322572040000002</v>
      </c>
      <c r="AO218">
        <f ca="1">IF(AND(ISNUMBER($AO$520),$B$294=1),$AO$520,HLOOKUP(INDIRECT(ADDRESS(2,COLUMN())),OFFSET($BN$2,0,0,ROW()-1,60),ROW()-1,FALSE))</f>
        <v>2.7473191830000001</v>
      </c>
      <c r="AP218">
        <f ca="1">IF(AND(ISNUMBER($AP$520),$B$294=1),$AP$520,HLOOKUP(INDIRECT(ADDRESS(2,COLUMN())),OFFSET($BN$2,0,0,ROW()-1,60),ROW()-1,FALSE))</f>
        <v>2.7579216350000002</v>
      </c>
      <c r="AQ218">
        <f ca="1">IF(AND(ISNUMBER($AQ$520),$B$294=1),$AQ$520,HLOOKUP(INDIRECT(ADDRESS(2,COLUMN())),OFFSET($BN$2,0,0,ROW()-1,60),ROW()-1,FALSE))</f>
        <v>2.1579008659999999</v>
      </c>
      <c r="AR218">
        <f ca="1">IF(AND(ISNUMBER($AR$520),$B$294=1),$AR$520,HLOOKUP(INDIRECT(ADDRESS(2,COLUMN())),OFFSET($BN$2,0,0,ROW()-1,60),ROW()-1,FALSE))</f>
        <v>2.3962327989999999</v>
      </c>
      <c r="AS218">
        <f ca="1">IF(AND(ISNUMBER($AS$520),$B$294=1),$AS$520,HLOOKUP(INDIRECT(ADDRESS(2,COLUMN())),OFFSET($BN$2,0,0,ROW()-1,60),ROW()-1,FALSE))</f>
        <v>2.1257403020000001</v>
      </c>
      <c r="AT218">
        <f ca="1">IF(AND(ISNUMBER($AT$520),$B$294=1),$AT$520,HLOOKUP(INDIRECT(ADDRESS(2,COLUMN())),OFFSET($BN$2,0,0,ROW()-1,60),ROW()-1,FALSE))</f>
        <v>2.2516225479999998</v>
      </c>
      <c r="AU218">
        <f ca="1">IF(AND(ISNUMBER($AU$520),$B$294=1),$AU$520,HLOOKUP(INDIRECT(ADDRESS(2,COLUMN())),OFFSET($BN$2,0,0,ROW()-1,60),ROW()-1,FALSE))</f>
        <v>2.243149034</v>
      </c>
      <c r="AV218">
        <f ca="1">IF(AND(ISNUMBER($AV$520),$B$294=1),$AV$520,HLOOKUP(INDIRECT(ADDRESS(2,COLUMN())),OFFSET($BN$2,0,0,ROW()-1,60),ROW()-1,FALSE))</f>
        <v>2.117718317</v>
      </c>
      <c r="AW218">
        <f ca="1">IF(AND(ISNUMBER($AW$520),$B$294=1),$AW$520,HLOOKUP(INDIRECT(ADDRESS(2,COLUMN())),OFFSET($BN$2,0,0,ROW()-1,60),ROW()-1,FALSE))</f>
        <v>2.0667257810000002</v>
      </c>
      <c r="AX218">
        <f ca="1">IF(AND(ISNUMBER($AX$520),$B$294=1),$AX$520,HLOOKUP(INDIRECT(ADDRESS(2,COLUMN())),OFFSET($BN$2,0,0,ROW()-1,60),ROW()-1,FALSE))</f>
        <v>2.1626506019999998</v>
      </c>
      <c r="AY218">
        <f ca="1">IF(AND(ISNUMBER($AY$520),$B$294=1),$AY$520,HLOOKUP(INDIRECT(ADDRESS(2,COLUMN())),OFFSET($BN$2,0,0,ROW()-1,60),ROW()-1,FALSE))</f>
        <v>1.4274054979999999</v>
      </c>
      <c r="AZ218">
        <f ca="1">IF(AND(ISNUMBER($AZ$520),$B$294=1),$AZ$520,HLOOKUP(INDIRECT(ADDRESS(2,COLUMN())),OFFSET($BN$2,0,0,ROW()-1,60),ROW()-1,FALSE))</f>
        <v>2.2232789689999999</v>
      </c>
      <c r="BA218">
        <f ca="1">IF(AND(ISNUMBER($BA$520),$B$294=1),$BA$520,HLOOKUP(INDIRECT(ADDRESS(2,COLUMN())),OFFSET($BN$2,0,0,ROW()-1,60),ROW()-1,FALSE))</f>
        <v>2.1925513890000001</v>
      </c>
      <c r="BB218">
        <f ca="1">IF(AND(ISNUMBER($BB$520),$B$294=1),$BB$520,HLOOKUP(INDIRECT(ADDRESS(2,COLUMN())),OFFSET($BN$2,0,0,ROW()-1,60),ROW()-1,FALSE))</f>
        <v>2.3067019200000001</v>
      </c>
      <c r="BC218">
        <f ca="1">IF(AND(ISNUMBER($BC$520),$B$294=1),$BC$520,HLOOKUP(INDIRECT(ADDRESS(2,COLUMN())),OFFSET($BN$2,0,0,ROW()-1,60),ROW()-1,FALSE))</f>
        <v>1.5393800230000001</v>
      </c>
      <c r="BD218">
        <f ca="1">IF(AND(ISNUMBER($BD$520),$B$294=1),$BD$520,HLOOKUP(INDIRECT(ADDRESS(2,COLUMN())),OFFSET($BN$2,0,0,ROW()-1,60),ROW()-1,FALSE))</f>
        <v>2.3146355459999999</v>
      </c>
      <c r="BE218">
        <f ca="1">IF(AND(ISNUMBER($BE$520),$B$294=1),$BE$520,HLOOKUP(INDIRECT(ADDRESS(2,COLUMN())),OFFSET($BN$2,0,0,ROW()-1,60),ROW()-1,FALSE))</f>
        <v>2.4301470589999998</v>
      </c>
      <c r="BF218">
        <f ca="1">IF(AND(ISNUMBER($BF$520),$B$294=1),$BF$520,HLOOKUP(INDIRECT(ADDRESS(2,COLUMN())),OFFSET($BN$2,0,0,ROW()-1,60),ROW()-1,FALSE))</f>
        <v>2.4012478490000002</v>
      </c>
      <c r="BG218">
        <f ca="1">IF(AND(ISNUMBER($BG$520),$B$294=1),$BG$520,HLOOKUP(INDIRECT(ADDRESS(2,COLUMN())),OFFSET($BN$2,0,0,ROW()-1,60),ROW()-1,FALSE))</f>
        <v>1.365925614</v>
      </c>
      <c r="BH218">
        <f ca="1">IF(AND(ISNUMBER($BH$520),$B$294=1),$BH$520,HLOOKUP(INDIRECT(ADDRESS(2,COLUMN())),OFFSET($BN$2,0,0,ROW()-1,60),ROW()-1,FALSE))</f>
        <v>2.1817262909999999</v>
      </c>
      <c r="BI218">
        <f ca="1">IF(AND(ISNUMBER($BI$520),$B$294=1),$BI$520,HLOOKUP(INDIRECT(ADDRESS(2,COLUMN())),OFFSET($BN$2,0,0,ROW()-1,60),ROW()-1,FALSE))</f>
        <v>2.2715521590000001</v>
      </c>
      <c r="BJ218">
        <f ca="1">IF(AND(ISNUMBER($BJ$520),$B$294=1),$BJ$520,HLOOKUP(INDIRECT(ADDRESS(2,COLUMN())),OFFSET($BN$2,0,0,ROW()-1,60),ROW()-1,FALSE))</f>
        <v>2.0024619449999999</v>
      </c>
      <c r="BK218" t="str">
        <f ca="1">IF(AND(ISNUMBER($BK$520),$B$294=1),$BK$520,HLOOKUP(INDIRECT(ADDRESS(2,COLUMN())),OFFSET($BN$2,0,0,ROW()-1,60),ROW()-1,FALSE))</f>
        <v/>
      </c>
      <c r="BL218">
        <f ca="1">IF(AND(ISNUMBER($BL$520),$B$294=1),$BL$520,HLOOKUP(INDIRECT(ADDRESS(2,COLUMN())),OFFSET($BN$2,0,0,ROW()-1,60),ROW()-1,FALSE))</f>
        <v>5.007078527</v>
      </c>
      <c r="BM218">
        <f ca="1">IF(AND(ISNUMBER($BM$520),$B$294=1),$BM$520,HLOOKUP(INDIRECT(ADDRESS(2,COLUMN())),OFFSET($BN$2,0,0,ROW()-1,60),ROW()-1,FALSE))</f>
        <v>2.4972111809999999</v>
      </c>
      <c r="BN218" t="str">
        <f>""</f>
        <v/>
      </c>
      <c r="BO218">
        <f>5.645675547</f>
        <v>5.6456755469999997</v>
      </c>
      <c r="BP218">
        <f>5.721632049</f>
        <v>5.7216320490000001</v>
      </c>
      <c r="BQ218">
        <f>5.770456344</f>
        <v>5.7704563440000003</v>
      </c>
      <c r="BR218">
        <f>4.762947169</f>
        <v>4.7629471690000003</v>
      </c>
      <c r="BS218">
        <f>4.982075333</f>
        <v>4.9820753330000001</v>
      </c>
      <c r="BT218">
        <f>4.754047353</f>
        <v>4.7540473529999998</v>
      </c>
      <c r="BU218">
        <f>4.747086466</f>
        <v>4.7470864659999998</v>
      </c>
      <c r="BV218">
        <f>4.246929941</f>
        <v>4.2469299410000003</v>
      </c>
      <c r="BW218">
        <f>4.176837814</f>
        <v>4.1768378139999998</v>
      </c>
      <c r="BX218">
        <f>4.116732531</f>
        <v>4.1167325310000003</v>
      </c>
      <c r="BY218">
        <f>3.896014757</f>
        <v>3.8960147570000001</v>
      </c>
      <c r="BZ218">
        <f>3.777521269</f>
        <v>3.7775212690000002</v>
      </c>
      <c r="CA218">
        <f>3.629363672</f>
        <v>3.6293636720000002</v>
      </c>
      <c r="CB218">
        <f>3.68803868</f>
        <v>3.68803868</v>
      </c>
      <c r="CC218">
        <f>3.978600451</f>
        <v>3.9786004510000001</v>
      </c>
      <c r="CD218">
        <f>3.709823057</f>
        <v>3.7098230569999999</v>
      </c>
      <c r="CE218">
        <f>3.734736192</f>
        <v>3.7347361920000002</v>
      </c>
      <c r="CF218">
        <f>3.399534238</f>
        <v>3.3995342380000002</v>
      </c>
      <c r="CG218">
        <f>3.282415705</f>
        <v>3.282415705</v>
      </c>
      <c r="CH218">
        <f>3.103469564</f>
        <v>3.1034695640000001</v>
      </c>
      <c r="CI218">
        <f>3.074019649</f>
        <v>3.0740196489999998</v>
      </c>
      <c r="CJ218">
        <f>2.900083577</f>
        <v>2.9000835770000002</v>
      </c>
      <c r="CK218">
        <f>2.990121148</f>
        <v>2.9901211480000001</v>
      </c>
      <c r="CL218">
        <f>2.912006116</f>
        <v>2.9120061160000001</v>
      </c>
      <c r="CM218">
        <f>2.987515554</f>
        <v>2.9875155539999998</v>
      </c>
      <c r="CN218">
        <f>2.449345336</f>
        <v>2.4493453359999999</v>
      </c>
      <c r="CO218">
        <f>2.785133853</f>
        <v>2.785133853</v>
      </c>
      <c r="CP218">
        <f>2.773894737</f>
        <v>2.773894737</v>
      </c>
      <c r="CQ218">
        <f>1.811140409</f>
        <v>1.8111404090000001</v>
      </c>
      <c r="CR218">
        <f>2.67193426</f>
        <v>2.67193426</v>
      </c>
      <c r="CS218">
        <f>2.957303467</f>
        <v>2.957303467</v>
      </c>
      <c r="CT218">
        <f>2.770604279</f>
        <v>2.7706042790000001</v>
      </c>
      <c r="CU218">
        <f>2.176499054</f>
        <v>2.1764990540000002</v>
      </c>
      <c r="CV218">
        <f>2.732257204</f>
        <v>2.7322572040000002</v>
      </c>
      <c r="CW218">
        <f>2.747319183</f>
        <v>2.7473191830000001</v>
      </c>
      <c r="CX218">
        <f>2.757921635</f>
        <v>2.7579216350000002</v>
      </c>
      <c r="CY218">
        <f>2.157900866</f>
        <v>2.1579008659999999</v>
      </c>
      <c r="CZ218">
        <f>2.396232799</f>
        <v>2.3962327989999999</v>
      </c>
      <c r="DA218">
        <f>2.125740302</f>
        <v>2.1257403020000001</v>
      </c>
      <c r="DB218">
        <f>2.251622548</f>
        <v>2.2516225479999998</v>
      </c>
      <c r="DC218">
        <f>2.243149034</f>
        <v>2.243149034</v>
      </c>
      <c r="DD218">
        <f>2.117718317</f>
        <v>2.117718317</v>
      </c>
      <c r="DE218">
        <f>2.066725781</f>
        <v>2.0667257810000002</v>
      </c>
      <c r="DF218">
        <f>2.162650602</f>
        <v>2.1626506019999998</v>
      </c>
      <c r="DG218">
        <f>1.427405498</f>
        <v>1.4274054979999999</v>
      </c>
      <c r="DH218">
        <f>2.223278969</f>
        <v>2.2232789689999999</v>
      </c>
      <c r="DI218">
        <f>2.192551389</f>
        <v>2.1925513890000001</v>
      </c>
      <c r="DJ218">
        <f>2.30670192</f>
        <v>2.3067019200000001</v>
      </c>
      <c r="DK218">
        <f>1.539380023</f>
        <v>1.5393800230000001</v>
      </c>
      <c r="DL218">
        <f>2.314635546</f>
        <v>2.3146355459999999</v>
      </c>
      <c r="DM218">
        <f>2.430147059</f>
        <v>2.4301470589999998</v>
      </c>
      <c r="DN218">
        <f>2.401247849</f>
        <v>2.4012478490000002</v>
      </c>
      <c r="DO218">
        <f>1.365925614</f>
        <v>1.365925614</v>
      </c>
      <c r="DP218">
        <f>2.181726291</f>
        <v>2.1817262909999999</v>
      </c>
      <c r="DQ218">
        <f>2.271552159</f>
        <v>2.2715521590000001</v>
      </c>
      <c r="DR218">
        <f>2.002461945</f>
        <v>2.0024619449999999</v>
      </c>
      <c r="DS218" t="str">
        <f>""</f>
        <v/>
      </c>
      <c r="DT218">
        <f>5.007078527</f>
        <v>5.007078527</v>
      </c>
      <c r="DU218">
        <f>2.497211181</f>
        <v>2.4972111809999999</v>
      </c>
    </row>
    <row r="219" spans="1:125">
      <c r="A219" t="str">
        <f>"    Kilroy Realty Corp"</f>
        <v xml:space="preserve">    Kilroy Realty Corp</v>
      </c>
      <c r="B219" t="str">
        <f>"KRC US Equity"</f>
        <v>KRC US Equity</v>
      </c>
      <c r="C219" t="str">
        <f t="shared" si="57"/>
        <v>RR059</v>
      </c>
      <c r="D219" t="str">
        <f t="shared" si="58"/>
        <v>EBITDA_TO_TOT_INT_EXP</v>
      </c>
      <c r="E219" t="str">
        <f t="shared" si="59"/>
        <v>动态</v>
      </c>
      <c r="F219" t="str">
        <f ca="1">IF(AND(ISNUMBER($F$521),$B$294=1),$F$521,HLOOKUP(INDIRECT(ADDRESS(2,COLUMN())),OFFSET($BN$2,0,0,ROW()-1,60),ROW()-1,FALSE))</f>
        <v/>
      </c>
      <c r="G219">
        <f ca="1">IF(AND(ISNUMBER($G$521),$B$294=1),$G$521,HLOOKUP(INDIRECT(ADDRESS(2,COLUMN())),OFFSET($BN$2,0,0,ROW()-1,60),ROW()-1,FALSE))</f>
        <v>3.9532500000000002</v>
      </c>
      <c r="H219">
        <f ca="1">IF(AND(ISNUMBER($H$521),$B$294=1),$H$521,HLOOKUP(INDIRECT(ADDRESS(2,COLUMN())),OFFSET($BN$2,0,0,ROW()-1,60),ROW()-1,FALSE))</f>
        <v>4.0584871700000003</v>
      </c>
      <c r="I219">
        <f ca="1">IF(AND(ISNUMBER($I$521),$B$294=1),$I$521,HLOOKUP(INDIRECT(ADDRESS(2,COLUMN())),OFFSET($BN$2,0,0,ROW()-1,60),ROW()-1,FALSE))</f>
        <v>3.984963976</v>
      </c>
      <c r="J219">
        <f ca="1">IF(AND(ISNUMBER($J$521),$B$294=1),$J$521,HLOOKUP(INDIRECT(ADDRESS(2,COLUMN())),OFFSET($BN$2,0,0,ROW()-1,60),ROW()-1,FALSE))</f>
        <v>4.0788660730000004</v>
      </c>
      <c r="K219">
        <f ca="1">IF(AND(ISNUMBER($K$521),$B$294=1),$K$521,HLOOKUP(INDIRECT(ADDRESS(2,COLUMN())),OFFSET($BN$2,0,0,ROW()-1,60),ROW()-1,FALSE))</f>
        <v>4.0467296839999998</v>
      </c>
      <c r="L219">
        <f ca="1">IF(AND(ISNUMBER($L$521),$B$294=1),$L$521,HLOOKUP(INDIRECT(ADDRESS(2,COLUMN())),OFFSET($BN$2,0,0,ROW()-1,60),ROW()-1,FALSE))</f>
        <v>4.1692254809999998</v>
      </c>
      <c r="M219">
        <f ca="1">IF(AND(ISNUMBER($M$521),$B$294=1),$M$521,HLOOKUP(INDIRECT(ADDRESS(2,COLUMN())),OFFSET($BN$2,0,0,ROW()-1,60),ROW()-1,FALSE))</f>
        <v>3.8100344979999998</v>
      </c>
      <c r="N219">
        <f ca="1">IF(AND(ISNUMBER($N$521),$B$294=1),$N$521,HLOOKUP(INDIRECT(ADDRESS(2,COLUMN())),OFFSET($BN$2,0,0,ROW()-1,60),ROW()-1,FALSE))</f>
        <v>3.5958357209999998</v>
      </c>
      <c r="O219">
        <f ca="1">IF(AND(ISNUMBER($O$521),$B$294=1),$O$521,HLOOKUP(INDIRECT(ADDRESS(2,COLUMN())),OFFSET($BN$2,0,0,ROW()-1,60),ROW()-1,FALSE))</f>
        <v>3.4489295520000001</v>
      </c>
      <c r="P219">
        <f ca="1">IF(AND(ISNUMBER($P$521),$B$294=1),$P$521,HLOOKUP(INDIRECT(ADDRESS(2,COLUMN())),OFFSET($BN$2,0,0,ROW()-1,60),ROW()-1,FALSE))</f>
        <v>3.3271379539999999</v>
      </c>
      <c r="Q219">
        <f ca="1">IF(AND(ISNUMBER($Q$521),$B$294=1),$Q$521,HLOOKUP(INDIRECT(ADDRESS(2,COLUMN())),OFFSET($BN$2,0,0,ROW()-1,60),ROW()-1,FALSE))</f>
        <v>3.436863207</v>
      </c>
      <c r="R219">
        <f ca="1">IF(AND(ISNUMBER($R$521),$B$294=1),$R$521,HLOOKUP(INDIRECT(ADDRESS(2,COLUMN())),OFFSET($BN$2,0,0,ROW()-1,60),ROW()-1,FALSE))</f>
        <v>3.4187538289999999</v>
      </c>
      <c r="S219">
        <f ca="1">IF(AND(ISNUMBER($S$521),$B$294=1),$S$521,HLOOKUP(INDIRECT(ADDRESS(2,COLUMN())),OFFSET($BN$2,0,0,ROW()-1,60),ROW()-1,FALSE))</f>
        <v>3.146715076</v>
      </c>
      <c r="T219">
        <f ca="1">IF(AND(ISNUMBER($T$521),$B$294=1),$T$521,HLOOKUP(INDIRECT(ADDRESS(2,COLUMN())),OFFSET($BN$2,0,0,ROW()-1,60),ROW()-1,FALSE))</f>
        <v>2.7009620519999999</v>
      </c>
      <c r="U219">
        <f ca="1">IF(AND(ISNUMBER($U$521),$B$294=1),$U$521,HLOOKUP(INDIRECT(ADDRESS(2,COLUMN())),OFFSET($BN$2,0,0,ROW()-1,60),ROW()-1,FALSE))</f>
        <v>2.8570759809999999</v>
      </c>
      <c r="V219">
        <f ca="1">IF(AND(ISNUMBER($V$521),$B$294=1),$V$521,HLOOKUP(INDIRECT(ADDRESS(2,COLUMN())),OFFSET($BN$2,0,0,ROW()-1,60),ROW()-1,FALSE))</f>
        <v>2.760184062</v>
      </c>
      <c r="W219">
        <f ca="1">IF(AND(ISNUMBER($W$521),$B$294=1),$W$521,HLOOKUP(INDIRECT(ADDRESS(2,COLUMN())),OFFSET($BN$2,0,0,ROW()-1,60),ROW()-1,FALSE))</f>
        <v>2.632110618</v>
      </c>
      <c r="X219">
        <f ca="1">IF(AND(ISNUMBER($X$521),$B$294=1),$X$521,HLOOKUP(INDIRECT(ADDRESS(2,COLUMN())),OFFSET($BN$2,0,0,ROW()-1,60),ROW()-1,FALSE))</f>
        <v>2.597416076</v>
      </c>
      <c r="Y219">
        <f ca="1">IF(AND(ISNUMBER($Y$521),$B$294=1),$Y$521,HLOOKUP(INDIRECT(ADDRESS(2,COLUMN())),OFFSET($BN$2,0,0,ROW()-1,60),ROW()-1,FALSE))</f>
        <v>2.7341119150000002</v>
      </c>
      <c r="Z219">
        <f ca="1">IF(AND(ISNUMBER($Z$521),$B$294=1),$Z$521,HLOOKUP(INDIRECT(ADDRESS(2,COLUMN())),OFFSET($BN$2,0,0,ROW()-1,60),ROW()-1,FALSE))</f>
        <v>2.5695041139999999</v>
      </c>
      <c r="AA219">
        <f ca="1">IF(AND(ISNUMBER($AA$521),$B$294=1),$AA$521,HLOOKUP(INDIRECT(ADDRESS(2,COLUMN())),OFFSET($BN$2,0,0,ROW()-1,60),ROW()-1,FALSE))</f>
        <v>4.1731821739999999</v>
      </c>
      <c r="AB219">
        <f ca="1">IF(AND(ISNUMBER($AB$521),$B$294=1),$AB$521,HLOOKUP(INDIRECT(ADDRESS(2,COLUMN())),OFFSET($BN$2,0,0,ROW()-1,60),ROW()-1,FALSE))</f>
        <v>2.6692428449999999</v>
      </c>
      <c r="AC219">
        <f ca="1">IF(AND(ISNUMBER($AC$521),$B$294=1),$AC$521,HLOOKUP(INDIRECT(ADDRESS(2,COLUMN())),OFFSET($BN$2,0,0,ROW()-1,60),ROW()-1,FALSE))</f>
        <v>2.706470613</v>
      </c>
      <c r="AD219">
        <f ca="1">IF(AND(ISNUMBER($AD$521),$B$294=1),$AD$521,HLOOKUP(INDIRECT(ADDRESS(2,COLUMN())),OFFSET($BN$2,0,0,ROW()-1,60),ROW()-1,FALSE))</f>
        <v>2.503645449</v>
      </c>
      <c r="AE219">
        <f ca="1">IF(AND(ISNUMBER($AE$521),$B$294=1),$AE$521,HLOOKUP(INDIRECT(ADDRESS(2,COLUMN())),OFFSET($BN$2,0,0,ROW()-1,60),ROW()-1,FALSE))</f>
        <v>2.2746939940000002</v>
      </c>
      <c r="AF219">
        <f ca="1">IF(AND(ISNUMBER($AF$521),$B$294=1),$AF$521,HLOOKUP(INDIRECT(ADDRESS(2,COLUMN())),OFFSET($BN$2,0,0,ROW()-1,60),ROW()-1,FALSE))</f>
        <v>2.2936269469999999</v>
      </c>
      <c r="AG219">
        <f ca="1">IF(AND(ISNUMBER($AG$521),$B$294=1),$AG$521,HLOOKUP(INDIRECT(ADDRESS(2,COLUMN())),OFFSET($BN$2,0,0,ROW()-1,60),ROW()-1,FALSE))</f>
        <v>2.4439101879999998</v>
      </c>
      <c r="AH219">
        <f ca="1">IF(AND(ISNUMBER($AH$521),$B$294=1),$AH$521,HLOOKUP(INDIRECT(ADDRESS(2,COLUMN())),OFFSET($BN$2,0,0,ROW()-1,60),ROW()-1,FALSE))</f>
        <v>2.325702347</v>
      </c>
      <c r="AI219">
        <f ca="1">IF(AND(ISNUMBER($AI$521),$B$294=1),$AI$521,HLOOKUP(INDIRECT(ADDRESS(2,COLUMN())),OFFSET($BN$2,0,0,ROW()-1,60),ROW()-1,FALSE))</f>
        <v>3.7452741020000002</v>
      </c>
      <c r="AJ219">
        <f ca="1">IF(AND(ISNUMBER($AJ$521),$B$294=1),$AJ$521,HLOOKUP(INDIRECT(ADDRESS(2,COLUMN())),OFFSET($BN$2,0,0,ROW()-1,60),ROW()-1,FALSE))</f>
        <v>1.52645203</v>
      </c>
      <c r="AK219">
        <f ca="1">IF(AND(ISNUMBER($AK$521),$B$294=1),$AK$521,HLOOKUP(INDIRECT(ADDRESS(2,COLUMN())),OFFSET($BN$2,0,0,ROW()-1,60),ROW()-1,FALSE))</f>
        <v>2.7870038369999999</v>
      </c>
      <c r="AL219">
        <f ca="1">IF(AND(ISNUMBER($AL$521),$B$294=1),$AL$521,HLOOKUP(INDIRECT(ADDRESS(2,COLUMN())),OFFSET($BN$2,0,0,ROW()-1,60),ROW()-1,FALSE))</f>
        <v>2.8679504809999998</v>
      </c>
      <c r="AM219">
        <f ca="1">IF(AND(ISNUMBER($AM$521),$B$294=1),$AM$521,HLOOKUP(INDIRECT(ADDRESS(2,COLUMN())),OFFSET($BN$2,0,0,ROW()-1,60),ROW()-1,FALSE))</f>
        <v>3.7858228949999999</v>
      </c>
      <c r="AN219">
        <f ca="1">IF(AND(ISNUMBER($AN$521),$B$294=1),$AN$521,HLOOKUP(INDIRECT(ADDRESS(2,COLUMN())),OFFSET($BN$2,0,0,ROW()-1,60),ROW()-1,FALSE))</f>
        <v>3.214623338</v>
      </c>
      <c r="AO219">
        <f ca="1">IF(AND(ISNUMBER($AO$521),$B$294=1),$AO$521,HLOOKUP(INDIRECT(ADDRESS(2,COLUMN())),OFFSET($BN$2,0,0,ROW()-1,60),ROW()-1,FALSE))</f>
        <v>3.2369089629999999</v>
      </c>
      <c r="AP219">
        <f ca="1">IF(AND(ISNUMBER($AP$521),$B$294=1),$AP$521,HLOOKUP(INDIRECT(ADDRESS(2,COLUMN())),OFFSET($BN$2,0,0,ROW()-1,60),ROW()-1,FALSE))</f>
        <v>3.1646943489999999</v>
      </c>
      <c r="AQ219">
        <f ca="1">IF(AND(ISNUMBER($AQ$521),$B$294=1),$AQ$521,HLOOKUP(INDIRECT(ADDRESS(2,COLUMN())),OFFSET($BN$2,0,0,ROW()-1,60),ROW()-1,FALSE))</f>
        <v>2.9290523689999999</v>
      </c>
      <c r="AR219">
        <f ca="1">IF(AND(ISNUMBER($AR$521),$B$294=1),$AR$521,HLOOKUP(INDIRECT(ADDRESS(2,COLUMN())),OFFSET($BN$2,0,0,ROW()-1,60),ROW()-1,FALSE))</f>
        <v>3.3079520840000001</v>
      </c>
      <c r="AS219">
        <f ca="1">IF(AND(ISNUMBER($AS$521),$B$294=1),$AS$521,HLOOKUP(INDIRECT(ADDRESS(2,COLUMN())),OFFSET($BN$2,0,0,ROW()-1,60),ROW()-1,FALSE))</f>
        <v>2.7674006580000001</v>
      </c>
      <c r="AT219">
        <f ca="1">IF(AND(ISNUMBER($AT$521),$B$294=1),$AT$521,HLOOKUP(INDIRECT(ADDRESS(2,COLUMN())),OFFSET($BN$2,0,0,ROW()-1,60),ROW()-1,FALSE))</f>
        <v>2.9635508160000001</v>
      </c>
      <c r="AU219">
        <f ca="1">IF(AND(ISNUMBER($AU$521),$B$294=1),$AU$521,HLOOKUP(INDIRECT(ADDRESS(2,COLUMN())),OFFSET($BN$2,0,0,ROW()-1,60),ROW()-1,FALSE))</f>
        <v>2.2140838619999998</v>
      </c>
      <c r="AV219">
        <f ca="1">IF(AND(ISNUMBER($AV$521),$B$294=1),$AV$521,HLOOKUP(INDIRECT(ADDRESS(2,COLUMN())),OFFSET($BN$2,0,0,ROW()-1,60),ROW()-1,FALSE))</f>
        <v>2.369706388</v>
      </c>
      <c r="AW219">
        <f ca="1">IF(AND(ISNUMBER($AW$521),$B$294=1),$AW$521,HLOOKUP(INDIRECT(ADDRESS(2,COLUMN())),OFFSET($BN$2,0,0,ROW()-1,60),ROW()-1,FALSE))</f>
        <v>2.562410952</v>
      </c>
      <c r="AX219">
        <f ca="1">IF(AND(ISNUMBER($AX$521),$B$294=1),$AX$521,HLOOKUP(INDIRECT(ADDRESS(2,COLUMN())),OFFSET($BN$2,0,0,ROW()-1,60),ROW()-1,FALSE))</f>
        <v>2.8794144180000001</v>
      </c>
      <c r="AY219">
        <f ca="1">IF(AND(ISNUMBER($AY$521),$B$294=1),$AY$521,HLOOKUP(INDIRECT(ADDRESS(2,COLUMN())),OFFSET($BN$2,0,0,ROW()-1,60),ROW()-1,FALSE))</f>
        <v>2.5243243240000002</v>
      </c>
      <c r="AZ219">
        <f ca="1">IF(AND(ISNUMBER($AZ$521),$B$294=1),$AZ$521,HLOOKUP(INDIRECT(ADDRESS(2,COLUMN())),OFFSET($BN$2,0,0,ROW()-1,60),ROW()-1,FALSE))</f>
        <v>1.950783106</v>
      </c>
      <c r="BA219">
        <f ca="1">IF(AND(ISNUMBER($BA$521),$B$294=1),$BA$521,HLOOKUP(INDIRECT(ADDRESS(2,COLUMN())),OFFSET($BN$2,0,0,ROW()-1,60),ROW()-1,FALSE))</f>
        <v>1.9130492969999999</v>
      </c>
      <c r="BB219">
        <f ca="1">IF(AND(ISNUMBER($BB$521),$B$294=1),$BB$521,HLOOKUP(INDIRECT(ADDRESS(2,COLUMN())),OFFSET($BN$2,0,0,ROW()-1,60),ROW()-1,FALSE))</f>
        <v>3.044255986</v>
      </c>
      <c r="BC219">
        <f ca="1">IF(AND(ISNUMBER($BC$521),$B$294=1),$BC$521,HLOOKUP(INDIRECT(ADDRESS(2,COLUMN())),OFFSET($BN$2,0,0,ROW()-1,60),ROW()-1,FALSE))</f>
        <v>1.615365653</v>
      </c>
      <c r="BD219">
        <f ca="1">IF(AND(ISNUMBER($BD$521),$B$294=1),$BD$521,HLOOKUP(INDIRECT(ADDRESS(2,COLUMN())),OFFSET($BN$2,0,0,ROW()-1,60),ROW()-1,FALSE))</f>
        <v>1.3348137309999999</v>
      </c>
      <c r="BE219">
        <f ca="1">IF(AND(ISNUMBER($BE$521),$B$294=1),$BE$521,HLOOKUP(INDIRECT(ADDRESS(2,COLUMN())),OFFSET($BN$2,0,0,ROW()-1,60),ROW()-1,FALSE))</f>
        <v>1.5228758170000001</v>
      </c>
      <c r="BF219">
        <f ca="1">IF(AND(ISNUMBER($BF$521),$B$294=1),$BF$521,HLOOKUP(INDIRECT(ADDRESS(2,COLUMN())),OFFSET($BN$2,0,0,ROW()-1,60),ROW()-1,FALSE))</f>
        <v>2.0869056480000001</v>
      </c>
      <c r="BG219">
        <f ca="1">IF(AND(ISNUMBER($BG$521),$B$294=1),$BG$521,HLOOKUP(INDIRECT(ADDRESS(2,COLUMN())),OFFSET($BN$2,0,0,ROW()-1,60),ROW()-1,FALSE))</f>
        <v>2.729231285</v>
      </c>
      <c r="BH219">
        <f ca="1">IF(AND(ISNUMBER($BH$521),$B$294=1),$BH$521,HLOOKUP(INDIRECT(ADDRESS(2,COLUMN())),OFFSET($BN$2,0,0,ROW()-1,60),ROW()-1,FALSE))</f>
        <v>3.198493864</v>
      </c>
      <c r="BI219">
        <f ca="1">IF(AND(ISNUMBER($BI$521),$B$294=1),$BI$521,HLOOKUP(INDIRECT(ADDRESS(2,COLUMN())),OFFSET($BN$2,0,0,ROW()-1,60),ROW()-1,FALSE))</f>
        <v>3.2585064880000001</v>
      </c>
      <c r="BJ219">
        <f ca="1">IF(AND(ISNUMBER($BJ$521),$B$294=1),$BJ$521,HLOOKUP(INDIRECT(ADDRESS(2,COLUMN())),OFFSET($BN$2,0,0,ROW()-1,60),ROW()-1,FALSE))</f>
        <v>3.0669327050000001</v>
      </c>
      <c r="BK219">
        <f ca="1">IF(AND(ISNUMBER($BK$521),$B$294=1),$BK$521,HLOOKUP(INDIRECT(ADDRESS(2,COLUMN())),OFFSET($BN$2,0,0,ROW()-1,60),ROW()-1,FALSE))</f>
        <v>3.5856958749999999</v>
      </c>
      <c r="BL219">
        <f ca="1">IF(AND(ISNUMBER($BL$521),$B$294=1),$BL$521,HLOOKUP(INDIRECT(ADDRESS(2,COLUMN())),OFFSET($BN$2,0,0,ROW()-1,60),ROW()-1,FALSE))</f>
        <v>5.5602660950000002</v>
      </c>
      <c r="BM219">
        <f ca="1">IF(AND(ISNUMBER($BM$521),$B$294=1),$BM$521,HLOOKUP(INDIRECT(ADDRESS(2,COLUMN())),OFFSET($BN$2,0,0,ROW()-1,60),ROW()-1,FALSE))</f>
        <v>3.197901592</v>
      </c>
      <c r="BN219" t="str">
        <f>""</f>
        <v/>
      </c>
      <c r="BO219">
        <f>3.95325</f>
        <v>3.9532500000000002</v>
      </c>
      <c r="BP219">
        <f>4.05848717</f>
        <v>4.0584871700000003</v>
      </c>
      <c r="BQ219">
        <f>3.984963976</f>
        <v>3.984963976</v>
      </c>
      <c r="BR219">
        <f>4.078866073</f>
        <v>4.0788660730000004</v>
      </c>
      <c r="BS219">
        <f>4.046729684</f>
        <v>4.0467296839999998</v>
      </c>
      <c r="BT219">
        <f>4.169225481</f>
        <v>4.1692254809999998</v>
      </c>
      <c r="BU219">
        <f>3.810034498</f>
        <v>3.8100344979999998</v>
      </c>
      <c r="BV219">
        <f>3.595835721</f>
        <v>3.5958357209999998</v>
      </c>
      <c r="BW219">
        <f>3.448929552</f>
        <v>3.4489295520000001</v>
      </c>
      <c r="BX219">
        <f>3.327137954</f>
        <v>3.3271379539999999</v>
      </c>
      <c r="BY219">
        <f>3.436863207</f>
        <v>3.436863207</v>
      </c>
      <c r="BZ219">
        <f>3.418753829</f>
        <v>3.4187538289999999</v>
      </c>
      <c r="CA219">
        <f>3.146715076</f>
        <v>3.146715076</v>
      </c>
      <c r="CB219">
        <f>2.700962052</f>
        <v>2.7009620519999999</v>
      </c>
      <c r="CC219">
        <f>2.857075981</f>
        <v>2.8570759809999999</v>
      </c>
      <c r="CD219">
        <f>2.760184062</f>
        <v>2.760184062</v>
      </c>
      <c r="CE219">
        <f>2.632110618</f>
        <v>2.632110618</v>
      </c>
      <c r="CF219">
        <f>2.597416076</f>
        <v>2.597416076</v>
      </c>
      <c r="CG219">
        <f>2.734111915</f>
        <v>2.7341119150000002</v>
      </c>
      <c r="CH219">
        <f>2.569504114</f>
        <v>2.5695041139999999</v>
      </c>
      <c r="CI219">
        <f>4.173182174</f>
        <v>4.1731821739999999</v>
      </c>
      <c r="CJ219">
        <f>2.669242845</f>
        <v>2.6692428449999999</v>
      </c>
      <c r="CK219">
        <f>2.706470613</f>
        <v>2.706470613</v>
      </c>
      <c r="CL219">
        <f>2.503645449</f>
        <v>2.503645449</v>
      </c>
      <c r="CM219">
        <f>2.274693994</f>
        <v>2.2746939940000002</v>
      </c>
      <c r="CN219">
        <f>2.293626947</f>
        <v>2.2936269469999999</v>
      </c>
      <c r="CO219">
        <f>2.443910188</f>
        <v>2.4439101879999998</v>
      </c>
      <c r="CP219">
        <f>2.325702347</f>
        <v>2.325702347</v>
      </c>
      <c r="CQ219">
        <f>3.745274102</f>
        <v>3.7452741020000002</v>
      </c>
      <c r="CR219">
        <f>1.52645203</f>
        <v>1.52645203</v>
      </c>
      <c r="CS219">
        <f>2.787003837</f>
        <v>2.7870038369999999</v>
      </c>
      <c r="CT219">
        <f>2.867950481</f>
        <v>2.8679504809999998</v>
      </c>
      <c r="CU219">
        <f>3.785822895</f>
        <v>3.7858228949999999</v>
      </c>
      <c r="CV219">
        <f>3.214623338</f>
        <v>3.214623338</v>
      </c>
      <c r="CW219">
        <f>3.236908963</f>
        <v>3.2369089629999999</v>
      </c>
      <c r="CX219">
        <f>3.164694349</f>
        <v>3.1646943489999999</v>
      </c>
      <c r="CY219">
        <f>2.929052369</f>
        <v>2.9290523689999999</v>
      </c>
      <c r="CZ219">
        <f>3.307952084</f>
        <v>3.3079520840000001</v>
      </c>
      <c r="DA219">
        <f>2.767400658</f>
        <v>2.7674006580000001</v>
      </c>
      <c r="DB219">
        <f>2.963550816</f>
        <v>2.9635508160000001</v>
      </c>
      <c r="DC219">
        <f>2.214083862</f>
        <v>2.2140838619999998</v>
      </c>
      <c r="DD219">
        <f>2.369706388</f>
        <v>2.369706388</v>
      </c>
      <c r="DE219">
        <f>2.562410952</f>
        <v>2.562410952</v>
      </c>
      <c r="DF219">
        <f>2.879414418</f>
        <v>2.8794144180000001</v>
      </c>
      <c r="DG219">
        <f>2.524324324</f>
        <v>2.5243243240000002</v>
      </c>
      <c r="DH219">
        <f>1.950783106</f>
        <v>1.950783106</v>
      </c>
      <c r="DI219">
        <f>1.913049297</f>
        <v>1.9130492969999999</v>
      </c>
      <c r="DJ219">
        <f>3.044255986</f>
        <v>3.044255986</v>
      </c>
      <c r="DK219">
        <f>1.615365653</f>
        <v>1.615365653</v>
      </c>
      <c r="DL219">
        <f>1.334813731</f>
        <v>1.3348137309999999</v>
      </c>
      <c r="DM219">
        <f>1.522875817</f>
        <v>1.5228758170000001</v>
      </c>
      <c r="DN219">
        <f>2.086905648</f>
        <v>2.0869056480000001</v>
      </c>
      <c r="DO219">
        <f>2.729231285</f>
        <v>2.729231285</v>
      </c>
      <c r="DP219">
        <f>3.198493864</f>
        <v>3.198493864</v>
      </c>
      <c r="DQ219">
        <f>3.258506488</f>
        <v>3.2585064880000001</v>
      </c>
      <c r="DR219">
        <f>3.066932705</f>
        <v>3.0669327050000001</v>
      </c>
      <c r="DS219">
        <f>3.585695875</f>
        <v>3.5856958749999999</v>
      </c>
      <c r="DT219">
        <f>5.560266095</f>
        <v>5.5602660950000002</v>
      </c>
      <c r="DU219">
        <f>3.197901592</f>
        <v>3.197901592</v>
      </c>
    </row>
    <row r="220" spans="1:125">
      <c r="A220" t="str">
        <f>"    Mack-Cali Realty Corp"</f>
        <v xml:space="preserve">    Mack-Cali Realty Corp</v>
      </c>
      <c r="B220" t="str">
        <f>"CLI US Equity"</f>
        <v>CLI US Equity</v>
      </c>
      <c r="C220" t="str">
        <f t="shared" si="57"/>
        <v>RR059</v>
      </c>
      <c r="D220" t="str">
        <f t="shared" si="58"/>
        <v>EBITDA_TO_TOT_INT_EXP</v>
      </c>
      <c r="E220" t="str">
        <f t="shared" si="59"/>
        <v>动态</v>
      </c>
      <c r="F220" t="str">
        <f ca="1">IF(AND(ISNUMBER($F$522),$B$294=1),$F$522,HLOOKUP(INDIRECT(ADDRESS(2,COLUMN())),OFFSET($BN$2,0,0,ROW()-1,60),ROW()-1,FALSE))</f>
        <v/>
      </c>
      <c r="G220">
        <f ca="1">IF(AND(ISNUMBER($G$522),$B$294=1),$G$522,HLOOKUP(INDIRECT(ADDRESS(2,COLUMN())),OFFSET($BN$2,0,0,ROW()-1,60),ROW()-1,FALSE))</f>
        <v>0.56114043499999999</v>
      </c>
      <c r="H220">
        <f ca="1">IF(AND(ISNUMBER($H$522),$B$294=1),$H$522,HLOOKUP(INDIRECT(ADDRESS(2,COLUMN())),OFFSET($BN$2,0,0,ROW()-1,60),ROW()-1,FALSE))</f>
        <v>1.6622780029999999</v>
      </c>
      <c r="I220">
        <f ca="1">IF(AND(ISNUMBER($I$522),$B$294=1),$I$522,HLOOKUP(INDIRECT(ADDRESS(2,COLUMN())),OFFSET($BN$2,0,0,ROW()-1,60),ROW()-1,FALSE))</f>
        <v>2.925031766</v>
      </c>
      <c r="J220">
        <f ca="1">IF(AND(ISNUMBER($J$522),$B$294=1),$J$522,HLOOKUP(INDIRECT(ADDRESS(2,COLUMN())),OFFSET($BN$2,0,0,ROW()-1,60),ROW()-1,FALSE))</f>
        <v>2.8664735530000001</v>
      </c>
      <c r="K220">
        <f ca="1">IF(AND(ISNUMBER($K$522),$B$294=1),$K$522,HLOOKUP(INDIRECT(ADDRESS(2,COLUMN())),OFFSET($BN$2,0,0,ROW()-1,60),ROW()-1,FALSE))</f>
        <v>2.7127594070000001</v>
      </c>
      <c r="L220">
        <f ca="1">IF(AND(ISNUMBER($L$522),$B$294=1),$L$522,HLOOKUP(INDIRECT(ADDRESS(2,COLUMN())),OFFSET($BN$2,0,0,ROW()-1,60),ROW()-1,FALSE))</f>
        <v>2.6175016200000001</v>
      </c>
      <c r="M220">
        <f ca="1">IF(AND(ISNUMBER($M$522),$B$294=1),$M$522,HLOOKUP(INDIRECT(ADDRESS(2,COLUMN())),OFFSET($BN$2,0,0,ROW()-1,60),ROW()-1,FALSE))</f>
        <v>2.608615651</v>
      </c>
      <c r="N220">
        <f ca="1">IF(AND(ISNUMBER($N$522),$B$294=1),$N$522,HLOOKUP(INDIRECT(ADDRESS(2,COLUMN())),OFFSET($BN$2,0,0,ROW()-1,60),ROW()-1,FALSE))</f>
        <v>2.4298233740000001</v>
      </c>
      <c r="O220">
        <f ca="1">IF(AND(ISNUMBER($O$522),$B$294=1),$O$522,HLOOKUP(INDIRECT(ADDRESS(2,COLUMN())),OFFSET($BN$2,0,0,ROW()-1,60),ROW()-1,FALSE))</f>
        <v>1.119804486</v>
      </c>
      <c r="P220">
        <f ca="1">IF(AND(ISNUMBER($P$522),$B$294=1),$P$522,HLOOKUP(INDIRECT(ADDRESS(2,COLUMN())),OFFSET($BN$2,0,0,ROW()-1,60),ROW()-1,FALSE))</f>
        <v>-3.2922361850000001</v>
      </c>
      <c r="Q220">
        <f ca="1">IF(AND(ISNUMBER($Q$522),$B$294=1),$Q$522,HLOOKUP(INDIRECT(ADDRESS(2,COLUMN())),OFFSET($BN$2,0,0,ROW()-1,60),ROW()-1,FALSE))</f>
        <v>2.3173725209999998</v>
      </c>
      <c r="R220">
        <f ca="1">IF(AND(ISNUMBER($R$522),$B$294=1),$R$522,HLOOKUP(INDIRECT(ADDRESS(2,COLUMN())),OFFSET($BN$2,0,0,ROW()-1,60),ROW()-1,FALSE))</f>
        <v>2.215657647</v>
      </c>
      <c r="S220">
        <f ca="1">IF(AND(ISNUMBER($S$522),$B$294=1),$S$522,HLOOKUP(INDIRECT(ADDRESS(2,COLUMN())),OFFSET($BN$2,0,0,ROW()-1,60),ROW()-1,FALSE))</f>
        <v>1.8024193550000001</v>
      </c>
      <c r="T220">
        <f ca="1">IF(AND(ISNUMBER($T$522),$B$294=1),$T$522,HLOOKUP(INDIRECT(ADDRESS(2,COLUMN())),OFFSET($BN$2,0,0,ROW()-1,60),ROW()-1,FALSE))</f>
        <v>2.1011392849999999</v>
      </c>
      <c r="U220">
        <f ca="1">IF(AND(ISNUMBER($U$522),$B$294=1),$U$522,HLOOKUP(INDIRECT(ADDRESS(2,COLUMN())),OFFSET($BN$2,0,0,ROW()-1,60),ROW()-1,FALSE))</f>
        <v>2.5425724349999999</v>
      </c>
      <c r="V220">
        <f ca="1">IF(AND(ISNUMBER($V$522),$B$294=1),$V$522,HLOOKUP(INDIRECT(ADDRESS(2,COLUMN())),OFFSET($BN$2,0,0,ROW()-1,60),ROW()-1,FALSE))</f>
        <v>1.771934597</v>
      </c>
      <c r="W220">
        <f ca="1">IF(AND(ISNUMBER($W$522),$B$294=1),$W$522,HLOOKUP(INDIRECT(ADDRESS(2,COLUMN())),OFFSET($BN$2,0,0,ROW()-1,60),ROW()-1,FALSE))</f>
        <v>0.30838856599999998</v>
      </c>
      <c r="X220">
        <f ca="1">IF(AND(ISNUMBER($X$522),$B$294=1),$X$522,HLOOKUP(INDIRECT(ADDRESS(2,COLUMN())),OFFSET($BN$2,0,0,ROW()-1,60),ROW()-1,FALSE))</f>
        <v>0.90557329499999994</v>
      </c>
      <c r="Y220">
        <f ca="1">IF(AND(ISNUMBER($Y$522),$B$294=1),$Y$522,HLOOKUP(INDIRECT(ADDRESS(2,COLUMN())),OFFSET($BN$2,0,0,ROW()-1,60),ROW()-1,FALSE))</f>
        <v>2.5785650200000001</v>
      </c>
      <c r="Z220">
        <f ca="1">IF(AND(ISNUMBER($Z$522),$B$294=1),$Z$522,HLOOKUP(INDIRECT(ADDRESS(2,COLUMN())),OFFSET($BN$2,0,0,ROW()-1,60),ROW()-1,FALSE))</f>
        <v>2.59212263</v>
      </c>
      <c r="AA220">
        <f ca="1">IF(AND(ISNUMBER($AA$522),$B$294=1),$AA$522,HLOOKUP(INDIRECT(ADDRESS(2,COLUMN())),OFFSET($BN$2,0,0,ROW()-1,60),ROW()-1,FALSE))</f>
        <v>2.250523077</v>
      </c>
      <c r="AB220">
        <f ca="1">IF(AND(ISNUMBER($AB$522),$B$294=1),$AB$522,HLOOKUP(INDIRECT(ADDRESS(2,COLUMN())),OFFSET($BN$2,0,0,ROW()-1,60),ROW()-1,FALSE))</f>
        <v>2.750439031</v>
      </c>
      <c r="AC220">
        <f ca="1">IF(AND(ISNUMBER($AC$522),$B$294=1),$AC$522,HLOOKUP(INDIRECT(ADDRESS(2,COLUMN())),OFFSET($BN$2,0,0,ROW()-1,60),ROW()-1,FALSE))</f>
        <v>2.9031377470000002</v>
      </c>
      <c r="AD220">
        <f ca="1">IF(AND(ISNUMBER($AD$522),$B$294=1),$AD$522,HLOOKUP(INDIRECT(ADDRESS(2,COLUMN())),OFFSET($BN$2,0,0,ROW()-1,60),ROW()-1,FALSE))</f>
        <v>3.2771460129999999</v>
      </c>
      <c r="AE220">
        <f ca="1">IF(AND(ISNUMBER($AE$522),$B$294=1),$AE$522,HLOOKUP(INDIRECT(ADDRESS(2,COLUMN())),OFFSET($BN$2,0,0,ROW()-1,60),ROW()-1,FALSE))</f>
        <v>3.1196182870000002</v>
      </c>
      <c r="AF220">
        <f ca="1">IF(AND(ISNUMBER($AF$522),$B$294=1),$AF$522,HLOOKUP(INDIRECT(ADDRESS(2,COLUMN())),OFFSET($BN$2,0,0,ROW()-1,60),ROW()-1,FALSE))</f>
        <v>3.381911289</v>
      </c>
      <c r="AG220">
        <f ca="1">IF(AND(ISNUMBER($AG$522),$B$294=1),$AG$522,HLOOKUP(INDIRECT(ADDRESS(2,COLUMN())),OFFSET($BN$2,0,0,ROW()-1,60),ROW()-1,FALSE))</f>
        <v>3.17540815</v>
      </c>
      <c r="AH220">
        <f ca="1">IF(AND(ISNUMBER($AH$522),$B$294=1),$AH$522,HLOOKUP(INDIRECT(ADDRESS(2,COLUMN())),OFFSET($BN$2,0,0,ROW()-1,60),ROW()-1,FALSE))</f>
        <v>3.0861904459999998</v>
      </c>
      <c r="AI220">
        <f ca="1">IF(AND(ISNUMBER($AI$522),$B$294=1),$AI$522,HLOOKUP(INDIRECT(ADDRESS(2,COLUMN())),OFFSET($BN$2,0,0,ROW()-1,60),ROW()-1,FALSE))</f>
        <v>2.5439877489999998</v>
      </c>
      <c r="AJ220">
        <f ca="1">IF(AND(ISNUMBER($AJ$522),$B$294=1),$AJ$522,HLOOKUP(INDIRECT(ADDRESS(2,COLUMN())),OFFSET($BN$2,0,0,ROW()-1,60),ROW()-1,FALSE))</f>
        <v>2.6632704770000002</v>
      </c>
      <c r="AK220">
        <f ca="1">IF(AND(ISNUMBER($AK$522),$B$294=1),$AK$522,HLOOKUP(INDIRECT(ADDRESS(2,COLUMN())),OFFSET($BN$2,0,0,ROW()-1,60),ROW()-1,FALSE))</f>
        <v>2.7223172299999998</v>
      </c>
      <c r="AL220">
        <f ca="1">IF(AND(ISNUMBER($AL$522),$B$294=1),$AL$522,HLOOKUP(INDIRECT(ADDRESS(2,COLUMN())),OFFSET($BN$2,0,0,ROW()-1,60),ROW()-1,FALSE))</f>
        <v>2.6632414880000002</v>
      </c>
      <c r="AM220">
        <f ca="1">IF(AND(ISNUMBER($AM$522),$B$294=1),$AM$522,HLOOKUP(INDIRECT(ADDRESS(2,COLUMN())),OFFSET($BN$2,0,0,ROW()-1,60),ROW()-1,FALSE))</f>
        <v>2.7898552599999999</v>
      </c>
      <c r="AN220">
        <f ca="1">IF(AND(ISNUMBER($AN$522),$B$294=1),$AN$522,HLOOKUP(INDIRECT(ADDRESS(2,COLUMN())),OFFSET($BN$2,0,0,ROW()-1,60),ROW()-1,FALSE))</f>
        <v>2.9786406689999998</v>
      </c>
      <c r="AO220">
        <f ca="1">IF(AND(ISNUMBER($AO$522),$B$294=1),$AO$522,HLOOKUP(INDIRECT(ADDRESS(2,COLUMN())),OFFSET($BN$2,0,0,ROW()-1,60),ROW()-1,FALSE))</f>
        <v>3.1816357700000002</v>
      </c>
      <c r="AP220">
        <f ca="1">IF(AND(ISNUMBER($AP$522),$B$294=1),$AP$522,HLOOKUP(INDIRECT(ADDRESS(2,COLUMN())),OFFSET($BN$2,0,0,ROW()-1,60),ROW()-1,FALSE))</f>
        <v>2.9606325099999999</v>
      </c>
      <c r="AQ220">
        <f ca="1">IF(AND(ISNUMBER($AQ$522),$B$294=1),$AQ$522,HLOOKUP(INDIRECT(ADDRESS(2,COLUMN())),OFFSET($BN$2,0,0,ROW()-1,60),ROW()-1,FALSE))</f>
        <v>3.1361169470000001</v>
      </c>
      <c r="AR220">
        <f ca="1">IF(AND(ISNUMBER($AR$522),$B$294=1),$AR$522,HLOOKUP(INDIRECT(ADDRESS(2,COLUMN())),OFFSET($BN$2,0,0,ROW()-1,60),ROW()-1,FALSE))</f>
        <v>3.2891232979999998</v>
      </c>
      <c r="AS220">
        <f ca="1">IF(AND(ISNUMBER($AS$522),$B$294=1),$AS$522,HLOOKUP(INDIRECT(ADDRESS(2,COLUMN())),OFFSET($BN$2,0,0,ROW()-1,60),ROW()-1,FALSE))</f>
        <v>3.0279590779999999</v>
      </c>
      <c r="AT220">
        <f ca="1">IF(AND(ISNUMBER($AT$522),$B$294=1),$AT$522,HLOOKUP(INDIRECT(ADDRESS(2,COLUMN())),OFFSET($BN$2,0,0,ROW()-1,60),ROW()-1,FALSE))</f>
        <v>2.9326161480000001</v>
      </c>
      <c r="AU220">
        <f ca="1">IF(AND(ISNUMBER($AU$522),$B$294=1),$AU$522,HLOOKUP(INDIRECT(ADDRESS(2,COLUMN())),OFFSET($BN$2,0,0,ROW()-1,60),ROW()-1,FALSE))</f>
        <v>2.9130952030000001</v>
      </c>
      <c r="AV220">
        <f ca="1">IF(AND(ISNUMBER($AV$522),$B$294=1),$AV$522,HLOOKUP(INDIRECT(ADDRESS(2,COLUMN())),OFFSET($BN$2,0,0,ROW()-1,60),ROW()-1,FALSE))</f>
        <v>3.1884870099999998</v>
      </c>
      <c r="AW220">
        <f ca="1">IF(AND(ISNUMBER($AW$522),$B$294=1),$AW$522,HLOOKUP(INDIRECT(ADDRESS(2,COLUMN())),OFFSET($BN$2,0,0,ROW()-1,60),ROW()-1,FALSE))</f>
        <v>3.1046465140000001</v>
      </c>
      <c r="AX220">
        <f ca="1">IF(AND(ISNUMBER($AX$522),$B$294=1),$AX$522,HLOOKUP(INDIRECT(ADDRESS(2,COLUMN())),OFFSET($BN$2,0,0,ROW()-1,60),ROW()-1,FALSE))</f>
        <v>3.054029758</v>
      </c>
      <c r="AY220">
        <f ca="1">IF(AND(ISNUMBER($AY$522),$B$294=1),$AY$522,HLOOKUP(INDIRECT(ADDRESS(2,COLUMN())),OFFSET($BN$2,0,0,ROW()-1,60),ROW()-1,FALSE))</f>
        <v>2.699821708</v>
      </c>
      <c r="AZ220">
        <f ca="1">IF(AND(ISNUMBER($AZ$522),$B$294=1),$AZ$522,HLOOKUP(INDIRECT(ADDRESS(2,COLUMN())),OFFSET($BN$2,0,0,ROW()-1,60),ROW()-1,FALSE))</f>
        <v>2.6587094370000002</v>
      </c>
      <c r="BA220">
        <f ca="1">IF(AND(ISNUMBER($BA$522),$B$294=1),$BA$522,HLOOKUP(INDIRECT(ADDRESS(2,COLUMN())),OFFSET($BN$2,0,0,ROW()-1,60),ROW()-1,FALSE))</f>
        <v>2.9633867939999998</v>
      </c>
      <c r="BB220">
        <f ca="1">IF(AND(ISNUMBER($BB$522),$B$294=1),$BB$522,HLOOKUP(INDIRECT(ADDRESS(2,COLUMN())),OFFSET($BN$2,0,0,ROW()-1,60),ROW()-1,FALSE))</f>
        <v>2.86032799</v>
      </c>
      <c r="BC220">
        <f ca="1">IF(AND(ISNUMBER($BC$522),$B$294=1),$BC$522,HLOOKUP(INDIRECT(ADDRESS(2,COLUMN())),OFFSET($BN$2,0,0,ROW()-1,60),ROW()-1,FALSE))</f>
        <v>2.4858781489999999</v>
      </c>
      <c r="BD220">
        <f ca="1">IF(AND(ISNUMBER($BD$522),$B$294=1),$BD$522,HLOOKUP(INDIRECT(ADDRESS(2,COLUMN())),OFFSET($BN$2,0,0,ROW()-1,60),ROW()-1,FALSE))</f>
        <v>3.1450976490000002</v>
      </c>
      <c r="BE220">
        <f ca="1">IF(AND(ISNUMBER($BE$522),$B$294=1),$BE$522,HLOOKUP(INDIRECT(ADDRESS(2,COLUMN())),OFFSET($BN$2,0,0,ROW()-1,60),ROW()-1,FALSE))</f>
        <v>3.3134407010000002</v>
      </c>
      <c r="BF220">
        <f ca="1">IF(AND(ISNUMBER($BF$522),$B$294=1),$BF$522,HLOOKUP(INDIRECT(ADDRESS(2,COLUMN())),OFFSET($BN$2,0,0,ROW()-1,60),ROW()-1,FALSE))</f>
        <v>3.1559304880000001</v>
      </c>
      <c r="BG220">
        <f ca="1">IF(AND(ISNUMBER($BG$522),$B$294=1),$BG$522,HLOOKUP(INDIRECT(ADDRESS(2,COLUMN())),OFFSET($BN$2,0,0,ROW()-1,60),ROW()-1,FALSE))</f>
        <v>3.3581404030000002</v>
      </c>
      <c r="BH220">
        <f ca="1">IF(AND(ISNUMBER($BH$522),$B$294=1),$BH$522,HLOOKUP(INDIRECT(ADDRESS(2,COLUMN())),OFFSET($BN$2,0,0,ROW()-1,60),ROW()-1,FALSE))</f>
        <v>3.2471376900000002</v>
      </c>
      <c r="BI220">
        <f ca="1">IF(AND(ISNUMBER($BI$522),$B$294=1),$BI$522,HLOOKUP(INDIRECT(ADDRESS(2,COLUMN())),OFFSET($BN$2,0,0,ROW()-1,60),ROW()-1,FALSE))</f>
        <v>3.322379733</v>
      </c>
      <c r="BJ220">
        <f ca="1">IF(AND(ISNUMBER($BJ$522),$B$294=1),$BJ$522,HLOOKUP(INDIRECT(ADDRESS(2,COLUMN())),OFFSET($BN$2,0,0,ROW()-1,60),ROW()-1,FALSE))</f>
        <v>3.0297151000000002</v>
      </c>
      <c r="BK220">
        <f ca="1">IF(AND(ISNUMBER($BK$522),$B$294=1),$BK$522,HLOOKUP(INDIRECT(ADDRESS(2,COLUMN())),OFFSET($BN$2,0,0,ROW()-1,60),ROW()-1,FALSE))</f>
        <v>3.019231446</v>
      </c>
      <c r="BL220">
        <f ca="1">IF(AND(ISNUMBER($BL$522),$B$294=1),$BL$522,HLOOKUP(INDIRECT(ADDRESS(2,COLUMN())),OFFSET($BN$2,0,0,ROW()-1,60),ROW()-1,FALSE))</f>
        <v>3.0082428490000002</v>
      </c>
      <c r="BM220">
        <f ca="1">IF(AND(ISNUMBER($BM$522),$B$294=1),$BM$522,HLOOKUP(INDIRECT(ADDRESS(2,COLUMN())),OFFSET($BN$2,0,0,ROW()-1,60),ROW()-1,FALSE))</f>
        <v>3.0436602160000001</v>
      </c>
      <c r="BN220" t="str">
        <f>""</f>
        <v/>
      </c>
      <c r="BO220">
        <f>0.561140435</f>
        <v>0.56114043499999999</v>
      </c>
      <c r="BP220">
        <f>1.662278003</f>
        <v>1.6622780029999999</v>
      </c>
      <c r="BQ220">
        <f>2.925031766</f>
        <v>2.925031766</v>
      </c>
      <c r="BR220">
        <f>2.866473553</f>
        <v>2.8664735530000001</v>
      </c>
      <c r="BS220">
        <f>2.712759407</f>
        <v>2.7127594070000001</v>
      </c>
      <c r="BT220">
        <f>2.61750162</f>
        <v>2.6175016200000001</v>
      </c>
      <c r="BU220">
        <f>2.608615651</f>
        <v>2.608615651</v>
      </c>
      <c r="BV220">
        <f>2.429823374</f>
        <v>2.4298233740000001</v>
      </c>
      <c r="BW220">
        <f>1.119804486</f>
        <v>1.119804486</v>
      </c>
      <c r="BX220">
        <f>-3.292236185</f>
        <v>-3.2922361850000001</v>
      </c>
      <c r="BY220">
        <f>2.317372521</f>
        <v>2.3173725209999998</v>
      </c>
      <c r="BZ220">
        <f>2.215657647</f>
        <v>2.215657647</v>
      </c>
      <c r="CA220">
        <f>1.802419355</f>
        <v>1.8024193550000001</v>
      </c>
      <c r="CB220">
        <f>2.101139285</f>
        <v>2.1011392849999999</v>
      </c>
      <c r="CC220">
        <f>2.542572435</f>
        <v>2.5425724349999999</v>
      </c>
      <c r="CD220">
        <f>1.771934597</f>
        <v>1.771934597</v>
      </c>
      <c r="CE220">
        <f>0.308388566</f>
        <v>0.30838856599999998</v>
      </c>
      <c r="CF220">
        <f>0.905573295</f>
        <v>0.90557329499999994</v>
      </c>
      <c r="CG220">
        <f>2.57856502</f>
        <v>2.5785650200000001</v>
      </c>
      <c r="CH220">
        <f>2.59212263</f>
        <v>2.59212263</v>
      </c>
      <c r="CI220">
        <f>2.250523077</f>
        <v>2.250523077</v>
      </c>
      <c r="CJ220">
        <f>2.750439031</f>
        <v>2.750439031</v>
      </c>
      <c r="CK220">
        <f>2.903137747</f>
        <v>2.9031377470000002</v>
      </c>
      <c r="CL220">
        <f>3.277146013</f>
        <v>3.2771460129999999</v>
      </c>
      <c r="CM220">
        <f>3.119618287</f>
        <v>3.1196182870000002</v>
      </c>
      <c r="CN220">
        <f>3.381911289</f>
        <v>3.381911289</v>
      </c>
      <c r="CO220">
        <f>3.17540815</f>
        <v>3.17540815</v>
      </c>
      <c r="CP220">
        <f>3.086190446</f>
        <v>3.0861904459999998</v>
      </c>
      <c r="CQ220">
        <f>2.543987749</f>
        <v>2.5439877489999998</v>
      </c>
      <c r="CR220">
        <f>2.663270477</f>
        <v>2.6632704770000002</v>
      </c>
      <c r="CS220">
        <f>2.72231723</f>
        <v>2.7223172299999998</v>
      </c>
      <c r="CT220">
        <f>2.663241488</f>
        <v>2.6632414880000002</v>
      </c>
      <c r="CU220">
        <f>2.78985526</f>
        <v>2.7898552599999999</v>
      </c>
      <c r="CV220">
        <f>2.978640669</f>
        <v>2.9786406689999998</v>
      </c>
      <c r="CW220">
        <f>3.18163577</f>
        <v>3.1816357700000002</v>
      </c>
      <c r="CX220">
        <f>2.96063251</f>
        <v>2.9606325099999999</v>
      </c>
      <c r="CY220">
        <f>3.136116947</f>
        <v>3.1361169470000001</v>
      </c>
      <c r="CZ220">
        <f>3.289123298</f>
        <v>3.2891232979999998</v>
      </c>
      <c r="DA220">
        <f>3.027959078</f>
        <v>3.0279590779999999</v>
      </c>
      <c r="DB220">
        <f>2.932616148</f>
        <v>2.9326161480000001</v>
      </c>
      <c r="DC220">
        <f>2.913095203</f>
        <v>2.9130952030000001</v>
      </c>
      <c r="DD220">
        <f>3.18848701</f>
        <v>3.1884870099999998</v>
      </c>
      <c r="DE220">
        <f>3.104646514</f>
        <v>3.1046465140000001</v>
      </c>
      <c r="DF220">
        <f>3.054029758</f>
        <v>3.054029758</v>
      </c>
      <c r="DG220">
        <f>2.699821708</f>
        <v>2.699821708</v>
      </c>
      <c r="DH220">
        <f>2.658709437</f>
        <v>2.6587094370000002</v>
      </c>
      <c r="DI220">
        <f>2.963386794</f>
        <v>2.9633867939999998</v>
      </c>
      <c r="DJ220">
        <f>2.86032799</f>
        <v>2.86032799</v>
      </c>
      <c r="DK220">
        <f>2.485878149</f>
        <v>2.4858781489999999</v>
      </c>
      <c r="DL220">
        <f>3.145097649</f>
        <v>3.1450976490000002</v>
      </c>
      <c r="DM220">
        <f>3.313440701</f>
        <v>3.3134407010000002</v>
      </c>
      <c r="DN220">
        <f>3.155930488</f>
        <v>3.1559304880000001</v>
      </c>
      <c r="DO220">
        <f>3.358140403</f>
        <v>3.3581404030000002</v>
      </c>
      <c r="DP220">
        <f>3.24713769</f>
        <v>3.2471376900000002</v>
      </c>
      <c r="DQ220">
        <f>3.322379733</f>
        <v>3.322379733</v>
      </c>
      <c r="DR220">
        <f>3.0297151</f>
        <v>3.0297151000000002</v>
      </c>
      <c r="DS220">
        <f>3.019231446</f>
        <v>3.019231446</v>
      </c>
      <c r="DT220">
        <f>3.008242849</f>
        <v>3.0082428490000002</v>
      </c>
      <c r="DU220">
        <f>3.043660216</f>
        <v>3.0436602160000001</v>
      </c>
    </row>
    <row r="221" spans="1:125">
      <c r="A221" t="str">
        <f>"    Piedmont Office Realty Trust I"</f>
        <v xml:space="preserve">    Piedmont Office Realty Trust I</v>
      </c>
      <c r="B221" t="str">
        <f>"PDM US Equity"</f>
        <v>PDM US Equity</v>
      </c>
      <c r="C221" t="str">
        <f t="shared" si="57"/>
        <v>RR059</v>
      </c>
      <c r="D221" t="str">
        <f t="shared" si="58"/>
        <v>EBITDA_TO_TOT_INT_EXP</v>
      </c>
      <c r="E221" t="str">
        <f t="shared" si="59"/>
        <v>动态</v>
      </c>
      <c r="F221" t="str">
        <f ca="1">IF(AND(ISNUMBER($F$523),$B$294=1),$F$523,HLOOKUP(INDIRECT(ADDRESS(2,COLUMN())),OFFSET($BN$2,0,0,ROW()-1,60),ROW()-1,FALSE))</f>
        <v/>
      </c>
      <c r="G221">
        <f ca="1">IF(AND(ISNUMBER($G$523),$B$294=1),$G$523,HLOOKUP(INDIRECT(ADDRESS(2,COLUMN())),OFFSET($BN$2,0,0,ROW()-1,60),ROW()-1,FALSE))</f>
        <v>1.917694112</v>
      </c>
      <c r="H221">
        <f ca="1">IF(AND(ISNUMBER($H$523),$B$294=1),$H$523,HLOOKUP(INDIRECT(ADDRESS(2,COLUMN())),OFFSET($BN$2,0,0,ROW()-1,60),ROW()-1,FALSE))</f>
        <v>4.739011874</v>
      </c>
      <c r="I221">
        <f ca="1">IF(AND(ISNUMBER($I$523),$B$294=1),$I$523,HLOOKUP(INDIRECT(ADDRESS(2,COLUMN())),OFFSET($BN$2,0,0,ROW()-1,60),ROW()-1,FALSE))</f>
        <v>4.5759254150000004</v>
      </c>
      <c r="J221">
        <f ca="1">IF(AND(ISNUMBER($J$523),$B$294=1),$J$523,HLOOKUP(INDIRECT(ADDRESS(2,COLUMN())),OFFSET($BN$2,0,0,ROW()-1,60),ROW()-1,FALSE))</f>
        <v>4.6425498010000004</v>
      </c>
      <c r="K221">
        <f ca="1">IF(AND(ISNUMBER($K$523),$B$294=1),$K$523,HLOOKUP(INDIRECT(ADDRESS(2,COLUMN())),OFFSET($BN$2,0,0,ROW()-1,60),ROW()-1,FALSE))</f>
        <v>4.5340431890000001</v>
      </c>
      <c r="L221">
        <f ca="1">IF(AND(ISNUMBER($L$523),$B$294=1),$L$523,HLOOKUP(INDIRECT(ADDRESS(2,COLUMN())),OFFSET($BN$2,0,0,ROW()-1,60),ROW()-1,FALSE))</f>
        <v>3.1445331040000002</v>
      </c>
      <c r="M221">
        <f ca="1">IF(AND(ISNUMBER($M$523),$B$294=1),$M$523,HLOOKUP(INDIRECT(ADDRESS(2,COLUMN())),OFFSET($BN$2,0,0,ROW()-1,60),ROW()-1,FALSE))</f>
        <v>3.7149535440000001</v>
      </c>
      <c r="N221">
        <f ca="1">IF(AND(ISNUMBER($N$523),$B$294=1),$N$523,HLOOKUP(INDIRECT(ADDRESS(2,COLUMN())),OFFSET($BN$2,0,0,ROW()-1,60),ROW()-1,FALSE))</f>
        <v>4.3220020620000001</v>
      </c>
      <c r="O221">
        <f ca="1">IF(AND(ISNUMBER($O$523),$B$294=1),$O$523,HLOOKUP(INDIRECT(ADDRESS(2,COLUMN())),OFFSET($BN$2,0,0,ROW()-1,60),ROW()-1,FALSE))</f>
        <v>4.0407183910000004</v>
      </c>
      <c r="P221">
        <f ca="1">IF(AND(ISNUMBER($P$523),$B$294=1),$P$523,HLOOKUP(INDIRECT(ADDRESS(2,COLUMN())),OFFSET($BN$2,0,0,ROW()-1,60),ROW()-1,FALSE))</f>
        <v>2.237279268</v>
      </c>
      <c r="Q221">
        <f ca="1">IF(AND(ISNUMBER($Q$523),$B$294=1),$Q$523,HLOOKUP(INDIRECT(ADDRESS(2,COLUMN())),OFFSET($BN$2,0,0,ROW()-1,60),ROW()-1,FALSE))</f>
        <v>3.7723888419999998</v>
      </c>
      <c r="R221">
        <f ca="1">IF(AND(ISNUMBER($R$523),$B$294=1),$R$523,HLOOKUP(INDIRECT(ADDRESS(2,COLUMN())),OFFSET($BN$2,0,0,ROW()-1,60),ROW()-1,FALSE))</f>
        <v>3.9946027599999998</v>
      </c>
      <c r="S221">
        <f ca="1">IF(AND(ISNUMBER($S$523),$B$294=1),$S$523,HLOOKUP(INDIRECT(ADDRESS(2,COLUMN())),OFFSET($BN$2,0,0,ROW()-1,60),ROW()-1,FALSE))</f>
        <v>4.0195624060000004</v>
      </c>
      <c r="T221">
        <f ca="1">IF(AND(ISNUMBER($T$523),$B$294=1),$T$523,HLOOKUP(INDIRECT(ADDRESS(2,COLUMN())),OFFSET($BN$2,0,0,ROW()-1,60),ROW()-1,FALSE))</f>
        <v>4.0073769950000004</v>
      </c>
      <c r="U221">
        <f ca="1">IF(AND(ISNUMBER($U$523),$B$294=1),$U$523,HLOOKUP(INDIRECT(ADDRESS(2,COLUMN())),OFFSET($BN$2,0,0,ROW()-1,60),ROW()-1,FALSE))</f>
        <v>4.006171202</v>
      </c>
      <c r="V221">
        <f ca="1">IF(AND(ISNUMBER($V$523),$B$294=1),$V$523,HLOOKUP(INDIRECT(ADDRESS(2,COLUMN())),OFFSET($BN$2,0,0,ROW()-1,60),ROW()-1,FALSE))</f>
        <v>3.798384151</v>
      </c>
      <c r="W221">
        <f ca="1">IF(AND(ISNUMBER($W$523),$B$294=1),$W$523,HLOOKUP(INDIRECT(ADDRESS(2,COLUMN())),OFFSET($BN$2,0,0,ROW()-1,60),ROW()-1,FALSE))</f>
        <v>1.5350528969999999</v>
      </c>
      <c r="X221">
        <f ca="1">IF(AND(ISNUMBER($X$523),$B$294=1),$X$523,HLOOKUP(INDIRECT(ADDRESS(2,COLUMN())),OFFSET($BN$2,0,0,ROW()-1,60),ROW()-1,FALSE))</f>
        <v>4.1042884490000002</v>
      </c>
      <c r="Y221">
        <f ca="1">IF(AND(ISNUMBER($Y$523),$B$294=1),$Y$523,HLOOKUP(INDIRECT(ADDRESS(2,COLUMN())),OFFSET($BN$2,0,0,ROW()-1,60),ROW()-1,FALSE))</f>
        <v>4.0593442619999998</v>
      </c>
      <c r="Z221">
        <f ca="1">IF(AND(ISNUMBER($Z$523),$B$294=1),$Z$523,HLOOKUP(INDIRECT(ADDRESS(2,COLUMN())),OFFSET($BN$2,0,0,ROW()-1,60),ROW()-1,FALSE))</f>
        <v>4.3207932009999999</v>
      </c>
      <c r="AA221">
        <f ca="1">IF(AND(ISNUMBER($AA$523),$B$294=1),$AA$523,HLOOKUP(INDIRECT(ADDRESS(2,COLUMN())),OFFSET($BN$2,0,0,ROW()-1,60),ROW()-1,FALSE))</f>
        <v>4.0997790869999999</v>
      </c>
      <c r="AB221">
        <f ca="1">IF(AND(ISNUMBER($AB$523),$B$294=1),$AB$523,HLOOKUP(INDIRECT(ADDRESS(2,COLUMN())),OFFSET($BN$2,0,0,ROW()-1,60),ROW()-1,FALSE))</f>
        <v>4.769680556</v>
      </c>
      <c r="AC221">
        <f ca="1">IF(AND(ISNUMBER($AC$523),$B$294=1),$AC$523,HLOOKUP(INDIRECT(ADDRESS(2,COLUMN())),OFFSET($BN$2,0,0,ROW()-1,60),ROW()-1,FALSE))</f>
        <v>4.6809257979999996</v>
      </c>
      <c r="AD221">
        <f ca="1">IF(AND(ISNUMBER($AD$523),$B$294=1),$AD$523,HLOOKUP(INDIRECT(ADDRESS(2,COLUMN())),OFFSET($BN$2,0,0,ROW()-1,60),ROW()-1,FALSE))</f>
        <v>4.5209530139999998</v>
      </c>
      <c r="AE221">
        <f ca="1">IF(AND(ISNUMBER($AE$523),$B$294=1),$AE$523,HLOOKUP(INDIRECT(ADDRESS(2,COLUMN())),OFFSET($BN$2,0,0,ROW()-1,60),ROW()-1,FALSE))</f>
        <v>4.4842162549999998</v>
      </c>
      <c r="AF221">
        <f ca="1">IF(AND(ISNUMBER($AF$523),$B$294=1),$AF$523,HLOOKUP(INDIRECT(ADDRESS(2,COLUMN())),OFFSET($BN$2,0,0,ROW()-1,60),ROW()-1,FALSE))</f>
        <v>4.9120475289999996</v>
      </c>
      <c r="AG221">
        <f ca="1">IF(AND(ISNUMBER($AG$523),$B$294=1),$AG$523,HLOOKUP(INDIRECT(ADDRESS(2,COLUMN())),OFFSET($BN$2,0,0,ROW()-1,60),ROW()-1,FALSE))</f>
        <v>4.371055556</v>
      </c>
      <c r="AH221">
        <f ca="1">IF(AND(ISNUMBER($AH$523),$B$294=1),$AH$523,HLOOKUP(INDIRECT(ADDRESS(2,COLUMN())),OFFSET($BN$2,0,0,ROW()-1,60),ROW()-1,FALSE))</f>
        <v>5.0898976979999997</v>
      </c>
      <c r="AI221">
        <f ca="1">IF(AND(ISNUMBER($AI$523),$B$294=1),$AI$523,HLOOKUP(INDIRECT(ADDRESS(2,COLUMN())),OFFSET($BN$2,0,0,ROW()-1,60),ROW()-1,FALSE))</f>
        <v>4.9012025320000001</v>
      </c>
      <c r="AJ221">
        <f ca="1">IF(AND(ISNUMBER($AJ$523),$B$294=1),$AJ$523,HLOOKUP(INDIRECT(ADDRESS(2,COLUMN())),OFFSET($BN$2,0,0,ROW()-1,60),ROW()-1,FALSE))</f>
        <v>5.4262534069999999</v>
      </c>
      <c r="AK221">
        <f ca="1">IF(AND(ISNUMBER($AK$523),$B$294=1),$AK$523,HLOOKUP(INDIRECT(ADDRESS(2,COLUMN())),OFFSET($BN$2,0,0,ROW()-1,60),ROW()-1,FALSE))</f>
        <v>4.288913537</v>
      </c>
      <c r="AL221">
        <f ca="1">IF(AND(ISNUMBER($AL$523),$B$294=1),$AL$523,HLOOKUP(INDIRECT(ADDRESS(2,COLUMN())),OFFSET($BN$2,0,0,ROW()-1,60),ROW()-1,FALSE))</f>
        <v>4.4510502330000001</v>
      </c>
      <c r="AM221">
        <f ca="1">IF(AND(ISNUMBER($AM$523),$B$294=1),$AM$523,HLOOKUP(INDIRECT(ADDRESS(2,COLUMN())),OFFSET($BN$2,0,0,ROW()-1,60),ROW()-1,FALSE))</f>
        <v>4.4020935960000003</v>
      </c>
      <c r="AN221">
        <f ca="1">IF(AND(ISNUMBER($AN$523),$B$294=1),$AN$523,HLOOKUP(INDIRECT(ADDRESS(2,COLUMN())),OFFSET($BN$2,0,0,ROW()-1,60),ROW()-1,FALSE))</f>
        <v>2.6014448200000002</v>
      </c>
      <c r="AO221">
        <f ca="1">IF(AND(ISNUMBER($AO$523),$B$294=1),$AO$523,HLOOKUP(INDIRECT(ADDRESS(2,COLUMN())),OFFSET($BN$2,0,0,ROW()-1,60),ROW()-1,FALSE))</f>
        <v>4.3581520060000001</v>
      </c>
      <c r="AP221">
        <f ca="1">IF(AND(ISNUMBER($AP$523),$B$294=1),$AP$523,HLOOKUP(INDIRECT(ADDRESS(2,COLUMN())),OFFSET($BN$2,0,0,ROW()-1,60),ROW()-1,FALSE))</f>
        <v>4.9245661260000002</v>
      </c>
      <c r="AQ221">
        <f ca="1">IF(AND(ISNUMBER($AQ$523),$B$294=1),$AQ$523,HLOOKUP(INDIRECT(ADDRESS(2,COLUMN())),OFFSET($BN$2,0,0,ROW()-1,60),ROW()-1,FALSE))</f>
        <v>4.5808024380000001</v>
      </c>
      <c r="AR221">
        <f ca="1">IF(AND(ISNUMBER($AR$523),$B$294=1),$AR$523,HLOOKUP(INDIRECT(ADDRESS(2,COLUMN())),OFFSET($BN$2,0,0,ROW()-1,60),ROW()-1,FALSE))</f>
        <v>4.7527528029999999</v>
      </c>
      <c r="AS221">
        <f ca="1">IF(AND(ISNUMBER($AS$523),$B$294=1),$AS$523,HLOOKUP(INDIRECT(ADDRESS(2,COLUMN())),OFFSET($BN$2,0,0,ROW()-1,60),ROW()-1,FALSE))</f>
        <v>4.8258196719999997</v>
      </c>
      <c r="AT221">
        <f ca="1">IF(AND(ISNUMBER($AT$523),$B$294=1),$AT$523,HLOOKUP(INDIRECT(ADDRESS(2,COLUMN())),OFFSET($BN$2,0,0,ROW()-1,60),ROW()-1,FALSE))</f>
        <v>5.4442068770000001</v>
      </c>
      <c r="AU221">
        <f ca="1">IF(AND(ISNUMBER($AU$523),$B$294=1),$AU$523,HLOOKUP(INDIRECT(ADDRESS(2,COLUMN())),OFFSET($BN$2,0,0,ROW()-1,60),ROW()-1,FALSE))</f>
        <v>5.3712098380000004</v>
      </c>
      <c r="AV221">
        <f ca="1">IF(AND(ISNUMBER($AV$523),$B$294=1),$AV$523,HLOOKUP(INDIRECT(ADDRESS(2,COLUMN())),OFFSET($BN$2,0,0,ROW()-1,60),ROW()-1,FALSE))</f>
        <v>5.5202996930000001</v>
      </c>
      <c r="AW221">
        <f ca="1">IF(AND(ISNUMBER($AW$523),$B$294=1),$AW$523,HLOOKUP(INDIRECT(ADDRESS(2,COLUMN())),OFFSET($BN$2,0,0,ROW()-1,60),ROW()-1,FALSE))</f>
        <v>5.2770175210000003</v>
      </c>
      <c r="AX221">
        <f ca="1">IF(AND(ISNUMBER($AX$523),$B$294=1),$AX$523,HLOOKUP(INDIRECT(ADDRESS(2,COLUMN())),OFFSET($BN$2,0,0,ROW()-1,60),ROW()-1,FALSE))</f>
        <v>5.1700667539999996</v>
      </c>
      <c r="AY221">
        <f ca="1">IF(AND(ISNUMBER($AY$523),$B$294=1),$AY$523,HLOOKUP(INDIRECT(ADDRESS(2,COLUMN())),OFFSET($BN$2,0,0,ROW()-1,60),ROW()-1,FALSE))</f>
        <v>4.7780725569999998</v>
      </c>
      <c r="AZ221">
        <f ca="1">IF(AND(ISNUMBER($AZ$523),$B$294=1),$AZ$523,HLOOKUP(INDIRECT(ADDRESS(2,COLUMN())),OFFSET($BN$2,0,0,ROW()-1,60),ROW()-1,FALSE))</f>
        <v>5.7004235660000004</v>
      </c>
      <c r="BA221">
        <f ca="1">IF(AND(ISNUMBER($BA$523),$B$294=1),$BA$523,HLOOKUP(INDIRECT(ADDRESS(2,COLUMN())),OFFSET($BN$2,0,0,ROW()-1,60),ROW()-1,FALSE))</f>
        <v>5.2404460679999998</v>
      </c>
      <c r="BB221">
        <f ca="1">IF(AND(ISNUMBER($BB$523),$B$294=1),$BB$523,HLOOKUP(INDIRECT(ADDRESS(2,COLUMN())),OFFSET($BN$2,0,0,ROW()-1,60),ROW()-1,FALSE))</f>
        <v>5.8275255189999999</v>
      </c>
      <c r="BC221">
        <f ca="1">IF(AND(ISNUMBER($BC$523),$B$294=1),$BC$523,HLOOKUP(INDIRECT(ADDRESS(2,COLUMN())),OFFSET($BN$2,0,0,ROW()-1,60),ROW()-1,FALSE))</f>
        <v>5.8664342029999998</v>
      </c>
      <c r="BD221">
        <f ca="1">IF(AND(ISNUMBER($BD$523),$B$294=1),$BD$523,HLOOKUP(INDIRECT(ADDRESS(2,COLUMN())),OFFSET($BN$2,0,0,ROW()-1,60),ROW()-1,FALSE))</f>
        <v>6.4038137539999997</v>
      </c>
      <c r="BE221">
        <f ca="1">IF(AND(ISNUMBER($BE$523),$B$294=1),$BE$523,HLOOKUP(INDIRECT(ADDRESS(2,COLUMN())),OFFSET($BN$2,0,0,ROW()-1,60),ROW()-1,FALSE))</f>
        <v>8.7426197769999998</v>
      </c>
      <c r="BF221">
        <f ca="1">IF(AND(ISNUMBER($BF$523),$B$294=1),$BF$523,HLOOKUP(INDIRECT(ADDRESS(2,COLUMN())),OFFSET($BN$2,0,0,ROW()-1,60),ROW()-1,FALSE))</f>
        <v>6.9000187410000002</v>
      </c>
      <c r="BG221">
        <f ca="1">IF(AND(ISNUMBER($BG$523),$B$294=1),$BG$523,HLOOKUP(INDIRECT(ADDRESS(2,COLUMN())),OFFSET($BN$2,0,0,ROW()-1,60),ROW()-1,FALSE))</f>
        <v>9.9602303019999994</v>
      </c>
      <c r="BH221">
        <f ca="1">IF(AND(ISNUMBER($BH$523),$B$294=1),$BH$523,HLOOKUP(INDIRECT(ADDRESS(2,COLUMN())),OFFSET($BN$2,0,0,ROW()-1,60),ROW()-1,FALSE))</f>
        <v>6.8080382779999997</v>
      </c>
      <c r="BI221">
        <f ca="1">IF(AND(ISNUMBER($BI$523),$B$294=1),$BI$523,HLOOKUP(INDIRECT(ADDRESS(2,COLUMN())),OFFSET($BN$2,0,0,ROW()-1,60),ROW()-1,FALSE))</f>
        <v>10.68148914</v>
      </c>
      <c r="BJ221">
        <f ca="1">IF(AND(ISNUMBER($BJ$523),$B$294=1),$BJ$523,HLOOKUP(INDIRECT(ADDRESS(2,COLUMN())),OFFSET($BN$2,0,0,ROW()-1,60),ROW()-1,FALSE))</f>
        <v>12.868317340000001</v>
      </c>
      <c r="BK221">
        <f ca="1">IF(AND(ISNUMBER($BK$523),$B$294=1),$BK$523,HLOOKUP(INDIRECT(ADDRESS(2,COLUMN())),OFFSET($BN$2,0,0,ROW()-1,60),ROW()-1,FALSE))</f>
        <v>12.56936091</v>
      </c>
      <c r="BL221">
        <f ca="1">IF(AND(ISNUMBER($BL$523),$B$294=1),$BL$523,HLOOKUP(INDIRECT(ADDRESS(2,COLUMN())),OFFSET($BN$2,0,0,ROW()-1,60),ROW()-1,FALSE))</f>
        <v>17.118635579999999</v>
      </c>
      <c r="BM221">
        <f ca="1">IF(AND(ISNUMBER($BM$523),$B$294=1),$BM$523,HLOOKUP(INDIRECT(ADDRESS(2,COLUMN())),OFFSET($BN$2,0,0,ROW()-1,60),ROW()-1,FALSE))</f>
        <v>13.208850440000001</v>
      </c>
      <c r="BN221" t="str">
        <f>""</f>
        <v/>
      </c>
      <c r="BO221">
        <f>1.917694112</f>
        <v>1.917694112</v>
      </c>
      <c r="BP221">
        <f>4.739011874</f>
        <v>4.739011874</v>
      </c>
      <c r="BQ221">
        <f>4.575925415</f>
        <v>4.5759254150000004</v>
      </c>
      <c r="BR221">
        <f>4.642549801</f>
        <v>4.6425498010000004</v>
      </c>
      <c r="BS221">
        <f>4.534043189</f>
        <v>4.5340431890000001</v>
      </c>
      <c r="BT221">
        <f>3.144533104</f>
        <v>3.1445331040000002</v>
      </c>
      <c r="BU221">
        <f>3.714953544</f>
        <v>3.7149535440000001</v>
      </c>
      <c r="BV221">
        <f>4.322002062</f>
        <v>4.3220020620000001</v>
      </c>
      <c r="BW221">
        <f>4.040718391</f>
        <v>4.0407183910000004</v>
      </c>
      <c r="BX221">
        <f>2.237279268</f>
        <v>2.237279268</v>
      </c>
      <c r="BY221">
        <f>3.772388842</f>
        <v>3.7723888419999998</v>
      </c>
      <c r="BZ221">
        <f>3.99460276</f>
        <v>3.9946027599999998</v>
      </c>
      <c r="CA221">
        <f>4.019562406</f>
        <v>4.0195624060000004</v>
      </c>
      <c r="CB221">
        <f>4.007376995</f>
        <v>4.0073769950000004</v>
      </c>
      <c r="CC221">
        <f>4.006171202</f>
        <v>4.006171202</v>
      </c>
      <c r="CD221">
        <f>3.798384151</f>
        <v>3.798384151</v>
      </c>
      <c r="CE221">
        <f>1.535052897</f>
        <v>1.5350528969999999</v>
      </c>
      <c r="CF221">
        <f>4.104288449</f>
        <v>4.1042884490000002</v>
      </c>
      <c r="CG221">
        <f>4.059344262</f>
        <v>4.0593442619999998</v>
      </c>
      <c r="CH221">
        <f>4.320793201</f>
        <v>4.3207932009999999</v>
      </c>
      <c r="CI221">
        <f>4.099779087</f>
        <v>4.0997790869999999</v>
      </c>
      <c r="CJ221">
        <f>4.769680556</f>
        <v>4.769680556</v>
      </c>
      <c r="CK221">
        <f>4.680925798</f>
        <v>4.6809257979999996</v>
      </c>
      <c r="CL221">
        <f>4.520953014</f>
        <v>4.5209530139999998</v>
      </c>
      <c r="CM221">
        <f>4.484216255</f>
        <v>4.4842162549999998</v>
      </c>
      <c r="CN221">
        <f>4.912047529</f>
        <v>4.9120475289999996</v>
      </c>
      <c r="CO221">
        <f>4.371055556</f>
        <v>4.371055556</v>
      </c>
      <c r="CP221">
        <f>5.089897698</f>
        <v>5.0898976979999997</v>
      </c>
      <c r="CQ221">
        <f>4.901202532</f>
        <v>4.9012025320000001</v>
      </c>
      <c r="CR221">
        <f>5.426253407</f>
        <v>5.4262534069999999</v>
      </c>
      <c r="CS221">
        <f>4.288913537</f>
        <v>4.288913537</v>
      </c>
      <c r="CT221">
        <f>4.451050233</f>
        <v>4.4510502330000001</v>
      </c>
      <c r="CU221">
        <f>4.402093596</f>
        <v>4.4020935960000003</v>
      </c>
      <c r="CV221">
        <f>2.60144482</f>
        <v>2.6014448200000002</v>
      </c>
      <c r="CW221">
        <f>4.358152006</f>
        <v>4.3581520060000001</v>
      </c>
      <c r="CX221">
        <f>4.924566126</f>
        <v>4.9245661260000002</v>
      </c>
      <c r="CY221">
        <f>4.580802438</f>
        <v>4.5808024380000001</v>
      </c>
      <c r="CZ221">
        <f>4.752752803</f>
        <v>4.7527528029999999</v>
      </c>
      <c r="DA221">
        <f>4.825819672</f>
        <v>4.8258196719999997</v>
      </c>
      <c r="DB221">
        <f>5.444206877</f>
        <v>5.4442068770000001</v>
      </c>
      <c r="DC221">
        <f>5.371209838</f>
        <v>5.3712098380000004</v>
      </c>
      <c r="DD221">
        <f>5.520299693</f>
        <v>5.5202996930000001</v>
      </c>
      <c r="DE221">
        <f>5.277017521</f>
        <v>5.2770175210000003</v>
      </c>
      <c r="DF221">
        <f>5.170066754</f>
        <v>5.1700667539999996</v>
      </c>
      <c r="DG221">
        <f>4.778072557</f>
        <v>4.7780725569999998</v>
      </c>
      <c r="DH221">
        <f>5.700423566</f>
        <v>5.7004235660000004</v>
      </c>
      <c r="DI221">
        <f>5.240446068</f>
        <v>5.2404460679999998</v>
      </c>
      <c r="DJ221">
        <f>5.827525519</f>
        <v>5.8275255189999999</v>
      </c>
      <c r="DK221">
        <f>5.866434203</f>
        <v>5.8664342029999998</v>
      </c>
      <c r="DL221">
        <f>6.403813754</f>
        <v>6.4038137539999997</v>
      </c>
      <c r="DM221">
        <f>8.742619777</f>
        <v>8.7426197769999998</v>
      </c>
      <c r="DN221">
        <f>6.900018741</f>
        <v>6.9000187410000002</v>
      </c>
      <c r="DO221">
        <f>9.960230302</f>
        <v>9.9602303019999994</v>
      </c>
      <c r="DP221">
        <f>6.808038278</f>
        <v>6.8080382779999997</v>
      </c>
      <c r="DQ221">
        <f>10.68148914</f>
        <v>10.68148914</v>
      </c>
      <c r="DR221">
        <f>12.86831734</f>
        <v>12.868317340000001</v>
      </c>
      <c r="DS221">
        <f>12.56936091</f>
        <v>12.56936091</v>
      </c>
      <c r="DT221">
        <f>17.11863558</f>
        <v>17.118635579999999</v>
      </c>
      <c r="DU221">
        <f>13.20885044</f>
        <v>13.208850440000001</v>
      </c>
    </row>
    <row r="222" spans="1:125">
      <c r="A222" t="str">
        <f>"    SL Green Realty Corp"</f>
        <v xml:space="preserve">    SL Green Realty Corp</v>
      </c>
      <c r="B222" t="str">
        <f>"SLG US Equity"</f>
        <v>SLG US Equity</v>
      </c>
      <c r="C222" t="str">
        <f t="shared" si="57"/>
        <v>RR059</v>
      </c>
      <c r="D222" t="str">
        <f t="shared" si="58"/>
        <v>EBITDA_TO_TOT_INT_EXP</v>
      </c>
      <c r="E222" t="str">
        <f t="shared" si="59"/>
        <v>动态</v>
      </c>
      <c r="F222" t="str">
        <f ca="1">IF(AND(ISNUMBER($F$524),$B$294=1),$F$524,HLOOKUP(INDIRECT(ADDRESS(2,COLUMN())),OFFSET($BN$2,0,0,ROW()-1,60),ROW()-1,FALSE))</f>
        <v/>
      </c>
      <c r="G222">
        <f ca="1">IF(AND(ISNUMBER($G$524),$B$294=1),$G$524,HLOOKUP(INDIRECT(ADDRESS(2,COLUMN())),OFFSET($BN$2,0,0,ROW()-1,60),ROW()-1,FALSE))</f>
        <v>2.8190557599999999</v>
      </c>
      <c r="H222">
        <f ca="1">IF(AND(ISNUMBER($H$524),$B$294=1),$H$524,HLOOKUP(INDIRECT(ADDRESS(2,COLUMN())),OFFSET($BN$2,0,0,ROW()-1,60),ROW()-1,FALSE))</f>
        <v>2.6932728629999998</v>
      </c>
      <c r="I222">
        <f ca="1">IF(AND(ISNUMBER($I$524),$B$294=1),$I$524,HLOOKUP(INDIRECT(ADDRESS(2,COLUMN())),OFFSET($BN$2,0,0,ROW()-1,60),ROW()-1,FALSE))</f>
        <v>3.1610267759999999</v>
      </c>
      <c r="J222">
        <f ca="1">IF(AND(ISNUMBER($J$524),$B$294=1),$J$524,HLOOKUP(INDIRECT(ADDRESS(2,COLUMN())),OFFSET($BN$2,0,0,ROW()-1,60),ROW()-1,FALSE))</f>
        <v>2.7912655549999998</v>
      </c>
      <c r="K222">
        <f ca="1">IF(AND(ISNUMBER($K$524),$B$294=1),$K$524,HLOOKUP(INDIRECT(ADDRESS(2,COLUMN())),OFFSET($BN$2,0,0,ROW()-1,60),ROW()-1,FALSE))</f>
        <v>2.7124674149999999</v>
      </c>
      <c r="L222">
        <f ca="1">IF(AND(ISNUMBER($L$524),$B$294=1),$L$524,HLOOKUP(INDIRECT(ADDRESS(2,COLUMN())),OFFSET($BN$2,0,0,ROW()-1,60),ROW()-1,FALSE))</f>
        <v>2.894050129</v>
      </c>
      <c r="M222">
        <f ca="1">IF(AND(ISNUMBER($M$524),$B$294=1),$M$524,HLOOKUP(INDIRECT(ADDRESS(2,COLUMN())),OFFSET($BN$2,0,0,ROW()-1,60),ROW()-1,FALSE))</f>
        <v>4.440125546</v>
      </c>
      <c r="N222">
        <f ca="1">IF(AND(ISNUMBER($N$524),$B$294=1),$N$524,HLOOKUP(INDIRECT(ADDRESS(2,COLUMN())),OFFSET($BN$2,0,0,ROW()-1,60),ROW()-1,FALSE))</f>
        <v>2.6419860470000001</v>
      </c>
      <c r="O222">
        <f ca="1">IF(AND(ISNUMBER($O$524),$B$294=1),$O$524,HLOOKUP(INDIRECT(ADDRESS(2,COLUMN())),OFFSET($BN$2,0,0,ROW()-1,60),ROW()-1,FALSE))</f>
        <v>2.5607925809999998</v>
      </c>
      <c r="P222">
        <f ca="1">IF(AND(ISNUMBER($P$524),$B$294=1),$P$524,HLOOKUP(INDIRECT(ADDRESS(2,COLUMN())),OFFSET($BN$2,0,0,ROW()-1,60),ROW()-1,FALSE))</f>
        <v>2.6565782539999998</v>
      </c>
      <c r="Q222">
        <f ca="1">IF(AND(ISNUMBER($Q$524),$B$294=1),$Q$524,HLOOKUP(INDIRECT(ADDRESS(2,COLUMN())),OFFSET($BN$2,0,0,ROW()-1,60),ROW()-1,FALSE))</f>
        <v>2.8471150719999998</v>
      </c>
      <c r="R222">
        <f ca="1">IF(AND(ISNUMBER($R$524),$B$294=1),$R$524,HLOOKUP(INDIRECT(ADDRESS(2,COLUMN())),OFFSET($BN$2,0,0,ROW()-1,60),ROW()-1,FALSE))</f>
        <v>2.5898219390000001</v>
      </c>
      <c r="S222">
        <f ca="1">IF(AND(ISNUMBER($S$524),$B$294=1),$S$524,HLOOKUP(INDIRECT(ADDRESS(2,COLUMN())),OFFSET($BN$2,0,0,ROW()-1,60),ROW()-1,FALSE))</f>
        <v>2.5214939410000001</v>
      </c>
      <c r="T222">
        <f ca="1">IF(AND(ISNUMBER($T$524),$B$294=1),$T$524,HLOOKUP(INDIRECT(ADDRESS(2,COLUMN())),OFFSET($BN$2,0,0,ROW()-1,60),ROW()-1,FALSE))</f>
        <v>2.4415884239999999</v>
      </c>
      <c r="U222">
        <f ca="1">IF(AND(ISNUMBER($U$524),$B$294=1),$U$524,HLOOKUP(INDIRECT(ADDRESS(2,COLUMN())),OFFSET($BN$2,0,0,ROW()-1,60),ROW()-1,FALSE))</f>
        <v>2.604688844</v>
      </c>
      <c r="V222">
        <f ca="1">IF(AND(ISNUMBER($V$524),$B$294=1),$V$524,HLOOKUP(INDIRECT(ADDRESS(2,COLUMN())),OFFSET($BN$2,0,0,ROW()-1,60),ROW()-1,FALSE))</f>
        <v>2.5394977769999998</v>
      </c>
      <c r="W222">
        <f ca="1">IF(AND(ISNUMBER($W$524),$B$294=1),$W$524,HLOOKUP(INDIRECT(ADDRESS(2,COLUMN())),OFFSET($BN$2,0,0,ROW()-1,60),ROW()-1,FALSE))</f>
        <v>2.3823582079999999</v>
      </c>
      <c r="X222">
        <f ca="1">IF(AND(ISNUMBER($X$524),$B$294=1),$X$524,HLOOKUP(INDIRECT(ADDRESS(2,COLUMN())),OFFSET($BN$2,0,0,ROW()-1,60),ROW()-1,FALSE))</f>
        <v>2.2625997799999999</v>
      </c>
      <c r="Y222">
        <f ca="1">IF(AND(ISNUMBER($Y$524),$B$294=1),$Y$524,HLOOKUP(INDIRECT(ADDRESS(2,COLUMN())),OFFSET($BN$2,0,0,ROW()-1,60),ROW()-1,FALSE))</f>
        <v>2.3970785819999998</v>
      </c>
      <c r="Z222">
        <f ca="1">IF(AND(ISNUMBER($Z$524),$B$294=1),$Z$524,HLOOKUP(INDIRECT(ADDRESS(2,COLUMN())),OFFSET($BN$2,0,0,ROW()-1,60),ROW()-1,FALSE))</f>
        <v>2.4044054359999998</v>
      </c>
      <c r="AA222">
        <f ca="1">IF(AND(ISNUMBER($AA$524),$B$294=1),$AA$524,HLOOKUP(INDIRECT(ADDRESS(2,COLUMN())),OFFSET($BN$2,0,0,ROW()-1,60),ROW()-1,FALSE))</f>
        <v>2.1318600010000002</v>
      </c>
      <c r="AB222">
        <f ca="1">IF(AND(ISNUMBER($AB$524),$B$294=1),$AB$524,HLOOKUP(INDIRECT(ADDRESS(2,COLUMN())),OFFSET($BN$2,0,0,ROW()-1,60),ROW()-1,FALSE))</f>
        <v>2.103099067</v>
      </c>
      <c r="AC222">
        <f ca="1">IF(AND(ISNUMBER($AC$524),$B$294=1),$AC$524,HLOOKUP(INDIRECT(ADDRESS(2,COLUMN())),OFFSET($BN$2,0,0,ROW()-1,60),ROW()-1,FALSE))</f>
        <v>2.236799387</v>
      </c>
      <c r="AD222">
        <f ca="1">IF(AND(ISNUMBER($AD$524),$B$294=1),$AD$524,HLOOKUP(INDIRECT(ADDRESS(2,COLUMN())),OFFSET($BN$2,0,0,ROW()-1,60),ROW()-1,FALSE))</f>
        <v>2.1723418319999999</v>
      </c>
      <c r="AE222">
        <f ca="1">IF(AND(ISNUMBER($AE$524),$B$294=1),$AE$524,HLOOKUP(INDIRECT(ADDRESS(2,COLUMN())),OFFSET($BN$2,0,0,ROW()-1,60),ROW()-1,FALSE))</f>
        <v>2.0983191990000001</v>
      </c>
      <c r="AF222">
        <f ca="1">IF(AND(ISNUMBER($AF$524),$B$294=1),$AF$524,HLOOKUP(INDIRECT(ADDRESS(2,COLUMN())),OFFSET($BN$2,0,0,ROW()-1,60),ROW()-1,FALSE))</f>
        <v>2.1256439789999999</v>
      </c>
      <c r="AG222">
        <f ca="1">IF(AND(ISNUMBER($AG$524),$B$294=1),$AG$524,HLOOKUP(INDIRECT(ADDRESS(2,COLUMN())),OFFSET($BN$2,0,0,ROW()-1,60),ROW()-1,FALSE))</f>
        <v>2.2626116270000001</v>
      </c>
      <c r="AH222">
        <f ca="1">IF(AND(ISNUMBER($AH$524),$B$294=1),$AH$524,HLOOKUP(INDIRECT(ADDRESS(2,COLUMN())),OFFSET($BN$2,0,0,ROW()-1,60),ROW()-1,FALSE))</f>
        <v>2.927423192</v>
      </c>
      <c r="AI222">
        <f ca="1">IF(AND(ISNUMBER($AI$524),$B$294=1),$AI$524,HLOOKUP(INDIRECT(ADDRESS(2,COLUMN())),OFFSET($BN$2,0,0,ROW()-1,60),ROW()-1,FALSE))</f>
        <v>2.1594000699999998</v>
      </c>
      <c r="AJ222">
        <f ca="1">IF(AND(ISNUMBER($AJ$524),$B$294=1),$AJ$524,HLOOKUP(INDIRECT(ADDRESS(2,COLUMN())),OFFSET($BN$2,0,0,ROW()-1,60),ROW()-1,FALSE))</f>
        <v>3.3627399489999998</v>
      </c>
      <c r="AK222">
        <f ca="1">IF(AND(ISNUMBER($AK$524),$B$294=1),$AK$524,HLOOKUP(INDIRECT(ADDRESS(2,COLUMN())),OFFSET($BN$2,0,0,ROW()-1,60),ROW()-1,FALSE))</f>
        <v>2.2184680069999998</v>
      </c>
      <c r="AL222">
        <f ca="1">IF(AND(ISNUMBER($AL$524),$B$294=1),$AL$524,HLOOKUP(INDIRECT(ADDRESS(2,COLUMN())),OFFSET($BN$2,0,0,ROW()-1,60),ROW()-1,FALSE))</f>
        <v>2.1646017400000002</v>
      </c>
      <c r="AM222">
        <f ca="1">IF(AND(ISNUMBER($AM$524),$B$294=1),$AM$524,HLOOKUP(INDIRECT(ADDRESS(2,COLUMN())),OFFSET($BN$2,0,0,ROW()-1,60),ROW()-1,FALSE))</f>
        <v>1.855568807</v>
      </c>
      <c r="AN222">
        <f ca="1">IF(AND(ISNUMBER($AN$524),$B$294=1),$AN$524,HLOOKUP(INDIRECT(ADDRESS(2,COLUMN())),OFFSET($BN$2,0,0,ROW()-1,60),ROW()-1,FALSE))</f>
        <v>1.7246067789999999</v>
      </c>
      <c r="AO222">
        <f ca="1">IF(AND(ISNUMBER($AO$524),$B$294=1),$AO$524,HLOOKUP(INDIRECT(ADDRESS(2,COLUMN())),OFFSET($BN$2,0,0,ROW()-1,60),ROW()-1,FALSE))</f>
        <v>1.594514341</v>
      </c>
      <c r="AP222">
        <f ca="1">IF(AND(ISNUMBER($AP$524),$B$294=1),$AP$524,HLOOKUP(INDIRECT(ADDRESS(2,COLUMN())),OFFSET($BN$2,0,0,ROW()-1,60),ROW()-1,FALSE))</f>
        <v>1.384907135</v>
      </c>
      <c r="AQ222">
        <f ca="1">IF(AND(ISNUMBER($AQ$524),$B$294=1),$AQ$524,HLOOKUP(INDIRECT(ADDRESS(2,COLUMN())),OFFSET($BN$2,0,0,ROW()-1,60),ROW()-1,FALSE))</f>
        <v>0.52212560399999997</v>
      </c>
      <c r="AR222">
        <f ca="1">IF(AND(ISNUMBER($AR$524),$B$294=1),$AR$524,HLOOKUP(INDIRECT(ADDRESS(2,COLUMN())),OFFSET($BN$2,0,0,ROW()-1,60),ROW()-1,FALSE))</f>
        <v>1.9100234229999999</v>
      </c>
      <c r="AS222">
        <f ca="1">IF(AND(ISNUMBER($AS$524),$B$294=1),$AS$524,HLOOKUP(INDIRECT(ADDRESS(2,COLUMN())),OFFSET($BN$2,0,0,ROW()-1,60),ROW()-1,FALSE))</f>
        <v>2.2122161930000002</v>
      </c>
      <c r="AT222">
        <f ca="1">IF(AND(ISNUMBER($AT$524),$B$294=1),$AT$524,HLOOKUP(INDIRECT(ADDRESS(2,COLUMN())),OFFSET($BN$2,0,0,ROW()-1,60),ROW()-1,FALSE))</f>
        <v>1.748763563</v>
      </c>
      <c r="AU222">
        <f ca="1">IF(AND(ISNUMBER($AU$524),$B$294=1),$AU$524,HLOOKUP(INDIRECT(ADDRESS(2,COLUMN())),OFFSET($BN$2,0,0,ROW()-1,60),ROW()-1,FALSE))</f>
        <v>1.94386014</v>
      </c>
      <c r="AV222">
        <f ca="1">IF(AND(ISNUMBER($AV$524),$B$294=1),$AV$524,HLOOKUP(INDIRECT(ADDRESS(2,COLUMN())),OFFSET($BN$2,0,0,ROW()-1,60),ROW()-1,FALSE))</f>
        <v>1.9352227319999999</v>
      </c>
      <c r="AW222">
        <f ca="1">IF(AND(ISNUMBER($AW$524),$B$294=1),$AW$524,HLOOKUP(INDIRECT(ADDRESS(2,COLUMN())),OFFSET($BN$2,0,0,ROW()-1,60),ROW()-1,FALSE))</f>
        <v>2.0028815230000001</v>
      </c>
      <c r="AX222">
        <f ca="1">IF(AND(ISNUMBER($AX$524),$B$294=1),$AX$524,HLOOKUP(INDIRECT(ADDRESS(2,COLUMN())),OFFSET($BN$2,0,0,ROW()-1,60),ROW()-1,FALSE))</f>
        <v>2.8621165340000001</v>
      </c>
      <c r="AY222">
        <f ca="1">IF(AND(ISNUMBER($AY$524),$B$294=1),$AY$524,HLOOKUP(INDIRECT(ADDRESS(2,COLUMN())),OFFSET($BN$2,0,0,ROW()-1,60),ROW()-1,FALSE))</f>
        <v>2.7039690900000002</v>
      </c>
      <c r="AZ222">
        <f ca="1">IF(AND(ISNUMBER($AZ$524),$B$294=1),$AZ$524,HLOOKUP(INDIRECT(ADDRESS(2,COLUMN())),OFFSET($BN$2,0,0,ROW()-1,60),ROW()-1,FALSE))</f>
        <v>2.6294544559999999</v>
      </c>
      <c r="BA222">
        <f ca="1">IF(AND(ISNUMBER($BA$524),$B$294=1),$BA$524,HLOOKUP(INDIRECT(ADDRESS(2,COLUMN())),OFFSET($BN$2,0,0,ROW()-1,60),ROW()-1,FALSE))</f>
        <v>2.6270531400000001</v>
      </c>
      <c r="BB222">
        <f ca="1">IF(AND(ISNUMBER($BB$524),$B$294=1),$BB$524,HLOOKUP(INDIRECT(ADDRESS(2,COLUMN())),OFFSET($BN$2,0,0,ROW()-1,60),ROW()-1,FALSE))</f>
        <v>2.9719307879999999</v>
      </c>
      <c r="BC222">
        <f ca="1">IF(AND(ISNUMBER($BC$524),$B$294=1),$BC$524,HLOOKUP(INDIRECT(ADDRESS(2,COLUMN())),OFFSET($BN$2,0,0,ROW()-1,60),ROW()-1,FALSE))</f>
        <v>2.4661485650000001</v>
      </c>
      <c r="BD222">
        <f ca="1">IF(AND(ISNUMBER($BD$524),$B$294=1),$BD$524,HLOOKUP(INDIRECT(ADDRESS(2,COLUMN())),OFFSET($BN$2,0,0,ROW()-1,60),ROW()-1,FALSE))</f>
        <v>2.5977211019999999</v>
      </c>
      <c r="BE222">
        <f ca="1">IF(AND(ISNUMBER($BE$524),$B$294=1),$BE$524,HLOOKUP(INDIRECT(ADDRESS(2,COLUMN())),OFFSET($BN$2,0,0,ROW()-1,60),ROW()-1,FALSE))</f>
        <v>2.3676052190000001</v>
      </c>
      <c r="BF222">
        <f ca="1">IF(AND(ISNUMBER($BF$524),$B$294=1),$BF$524,HLOOKUP(INDIRECT(ADDRESS(2,COLUMN())),OFFSET($BN$2,0,0,ROW()-1,60),ROW()-1,FALSE))</f>
        <v>2.7707788959999999</v>
      </c>
      <c r="BG222">
        <f ca="1">IF(AND(ISNUMBER($BG$524),$B$294=1),$BG$524,HLOOKUP(INDIRECT(ADDRESS(2,COLUMN())),OFFSET($BN$2,0,0,ROW()-1,60),ROW()-1,FALSE))</f>
        <v>2.2458729079999999</v>
      </c>
      <c r="BH222">
        <f ca="1">IF(AND(ISNUMBER($BH$524),$B$294=1),$BH$524,HLOOKUP(INDIRECT(ADDRESS(2,COLUMN())),OFFSET($BN$2,0,0,ROW()-1,60),ROW()-1,FALSE))</f>
        <v>2.536476924</v>
      </c>
      <c r="BI222">
        <f ca="1">IF(AND(ISNUMBER($BI$524),$B$294=1),$BI$524,HLOOKUP(INDIRECT(ADDRESS(2,COLUMN())),OFFSET($BN$2,0,0,ROW()-1,60),ROW()-1,FALSE))</f>
        <v>3.231924818</v>
      </c>
      <c r="BJ222">
        <f ca="1">IF(AND(ISNUMBER($BJ$524),$B$294=1),$BJ$524,HLOOKUP(INDIRECT(ADDRESS(2,COLUMN())),OFFSET($BN$2,0,0,ROW()-1,60),ROW()-1,FALSE))</f>
        <v>2.840525961</v>
      </c>
      <c r="BK222">
        <f ca="1">IF(AND(ISNUMBER($BK$524),$B$294=1),$BK$524,HLOOKUP(INDIRECT(ADDRESS(2,COLUMN())),OFFSET($BN$2,0,0,ROW()-1,60),ROW()-1,FALSE))</f>
        <v>3.137585815</v>
      </c>
      <c r="BL222">
        <f ca="1">IF(AND(ISNUMBER($BL$524),$B$294=1),$BL$524,HLOOKUP(INDIRECT(ADDRESS(2,COLUMN())),OFFSET($BN$2,0,0,ROW()-1,60),ROW()-1,FALSE))</f>
        <v>3.3651588399999999</v>
      </c>
      <c r="BM222">
        <f ca="1">IF(AND(ISNUMBER($BM$524),$B$294=1),$BM$524,HLOOKUP(INDIRECT(ADDRESS(2,COLUMN())),OFFSET($BN$2,0,0,ROW()-1,60),ROW()-1,FALSE))</f>
        <v>3.312251598</v>
      </c>
      <c r="BN222" t="str">
        <f>""</f>
        <v/>
      </c>
      <c r="BO222">
        <f>2.81905576</f>
        <v>2.8190557599999999</v>
      </c>
      <c r="BP222">
        <f>2.693272863</f>
        <v>2.6932728629999998</v>
      </c>
      <c r="BQ222">
        <f>3.161026776</f>
        <v>3.1610267759999999</v>
      </c>
      <c r="BR222">
        <f>2.791265555</f>
        <v>2.7912655549999998</v>
      </c>
      <c r="BS222">
        <f>2.712467415</f>
        <v>2.7124674149999999</v>
      </c>
      <c r="BT222">
        <f>2.894050129</f>
        <v>2.894050129</v>
      </c>
      <c r="BU222">
        <f>4.440125546</f>
        <v>4.440125546</v>
      </c>
      <c r="BV222">
        <f>2.641986047</f>
        <v>2.6419860470000001</v>
      </c>
      <c r="BW222">
        <f>2.560792581</f>
        <v>2.5607925809999998</v>
      </c>
      <c r="BX222">
        <f>2.656578254</f>
        <v>2.6565782539999998</v>
      </c>
      <c r="BY222">
        <f>2.847115072</f>
        <v>2.8471150719999998</v>
      </c>
      <c r="BZ222">
        <f>2.589821939</f>
        <v>2.5898219390000001</v>
      </c>
      <c r="CA222">
        <f>2.521493941</f>
        <v>2.5214939410000001</v>
      </c>
      <c r="CB222">
        <f>2.441588424</f>
        <v>2.4415884239999999</v>
      </c>
      <c r="CC222">
        <f>2.604688844</f>
        <v>2.604688844</v>
      </c>
      <c r="CD222">
        <f>2.539497777</f>
        <v>2.5394977769999998</v>
      </c>
      <c r="CE222">
        <f>2.382358208</f>
        <v>2.3823582079999999</v>
      </c>
      <c r="CF222">
        <f>2.26259978</f>
        <v>2.2625997799999999</v>
      </c>
      <c r="CG222">
        <f>2.397078582</f>
        <v>2.3970785819999998</v>
      </c>
      <c r="CH222">
        <f>2.404405436</f>
        <v>2.4044054359999998</v>
      </c>
      <c r="CI222">
        <f>2.131860001</f>
        <v>2.1318600010000002</v>
      </c>
      <c r="CJ222">
        <f>2.103099067</f>
        <v>2.103099067</v>
      </c>
      <c r="CK222">
        <f>2.236799387</f>
        <v>2.236799387</v>
      </c>
      <c r="CL222">
        <f>2.172341832</f>
        <v>2.1723418319999999</v>
      </c>
      <c r="CM222">
        <f>2.098319199</f>
        <v>2.0983191990000001</v>
      </c>
      <c r="CN222">
        <f>2.125643979</f>
        <v>2.1256439789999999</v>
      </c>
      <c r="CO222">
        <f>2.262611627</f>
        <v>2.2626116270000001</v>
      </c>
      <c r="CP222">
        <f>2.927423192</f>
        <v>2.927423192</v>
      </c>
      <c r="CQ222">
        <f>2.15940007</f>
        <v>2.1594000699999998</v>
      </c>
      <c r="CR222">
        <f>3.362739949</f>
        <v>3.3627399489999998</v>
      </c>
      <c r="CS222">
        <f>2.218468007</f>
        <v>2.2184680069999998</v>
      </c>
      <c r="CT222">
        <f>2.16460174</f>
        <v>2.1646017400000002</v>
      </c>
      <c r="CU222">
        <f>1.855568807</f>
        <v>1.855568807</v>
      </c>
      <c r="CV222">
        <f>1.724606779</f>
        <v>1.7246067789999999</v>
      </c>
      <c r="CW222">
        <f>1.594514341</f>
        <v>1.594514341</v>
      </c>
      <c r="CX222">
        <f>1.384907135</f>
        <v>1.384907135</v>
      </c>
      <c r="CY222">
        <f>0.522125604</f>
        <v>0.52212560399999997</v>
      </c>
      <c r="CZ222">
        <f>1.910023423</f>
        <v>1.9100234229999999</v>
      </c>
      <c r="DA222">
        <f>2.212216193</f>
        <v>2.2122161930000002</v>
      </c>
      <c r="DB222">
        <f>1.748763563</f>
        <v>1.748763563</v>
      </c>
      <c r="DC222">
        <f>1.94386014</f>
        <v>1.94386014</v>
      </c>
      <c r="DD222">
        <f>1.935222732</f>
        <v>1.9352227319999999</v>
      </c>
      <c r="DE222">
        <f>2.002881523</f>
        <v>2.0028815230000001</v>
      </c>
      <c r="DF222">
        <f>2.862116534</f>
        <v>2.8621165340000001</v>
      </c>
      <c r="DG222">
        <f>2.70396909</f>
        <v>2.7039690900000002</v>
      </c>
      <c r="DH222">
        <f>2.629454456</f>
        <v>2.6294544559999999</v>
      </c>
      <c r="DI222">
        <f>2.62705314</f>
        <v>2.6270531400000001</v>
      </c>
      <c r="DJ222">
        <f>2.971930788</f>
        <v>2.9719307879999999</v>
      </c>
      <c r="DK222">
        <f>2.466148565</f>
        <v>2.4661485650000001</v>
      </c>
      <c r="DL222">
        <f>2.597721102</f>
        <v>2.5977211019999999</v>
      </c>
      <c r="DM222">
        <f>2.367605219</f>
        <v>2.3676052190000001</v>
      </c>
      <c r="DN222">
        <f>2.770778896</f>
        <v>2.7707788959999999</v>
      </c>
      <c r="DO222">
        <f>2.245872908</f>
        <v>2.2458729079999999</v>
      </c>
      <c r="DP222">
        <f>2.536476924</f>
        <v>2.536476924</v>
      </c>
      <c r="DQ222">
        <f>3.231924818</f>
        <v>3.231924818</v>
      </c>
      <c r="DR222">
        <f>2.840525961</f>
        <v>2.840525961</v>
      </c>
      <c r="DS222">
        <f>3.137585815</f>
        <v>3.137585815</v>
      </c>
      <c r="DT222">
        <f>3.36515884</f>
        <v>3.3651588399999999</v>
      </c>
      <c r="DU222">
        <f>3.312251598</f>
        <v>3.312251598</v>
      </c>
    </row>
    <row r="223" spans="1:125">
      <c r="A223" t="str">
        <f>"    Vornado Realty Trust"</f>
        <v xml:space="preserve">    Vornado Realty Trust</v>
      </c>
      <c r="B223" t="str">
        <f>"VNO US Equity"</f>
        <v>VNO US Equity</v>
      </c>
      <c r="C223" t="str">
        <f t="shared" si="57"/>
        <v>RR059</v>
      </c>
      <c r="D223" t="str">
        <f t="shared" si="58"/>
        <v>EBITDA_TO_TOT_INT_EXP</v>
      </c>
      <c r="E223" t="str">
        <f t="shared" si="59"/>
        <v>动态</v>
      </c>
      <c r="F223" t="str">
        <f ca="1">IF(AND(ISNUMBER($F$525),$B$294=1),$F$525,HLOOKUP(INDIRECT(ADDRESS(2,COLUMN())),OFFSET($BN$2,0,0,ROW()-1,60),ROW()-1,FALSE))</f>
        <v/>
      </c>
      <c r="G223">
        <f ca="1">IF(AND(ISNUMBER($G$525),$B$294=1),$G$525,HLOOKUP(INDIRECT(ADDRESS(2,COLUMN())),OFFSET($BN$2,0,0,ROW()-1,60),ROW()-1,FALSE))</f>
        <v>2.5436495990000001</v>
      </c>
      <c r="H223">
        <f ca="1">IF(AND(ISNUMBER($H$525),$B$294=1),$H$525,HLOOKUP(INDIRECT(ADDRESS(2,COLUMN())),OFFSET($BN$2,0,0,ROW()-1,60),ROW()-1,FALSE))</f>
        <v>2.752846844</v>
      </c>
      <c r="I223">
        <f ca="1">IF(AND(ISNUMBER($I$525),$B$294=1),$I$525,HLOOKUP(INDIRECT(ADDRESS(2,COLUMN())),OFFSET($BN$2,0,0,ROW()-1,60),ROW()-1,FALSE))</f>
        <v>2.889368701</v>
      </c>
      <c r="J223">
        <f ca="1">IF(AND(ISNUMBER($J$525),$B$294=1),$J$525,HLOOKUP(INDIRECT(ADDRESS(2,COLUMN())),OFFSET($BN$2,0,0,ROW()-1,60),ROW()-1,FALSE))</f>
        <v>2.7558523990000001</v>
      </c>
      <c r="K223">
        <f ca="1">IF(AND(ISNUMBER($K$525),$B$294=1),$K$525,HLOOKUP(INDIRECT(ADDRESS(2,COLUMN())),OFFSET($BN$2,0,0,ROW()-1,60),ROW()-1,FALSE))</f>
        <v>2.9093276540000002</v>
      </c>
      <c r="L223">
        <f ca="1">IF(AND(ISNUMBER($L$525),$B$294=1),$L$525,HLOOKUP(INDIRECT(ADDRESS(2,COLUMN())),OFFSET($BN$2,0,0,ROW()-1,60),ROW()-1,FALSE))</f>
        <v>3.0331619029999999</v>
      </c>
      <c r="M223">
        <f ca="1">IF(AND(ISNUMBER($M$525),$B$294=1),$M$525,HLOOKUP(INDIRECT(ADDRESS(2,COLUMN())),OFFSET($BN$2,0,0,ROW()-1,60),ROW()-1,FALSE))</f>
        <v>2.8634178299999999</v>
      </c>
      <c r="N223">
        <f ca="1">IF(AND(ISNUMBER($N$525),$B$294=1),$N$525,HLOOKUP(INDIRECT(ADDRESS(2,COLUMN())),OFFSET($BN$2,0,0,ROW()-1,60),ROW()-1,FALSE))</f>
        <v>1.212677985</v>
      </c>
      <c r="O223">
        <f ca="1">IF(AND(ISNUMBER($O$525),$B$294=1),$O$525,HLOOKUP(INDIRECT(ADDRESS(2,COLUMN())),OFFSET($BN$2,0,0,ROW()-1,60),ROW()-1,FALSE))</f>
        <v>2.9275339800000002</v>
      </c>
      <c r="P223">
        <f ca="1">IF(AND(ISNUMBER($P$525),$B$294=1),$P$525,HLOOKUP(INDIRECT(ADDRESS(2,COLUMN())),OFFSET($BN$2,0,0,ROW()-1,60),ROW()-1,FALSE))</f>
        <v>2.6304790320000002</v>
      </c>
      <c r="Q223">
        <f ca="1">IF(AND(ISNUMBER($Q$525),$B$294=1),$Q$525,HLOOKUP(INDIRECT(ADDRESS(2,COLUMN())),OFFSET($BN$2,0,0,ROW()-1,60),ROW()-1,FALSE))</f>
        <v>3.1007861729999999</v>
      </c>
      <c r="R223">
        <f ca="1">IF(AND(ISNUMBER($R$525),$B$294=1),$R$525,HLOOKUP(INDIRECT(ADDRESS(2,COLUMN())),OFFSET($BN$2,0,0,ROW()-1,60),ROW()-1,FALSE))</f>
        <v>2.7832347450000001</v>
      </c>
      <c r="S223">
        <f ca="1">IF(AND(ISNUMBER($S$525),$B$294=1),$S$525,HLOOKUP(INDIRECT(ADDRESS(2,COLUMN())),OFFSET($BN$2,0,0,ROW()-1,60),ROW()-1,FALSE))</f>
        <v>2.4891859790000002</v>
      </c>
      <c r="T223">
        <f ca="1">IF(AND(ISNUMBER($T$525),$B$294=1),$T$525,HLOOKUP(INDIRECT(ADDRESS(2,COLUMN())),OFFSET($BN$2,0,0,ROW()-1,60),ROW()-1,FALSE))</f>
        <v>2.6279705</v>
      </c>
      <c r="U223">
        <f ca="1">IF(AND(ISNUMBER($U$525),$B$294=1),$U$525,HLOOKUP(INDIRECT(ADDRESS(2,COLUMN())),OFFSET($BN$2,0,0,ROW()-1,60),ROW()-1,FALSE))</f>
        <v>2.4981697139999999</v>
      </c>
      <c r="V223">
        <f ca="1">IF(AND(ISNUMBER($V$525),$B$294=1),$V$525,HLOOKUP(INDIRECT(ADDRESS(2,COLUMN())),OFFSET($BN$2,0,0,ROW()-1,60),ROW()-1,FALSE))</f>
        <v>2.7208143069999999</v>
      </c>
      <c r="W223">
        <f ca="1">IF(AND(ISNUMBER($W$525),$B$294=1),$W$525,HLOOKUP(INDIRECT(ADDRESS(2,COLUMN())),OFFSET($BN$2,0,0,ROW()-1,60),ROW()-1,FALSE))</f>
        <v>2.2547218760000001</v>
      </c>
      <c r="X223">
        <f ca="1">IF(AND(ISNUMBER($X$525),$B$294=1),$X$525,HLOOKUP(INDIRECT(ADDRESS(2,COLUMN())),OFFSET($BN$2,0,0,ROW()-1,60),ROW()-1,FALSE))</f>
        <v>2.7081822930000001</v>
      </c>
      <c r="Y223">
        <f ca="1">IF(AND(ISNUMBER($Y$525),$B$294=1),$Y$525,HLOOKUP(INDIRECT(ADDRESS(2,COLUMN())),OFFSET($BN$2,0,0,ROW()-1,60),ROW()-1,FALSE))</f>
        <v>2.4811646870000001</v>
      </c>
      <c r="Z223">
        <f ca="1">IF(AND(ISNUMBER($Z$525),$B$294=1),$Z$525,HLOOKUP(INDIRECT(ADDRESS(2,COLUMN())),OFFSET($BN$2,0,0,ROW()-1,60),ROW()-1,FALSE))</f>
        <v>3.1041475510000001</v>
      </c>
      <c r="AA223">
        <f ca="1">IF(AND(ISNUMBER($AA$525),$B$294=1),$AA$525,HLOOKUP(INDIRECT(ADDRESS(2,COLUMN())),OFFSET($BN$2,0,0,ROW()-1,60),ROW()-1,FALSE))</f>
        <v>1.579797793</v>
      </c>
      <c r="AB223">
        <f ca="1">IF(AND(ISNUMBER($AB$525),$B$294=1),$AB$525,HLOOKUP(INDIRECT(ADDRESS(2,COLUMN())),OFFSET($BN$2,0,0,ROW()-1,60),ROW()-1,FALSE))</f>
        <v>2.67741557</v>
      </c>
      <c r="AC223">
        <f ca="1">IF(AND(ISNUMBER($AC$525),$B$294=1),$AC$525,HLOOKUP(INDIRECT(ADDRESS(2,COLUMN())),OFFSET($BN$2,0,0,ROW()-1,60),ROW()-1,FALSE))</f>
        <v>2.6508562950000001</v>
      </c>
      <c r="AD223">
        <f ca="1">IF(AND(ISNUMBER($AD$525),$B$294=1),$AD$525,HLOOKUP(INDIRECT(ADDRESS(2,COLUMN())),OFFSET($BN$2,0,0,ROW()-1,60),ROW()-1,FALSE))</f>
        <v>2.4117547570000002</v>
      </c>
      <c r="AE223">
        <f ca="1">IF(AND(ISNUMBER($AE$525),$B$294=1),$AE$525,HLOOKUP(INDIRECT(ADDRESS(2,COLUMN())),OFFSET($BN$2,0,0,ROW()-1,60),ROW()-1,FALSE))</f>
        <v>2.667133604</v>
      </c>
      <c r="AF223">
        <f ca="1">IF(AND(ISNUMBER($AF$525),$B$294=1),$AF$525,HLOOKUP(INDIRECT(ADDRESS(2,COLUMN())),OFFSET($BN$2,0,0,ROW()-1,60),ROW()-1,FALSE))</f>
        <v>2.5832815650000001</v>
      </c>
      <c r="AG223">
        <f ca="1">IF(AND(ISNUMBER($AG$525),$B$294=1),$AG$525,HLOOKUP(INDIRECT(ADDRESS(2,COLUMN())),OFFSET($BN$2,0,0,ROW()-1,60),ROW()-1,FALSE))</f>
        <v>2.5981191039999998</v>
      </c>
      <c r="AH223">
        <f ca="1">IF(AND(ISNUMBER($AH$525),$B$294=1),$AH$525,HLOOKUP(INDIRECT(ADDRESS(2,COLUMN())),OFFSET($BN$2,0,0,ROW()-1,60),ROW()-1,FALSE))</f>
        <v>2.3395590529999999</v>
      </c>
      <c r="AI223">
        <f ca="1">IF(AND(ISNUMBER($AI$525),$B$294=1),$AI$525,HLOOKUP(INDIRECT(ADDRESS(2,COLUMN())),OFFSET($BN$2,0,0,ROW()-1,60),ROW()-1,FALSE))</f>
        <v>1.53593592</v>
      </c>
      <c r="AJ223">
        <f ca="1">IF(AND(ISNUMBER($AJ$525),$B$294=1),$AJ$525,HLOOKUP(INDIRECT(ADDRESS(2,COLUMN())),OFFSET($BN$2,0,0,ROW()-1,60),ROW()-1,FALSE))</f>
        <v>2.3905647800000001</v>
      </c>
      <c r="AK223">
        <f ca="1">IF(AND(ISNUMBER($AK$525),$B$294=1),$AK$525,HLOOKUP(INDIRECT(ADDRESS(2,COLUMN())),OFFSET($BN$2,0,0,ROW()-1,60),ROW()-1,FALSE))</f>
        <v>2.538442061</v>
      </c>
      <c r="AL223">
        <f ca="1">IF(AND(ISNUMBER($AL$525),$B$294=1),$AL$525,HLOOKUP(INDIRECT(ADDRESS(2,COLUMN())),OFFSET($BN$2,0,0,ROW()-1,60),ROW()-1,FALSE))</f>
        <v>2.5974271880000002</v>
      </c>
      <c r="AM223">
        <f ca="1">IF(AND(ISNUMBER($AM$525),$B$294=1),$AM$525,HLOOKUP(INDIRECT(ADDRESS(2,COLUMN())),OFFSET($BN$2,0,0,ROW()-1,60),ROW()-1,FALSE))</f>
        <v>1.9092665799999999</v>
      </c>
      <c r="AN223">
        <f ca="1">IF(AND(ISNUMBER($AN$525),$B$294=1),$AN$525,HLOOKUP(INDIRECT(ADDRESS(2,COLUMN())),OFFSET($BN$2,0,0,ROW()-1,60),ROW()-1,FALSE))</f>
        <v>2.1506463130000002</v>
      </c>
      <c r="AO223">
        <f ca="1">IF(AND(ISNUMBER($AO$525),$B$294=1),$AO$525,HLOOKUP(INDIRECT(ADDRESS(2,COLUMN())),OFFSET($BN$2,0,0,ROW()-1,60),ROW()-1,FALSE))</f>
        <v>2.1364427930000001</v>
      </c>
      <c r="AP223">
        <f ca="1">IF(AND(ISNUMBER($AP$525),$B$294=1),$AP$525,HLOOKUP(INDIRECT(ADDRESS(2,COLUMN())),OFFSET($BN$2,0,0,ROW()-1,60),ROW()-1,FALSE))</f>
        <v>1.9469003549999999</v>
      </c>
      <c r="AQ223">
        <f ca="1">IF(AND(ISNUMBER($AQ$525),$B$294=1),$AQ$525,HLOOKUP(INDIRECT(ADDRESS(2,COLUMN())),OFFSET($BN$2,0,0,ROW()-1,60),ROW()-1,FALSE))</f>
        <v>2.0326338310000001</v>
      </c>
      <c r="AR223">
        <f ca="1">IF(AND(ISNUMBER($AR$525),$B$294=1),$AR$525,HLOOKUP(INDIRECT(ADDRESS(2,COLUMN())),OFFSET($BN$2,0,0,ROW()-1,60),ROW()-1,FALSE))</f>
        <v>2.0949532500000001</v>
      </c>
      <c r="AS223">
        <f ca="1">IF(AND(ISNUMBER($AS$525),$B$294=1),$AS$525,HLOOKUP(INDIRECT(ADDRESS(2,COLUMN())),OFFSET($BN$2,0,0,ROW()-1,60),ROW()-1,FALSE))</f>
        <v>2.1589832179999999</v>
      </c>
      <c r="AT223">
        <f ca="1">IF(AND(ISNUMBER($AT$525),$B$294=1),$AT$525,HLOOKUP(INDIRECT(ADDRESS(2,COLUMN())),OFFSET($BN$2,0,0,ROW()-1,60),ROW()-1,FALSE))</f>
        <v>2.1557885639999999</v>
      </c>
      <c r="AU223">
        <f ca="1">IF(AND(ISNUMBER($AU$525),$B$294=1),$AU$525,HLOOKUP(INDIRECT(ADDRESS(2,COLUMN())),OFFSET($BN$2,0,0,ROW()-1,60),ROW()-1,FALSE))</f>
        <v>2.1798573409999999</v>
      </c>
      <c r="AV223">
        <f ca="1">IF(AND(ISNUMBER($AV$525),$B$294=1),$AV$525,HLOOKUP(INDIRECT(ADDRESS(2,COLUMN())),OFFSET($BN$2,0,0,ROW()-1,60),ROW()-1,FALSE))</f>
        <v>1.746091456</v>
      </c>
      <c r="AW223">
        <f ca="1">IF(AND(ISNUMBER($AW$525),$B$294=1),$AW$525,HLOOKUP(INDIRECT(ADDRESS(2,COLUMN())),OFFSET($BN$2,0,0,ROW()-1,60),ROW()-1,FALSE))</f>
        <v>1.9114421269999999</v>
      </c>
      <c r="AX223">
        <f ca="1">IF(AND(ISNUMBER($AX$525),$B$294=1),$AX$525,HLOOKUP(INDIRECT(ADDRESS(2,COLUMN())),OFFSET($BN$2,0,0,ROW()-1,60),ROW()-1,FALSE))</f>
        <v>2.014383338</v>
      </c>
      <c r="AY223">
        <f ca="1">IF(AND(ISNUMBER($AY$525),$B$294=1),$AY$525,HLOOKUP(INDIRECT(ADDRESS(2,COLUMN())),OFFSET($BN$2,0,0,ROW()-1,60),ROW()-1,FALSE))</f>
        <v>1.921092968</v>
      </c>
      <c r="AZ223">
        <f ca="1">IF(AND(ISNUMBER($AZ$525),$B$294=1),$AZ$525,HLOOKUP(INDIRECT(ADDRESS(2,COLUMN())),OFFSET($BN$2,0,0,ROW()-1,60),ROW()-1,FALSE))</f>
        <v>2.0633083000000001</v>
      </c>
      <c r="BA223">
        <f ca="1">IF(AND(ISNUMBER($BA$525),$B$294=1),$BA$525,HLOOKUP(INDIRECT(ADDRESS(2,COLUMN())),OFFSET($BN$2,0,0,ROW()-1,60),ROW()-1,FALSE))</f>
        <v>2.3184389680000002</v>
      </c>
      <c r="BB223">
        <f ca="1">IF(AND(ISNUMBER($BB$525),$B$294=1),$BB$525,HLOOKUP(INDIRECT(ADDRESS(2,COLUMN())),OFFSET($BN$2,0,0,ROW()-1,60),ROW()-1,FALSE))</f>
        <v>2.7056007879999999</v>
      </c>
      <c r="BC223">
        <f ca="1">IF(AND(ISNUMBER($BC$525),$B$294=1),$BC$525,HLOOKUP(INDIRECT(ADDRESS(2,COLUMN())),OFFSET($BN$2,0,0,ROW()-1,60),ROW()-1,FALSE))</f>
        <v>3.2661408829999998</v>
      </c>
      <c r="BD223">
        <f ca="1">IF(AND(ISNUMBER($BD$525),$B$294=1),$BD$525,HLOOKUP(INDIRECT(ADDRESS(2,COLUMN())),OFFSET($BN$2,0,0,ROW()-1,60),ROW()-1,FALSE))</f>
        <v>2.177729249</v>
      </c>
      <c r="BE223">
        <f ca="1">IF(AND(ISNUMBER($BE$525),$B$294=1),$BE$525,HLOOKUP(INDIRECT(ADDRESS(2,COLUMN())),OFFSET($BN$2,0,0,ROW()-1,60),ROW()-1,FALSE))</f>
        <v>2.8981062529999999</v>
      </c>
      <c r="BF223">
        <f ca="1">IF(AND(ISNUMBER($BF$525),$B$294=1),$BF$525,HLOOKUP(INDIRECT(ADDRESS(2,COLUMN())),OFFSET($BN$2,0,0,ROW()-1,60),ROW()-1,FALSE))</f>
        <v>3.2311169460000002</v>
      </c>
      <c r="BG223">
        <f ca="1">IF(AND(ISNUMBER($BG$525),$B$294=1),$BG$525,HLOOKUP(INDIRECT(ADDRESS(2,COLUMN())),OFFSET($BN$2,0,0,ROW()-1,60),ROW()-1,FALSE))</f>
        <v>5.4679294450000002</v>
      </c>
      <c r="BH223">
        <f ca="1">IF(AND(ISNUMBER($BH$525),$B$294=1),$BH$525,HLOOKUP(INDIRECT(ADDRESS(2,COLUMN())),OFFSET($BN$2,0,0,ROW()-1,60),ROW()-1,FALSE))</f>
        <v>3.4729378569999998</v>
      </c>
      <c r="BI223">
        <f ca="1">IF(AND(ISNUMBER($BI$525),$B$294=1),$BI$525,HLOOKUP(INDIRECT(ADDRESS(2,COLUMN())),OFFSET($BN$2,0,0,ROW()-1,60),ROW()-1,FALSE))</f>
        <v>4.0148907779999998</v>
      </c>
      <c r="BJ223">
        <f ca="1">IF(AND(ISNUMBER($BJ$525),$B$294=1),$BJ$525,HLOOKUP(INDIRECT(ADDRESS(2,COLUMN())),OFFSET($BN$2,0,0,ROW()-1,60),ROW()-1,FALSE))</f>
        <v>3.6268139580000001</v>
      </c>
      <c r="BK223">
        <f ca="1">IF(AND(ISNUMBER($BK$525),$B$294=1),$BK$525,HLOOKUP(INDIRECT(ADDRESS(2,COLUMN())),OFFSET($BN$2,0,0,ROW()-1,60),ROW()-1,FALSE))</f>
        <v>3.553479238</v>
      </c>
      <c r="BL223">
        <f ca="1">IF(AND(ISNUMBER($BL$525),$B$294=1),$BL$525,HLOOKUP(INDIRECT(ADDRESS(2,COLUMN())),OFFSET($BN$2,0,0,ROW()-1,60),ROW()-1,FALSE))</f>
        <v>3.5227659199999999</v>
      </c>
      <c r="BM223">
        <f ca="1">IF(AND(ISNUMBER($BM$525),$B$294=1),$BM$525,HLOOKUP(INDIRECT(ADDRESS(2,COLUMN())),OFFSET($BN$2,0,0,ROW()-1,60),ROW()-1,FALSE))</f>
        <v>3.5638081370000001</v>
      </c>
      <c r="BN223" t="str">
        <f>""</f>
        <v/>
      </c>
      <c r="BO223">
        <f>2.543649599</f>
        <v>2.5436495990000001</v>
      </c>
      <c r="BP223">
        <f>2.752846844</f>
        <v>2.752846844</v>
      </c>
      <c r="BQ223">
        <f>2.889368701</f>
        <v>2.889368701</v>
      </c>
      <c r="BR223">
        <f>2.755852399</f>
        <v>2.7558523990000001</v>
      </c>
      <c r="BS223">
        <f>2.909327654</f>
        <v>2.9093276540000002</v>
      </c>
      <c r="BT223">
        <f>3.033161903</f>
        <v>3.0331619029999999</v>
      </c>
      <c r="BU223">
        <f>2.86341783</f>
        <v>2.8634178299999999</v>
      </c>
      <c r="BV223">
        <f>1.212677985</f>
        <v>1.212677985</v>
      </c>
      <c r="BW223">
        <f>2.92753398</f>
        <v>2.9275339800000002</v>
      </c>
      <c r="BX223">
        <f>2.630479032</f>
        <v>2.6304790320000002</v>
      </c>
      <c r="BY223">
        <f>3.100786173</f>
        <v>3.1007861729999999</v>
      </c>
      <c r="BZ223">
        <f>2.783234745</f>
        <v>2.7832347450000001</v>
      </c>
      <c r="CA223">
        <f>2.489185979</f>
        <v>2.4891859790000002</v>
      </c>
      <c r="CB223">
        <f>2.6279705</f>
        <v>2.6279705</v>
      </c>
      <c r="CC223">
        <f>2.498169714</f>
        <v>2.4981697139999999</v>
      </c>
      <c r="CD223">
        <f>2.720814307</f>
        <v>2.7208143069999999</v>
      </c>
      <c r="CE223">
        <f>2.254721876</f>
        <v>2.2547218760000001</v>
      </c>
      <c r="CF223">
        <f>2.708182293</f>
        <v>2.7081822930000001</v>
      </c>
      <c r="CG223">
        <f>2.481164687</f>
        <v>2.4811646870000001</v>
      </c>
      <c r="CH223">
        <f>3.104147551</f>
        <v>3.1041475510000001</v>
      </c>
      <c r="CI223">
        <f>1.579797793</f>
        <v>1.579797793</v>
      </c>
      <c r="CJ223">
        <f>2.67741557</f>
        <v>2.67741557</v>
      </c>
      <c r="CK223">
        <f>2.650856295</f>
        <v>2.6508562950000001</v>
      </c>
      <c r="CL223">
        <f>2.411754757</f>
        <v>2.4117547570000002</v>
      </c>
      <c r="CM223">
        <f>2.667133604</f>
        <v>2.667133604</v>
      </c>
      <c r="CN223">
        <f>2.583281565</f>
        <v>2.5832815650000001</v>
      </c>
      <c r="CO223">
        <f>2.598119104</f>
        <v>2.5981191039999998</v>
      </c>
      <c r="CP223">
        <f>2.339559053</f>
        <v>2.3395590529999999</v>
      </c>
      <c r="CQ223">
        <f>1.53593592</f>
        <v>1.53593592</v>
      </c>
      <c r="CR223">
        <f>2.39056478</f>
        <v>2.3905647800000001</v>
      </c>
      <c r="CS223">
        <f>2.538442061</f>
        <v>2.538442061</v>
      </c>
      <c r="CT223">
        <f>2.597427188</f>
        <v>2.5974271880000002</v>
      </c>
      <c r="CU223">
        <f>1.90926658</f>
        <v>1.9092665799999999</v>
      </c>
      <c r="CV223">
        <f>2.150646313</f>
        <v>2.1506463130000002</v>
      </c>
      <c r="CW223">
        <f>2.136442793</f>
        <v>2.1364427930000001</v>
      </c>
      <c r="CX223">
        <f>1.946900355</f>
        <v>1.9469003549999999</v>
      </c>
      <c r="CY223">
        <f>2.032633831</f>
        <v>2.0326338310000001</v>
      </c>
      <c r="CZ223">
        <f>2.09495325</f>
        <v>2.0949532500000001</v>
      </c>
      <c r="DA223">
        <f>2.158983218</f>
        <v>2.1589832179999999</v>
      </c>
      <c r="DB223">
        <f>2.155788564</f>
        <v>2.1557885639999999</v>
      </c>
      <c r="DC223">
        <f>2.179857341</f>
        <v>2.1798573409999999</v>
      </c>
      <c r="DD223">
        <f>1.746091456</f>
        <v>1.746091456</v>
      </c>
      <c r="DE223">
        <f>1.911442127</f>
        <v>1.9114421269999999</v>
      </c>
      <c r="DF223">
        <f>2.014383338</f>
        <v>2.014383338</v>
      </c>
      <c r="DG223">
        <f>1.921092968</f>
        <v>1.921092968</v>
      </c>
      <c r="DH223">
        <f>2.0633083</f>
        <v>2.0633083000000001</v>
      </c>
      <c r="DI223">
        <f>2.318438968</f>
        <v>2.3184389680000002</v>
      </c>
      <c r="DJ223">
        <f>2.705600788</f>
        <v>2.7056007879999999</v>
      </c>
      <c r="DK223">
        <f>3.266140883</f>
        <v>3.2661408829999998</v>
      </c>
      <c r="DL223">
        <f>2.177729249</f>
        <v>2.177729249</v>
      </c>
      <c r="DM223">
        <f>2.898106253</f>
        <v>2.8981062529999999</v>
      </c>
      <c r="DN223">
        <f>3.231116946</f>
        <v>3.2311169460000002</v>
      </c>
      <c r="DO223">
        <f>5.467929445</f>
        <v>5.4679294450000002</v>
      </c>
      <c r="DP223">
        <f>3.472937857</f>
        <v>3.4729378569999998</v>
      </c>
      <c r="DQ223">
        <f>4.014890778</f>
        <v>4.0148907779999998</v>
      </c>
      <c r="DR223">
        <f>3.626813958</f>
        <v>3.6268139580000001</v>
      </c>
      <c r="DS223">
        <f>3.553479238</f>
        <v>3.553479238</v>
      </c>
      <c r="DT223">
        <f>3.52276592</f>
        <v>3.5227659199999999</v>
      </c>
      <c r="DU223">
        <f>3.563808137</f>
        <v>3.5638081370000001</v>
      </c>
    </row>
    <row r="224" spans="1:125">
      <c r="A224" t="str">
        <f>"固定费用偿付比率"</f>
        <v>固定费用偿付比率</v>
      </c>
      <c r="B224" t="str">
        <f>""</f>
        <v/>
      </c>
      <c r="E224" t="str">
        <f>"Median"</f>
        <v>Median</v>
      </c>
      <c r="F224" t="str">
        <f ca="1">IF(ISERROR(IF(MEDIAN($F$225:$F$234) = 0, "", MEDIAN($F$225:$F$234))), "", (IF(MEDIAN($F$225:$F$234) = 0, "", MEDIAN($F$225:$F$234))))</f>
        <v/>
      </c>
      <c r="G224">
        <f ca="1">IF(ISERROR(IF(MEDIAN($G$225:$G$234) = 0, "", MEDIAN($G$225:$G$234))), "", (IF(MEDIAN($G$225:$G$234) = 0, "", MEDIAN($G$225:$G$234))))</f>
        <v>3.061714013</v>
      </c>
      <c r="H224">
        <f ca="1">IF(ISERROR(IF(MEDIAN($H$225:$H$234) = 0, "", MEDIAN($H$225:$H$234))), "", (IF(MEDIAN($H$225:$H$234) = 0, "", MEDIAN($H$225:$H$234))))</f>
        <v>3.0936862625000003</v>
      </c>
      <c r="I224">
        <f ca="1">IF(ISERROR(IF(MEDIAN($I$225:$I$234) = 0, "", MEDIAN($I$225:$I$234))), "", (IF(MEDIAN($I$225:$I$234) = 0, "", MEDIAN($I$225:$I$234))))</f>
        <v>3</v>
      </c>
      <c r="J224">
        <f ca="1">IF(ISERROR(IF(MEDIAN($J$225:$J$234) = 0, "", MEDIAN($J$225:$J$234))), "", (IF(MEDIAN($J$225:$J$234) = 0, "", MEDIAN($J$225:$J$234))))</f>
        <v>2.9249999999999998</v>
      </c>
      <c r="K224">
        <f ca="1">IF(ISERROR(IF(MEDIAN($K$225:$K$234) = 0, "", MEDIAN($K$225:$K$234))), "", (IF(MEDIAN($K$225:$K$234) = 0, "", MEDIAN($K$225:$K$234))))</f>
        <v>2.95</v>
      </c>
      <c r="L224">
        <f ca="1">IF(ISERROR(IF(MEDIAN($L$225:$L$234) = 0, "", MEDIAN($L$225:$L$234))), "", (IF(MEDIAN($L$225:$L$234) = 0, "", MEDIAN($L$225:$L$234))))</f>
        <v>2.895</v>
      </c>
      <c r="M224">
        <f ca="1">IF(ISERROR(IF(MEDIAN($M$225:$M$234) = 0, "", MEDIAN($M$225:$M$234))), "", (IF(MEDIAN($M$225:$M$234) = 0, "", MEDIAN($M$225:$M$234))))</f>
        <v>2.835</v>
      </c>
      <c r="N224">
        <f ca="1">IF(ISERROR(IF(MEDIAN($N$225:$N$234) = 0, "", MEDIAN($N$225:$N$234))), "", (IF(MEDIAN($N$225:$N$234) = 0, "", MEDIAN($N$225:$N$234))))</f>
        <v>2.5599999999999996</v>
      </c>
      <c r="O224">
        <f ca="1">IF(ISERROR(IF(MEDIAN($O$225:$O$234) = 0, "", MEDIAN($O$225:$O$234))), "", (IF(MEDIAN($O$225:$O$234) = 0, "", MEDIAN($O$225:$O$234))))</f>
        <v>2.6900000000000004</v>
      </c>
      <c r="P224">
        <f ca="1">IF(ISERROR(IF(MEDIAN($P$225:$P$234) = 0, "", MEDIAN($P$225:$P$234))), "", (IF(MEDIAN($P$225:$P$234) = 0, "", MEDIAN($P$225:$P$234))))</f>
        <v>2.62</v>
      </c>
      <c r="Q224">
        <f ca="1">IF(ISERROR(IF(MEDIAN($Q$225:$Q$234) = 0, "", MEDIAN($Q$225:$Q$234))), "", (IF(MEDIAN($Q$225:$Q$234) = 0, "", MEDIAN($Q$225:$Q$234))))</f>
        <v>2.65</v>
      </c>
      <c r="R224">
        <f ca="1">IF(ISERROR(IF(MEDIAN($R$225:$R$234) = 0, "", MEDIAN($R$225:$R$234))), "", (IF(MEDIAN($R$225:$R$234) = 0, "", MEDIAN($R$225:$R$234))))</f>
        <v>2.5949999999999998</v>
      </c>
      <c r="S224">
        <f ca="1">IF(ISERROR(IF(MEDIAN($S$225:$S$234) = 0, "", MEDIAN($S$225:$S$234))), "", (IF(MEDIAN($S$225:$S$234) = 0, "", MEDIAN($S$225:$S$234))))</f>
        <v>2.3200000000000003</v>
      </c>
      <c r="T224">
        <f ca="1">IF(ISERROR(IF(MEDIAN($T$225:$T$234) = 0, "", MEDIAN($T$225:$T$234))), "", (IF(MEDIAN($T$225:$T$234) = 0, "", MEDIAN($T$225:$T$234))))</f>
        <v>2.41</v>
      </c>
      <c r="U224">
        <f ca="1">IF(ISERROR(IF(MEDIAN($U$225:$U$234) = 0, "", MEDIAN($U$225:$U$234))), "", (IF(MEDIAN($U$225:$U$234) = 0, "", MEDIAN($U$225:$U$234))))</f>
        <v>2.42</v>
      </c>
      <c r="V224">
        <f ca="1">IF(ISERROR(IF(MEDIAN($V$225:$V$234) = 0, "", MEDIAN($V$225:$V$234))), "", (IF(MEDIAN($V$225:$V$234) = 0, "", MEDIAN($V$225:$V$234))))</f>
        <v>2.625</v>
      </c>
      <c r="W224">
        <f ca="1">IF(ISERROR(IF(MEDIAN($W$225:$W$234) = 0, "", MEDIAN($W$225:$W$234))), "", (IF(MEDIAN($W$225:$W$234) = 0, "", MEDIAN($W$225:$W$234))))</f>
        <v>2.4924237360000001</v>
      </c>
      <c r="X224">
        <f ca="1">IF(ISERROR(IF(MEDIAN($X$225:$X$234) = 0, "", MEDIAN($X$225:$X$234))), "", (IF(MEDIAN($X$225:$X$234) = 0, "", MEDIAN($X$225:$X$234))))</f>
        <v>2.4900000000000002</v>
      </c>
      <c r="Y224">
        <f ca="1">IF(ISERROR(IF(MEDIAN($Y$225:$Y$234) = 0, "", MEDIAN($Y$225:$Y$234))), "", (IF(MEDIAN($Y$225:$Y$234) = 0, "", MEDIAN($Y$225:$Y$234))))</f>
        <v>2.5</v>
      </c>
      <c r="Z224">
        <f ca="1">IF(ISERROR(IF(MEDIAN($Z$225:$Z$234) = 0, "", MEDIAN($Z$225:$Z$234))), "", (IF(MEDIAN($Z$225:$Z$234) = 0, "", MEDIAN($Z$225:$Z$234))))</f>
        <v>2.4</v>
      </c>
      <c r="AA224">
        <f ca="1">IF(ISERROR(IF(MEDIAN($AA$225:$AA$234) = 0, "", MEDIAN($AA$225:$AA$234))), "", (IF(MEDIAN($AA$225:$AA$234) = 0, "", MEDIAN($AA$225:$AA$234))))</f>
        <v>2.35</v>
      </c>
      <c r="AB224">
        <f ca="1">IF(ISERROR(IF(MEDIAN($AB$225:$AB$234) = 0, "", MEDIAN($AB$225:$AB$234))), "", (IF(MEDIAN($AB$225:$AB$234) = 0, "", MEDIAN($AB$225:$AB$234))))</f>
        <v>2.59</v>
      </c>
      <c r="AC224">
        <f ca="1">IF(ISERROR(IF(MEDIAN($AC$225:$AC$234) = 0, "", MEDIAN($AC$225:$AC$234))), "", (IF(MEDIAN($AC$225:$AC$234) = 0, "", MEDIAN($AC$225:$AC$234))))</f>
        <v>2.5690772505000004</v>
      </c>
      <c r="AD224">
        <f ca="1">IF(ISERROR(IF(MEDIAN($AD$225:$AD$234) = 0, "", MEDIAN($AD$225:$AD$234))), "", (IF(MEDIAN($AD$225:$AD$234) = 0, "", MEDIAN($AD$225:$AD$234))))</f>
        <v>2.5619163315</v>
      </c>
      <c r="AE224">
        <f ca="1">IF(ISERROR(IF(MEDIAN($AE$225:$AE$234) = 0, "", MEDIAN($AE$225:$AE$234))), "", (IF(MEDIAN($AE$225:$AE$234) = 0, "", MEDIAN($AE$225:$AE$234))))</f>
        <v>2.4550000000000001</v>
      </c>
      <c r="AF224">
        <f ca="1">IF(ISERROR(IF(MEDIAN($AF$225:$AF$234) = 0, "", MEDIAN($AF$225:$AF$234))), "", (IF(MEDIAN($AF$225:$AF$234) = 0, "", MEDIAN($AF$225:$AF$234))))</f>
        <v>2.25</v>
      </c>
      <c r="AG224">
        <f ca="1">IF(ISERROR(IF(MEDIAN($AG$225:$AG$234) = 0, "", MEDIAN($AG$225:$AG$234))), "", (IF(MEDIAN($AG$225:$AG$234) = 0, "", MEDIAN($AG$225:$AG$234))))</f>
        <v>2.2587525545</v>
      </c>
      <c r="AH224">
        <f ca="1">IF(ISERROR(IF(MEDIAN($AH$225:$AH$234) = 0, "", MEDIAN($AH$225:$AH$234))), "", (IF(MEDIAN($AH$225:$AH$234) = 0, "", MEDIAN($AH$225:$AH$234))))</f>
        <v>2.44</v>
      </c>
      <c r="AI224">
        <f ca="1">IF(ISERROR(IF(MEDIAN($AI$225:$AI$234) = 0, "", MEDIAN($AI$225:$AI$234))), "", (IF(MEDIAN($AI$225:$AI$234) = 0, "", MEDIAN($AI$225:$AI$234))))</f>
        <v>2.2000000000000002</v>
      </c>
      <c r="AJ224">
        <f ca="1">IF(ISERROR(IF(MEDIAN($AJ$225:$AJ$234) = 0, "", MEDIAN($AJ$225:$AJ$234))), "", (IF(MEDIAN($AJ$225:$AJ$234) = 0, "", MEDIAN($AJ$225:$AJ$234))))</f>
        <v>2.58</v>
      </c>
      <c r="AK224">
        <f ca="1">IF(ISERROR(IF(MEDIAN($AK$225:$AK$234) = 0, "", MEDIAN($AK$225:$AK$234))), "", (IF(MEDIAN($AK$225:$AK$234) = 0, "", MEDIAN($AK$225:$AK$234))))</f>
        <v>2.5300000000000002</v>
      </c>
      <c r="AL224">
        <f ca="1">IF(ISERROR(IF(MEDIAN($AL$225:$AL$234) = 0, "", MEDIAN($AL$225:$AL$234))), "", (IF(MEDIAN($AL$225:$AL$234) = 0, "", MEDIAN($AL$225:$AL$234))))</f>
        <v>2.335</v>
      </c>
      <c r="AM224">
        <f ca="1">IF(ISERROR(IF(MEDIAN($AM$225:$AM$234) = 0, "", MEDIAN($AM$225:$AM$234))), "", (IF(MEDIAN($AM$225:$AM$234) = 0, "", MEDIAN($AM$225:$AM$234))))</f>
        <v>2.2450000000000001</v>
      </c>
      <c r="AN224">
        <f ca="1">IF(ISERROR(IF(MEDIAN($AN$225:$AN$234) = 0, "", MEDIAN($AN$225:$AN$234))), "", (IF(MEDIAN($AN$225:$AN$234) = 0, "", MEDIAN($AN$225:$AN$234))))</f>
        <v>2.586300692</v>
      </c>
      <c r="AO224">
        <f ca="1">IF(ISERROR(IF(MEDIAN($AO$225:$AO$234) = 0, "", MEDIAN($AO$225:$AO$234))), "", (IF(MEDIAN($AO$225:$AO$234) = 0, "", MEDIAN($AO$225:$AO$234))))</f>
        <v>2.7</v>
      </c>
      <c r="AP224">
        <f ca="1">IF(ISERROR(IF(MEDIAN($AP$225:$AP$234) = 0, "", MEDIAN($AP$225:$AP$234))), "", (IF(MEDIAN($AP$225:$AP$234) = 0, "", MEDIAN($AP$225:$AP$234))))</f>
        <v>2.71</v>
      </c>
      <c r="AQ224">
        <f ca="1">IF(ISERROR(IF(MEDIAN($AQ$225:$AQ$234) = 0, "", MEDIAN($AQ$225:$AQ$234))), "", (IF(MEDIAN($AQ$225:$AQ$234) = 0, "", MEDIAN($AQ$225:$AQ$234))))</f>
        <v>2.5</v>
      </c>
      <c r="AR224">
        <f ca="1">IF(ISERROR(IF(MEDIAN($AR$225:$AR$234) = 0, "", MEDIAN($AR$225:$AR$234))), "", (IF(MEDIAN($AR$225:$AR$234) = 0, "", MEDIAN($AR$225:$AR$234))))</f>
        <v>2.3420400670000001</v>
      </c>
      <c r="AS224">
        <f ca="1">IF(ISERROR(IF(MEDIAN($AS$225:$AS$234) = 0, "", MEDIAN($AS$225:$AS$234))), "", (IF(MEDIAN($AS$225:$AS$234) = 0, "", MEDIAN($AS$225:$AS$234))))</f>
        <v>2.3296475870000002</v>
      </c>
      <c r="AT224">
        <f ca="1">IF(ISERROR(IF(MEDIAN($AT$225:$AT$234) = 0, "", MEDIAN($AT$225:$AT$234))), "", (IF(MEDIAN($AT$225:$AT$234) = 0, "", MEDIAN($AT$225:$AT$234))))</f>
        <v>2.4</v>
      </c>
      <c r="AU224">
        <f ca="1">IF(ISERROR(IF(MEDIAN($AU$225:$AU$234) = 0, "", MEDIAN($AU$225:$AU$234))), "", (IF(MEDIAN($AU$225:$AU$234) = 0, "", MEDIAN($AU$225:$AU$234))))</f>
        <v>2.1615183115000001</v>
      </c>
      <c r="AV224">
        <f ca="1">IF(ISERROR(IF(MEDIAN($AV$225:$AV$234) = 0, "", MEDIAN($AV$225:$AV$234))), "", (IF(MEDIAN($AV$225:$AV$234) = 0, "", MEDIAN($AV$225:$AV$234))))</f>
        <v>2.44</v>
      </c>
      <c r="AW224">
        <f ca="1">IF(ISERROR(IF(MEDIAN($AW$225:$AW$234) = 0, "", MEDIAN($AW$225:$AW$234))), "", (IF(MEDIAN($AW$225:$AW$234) = 0, "", MEDIAN($AW$225:$AW$234))))</f>
        <v>2.31</v>
      </c>
      <c r="AX224">
        <f ca="1">IF(ISERROR(IF(MEDIAN($AX$225:$AX$234) = 0, "", MEDIAN($AX$225:$AX$234))), "", (IF(MEDIAN($AX$225:$AX$234) = 0, "", MEDIAN($AX$225:$AX$234))))</f>
        <v>2.65</v>
      </c>
      <c r="AY224">
        <f ca="1">IF(ISERROR(IF(MEDIAN($AY$225:$AY$234) = 0, "", MEDIAN($AY$225:$AY$234))), "", (IF(MEDIAN($AY$225:$AY$234) = 0, "", MEDIAN($AY$225:$AY$234))))</f>
        <v>2.41</v>
      </c>
      <c r="AZ224">
        <f ca="1">IF(ISERROR(IF(MEDIAN($AZ$225:$AZ$234) = 0, "", MEDIAN($AZ$225:$AZ$234))), "", (IF(MEDIAN($AZ$225:$AZ$234) = 0, "", MEDIAN($AZ$225:$AZ$234))))</f>
        <v>2.46</v>
      </c>
      <c r="BA224">
        <f ca="1">IF(ISERROR(IF(MEDIAN($BA$225:$BA$234) = 0, "", MEDIAN($BA$225:$BA$234))), "", (IF(MEDIAN($BA$225:$BA$234) = 0, "", MEDIAN($BA$225:$BA$234))))</f>
        <v>2.59</v>
      </c>
      <c r="BB224">
        <f ca="1">IF(ISERROR(IF(MEDIAN($BB$225:$BB$234) = 0, "", MEDIAN($BB$225:$BB$234))), "", (IF(MEDIAN($BB$225:$BB$234) = 0, "", MEDIAN($BB$225:$BB$234))))</f>
        <v>2.29</v>
      </c>
      <c r="BC224">
        <f ca="1">IF(ISERROR(IF(MEDIAN($BC$225:$BC$234) = 0, "", MEDIAN($BC$225:$BC$234))), "", (IF(MEDIAN($BC$225:$BC$234) = 0, "", MEDIAN($BC$225:$BC$234))))</f>
        <v>2.4135467240000001</v>
      </c>
      <c r="BD224">
        <f ca="1">IF(ISERROR(IF(MEDIAN($BD$225:$BD$234) = 0, "", MEDIAN($BD$225:$BD$234))), "", (IF(MEDIAN($BD$225:$BD$234) = 0, "", MEDIAN($BD$225:$BD$234))))</f>
        <v>2.658378237</v>
      </c>
      <c r="BE224">
        <f ca="1">IF(ISERROR(IF(MEDIAN($BE$225:$BE$234) = 0, "", MEDIAN($BE$225:$BE$234))), "", (IF(MEDIAN($BE$225:$BE$234) = 0, "", MEDIAN($BE$225:$BE$234))))</f>
        <v>2.3070710535000001</v>
      </c>
      <c r="BF224">
        <f ca="1">IF(ISERROR(IF(MEDIAN($BF$225:$BF$234) = 0, "", MEDIAN($BF$225:$BF$234))), "", (IF(MEDIAN($BF$225:$BF$234) = 0, "", MEDIAN($BF$225:$BF$234))))</f>
        <v>2.3892637919999999</v>
      </c>
      <c r="BG224">
        <f ca="1">IF(ISERROR(IF(MEDIAN($BG$225:$BG$234) = 0, "", MEDIAN($BG$225:$BG$234))), "", (IF(MEDIAN($BG$225:$BG$234) = 0, "", MEDIAN($BG$225:$BG$234))))</f>
        <v>2.5370456094999998</v>
      </c>
      <c r="BH224">
        <f ca="1">IF(ISERROR(IF(MEDIAN($BH$225:$BH$234) = 0, "", MEDIAN($BH$225:$BH$234))), "", (IF(MEDIAN($BH$225:$BH$234) = 0, "", MEDIAN($BH$225:$BH$234))))</f>
        <v>3.0486044620000001</v>
      </c>
      <c r="BI224">
        <f ca="1">IF(ISERROR(IF(MEDIAN($BI$225:$BI$234) = 0, "", MEDIAN($BI$225:$BI$234))), "", (IF(MEDIAN($BI$225:$BI$234) = 0, "", MEDIAN($BI$225:$BI$234))))</f>
        <v>3.4334530915000001</v>
      </c>
      <c r="BJ224">
        <f ca="1">IF(ISERROR(IF(MEDIAN($BJ$225:$BJ$234) = 0, "", MEDIAN($BJ$225:$BJ$234))), "", (IF(MEDIAN($BJ$225:$BJ$234) = 0, "", MEDIAN($BJ$225:$BJ$234))))</f>
        <v>3.3607141375</v>
      </c>
      <c r="BK224">
        <f ca="1">IF(ISERROR(IF(MEDIAN($BK$225:$BK$234) = 0, "", MEDIAN($BK$225:$BK$234))), "", (IF(MEDIAN($BK$225:$BK$234) = 0, "", MEDIAN($BK$225:$BK$234))))</f>
        <v>3.3936150874999997</v>
      </c>
      <c r="BL224">
        <f ca="1">IF(ISERROR(IF(MEDIAN($BL$225:$BL$234) = 0, "", MEDIAN($BL$225:$BL$234))), "", (IF(MEDIAN($BL$225:$BL$234) = 0, "", MEDIAN($BL$225:$BL$234))))</f>
        <v>3.3058393129999999</v>
      </c>
      <c r="BM224">
        <f ca="1">IF(ISERROR(IF(MEDIAN($BM$225:$BM$234) = 0, "", MEDIAN($BM$225:$BM$234))), "", (IF(MEDIAN($BM$225:$BM$234) = 0, "", MEDIAN($BM$225:$BM$234))))</f>
        <v>3.2616620704999999</v>
      </c>
      <c r="BN224" t="str">
        <f>""</f>
        <v/>
      </c>
      <c r="BO224">
        <f>3.061714013</f>
        <v>3.061714013</v>
      </c>
      <c r="BP224">
        <f>3.093686263</f>
        <v>3.0936862629999999</v>
      </c>
      <c r="BQ224">
        <f>3</f>
        <v>3</v>
      </c>
      <c r="BR224">
        <f>2.925</f>
        <v>2.9249999999999998</v>
      </c>
      <c r="BS224">
        <f>2.95</f>
        <v>2.95</v>
      </c>
      <c r="BT224">
        <f>2.895</f>
        <v>2.895</v>
      </c>
      <c r="BU224">
        <f>2.835</f>
        <v>2.835</v>
      </c>
      <c r="BV224">
        <f>2.56</f>
        <v>2.56</v>
      </c>
      <c r="BW224">
        <f>2.69</f>
        <v>2.69</v>
      </c>
      <c r="BX224">
        <f>2.62</f>
        <v>2.62</v>
      </c>
      <c r="BY224">
        <f>2.65</f>
        <v>2.65</v>
      </c>
      <c r="BZ224">
        <f>2.595</f>
        <v>2.5950000000000002</v>
      </c>
      <c r="CA224">
        <f>2.32</f>
        <v>2.3199999999999998</v>
      </c>
      <c r="CB224">
        <f>2.41</f>
        <v>2.41</v>
      </c>
      <c r="CC224">
        <f>2.42</f>
        <v>2.42</v>
      </c>
      <c r="CD224">
        <f>2.625</f>
        <v>2.625</v>
      </c>
      <c r="CE224">
        <f>2.492423736</f>
        <v>2.4924237360000001</v>
      </c>
      <c r="CF224">
        <f>2.49</f>
        <v>2.4900000000000002</v>
      </c>
      <c r="CG224">
        <f>2.5</f>
        <v>2.5</v>
      </c>
      <c r="CH224">
        <f>2.4</f>
        <v>2.4</v>
      </c>
      <c r="CI224">
        <f>2.35</f>
        <v>2.35</v>
      </c>
      <c r="CJ224">
        <f>2.59</f>
        <v>2.59</v>
      </c>
      <c r="CK224">
        <f>2.569077251</f>
        <v>2.569077251</v>
      </c>
      <c r="CL224">
        <f>2.561916332</f>
        <v>2.561916332</v>
      </c>
      <c r="CM224">
        <f>2.455</f>
        <v>2.4550000000000001</v>
      </c>
      <c r="CN224">
        <f>2.25</f>
        <v>2.25</v>
      </c>
      <c r="CO224">
        <f>2.258752555</f>
        <v>2.2587525550000001</v>
      </c>
      <c r="CP224">
        <f>2.44</f>
        <v>2.44</v>
      </c>
      <c r="CQ224">
        <f>2.2</f>
        <v>2.2000000000000002</v>
      </c>
      <c r="CR224">
        <f>2.58</f>
        <v>2.58</v>
      </c>
      <c r="CS224">
        <f>2.53</f>
        <v>2.5299999999999998</v>
      </c>
      <c r="CT224">
        <f>2.335</f>
        <v>2.335</v>
      </c>
      <c r="CU224">
        <f>2.245</f>
        <v>2.2450000000000001</v>
      </c>
      <c r="CV224">
        <f>2.586300692</f>
        <v>2.586300692</v>
      </c>
      <c r="CW224">
        <f>2.7</f>
        <v>2.7</v>
      </c>
      <c r="CX224">
        <f>2.71</f>
        <v>2.71</v>
      </c>
      <c r="CY224">
        <f>2.5</f>
        <v>2.5</v>
      </c>
      <c r="CZ224">
        <f>2.342040067</f>
        <v>2.3420400670000001</v>
      </c>
      <c r="DA224">
        <f>2.329647587</f>
        <v>2.3296475870000002</v>
      </c>
      <c r="DB224">
        <f>2.4</f>
        <v>2.4</v>
      </c>
      <c r="DC224">
        <f>2.161518312</f>
        <v>2.1615183120000001</v>
      </c>
      <c r="DD224">
        <f>2.44</f>
        <v>2.44</v>
      </c>
      <c r="DE224">
        <f>2.31</f>
        <v>2.31</v>
      </c>
      <c r="DF224">
        <f>2.65</f>
        <v>2.65</v>
      </c>
      <c r="DG224">
        <f>2.41</f>
        <v>2.41</v>
      </c>
      <c r="DH224">
        <f>2.46</f>
        <v>2.46</v>
      </c>
      <c r="DI224">
        <f>2.59</f>
        <v>2.59</v>
      </c>
      <c r="DJ224">
        <f>2.29</f>
        <v>2.29</v>
      </c>
      <c r="DK224">
        <f>2.413546724</f>
        <v>2.4135467240000001</v>
      </c>
      <c r="DL224">
        <f>2.658378237</f>
        <v>2.658378237</v>
      </c>
      <c r="DM224">
        <f>2.307071054</f>
        <v>2.3070710540000001</v>
      </c>
      <c r="DN224">
        <f>2.389263792</f>
        <v>2.3892637919999999</v>
      </c>
      <c r="DO224">
        <f>2.537045609</f>
        <v>2.5370456090000002</v>
      </c>
      <c r="DP224">
        <f>3.048604462</f>
        <v>3.0486044620000001</v>
      </c>
      <c r="DQ224">
        <f>3.433453092</f>
        <v>3.4334530920000002</v>
      </c>
      <c r="DR224">
        <f>3.360714137</f>
        <v>3.360714137</v>
      </c>
      <c r="DS224">
        <f>3.393615088</f>
        <v>3.3936150879999998</v>
      </c>
      <c r="DT224">
        <f>3.305839313</f>
        <v>3.3058393129999999</v>
      </c>
      <c r="DU224">
        <f>3.261662071</f>
        <v>3.2616620709999999</v>
      </c>
    </row>
    <row r="225" spans="1:125">
      <c r="A225" t="str">
        <f>"    Boston Properties Inc"</f>
        <v xml:space="preserve">    Boston Properties Inc</v>
      </c>
      <c r="B225" t="str">
        <f>"BXP US Equity"</f>
        <v>BXP US Equity</v>
      </c>
      <c r="C225" t="str">
        <f t="shared" ref="C225:C234" si="60">"F1023"</f>
        <v>F1023</v>
      </c>
      <c r="D225" t="str">
        <f t="shared" ref="D225:D234" si="61">"FIXED_CHARGE_COVERAGE_RATIO"</f>
        <v>FIXED_CHARGE_COVERAGE_RATIO</v>
      </c>
      <c r="E225" t="str">
        <f t="shared" ref="E225:E234" si="62">"动态"</f>
        <v>动态</v>
      </c>
      <c r="F225" t="str">
        <f ca="1">IF(AND(ISNUMBER($F$526),$B$294=1),$F$526,HLOOKUP(INDIRECT(ADDRESS(2,COLUMN())),OFFSET($BN$2,0,0,ROW()-1,60),ROW()-1,FALSE))</f>
        <v/>
      </c>
      <c r="G225">
        <f ca="1">IF(AND(ISNUMBER($G$526),$B$294=1),$G$526,HLOOKUP(INDIRECT(ADDRESS(2,COLUMN())),OFFSET($BN$2,0,0,ROW()-1,60),ROW()-1,FALSE))</f>
        <v>2.11</v>
      </c>
      <c r="H225">
        <f ca="1">IF(AND(ISNUMBER($H$526),$B$294=1),$H$526,HLOOKUP(INDIRECT(ADDRESS(2,COLUMN())),OFFSET($BN$2,0,0,ROW()-1,60),ROW()-1,FALSE))</f>
        <v>2.12</v>
      </c>
      <c r="I225">
        <f ca="1">IF(AND(ISNUMBER($I$526),$B$294=1),$I$526,HLOOKUP(INDIRECT(ADDRESS(2,COLUMN())),OFFSET($BN$2,0,0,ROW()-1,60),ROW()-1,FALSE))</f>
        <v>2.09</v>
      </c>
      <c r="J225">
        <f ca="1">IF(AND(ISNUMBER($J$526),$B$294=1),$J$526,HLOOKUP(INDIRECT(ADDRESS(2,COLUMN())),OFFSET($BN$2,0,0,ROW()-1,60),ROW()-1,FALSE))</f>
        <v>1.88</v>
      </c>
      <c r="K225">
        <f ca="1">IF(AND(ISNUMBER($K$526),$B$294=1),$K$526,HLOOKUP(INDIRECT(ADDRESS(2,COLUMN())),OFFSET($BN$2,0,0,ROW()-1,60),ROW()-1,FALSE))</f>
        <v>2.0099999999999998</v>
      </c>
      <c r="L225">
        <f ca="1">IF(AND(ISNUMBER($L$526),$B$294=1),$L$526,HLOOKUP(INDIRECT(ADDRESS(2,COLUMN())),OFFSET($BN$2,0,0,ROW()-1,60),ROW()-1,FALSE))</f>
        <v>2.04</v>
      </c>
      <c r="M225">
        <f ca="1">IF(AND(ISNUMBER($M$526),$B$294=1),$M$526,HLOOKUP(INDIRECT(ADDRESS(2,COLUMN())),OFFSET($BN$2,0,0,ROW()-1,60),ROW()-1,FALSE))</f>
        <v>2.33</v>
      </c>
      <c r="N225">
        <f ca="1">IF(AND(ISNUMBER($N$526),$B$294=1),$N$526,HLOOKUP(INDIRECT(ADDRESS(2,COLUMN())),OFFSET($BN$2,0,0,ROW()-1,60),ROW()-1,FALSE))</f>
        <v>2.8</v>
      </c>
      <c r="O225">
        <f ca="1">IF(AND(ISNUMBER($O$526),$B$294=1),$O$526,HLOOKUP(INDIRECT(ADDRESS(2,COLUMN())),OFFSET($BN$2,0,0,ROW()-1,60),ROW()-1,FALSE))</f>
        <v>2.5299999999999998</v>
      </c>
      <c r="P225">
        <f ca="1">IF(AND(ISNUMBER($P$526),$B$294=1),$P$526,HLOOKUP(INDIRECT(ADDRESS(2,COLUMN())),OFFSET($BN$2,0,0,ROW()-1,60),ROW()-1,FALSE))</f>
        <v>2.6</v>
      </c>
      <c r="Q225">
        <f ca="1">IF(AND(ISNUMBER($Q$526),$B$294=1),$Q$526,HLOOKUP(INDIRECT(ADDRESS(2,COLUMN())),OFFSET($BN$2,0,0,ROW()-1,60),ROW()-1,FALSE))</f>
        <v>2.12</v>
      </c>
      <c r="R225">
        <f ca="1">IF(AND(ISNUMBER($R$526),$B$294=1),$R$526,HLOOKUP(INDIRECT(ADDRESS(2,COLUMN())),OFFSET($BN$2,0,0,ROW()-1,60),ROW()-1,FALSE))</f>
        <v>2.52</v>
      </c>
      <c r="S225">
        <f ca="1">IF(AND(ISNUMBER($S$526),$B$294=1),$S$526,HLOOKUP(INDIRECT(ADDRESS(2,COLUMN())),OFFSET($BN$2,0,0,ROW()-1,60),ROW()-1,FALSE))</f>
        <v>1.87</v>
      </c>
      <c r="T225">
        <f ca="1">IF(AND(ISNUMBER($T$526),$B$294=1),$T$526,HLOOKUP(INDIRECT(ADDRESS(2,COLUMN())),OFFSET($BN$2,0,0,ROW()-1,60),ROW()-1,FALSE))</f>
        <v>1.6</v>
      </c>
      <c r="U225">
        <f ca="1">IF(AND(ISNUMBER($U$526),$B$294=1),$U$526,HLOOKUP(INDIRECT(ADDRESS(2,COLUMN())),OFFSET($BN$2,0,0,ROW()-1,60),ROW()-1,FALSE))</f>
        <v>0.13</v>
      </c>
      <c r="V225">
        <f ca="1">IF(AND(ISNUMBER($V$526),$B$294=1),$V$526,HLOOKUP(INDIRECT(ADDRESS(2,COLUMN())),OFFSET($BN$2,0,0,ROW()-1,60),ROW()-1,FALSE))</f>
        <v>1.32</v>
      </c>
      <c r="W225">
        <f ca="1">IF(AND(ISNUMBER($W$526),$B$294=1),$W$526,HLOOKUP(INDIRECT(ADDRESS(2,COLUMN())),OFFSET($BN$2,0,0,ROW()-1,60),ROW()-1,FALSE))</f>
        <v>1.35</v>
      </c>
      <c r="X225">
        <f ca="1">IF(AND(ISNUMBER($X$526),$B$294=1),$X$526,HLOOKUP(INDIRECT(ADDRESS(2,COLUMN())),OFFSET($BN$2,0,0,ROW()-1,60),ROW()-1,FALSE))</f>
        <v>1.33</v>
      </c>
      <c r="Y225">
        <f ca="1">IF(AND(ISNUMBER($Y$526),$B$294=1),$Y$526,HLOOKUP(INDIRECT(ADDRESS(2,COLUMN())),OFFSET($BN$2,0,0,ROW()-1,60),ROW()-1,FALSE))</f>
        <v>1.33</v>
      </c>
      <c r="Z225">
        <f ca="1">IF(AND(ISNUMBER($Z$526),$B$294=1),$Z$526,HLOOKUP(INDIRECT(ADDRESS(2,COLUMN())),OFFSET($BN$2,0,0,ROW()-1,60),ROW()-1,FALSE))</f>
        <v>1.2</v>
      </c>
      <c r="AA225">
        <f ca="1">IF(AND(ISNUMBER($AA$526),$B$294=1),$AA$526,HLOOKUP(INDIRECT(ADDRESS(2,COLUMN())),OFFSET($BN$2,0,0,ROW()-1,60),ROW()-1,FALSE))</f>
        <v>1.48</v>
      </c>
      <c r="AB225">
        <f ca="1">IF(AND(ISNUMBER($AB$526),$B$294=1),$AB$526,HLOOKUP(INDIRECT(ADDRESS(2,COLUMN())),OFFSET($BN$2,0,0,ROW()-1,60),ROW()-1,FALSE))</f>
        <v>1.47</v>
      </c>
      <c r="AC225">
        <f ca="1">IF(AND(ISNUMBER($AC$526),$B$294=1),$AC$526,HLOOKUP(INDIRECT(ADDRESS(2,COLUMN())),OFFSET($BN$2,0,0,ROW()-1,60),ROW()-1,FALSE))</f>
        <v>1.48</v>
      </c>
      <c r="AD225">
        <f ca="1">IF(AND(ISNUMBER($AD$526),$B$294=1),$AD$526,HLOOKUP(INDIRECT(ADDRESS(2,COLUMN())),OFFSET($BN$2,0,0,ROW()-1,60),ROW()-1,FALSE))</f>
        <v>1.33</v>
      </c>
      <c r="AE225">
        <f ca="1">IF(AND(ISNUMBER($AE$526),$B$294=1),$AE$526,HLOOKUP(INDIRECT(ADDRESS(2,COLUMN())),OFFSET($BN$2,0,0,ROW()-1,60),ROW()-1,FALSE))</f>
        <v>1.46</v>
      </c>
      <c r="AF225">
        <f ca="1">IF(AND(ISNUMBER($AF$526),$B$294=1),$AF$526,HLOOKUP(INDIRECT(ADDRESS(2,COLUMN())),OFFSET($BN$2,0,0,ROW()-1,60),ROW()-1,FALSE))</f>
        <v>1.45</v>
      </c>
      <c r="AG225">
        <f ca="1">IF(AND(ISNUMBER($AG$526),$B$294=1),$AG$526,HLOOKUP(INDIRECT(ADDRESS(2,COLUMN())),OFFSET($BN$2,0,0,ROW()-1,60),ROW()-1,FALSE))</f>
        <v>1.4</v>
      </c>
      <c r="AH225">
        <f ca="1">IF(AND(ISNUMBER($AH$526),$B$294=1),$AH$526,HLOOKUP(INDIRECT(ADDRESS(2,COLUMN())),OFFSET($BN$2,0,0,ROW()-1,60),ROW()-1,FALSE))</f>
        <v>1.3</v>
      </c>
      <c r="AI225">
        <f ca="1">IF(AND(ISNUMBER($AI$526),$B$294=1),$AI$526,HLOOKUP(INDIRECT(ADDRESS(2,COLUMN())),OFFSET($BN$2,0,0,ROW()-1,60),ROW()-1,FALSE))</f>
        <v>1.29</v>
      </c>
      <c r="AJ225">
        <f ca="1">IF(AND(ISNUMBER($AJ$526),$B$294=1),$AJ$526,HLOOKUP(INDIRECT(ADDRESS(2,COLUMN())),OFFSET($BN$2,0,0,ROW()-1,60),ROW()-1,FALSE))</f>
        <v>1.49</v>
      </c>
      <c r="AK225">
        <f ca="1">IF(AND(ISNUMBER($AK$526),$B$294=1),$AK$526,HLOOKUP(INDIRECT(ADDRESS(2,COLUMN())),OFFSET($BN$2,0,0,ROW()-1,60),ROW()-1,FALSE))</f>
        <v>1.51</v>
      </c>
      <c r="AL225">
        <f ca="1">IF(AND(ISNUMBER($AL$526),$B$294=1),$AL$526,HLOOKUP(INDIRECT(ADDRESS(2,COLUMN())),OFFSET($BN$2,0,0,ROW()-1,60),ROW()-1,FALSE))</f>
        <v>1.47</v>
      </c>
      <c r="AM225">
        <f ca="1">IF(AND(ISNUMBER($AM$526),$B$294=1),$AM$526,HLOOKUP(INDIRECT(ADDRESS(2,COLUMN())),OFFSET($BN$2,0,0,ROW()-1,60),ROW()-1,FALSE))</f>
        <v>1.51</v>
      </c>
      <c r="AN225">
        <f ca="1">IF(AND(ISNUMBER($AN$526),$B$294=1),$AN$526,HLOOKUP(INDIRECT(ADDRESS(2,COLUMN())),OFFSET($BN$2,0,0,ROW()-1,60),ROW()-1,FALSE))</f>
        <v>1.66</v>
      </c>
      <c r="AO225">
        <f ca="1">IF(AND(ISNUMBER($AO$526),$B$294=1),$AO$526,HLOOKUP(INDIRECT(ADDRESS(2,COLUMN())),OFFSET($BN$2,0,0,ROW()-1,60),ROW()-1,FALSE))</f>
        <v>1.75</v>
      </c>
      <c r="AP225">
        <f ca="1">IF(AND(ISNUMBER($AP$526),$B$294=1),$AP$526,HLOOKUP(INDIRECT(ADDRESS(2,COLUMN())),OFFSET($BN$2,0,0,ROW()-1,60),ROW()-1,FALSE))</f>
        <v>1.42</v>
      </c>
      <c r="AQ225">
        <f ca="1">IF(AND(ISNUMBER($AQ$526),$B$294=1),$AQ$526,HLOOKUP(INDIRECT(ADDRESS(2,COLUMN())),OFFSET($BN$2,0,0,ROW()-1,60),ROW()-1,FALSE))</f>
        <v>1.86</v>
      </c>
      <c r="AR225">
        <f ca="1">IF(AND(ISNUMBER($AR$526),$B$294=1),$AR$526,HLOOKUP(INDIRECT(ADDRESS(2,COLUMN())),OFFSET($BN$2,0,0,ROW()-1,60),ROW()-1,FALSE))</f>
        <v>1.57</v>
      </c>
      <c r="AS225">
        <f ca="1">IF(AND(ISNUMBER($AS$526),$B$294=1),$AS$526,HLOOKUP(INDIRECT(ADDRESS(2,COLUMN())),OFFSET($BN$2,0,0,ROW()-1,60),ROW()-1,FALSE))</f>
        <v>2.11</v>
      </c>
      <c r="AT225">
        <f ca="1">IF(AND(ISNUMBER($AT$526),$B$294=1),$AT$526,HLOOKUP(INDIRECT(ADDRESS(2,COLUMN())),OFFSET($BN$2,0,0,ROW()-1,60),ROW()-1,FALSE))</f>
        <v>2.23</v>
      </c>
      <c r="AU225">
        <f ca="1">IF(AND(ISNUMBER($AU$526),$B$294=1),$AU$526,HLOOKUP(INDIRECT(ADDRESS(2,COLUMN())),OFFSET($BN$2,0,0,ROW()-1,60),ROW()-1,FALSE))</f>
        <v>1.85</v>
      </c>
      <c r="AV225">
        <f ca="1">IF(AND(ISNUMBER($AV$526),$B$294=1),$AV$526,HLOOKUP(INDIRECT(ADDRESS(2,COLUMN())),OFFSET($BN$2,0,0,ROW()-1,60),ROW()-1,FALSE))</f>
        <v>4.5</v>
      </c>
      <c r="AW225">
        <f ca="1">IF(AND(ISNUMBER($AW$526),$B$294=1),$AW$526,HLOOKUP(INDIRECT(ADDRESS(2,COLUMN())),OFFSET($BN$2,0,0,ROW()-1,60),ROW()-1,FALSE))</f>
        <v>2.0099999999999998</v>
      </c>
      <c r="AX225">
        <f ca="1">IF(AND(ISNUMBER($AX$526),$B$294=1),$AX$526,HLOOKUP(INDIRECT(ADDRESS(2,COLUMN())),OFFSET($BN$2,0,0,ROW()-1,60),ROW()-1,FALSE))</f>
        <v>11.65</v>
      </c>
      <c r="AY225">
        <f ca="1">IF(AND(ISNUMBER($AY$526),$B$294=1),$AY$526,HLOOKUP(INDIRECT(ADDRESS(2,COLUMN())),OFFSET($BN$2,0,0,ROW()-1,60),ROW()-1,FALSE))</f>
        <v>1.98</v>
      </c>
      <c r="AZ225">
        <f ca="1">IF(AND(ISNUMBER($AZ$526),$B$294=1),$AZ$526,HLOOKUP(INDIRECT(ADDRESS(2,COLUMN())),OFFSET($BN$2,0,0,ROW()-1,60),ROW()-1,FALSE))</f>
        <v>2.42</v>
      </c>
      <c r="BA225">
        <f ca="1">IF(AND(ISNUMBER($BA$526),$B$294=1),$BA$526,HLOOKUP(INDIRECT(ADDRESS(2,COLUMN())),OFFSET($BN$2,0,0,ROW()-1,60),ROW()-1,FALSE))</f>
        <v>4.785762289</v>
      </c>
      <c r="BB225">
        <f ca="1">IF(AND(ISNUMBER($BB$526),$B$294=1),$BB$526,HLOOKUP(INDIRECT(ADDRESS(2,COLUMN())),OFFSET($BN$2,0,0,ROW()-1,60),ROW()-1,FALSE))</f>
        <v>1.98</v>
      </c>
      <c r="BC225">
        <f ca="1">IF(AND(ISNUMBER($BC$526),$B$294=1),$BC$526,HLOOKUP(INDIRECT(ADDRESS(2,COLUMN())),OFFSET($BN$2,0,0,ROW()-1,60),ROW()-1,FALSE))</f>
        <v>3.2699003520000001</v>
      </c>
      <c r="BD225">
        <f ca="1">IF(AND(ISNUMBER($BD$526),$B$294=1),$BD$526,HLOOKUP(INDIRECT(ADDRESS(2,COLUMN())),OFFSET($BN$2,0,0,ROW()-1,60),ROW()-1,FALSE))</f>
        <v>3.091272123</v>
      </c>
      <c r="BE225" t="str">
        <f ca="1">IF(AND(ISNUMBER($BE$526),$B$294=1),$BE$526,HLOOKUP(INDIRECT(ADDRESS(2,COLUMN())),OFFSET($BN$2,0,0,ROW()-1,60),ROW()-1,FALSE))</f>
        <v/>
      </c>
      <c r="BF225" t="str">
        <f ca="1">IF(AND(ISNUMBER($BF$526),$B$294=1),$BF$526,HLOOKUP(INDIRECT(ADDRESS(2,COLUMN())),OFFSET($BN$2,0,0,ROW()-1,60),ROW()-1,FALSE))</f>
        <v/>
      </c>
      <c r="BG225" t="str">
        <f ca="1">IF(AND(ISNUMBER($BG$526),$B$294=1),$BG$526,HLOOKUP(INDIRECT(ADDRESS(2,COLUMN())),OFFSET($BN$2,0,0,ROW()-1,60),ROW()-1,FALSE))</f>
        <v/>
      </c>
      <c r="BH225" t="str">
        <f ca="1">IF(AND(ISNUMBER($BH$526),$B$294=1),$BH$526,HLOOKUP(INDIRECT(ADDRESS(2,COLUMN())),OFFSET($BN$2,0,0,ROW()-1,60),ROW()-1,FALSE))</f>
        <v/>
      </c>
      <c r="BI225" t="str">
        <f ca="1">IF(AND(ISNUMBER($BI$526),$B$294=1),$BI$526,HLOOKUP(INDIRECT(ADDRESS(2,COLUMN())),OFFSET($BN$2,0,0,ROW()-1,60),ROW()-1,FALSE))</f>
        <v/>
      </c>
      <c r="BJ225" t="str">
        <f ca="1">IF(AND(ISNUMBER($BJ$526),$B$294=1),$BJ$526,HLOOKUP(INDIRECT(ADDRESS(2,COLUMN())),OFFSET($BN$2,0,0,ROW()-1,60),ROW()-1,FALSE))</f>
        <v/>
      </c>
      <c r="BK225" t="str">
        <f ca="1">IF(AND(ISNUMBER($BK$526),$B$294=1),$BK$526,HLOOKUP(INDIRECT(ADDRESS(2,COLUMN())),OFFSET($BN$2,0,0,ROW()-1,60),ROW()-1,FALSE))</f>
        <v/>
      </c>
      <c r="BL225" t="str">
        <f ca="1">IF(AND(ISNUMBER($BL$526),$B$294=1),$BL$526,HLOOKUP(INDIRECT(ADDRESS(2,COLUMN())),OFFSET($BN$2,0,0,ROW()-1,60),ROW()-1,FALSE))</f>
        <v/>
      </c>
      <c r="BM225" t="str">
        <f ca="1">IF(AND(ISNUMBER($BM$526),$B$294=1),$BM$526,HLOOKUP(INDIRECT(ADDRESS(2,COLUMN())),OFFSET($BN$2,0,0,ROW()-1,60),ROW()-1,FALSE))</f>
        <v/>
      </c>
      <c r="BN225" t="str">
        <f>""</f>
        <v/>
      </c>
      <c r="BO225">
        <f>2.11</f>
        <v>2.11</v>
      </c>
      <c r="BP225">
        <f>2.12</f>
        <v>2.12</v>
      </c>
      <c r="BQ225">
        <f>2.09</f>
        <v>2.09</v>
      </c>
      <c r="BR225">
        <f>1.88</f>
        <v>1.88</v>
      </c>
      <c r="BS225">
        <f>2.01</f>
        <v>2.0099999999999998</v>
      </c>
      <c r="BT225">
        <f>2.04</f>
        <v>2.04</v>
      </c>
      <c r="BU225">
        <f>2.33</f>
        <v>2.33</v>
      </c>
      <c r="BV225">
        <f>2.8</f>
        <v>2.8</v>
      </c>
      <c r="BW225">
        <f>2.53</f>
        <v>2.5299999999999998</v>
      </c>
      <c r="BX225">
        <f>2.6</f>
        <v>2.6</v>
      </c>
      <c r="BY225">
        <f>2.12</f>
        <v>2.12</v>
      </c>
      <c r="BZ225">
        <f>2.52</f>
        <v>2.52</v>
      </c>
      <c r="CA225">
        <f>1.87</f>
        <v>1.87</v>
      </c>
      <c r="CB225">
        <f>1.6</f>
        <v>1.6</v>
      </c>
      <c r="CC225">
        <f>0.13</f>
        <v>0.13</v>
      </c>
      <c r="CD225">
        <f>1.32</f>
        <v>1.32</v>
      </c>
      <c r="CE225">
        <f>1.35</f>
        <v>1.35</v>
      </c>
      <c r="CF225">
        <f>1.33</f>
        <v>1.33</v>
      </c>
      <c r="CG225">
        <f>1.33</f>
        <v>1.33</v>
      </c>
      <c r="CH225">
        <f>1.2</f>
        <v>1.2</v>
      </c>
      <c r="CI225">
        <f>1.48</f>
        <v>1.48</v>
      </c>
      <c r="CJ225">
        <f>1.47</f>
        <v>1.47</v>
      </c>
      <c r="CK225">
        <f>1.48</f>
        <v>1.48</v>
      </c>
      <c r="CL225">
        <f>1.33</f>
        <v>1.33</v>
      </c>
      <c r="CM225">
        <f>1.46</f>
        <v>1.46</v>
      </c>
      <c r="CN225">
        <f>1.45</f>
        <v>1.45</v>
      </c>
      <c r="CO225">
        <f>1.4</f>
        <v>1.4</v>
      </c>
      <c r="CP225">
        <f>1.3</f>
        <v>1.3</v>
      </c>
      <c r="CQ225">
        <f>1.29</f>
        <v>1.29</v>
      </c>
      <c r="CR225">
        <f>1.49</f>
        <v>1.49</v>
      </c>
      <c r="CS225">
        <f>1.51</f>
        <v>1.51</v>
      </c>
      <c r="CT225">
        <f>1.47</f>
        <v>1.47</v>
      </c>
      <c r="CU225">
        <f>1.51</f>
        <v>1.51</v>
      </c>
      <c r="CV225">
        <f>1.66</f>
        <v>1.66</v>
      </c>
      <c r="CW225">
        <f>1.75</f>
        <v>1.75</v>
      </c>
      <c r="CX225">
        <f>1.42</f>
        <v>1.42</v>
      </c>
      <c r="CY225">
        <f>1.86</f>
        <v>1.86</v>
      </c>
      <c r="CZ225">
        <f>1.57</f>
        <v>1.57</v>
      </c>
      <c r="DA225">
        <f>2.11</f>
        <v>2.11</v>
      </c>
      <c r="DB225">
        <f>2.23</f>
        <v>2.23</v>
      </c>
      <c r="DC225">
        <f>1.85</f>
        <v>1.85</v>
      </c>
      <c r="DD225">
        <f>4.5</f>
        <v>4.5</v>
      </c>
      <c r="DE225">
        <f>2.01</f>
        <v>2.0099999999999998</v>
      </c>
      <c r="DF225">
        <f>11.65</f>
        <v>11.65</v>
      </c>
      <c r="DG225">
        <f>1.98</f>
        <v>1.98</v>
      </c>
      <c r="DH225">
        <f>2.42</f>
        <v>2.42</v>
      </c>
      <c r="DI225">
        <f>4.785762289</f>
        <v>4.785762289</v>
      </c>
      <c r="DJ225">
        <f>1.98</f>
        <v>1.98</v>
      </c>
      <c r="DK225">
        <f>3.269900352</f>
        <v>3.2699003520000001</v>
      </c>
      <c r="DL225">
        <f>3.091272123</f>
        <v>3.091272123</v>
      </c>
      <c r="DM225" t="str">
        <f>""</f>
        <v/>
      </c>
      <c r="DN225" t="str">
        <f>""</f>
        <v/>
      </c>
      <c r="DO225" t="str">
        <f>""</f>
        <v/>
      </c>
      <c r="DP225" t="str">
        <f>""</f>
        <v/>
      </c>
      <c r="DQ225" t="str">
        <f>""</f>
        <v/>
      </c>
      <c r="DR225" t="str">
        <f>""</f>
        <v/>
      </c>
      <c r="DS225" t="str">
        <f>""</f>
        <v/>
      </c>
      <c r="DT225" t="str">
        <f>""</f>
        <v/>
      </c>
      <c r="DU225" t="str">
        <f>""</f>
        <v/>
      </c>
    </row>
    <row r="226" spans="1:125">
      <c r="A226" t="str">
        <f>"    Brandywine Realty Trust"</f>
        <v xml:space="preserve">    Brandywine Realty Trust</v>
      </c>
      <c r="B226" t="str">
        <f>"BDN US Equity"</f>
        <v>BDN US Equity</v>
      </c>
      <c r="C226" t="str">
        <f t="shared" si="60"/>
        <v>F1023</v>
      </c>
      <c r="D226" t="str">
        <f t="shared" si="61"/>
        <v>FIXED_CHARGE_COVERAGE_RATIO</v>
      </c>
      <c r="E226" t="str">
        <f t="shared" si="62"/>
        <v>动态</v>
      </c>
      <c r="F226" t="str">
        <f ca="1">IF(AND(ISNUMBER($F$527),$B$294=1),$F$527,HLOOKUP(INDIRECT(ADDRESS(2,COLUMN())),OFFSET($BN$2,0,0,ROW()-1,60),ROW()-1,FALSE))</f>
        <v/>
      </c>
      <c r="G226">
        <f ca="1">IF(AND(ISNUMBER($G$527),$B$294=1),$G$527,HLOOKUP(INDIRECT(ADDRESS(2,COLUMN())),OFFSET($BN$2,0,0,ROW()-1,60),ROW()-1,FALSE))</f>
        <v>3.2</v>
      </c>
      <c r="H226">
        <f ca="1">IF(AND(ISNUMBER($H$527),$B$294=1),$H$527,HLOOKUP(INDIRECT(ADDRESS(2,COLUMN())),OFFSET($BN$2,0,0,ROW()-1,60),ROW()-1,FALSE))</f>
        <v>3.2</v>
      </c>
      <c r="I226">
        <f ca="1">IF(AND(ISNUMBER($I$527),$B$294=1),$I$527,HLOOKUP(INDIRECT(ADDRESS(2,COLUMN())),OFFSET($BN$2,0,0,ROW()-1,60),ROW()-1,FALSE))</f>
        <v>3.2</v>
      </c>
      <c r="J226">
        <f ca="1">IF(AND(ISNUMBER($J$527),$B$294=1),$J$527,HLOOKUP(INDIRECT(ADDRESS(2,COLUMN())),OFFSET($BN$2,0,0,ROW()-1,60),ROW()-1,FALSE))</f>
        <v>2.9</v>
      </c>
      <c r="K226">
        <f ca="1">IF(AND(ISNUMBER($K$527),$B$294=1),$K$527,HLOOKUP(INDIRECT(ADDRESS(2,COLUMN())),OFFSET($BN$2,0,0,ROW()-1,60),ROW()-1,FALSE))</f>
        <v>2.9</v>
      </c>
      <c r="L226">
        <f ca="1">IF(AND(ISNUMBER($L$527),$B$294=1),$L$527,HLOOKUP(INDIRECT(ADDRESS(2,COLUMN())),OFFSET($BN$2,0,0,ROW()-1,60),ROW()-1,FALSE))</f>
        <v>2.9</v>
      </c>
      <c r="M226">
        <f ca="1">IF(AND(ISNUMBER($M$527),$B$294=1),$M$527,HLOOKUP(INDIRECT(ADDRESS(2,COLUMN())),OFFSET($BN$2,0,0,ROW()-1,60),ROW()-1,FALSE))</f>
        <v>3</v>
      </c>
      <c r="N226">
        <f ca="1">IF(AND(ISNUMBER($N$527),$B$294=1),$N$527,HLOOKUP(INDIRECT(ADDRESS(2,COLUMN())),OFFSET($BN$2,0,0,ROW()-1,60),ROW()-1,FALSE))</f>
        <v>2.7</v>
      </c>
      <c r="O226">
        <f ca="1">IF(AND(ISNUMBER($O$527),$B$294=1),$O$527,HLOOKUP(INDIRECT(ADDRESS(2,COLUMN())),OFFSET($BN$2,0,0,ROW()-1,60),ROW()-1,FALSE))</f>
        <v>2.7</v>
      </c>
      <c r="P226">
        <f ca="1">IF(AND(ISNUMBER($P$527),$B$294=1),$P$527,HLOOKUP(INDIRECT(ADDRESS(2,COLUMN())),OFFSET($BN$2,0,0,ROW()-1,60),ROW()-1,FALSE))</f>
        <v>2.6</v>
      </c>
      <c r="Q226">
        <f ca="1">IF(AND(ISNUMBER($Q$527),$B$294=1),$Q$527,HLOOKUP(INDIRECT(ADDRESS(2,COLUMN())),OFFSET($BN$2,0,0,ROW()-1,60),ROW()-1,FALSE))</f>
        <v>2.5</v>
      </c>
      <c r="R226">
        <f ca="1">IF(AND(ISNUMBER($R$527),$B$294=1),$R$527,HLOOKUP(INDIRECT(ADDRESS(2,COLUMN())),OFFSET($BN$2,0,0,ROW()-1,60),ROW()-1,FALSE))</f>
        <v>2.5</v>
      </c>
      <c r="S226">
        <f ca="1">IF(AND(ISNUMBER($S$527),$B$294=1),$S$527,HLOOKUP(INDIRECT(ADDRESS(2,COLUMN())),OFFSET($BN$2,0,0,ROW()-1,60),ROW()-1,FALSE))</f>
        <v>2.4</v>
      </c>
      <c r="T226">
        <f ca="1">IF(AND(ISNUMBER($T$527),$B$294=1),$T$527,HLOOKUP(INDIRECT(ADDRESS(2,COLUMN())),OFFSET($BN$2,0,0,ROW()-1,60),ROW()-1,FALSE))</f>
        <v>2.2999999999999998</v>
      </c>
      <c r="U226">
        <f ca="1">IF(AND(ISNUMBER($U$527),$B$294=1),$U$527,HLOOKUP(INDIRECT(ADDRESS(2,COLUMN())),OFFSET($BN$2,0,0,ROW()-1,60),ROW()-1,FALSE))</f>
        <v>2.4</v>
      </c>
      <c r="V226">
        <f ca="1">IF(AND(ISNUMBER($V$527),$B$294=1),$V$527,HLOOKUP(INDIRECT(ADDRESS(2,COLUMN())),OFFSET($BN$2,0,0,ROW()-1,60),ROW()-1,FALSE))</f>
        <v>2.2999999999999998</v>
      </c>
      <c r="W226">
        <f ca="1">IF(AND(ISNUMBER($W$527),$B$294=1),$W$527,HLOOKUP(INDIRECT(ADDRESS(2,COLUMN())),OFFSET($BN$2,0,0,ROW()-1,60),ROW()-1,FALSE))</f>
        <v>2.6048474719999999</v>
      </c>
      <c r="X226">
        <f ca="1">IF(AND(ISNUMBER($X$527),$B$294=1),$X$527,HLOOKUP(INDIRECT(ADDRESS(2,COLUMN())),OFFSET($BN$2,0,0,ROW()-1,60),ROW()-1,FALSE))</f>
        <v>2.4</v>
      </c>
      <c r="Y226">
        <f ca="1">IF(AND(ISNUMBER($Y$527),$B$294=1),$Y$527,HLOOKUP(INDIRECT(ADDRESS(2,COLUMN())),OFFSET($BN$2,0,0,ROW()-1,60),ROW()-1,FALSE))</f>
        <v>2.2999999999999998</v>
      </c>
      <c r="Z226">
        <f ca="1">IF(AND(ISNUMBER($Z$527),$B$294=1),$Z$527,HLOOKUP(INDIRECT(ADDRESS(2,COLUMN())),OFFSET($BN$2,0,0,ROW()-1,60),ROW()-1,FALSE))</f>
        <v>2.2999999999999998</v>
      </c>
      <c r="AA226">
        <f ca="1">IF(AND(ISNUMBER($AA$527),$B$294=1),$AA$527,HLOOKUP(INDIRECT(ADDRESS(2,COLUMN())),OFFSET($BN$2,0,0,ROW()-1,60),ROW()-1,FALSE))</f>
        <v>2.1</v>
      </c>
      <c r="AB226">
        <f ca="1">IF(AND(ISNUMBER($AB$527),$B$294=1),$AB$527,HLOOKUP(INDIRECT(ADDRESS(2,COLUMN())),OFFSET($BN$2,0,0,ROW()-1,60),ROW()-1,FALSE))</f>
        <v>2</v>
      </c>
      <c r="AC226">
        <f ca="1">IF(AND(ISNUMBER($AC$527),$B$294=1),$AC$527,HLOOKUP(INDIRECT(ADDRESS(2,COLUMN())),OFFSET($BN$2,0,0,ROW()-1,60),ROW()-1,FALSE))</f>
        <v>2.1</v>
      </c>
      <c r="AD226">
        <f ca="1">IF(AND(ISNUMBER($AD$527),$B$294=1),$AD$527,HLOOKUP(INDIRECT(ADDRESS(2,COLUMN())),OFFSET($BN$2,0,0,ROW()-1,60),ROW()-1,FALSE))</f>
        <v>2.1</v>
      </c>
      <c r="AE226">
        <f ca="1">IF(AND(ISNUMBER($AE$527),$B$294=1),$AE$527,HLOOKUP(INDIRECT(ADDRESS(2,COLUMN())),OFFSET($BN$2,0,0,ROW()-1,60),ROW()-1,FALSE))</f>
        <v>2.1</v>
      </c>
      <c r="AF226">
        <f ca="1">IF(AND(ISNUMBER($AF$527),$B$294=1),$AF$527,HLOOKUP(INDIRECT(ADDRESS(2,COLUMN())),OFFSET($BN$2,0,0,ROW()-1,60),ROW()-1,FALSE))</f>
        <v>2.2000000000000002</v>
      </c>
      <c r="AG226">
        <f ca="1">IF(AND(ISNUMBER($AG$527),$B$294=1),$AG$527,HLOOKUP(INDIRECT(ADDRESS(2,COLUMN())),OFFSET($BN$2,0,0,ROW()-1,60),ROW()-1,FALSE))</f>
        <v>2.1</v>
      </c>
      <c r="AH226">
        <f ca="1">IF(AND(ISNUMBER($AH$527),$B$294=1),$AH$527,HLOOKUP(INDIRECT(ADDRESS(2,COLUMN())),OFFSET($BN$2,0,0,ROW()-1,60),ROW()-1,FALSE))</f>
        <v>2.1</v>
      </c>
      <c r="AI226">
        <f ca="1">IF(AND(ISNUMBER($AI$527),$B$294=1),$AI$527,HLOOKUP(INDIRECT(ADDRESS(2,COLUMN())),OFFSET($BN$2,0,0,ROW()-1,60),ROW()-1,FALSE))</f>
        <v>2</v>
      </c>
      <c r="AJ226">
        <f ca="1">IF(AND(ISNUMBER($AJ$527),$B$294=1),$AJ$527,HLOOKUP(INDIRECT(ADDRESS(2,COLUMN())),OFFSET($BN$2,0,0,ROW()-1,60),ROW()-1,FALSE))</f>
        <v>2</v>
      </c>
      <c r="AK226">
        <f ca="1">IF(AND(ISNUMBER($AK$527),$B$294=1),$AK$527,HLOOKUP(INDIRECT(ADDRESS(2,COLUMN())),OFFSET($BN$2,0,0,ROW()-1,60),ROW()-1,FALSE))</f>
        <v>2.2000000000000002</v>
      </c>
      <c r="AL226">
        <f ca="1">IF(AND(ISNUMBER($AL$527),$B$294=1),$AL$527,HLOOKUP(INDIRECT(ADDRESS(2,COLUMN())),OFFSET($BN$2,0,0,ROW()-1,60),ROW()-1,FALSE))</f>
        <v>2.2000000000000002</v>
      </c>
      <c r="AM226">
        <f ca="1">IF(AND(ISNUMBER($AM$527),$B$294=1),$AM$527,HLOOKUP(INDIRECT(ADDRESS(2,COLUMN())),OFFSET($BN$2,0,0,ROW()-1,60),ROW()-1,FALSE))</f>
        <v>2.1</v>
      </c>
      <c r="AN226">
        <f ca="1">IF(AND(ISNUMBER($AN$527),$B$294=1),$AN$527,HLOOKUP(INDIRECT(ADDRESS(2,COLUMN())),OFFSET($BN$2,0,0,ROW()-1,60),ROW()-1,FALSE))</f>
        <v>2.5</v>
      </c>
      <c r="AO226">
        <f ca="1">IF(AND(ISNUMBER($AO$527),$B$294=1),$AO$527,HLOOKUP(INDIRECT(ADDRESS(2,COLUMN())),OFFSET($BN$2,0,0,ROW()-1,60),ROW()-1,FALSE))</f>
        <v>2.4</v>
      </c>
      <c r="AP226">
        <f ca="1">IF(AND(ISNUMBER($AP$527),$B$294=1),$AP$527,HLOOKUP(INDIRECT(ADDRESS(2,COLUMN())),OFFSET($BN$2,0,0,ROW()-1,60),ROW()-1,FALSE))</f>
        <v>2.2000000000000002</v>
      </c>
      <c r="AQ226">
        <f ca="1">IF(AND(ISNUMBER($AQ$527),$B$294=1),$AQ$527,HLOOKUP(INDIRECT(ADDRESS(2,COLUMN())),OFFSET($BN$2,0,0,ROW()-1,60),ROW()-1,FALSE))</f>
        <v>2.5</v>
      </c>
      <c r="AR226">
        <f ca="1">IF(AND(ISNUMBER($AR$527),$B$294=1),$AR$527,HLOOKUP(INDIRECT(ADDRESS(2,COLUMN())),OFFSET($BN$2,0,0,ROW()-1,60),ROW()-1,FALSE))</f>
        <v>2.2000000000000002</v>
      </c>
      <c r="AS226">
        <f ca="1">IF(AND(ISNUMBER($AS$527),$B$294=1),$AS$527,HLOOKUP(INDIRECT(ADDRESS(2,COLUMN())),OFFSET($BN$2,0,0,ROW()-1,60),ROW()-1,FALSE))</f>
        <v>2.2999999999999998</v>
      </c>
      <c r="AT226">
        <f ca="1">IF(AND(ISNUMBER($AT$527),$B$294=1),$AT$527,HLOOKUP(INDIRECT(ADDRESS(2,COLUMN())),OFFSET($BN$2,0,0,ROW()-1,60),ROW()-1,FALSE))</f>
        <v>2.4</v>
      </c>
      <c r="AU226">
        <f ca="1">IF(AND(ISNUMBER($AU$527),$B$294=1),$AU$527,HLOOKUP(INDIRECT(ADDRESS(2,COLUMN())),OFFSET($BN$2,0,0,ROW()-1,60),ROW()-1,FALSE))</f>
        <v>2.1</v>
      </c>
      <c r="AV226">
        <f ca="1">IF(AND(ISNUMBER($AV$527),$B$294=1),$AV$527,HLOOKUP(INDIRECT(ADDRESS(2,COLUMN())),OFFSET($BN$2,0,0,ROW()-1,60),ROW()-1,FALSE))</f>
        <v>2.2999999999999998</v>
      </c>
      <c r="AW226">
        <f ca="1">IF(AND(ISNUMBER($AW$527),$B$294=1),$AW$527,HLOOKUP(INDIRECT(ADDRESS(2,COLUMN())),OFFSET($BN$2,0,0,ROW()-1,60),ROW()-1,FALSE))</f>
        <v>2.2000000000000002</v>
      </c>
      <c r="AX226">
        <f ca="1">IF(AND(ISNUMBER($AX$527),$B$294=1),$AX$527,HLOOKUP(INDIRECT(ADDRESS(2,COLUMN())),OFFSET($BN$2,0,0,ROW()-1,60),ROW()-1,FALSE))</f>
        <v>2.2000000000000002</v>
      </c>
      <c r="AY226" t="str">
        <f ca="1">IF(AND(ISNUMBER($AY$527),$B$294=1),$AY$527,HLOOKUP(INDIRECT(ADDRESS(2,COLUMN())),OFFSET($BN$2,0,0,ROW()-1,60),ROW()-1,FALSE))</f>
        <v/>
      </c>
      <c r="AZ226">
        <f ca="1">IF(AND(ISNUMBER($AZ$527),$B$294=1),$AZ$527,HLOOKUP(INDIRECT(ADDRESS(2,COLUMN())),OFFSET($BN$2,0,0,ROW()-1,60),ROW()-1,FALSE))</f>
        <v>1.875396603</v>
      </c>
      <c r="BA226">
        <f ca="1">IF(AND(ISNUMBER($BA$527),$B$294=1),$BA$527,HLOOKUP(INDIRECT(ADDRESS(2,COLUMN())),OFFSET($BN$2,0,0,ROW()-1,60),ROW()-1,FALSE))</f>
        <v>2.0328109990000001</v>
      </c>
      <c r="BB226">
        <f ca="1">IF(AND(ISNUMBER($BB$527),$B$294=1),$BB$527,HLOOKUP(INDIRECT(ADDRESS(2,COLUMN())),OFFSET($BN$2,0,0,ROW()-1,60),ROW()-1,FALSE))</f>
        <v>2.190546415</v>
      </c>
      <c r="BC226">
        <f ca="1">IF(AND(ISNUMBER($BC$527),$B$294=1),$BC$527,HLOOKUP(INDIRECT(ADDRESS(2,COLUMN())),OFFSET($BN$2,0,0,ROW()-1,60),ROW()-1,FALSE))</f>
        <v>2.4135467240000001</v>
      </c>
      <c r="BD226">
        <f ca="1">IF(AND(ISNUMBER($BD$527),$B$294=1),$BD$527,HLOOKUP(INDIRECT(ADDRESS(2,COLUMN())),OFFSET($BN$2,0,0,ROW()-1,60),ROW()-1,FALSE))</f>
        <v>2.658378237</v>
      </c>
      <c r="BE226">
        <f ca="1">IF(AND(ISNUMBER($BE$527),$B$294=1),$BE$527,HLOOKUP(INDIRECT(ADDRESS(2,COLUMN())),OFFSET($BN$2,0,0,ROW()-1,60),ROW()-1,FALSE))</f>
        <v>2.328196325</v>
      </c>
      <c r="BF226" t="str">
        <f ca="1">IF(AND(ISNUMBER($BF$527),$B$294=1),$BF$527,HLOOKUP(INDIRECT(ADDRESS(2,COLUMN())),OFFSET($BN$2,0,0,ROW()-1,60),ROW()-1,FALSE))</f>
        <v/>
      </c>
      <c r="BG226" t="str">
        <f ca="1">IF(AND(ISNUMBER($BG$527),$B$294=1),$BG$527,HLOOKUP(INDIRECT(ADDRESS(2,COLUMN())),OFFSET($BN$2,0,0,ROW()-1,60),ROW()-1,FALSE))</f>
        <v/>
      </c>
      <c r="BH226" t="str">
        <f ca="1">IF(AND(ISNUMBER($BH$527),$B$294=1),$BH$527,HLOOKUP(INDIRECT(ADDRESS(2,COLUMN())),OFFSET($BN$2,0,0,ROW()-1,60),ROW()-1,FALSE))</f>
        <v/>
      </c>
      <c r="BI226" t="str">
        <f ca="1">IF(AND(ISNUMBER($BI$527),$B$294=1),$BI$527,HLOOKUP(INDIRECT(ADDRESS(2,COLUMN())),OFFSET($BN$2,0,0,ROW()-1,60),ROW()-1,FALSE))</f>
        <v/>
      </c>
      <c r="BJ226" t="str">
        <f ca="1">IF(AND(ISNUMBER($BJ$527),$B$294=1),$BJ$527,HLOOKUP(INDIRECT(ADDRESS(2,COLUMN())),OFFSET($BN$2,0,0,ROW()-1,60),ROW()-1,FALSE))</f>
        <v/>
      </c>
      <c r="BK226" t="str">
        <f ca="1">IF(AND(ISNUMBER($BK$527),$B$294=1),$BK$527,HLOOKUP(INDIRECT(ADDRESS(2,COLUMN())),OFFSET($BN$2,0,0,ROW()-1,60),ROW()-1,FALSE))</f>
        <v/>
      </c>
      <c r="BL226" t="str">
        <f ca="1">IF(AND(ISNUMBER($BL$527),$B$294=1),$BL$527,HLOOKUP(INDIRECT(ADDRESS(2,COLUMN())),OFFSET($BN$2,0,0,ROW()-1,60),ROW()-1,FALSE))</f>
        <v/>
      </c>
      <c r="BM226" t="str">
        <f ca="1">IF(AND(ISNUMBER($BM$527),$B$294=1),$BM$527,HLOOKUP(INDIRECT(ADDRESS(2,COLUMN())),OFFSET($BN$2,0,0,ROW()-1,60),ROW()-1,FALSE))</f>
        <v/>
      </c>
      <c r="BN226" t="str">
        <f>""</f>
        <v/>
      </c>
      <c r="BO226">
        <f>3.2</f>
        <v>3.2</v>
      </c>
      <c r="BP226">
        <f>3.2</f>
        <v>3.2</v>
      </c>
      <c r="BQ226">
        <f>3.2</f>
        <v>3.2</v>
      </c>
      <c r="BR226">
        <f>2.9</f>
        <v>2.9</v>
      </c>
      <c r="BS226">
        <f>2.9</f>
        <v>2.9</v>
      </c>
      <c r="BT226">
        <f>2.9</f>
        <v>2.9</v>
      </c>
      <c r="BU226">
        <f>3</f>
        <v>3</v>
      </c>
      <c r="BV226">
        <f>2.7</f>
        <v>2.7</v>
      </c>
      <c r="BW226">
        <f>2.7</f>
        <v>2.7</v>
      </c>
      <c r="BX226">
        <f>2.6</f>
        <v>2.6</v>
      </c>
      <c r="BY226">
        <f>2.5</f>
        <v>2.5</v>
      </c>
      <c r="BZ226">
        <f>2.5</f>
        <v>2.5</v>
      </c>
      <c r="CA226">
        <f>2.4</f>
        <v>2.4</v>
      </c>
      <c r="CB226">
        <f>2.3</f>
        <v>2.2999999999999998</v>
      </c>
      <c r="CC226">
        <f>2.4</f>
        <v>2.4</v>
      </c>
      <c r="CD226">
        <f>2.3</f>
        <v>2.2999999999999998</v>
      </c>
      <c r="CE226">
        <f>2.604847472</f>
        <v>2.6048474719999999</v>
      </c>
      <c r="CF226">
        <f>2.4</f>
        <v>2.4</v>
      </c>
      <c r="CG226">
        <f>2.3</f>
        <v>2.2999999999999998</v>
      </c>
      <c r="CH226">
        <f>2.3</f>
        <v>2.2999999999999998</v>
      </c>
      <c r="CI226">
        <f>2.1</f>
        <v>2.1</v>
      </c>
      <c r="CJ226">
        <f>2</f>
        <v>2</v>
      </c>
      <c r="CK226">
        <f>2.1</f>
        <v>2.1</v>
      </c>
      <c r="CL226">
        <f>2.1</f>
        <v>2.1</v>
      </c>
      <c r="CM226">
        <f>2.1</f>
        <v>2.1</v>
      </c>
      <c r="CN226">
        <f>2.2</f>
        <v>2.2000000000000002</v>
      </c>
      <c r="CO226">
        <f>2.1</f>
        <v>2.1</v>
      </c>
      <c r="CP226">
        <f>2.1</f>
        <v>2.1</v>
      </c>
      <c r="CQ226">
        <f>2</f>
        <v>2</v>
      </c>
      <c r="CR226">
        <f>2</f>
        <v>2</v>
      </c>
      <c r="CS226">
        <f>2.2</f>
        <v>2.2000000000000002</v>
      </c>
      <c r="CT226">
        <f>2.2</f>
        <v>2.2000000000000002</v>
      </c>
      <c r="CU226">
        <f>2.1</f>
        <v>2.1</v>
      </c>
      <c r="CV226">
        <f>2.5</f>
        <v>2.5</v>
      </c>
      <c r="CW226">
        <f>2.4</f>
        <v>2.4</v>
      </c>
      <c r="CX226">
        <f>2.2</f>
        <v>2.2000000000000002</v>
      </c>
      <c r="CY226">
        <f>2.5</f>
        <v>2.5</v>
      </c>
      <c r="CZ226">
        <f>2.2</f>
        <v>2.2000000000000002</v>
      </c>
      <c r="DA226">
        <f>2.3</f>
        <v>2.2999999999999998</v>
      </c>
      <c r="DB226">
        <f>2.4</f>
        <v>2.4</v>
      </c>
      <c r="DC226">
        <f>2.1</f>
        <v>2.1</v>
      </c>
      <c r="DD226">
        <f>2.3</f>
        <v>2.2999999999999998</v>
      </c>
      <c r="DE226">
        <f>2.2</f>
        <v>2.2000000000000002</v>
      </c>
      <c r="DF226">
        <f>2.2</f>
        <v>2.2000000000000002</v>
      </c>
      <c r="DG226" t="str">
        <f>""</f>
        <v/>
      </c>
      <c r="DH226">
        <f>1.875396603</f>
        <v>1.875396603</v>
      </c>
      <c r="DI226">
        <f>2.032810999</f>
        <v>2.0328109990000001</v>
      </c>
      <c r="DJ226">
        <f>2.190546415</f>
        <v>2.190546415</v>
      </c>
      <c r="DK226">
        <f>2.413546724</f>
        <v>2.4135467240000001</v>
      </c>
      <c r="DL226">
        <f>2.658378237</f>
        <v>2.658378237</v>
      </c>
      <c r="DM226">
        <f>2.328196325</f>
        <v>2.328196325</v>
      </c>
      <c r="DN226" t="str">
        <f>""</f>
        <v/>
      </c>
      <c r="DO226" t="str">
        <f>""</f>
        <v/>
      </c>
      <c r="DP226" t="str">
        <f>""</f>
        <v/>
      </c>
      <c r="DQ226" t="str">
        <f>""</f>
        <v/>
      </c>
      <c r="DR226" t="str">
        <f>""</f>
        <v/>
      </c>
      <c r="DS226" t="str">
        <f>""</f>
        <v/>
      </c>
      <c r="DT226" t="str">
        <f>""</f>
        <v/>
      </c>
      <c r="DU226" t="str">
        <f>""</f>
        <v/>
      </c>
    </row>
    <row r="227" spans="1:125">
      <c r="A227" t="str">
        <f>"    Columbia Property Trust Inc"</f>
        <v xml:space="preserve">    Columbia Property Trust Inc</v>
      </c>
      <c r="B227" t="str">
        <f>"CXP US Equity"</f>
        <v>CXP US Equity</v>
      </c>
      <c r="C227" t="str">
        <f t="shared" si="60"/>
        <v>F1023</v>
      </c>
      <c r="D227" t="str">
        <f t="shared" si="61"/>
        <v>FIXED_CHARGE_COVERAGE_RATIO</v>
      </c>
      <c r="E227" t="str">
        <f t="shared" si="62"/>
        <v>动态</v>
      </c>
      <c r="F227" t="str">
        <f ca="1">IF(AND(ISNUMBER($F$528),$B$294=1),$F$528,HLOOKUP(INDIRECT(ADDRESS(2,COLUMN())),OFFSET($BN$2,0,0,ROW()-1,60),ROW()-1,FALSE))</f>
        <v/>
      </c>
      <c r="G227">
        <f ca="1">IF(AND(ISNUMBER($G$528),$B$294=1),$G$528,HLOOKUP(INDIRECT(ADDRESS(2,COLUMN())),OFFSET($BN$2,0,0,ROW()-1,60),ROW()-1,FALSE))</f>
        <v>2.9234280259999998</v>
      </c>
      <c r="H227">
        <f ca="1">IF(AND(ISNUMBER($H$528),$B$294=1),$H$528,HLOOKUP(INDIRECT(ADDRESS(2,COLUMN())),OFFSET($BN$2,0,0,ROW()-1,60),ROW()-1,FALSE))</f>
        <v>3.1673725250000002</v>
      </c>
      <c r="I227">
        <f ca="1">IF(AND(ISNUMBER($I$528),$B$294=1),$I$528,HLOOKUP(INDIRECT(ADDRESS(2,COLUMN())),OFFSET($BN$2,0,0,ROW()-1,60),ROW()-1,FALSE))</f>
        <v>3.3765849879999998</v>
      </c>
      <c r="J227">
        <f ca="1">IF(AND(ISNUMBER($J$528),$B$294=1),$J$528,HLOOKUP(INDIRECT(ADDRESS(2,COLUMN())),OFFSET($BN$2,0,0,ROW()-1,60),ROW()-1,FALSE))</f>
        <v>3.669335308</v>
      </c>
      <c r="K227">
        <f ca="1">IF(AND(ISNUMBER($K$528),$B$294=1),$K$528,HLOOKUP(INDIRECT(ADDRESS(2,COLUMN())),OFFSET($BN$2,0,0,ROW()-1,60),ROW()-1,FALSE))</f>
        <v>3.8468251269999998</v>
      </c>
      <c r="L227">
        <f ca="1">IF(AND(ISNUMBER($L$528),$B$294=1),$L$528,HLOOKUP(INDIRECT(ADDRESS(2,COLUMN())),OFFSET($BN$2,0,0,ROW()-1,60),ROW()-1,FALSE))</f>
        <v>3.9352834149999998</v>
      </c>
      <c r="M227">
        <f ca="1">IF(AND(ISNUMBER($M$528),$B$294=1),$M$528,HLOOKUP(INDIRECT(ADDRESS(2,COLUMN())),OFFSET($BN$2,0,0,ROW()-1,60),ROW()-1,FALSE))</f>
        <v>4.1399559769999996</v>
      </c>
      <c r="N227">
        <f ca="1">IF(AND(ISNUMBER($N$528),$B$294=1),$N$528,HLOOKUP(INDIRECT(ADDRESS(2,COLUMN())),OFFSET($BN$2,0,0,ROW()-1,60),ROW()-1,FALSE))</f>
        <v>4.040044548</v>
      </c>
      <c r="O227">
        <f ca="1">IF(AND(ISNUMBER($O$528),$B$294=1),$O$528,HLOOKUP(INDIRECT(ADDRESS(2,COLUMN())),OFFSET($BN$2,0,0,ROW()-1,60),ROW()-1,FALSE))</f>
        <v>4.0204933409999999</v>
      </c>
      <c r="P227">
        <f ca="1">IF(AND(ISNUMBER($P$528),$B$294=1),$P$528,HLOOKUP(INDIRECT(ADDRESS(2,COLUMN())),OFFSET($BN$2,0,0,ROW()-1,60),ROW()-1,FALSE))</f>
        <v>4.6506534459999997</v>
      </c>
      <c r="Q227">
        <f ca="1">IF(AND(ISNUMBER($Q$528),$B$294=1),$Q$528,HLOOKUP(INDIRECT(ADDRESS(2,COLUMN())),OFFSET($BN$2,0,0,ROW()-1,60),ROW()-1,FALSE))</f>
        <v>4.783904315</v>
      </c>
      <c r="R227">
        <f ca="1">IF(AND(ISNUMBER($R$528),$B$294=1),$R$528,HLOOKUP(INDIRECT(ADDRESS(2,COLUMN())),OFFSET($BN$2,0,0,ROW()-1,60),ROW()-1,FALSE))</f>
        <v>4.9175379960000001</v>
      </c>
      <c r="S227">
        <f ca="1">IF(AND(ISNUMBER($S$528),$B$294=1),$S$528,HLOOKUP(INDIRECT(ADDRESS(2,COLUMN())),OFFSET($BN$2,0,0,ROW()-1,60),ROW()-1,FALSE))</f>
        <v>5.1268111640000003</v>
      </c>
      <c r="T227">
        <f ca="1">IF(AND(ISNUMBER($T$528),$B$294=1),$T$528,HLOOKUP(INDIRECT(ADDRESS(2,COLUMN())),OFFSET($BN$2,0,0,ROW()-1,60),ROW()-1,FALSE))</f>
        <v>4.2569982580000003</v>
      </c>
      <c r="U227">
        <f ca="1">IF(AND(ISNUMBER($U$528),$B$294=1),$U$528,HLOOKUP(INDIRECT(ADDRESS(2,COLUMN())),OFFSET($BN$2,0,0,ROW()-1,60),ROW()-1,FALSE))</f>
        <v>3.8957100589999998</v>
      </c>
      <c r="V227">
        <f ca="1">IF(AND(ISNUMBER($V$528),$B$294=1),$V$528,HLOOKUP(INDIRECT(ADDRESS(2,COLUMN())),OFFSET($BN$2,0,0,ROW()-1,60),ROW()-1,FALSE))</f>
        <v>3.7720797720000001</v>
      </c>
      <c r="W227">
        <f ca="1">IF(AND(ISNUMBER($W$528),$B$294=1),$W$528,HLOOKUP(INDIRECT(ADDRESS(2,COLUMN())),OFFSET($BN$2,0,0,ROW()-1,60),ROW()-1,FALSE))</f>
        <v>3.2639075540000002</v>
      </c>
      <c r="X227">
        <f ca="1">IF(AND(ISNUMBER($X$528),$B$294=1),$X$528,HLOOKUP(INDIRECT(ADDRESS(2,COLUMN())),OFFSET($BN$2,0,0,ROW()-1,60),ROW()-1,FALSE))</f>
        <v>3.156413938</v>
      </c>
      <c r="Y227">
        <f ca="1">IF(AND(ISNUMBER($Y$528),$B$294=1),$Y$528,HLOOKUP(INDIRECT(ADDRESS(2,COLUMN())),OFFSET($BN$2,0,0,ROW()-1,60),ROW()-1,FALSE))</f>
        <v>3.1468435239999999</v>
      </c>
      <c r="Z227">
        <f ca="1">IF(AND(ISNUMBER($Z$528),$B$294=1),$Z$528,HLOOKUP(INDIRECT(ADDRESS(2,COLUMN())),OFFSET($BN$2,0,0,ROW()-1,60),ROW()-1,FALSE))</f>
        <v>3.1022365129999998</v>
      </c>
      <c r="AA227">
        <f ca="1">IF(AND(ISNUMBER($AA$528),$B$294=1),$AA$528,HLOOKUP(INDIRECT(ADDRESS(2,COLUMN())),OFFSET($BN$2,0,0,ROW()-1,60),ROW()-1,FALSE))</f>
        <v>3.4354587429999999</v>
      </c>
      <c r="AB227">
        <f ca="1">IF(AND(ISNUMBER($AB$528),$B$294=1),$AB$528,HLOOKUP(INDIRECT(ADDRESS(2,COLUMN())),OFFSET($BN$2,0,0,ROW()-1,60),ROW()-1,FALSE))</f>
        <v>3.436529304</v>
      </c>
      <c r="AC227">
        <f ca="1">IF(AND(ISNUMBER($AC$528),$B$294=1),$AC$528,HLOOKUP(INDIRECT(ADDRESS(2,COLUMN())),OFFSET($BN$2,0,0,ROW()-1,60),ROW()-1,FALSE))</f>
        <v>3.322970964</v>
      </c>
      <c r="AD227">
        <f ca="1">IF(AND(ISNUMBER($AD$528),$B$294=1),$AD$528,HLOOKUP(INDIRECT(ADDRESS(2,COLUMN())),OFFSET($BN$2,0,0,ROW()-1,60),ROW()-1,FALSE))</f>
        <v>3.1853542350000001</v>
      </c>
      <c r="AE227">
        <f ca="1">IF(AND(ISNUMBER($AE$528),$B$294=1),$AE$528,HLOOKUP(INDIRECT(ADDRESS(2,COLUMN())),OFFSET($BN$2,0,0,ROW()-1,60),ROW()-1,FALSE))</f>
        <v>3.2327265889999999</v>
      </c>
      <c r="AF227">
        <f ca="1">IF(AND(ISNUMBER($AF$528),$B$294=1),$AF$528,HLOOKUP(INDIRECT(ADDRESS(2,COLUMN())),OFFSET($BN$2,0,0,ROW()-1,60),ROW()-1,FALSE))</f>
        <v>3.7077779689999999</v>
      </c>
      <c r="AG227">
        <f ca="1">IF(AND(ISNUMBER($AG$528),$B$294=1),$AG$528,HLOOKUP(INDIRECT(ADDRESS(2,COLUMN())),OFFSET($BN$2,0,0,ROW()-1,60),ROW()-1,FALSE))</f>
        <v>3.955553622</v>
      </c>
      <c r="AH227">
        <f ca="1">IF(AND(ISNUMBER($AH$528),$B$294=1),$AH$528,HLOOKUP(INDIRECT(ADDRESS(2,COLUMN())),OFFSET($BN$2,0,0,ROW()-1,60),ROW()-1,FALSE))</f>
        <v>4.0953919240000003</v>
      </c>
      <c r="AI227">
        <f ca="1">IF(AND(ISNUMBER($AI$528),$B$294=1),$AI$528,HLOOKUP(INDIRECT(ADDRESS(2,COLUMN())),OFFSET($BN$2,0,0,ROW()-1,60),ROW()-1,FALSE))</f>
        <v>3.990047455</v>
      </c>
      <c r="AJ227">
        <f ca="1">IF(AND(ISNUMBER($AJ$528),$B$294=1),$AJ$528,HLOOKUP(INDIRECT(ADDRESS(2,COLUMN())),OFFSET($BN$2,0,0,ROW()-1,60),ROW()-1,FALSE))</f>
        <v>3.8272678760000001</v>
      </c>
      <c r="AK227">
        <f ca="1">IF(AND(ISNUMBER($AK$528),$B$294=1),$AK$528,HLOOKUP(INDIRECT(ADDRESS(2,COLUMN())),OFFSET($BN$2,0,0,ROW()-1,60),ROW()-1,FALSE))</f>
        <v>3.676348178</v>
      </c>
      <c r="AL227">
        <f ca="1">IF(AND(ISNUMBER($AL$528),$B$294=1),$AL$528,HLOOKUP(INDIRECT(ADDRESS(2,COLUMN())),OFFSET($BN$2,0,0,ROW()-1,60),ROW()-1,FALSE))</f>
        <v>3.9141073049999999</v>
      </c>
      <c r="AM227">
        <f ca="1">IF(AND(ISNUMBER($AM$528),$B$294=1),$AM$528,HLOOKUP(INDIRECT(ADDRESS(2,COLUMN())),OFFSET($BN$2,0,0,ROW()-1,60),ROW()-1,FALSE))</f>
        <v>3.9749436870000001</v>
      </c>
      <c r="AN227" t="str">
        <f ca="1">IF(AND(ISNUMBER($AN$528),$B$294=1),$AN$528,HLOOKUP(INDIRECT(ADDRESS(2,COLUMN())),OFFSET($BN$2,0,0,ROW()-1,60),ROW()-1,FALSE))</f>
        <v/>
      </c>
      <c r="AO227" t="str">
        <f ca="1">IF(AND(ISNUMBER($AO$528),$B$294=1),$AO$528,HLOOKUP(INDIRECT(ADDRESS(2,COLUMN())),OFFSET($BN$2,0,0,ROW()-1,60),ROW()-1,FALSE))</f>
        <v/>
      </c>
      <c r="AP227" t="str">
        <f ca="1">IF(AND(ISNUMBER($AP$528),$B$294=1),$AP$528,HLOOKUP(INDIRECT(ADDRESS(2,COLUMN())),OFFSET($BN$2,0,0,ROW()-1,60),ROW()-1,FALSE))</f>
        <v/>
      </c>
      <c r="AQ227" t="str">
        <f ca="1">IF(AND(ISNUMBER($AQ$528),$B$294=1),$AQ$528,HLOOKUP(INDIRECT(ADDRESS(2,COLUMN())),OFFSET($BN$2,0,0,ROW()-1,60),ROW()-1,FALSE))</f>
        <v/>
      </c>
      <c r="AR227" t="str">
        <f ca="1">IF(AND(ISNUMBER($AR$528),$B$294=1),$AR$528,HLOOKUP(INDIRECT(ADDRESS(2,COLUMN())),OFFSET($BN$2,0,0,ROW()-1,60),ROW()-1,FALSE))</f>
        <v/>
      </c>
      <c r="AS227" t="str">
        <f ca="1">IF(AND(ISNUMBER($AS$528),$B$294=1),$AS$528,HLOOKUP(INDIRECT(ADDRESS(2,COLUMN())),OFFSET($BN$2,0,0,ROW()-1,60),ROW()-1,FALSE))</f>
        <v/>
      </c>
      <c r="AT227" t="str">
        <f ca="1">IF(AND(ISNUMBER($AT$528),$B$294=1),$AT$528,HLOOKUP(INDIRECT(ADDRESS(2,COLUMN())),OFFSET($BN$2,0,0,ROW()-1,60),ROW()-1,FALSE))</f>
        <v/>
      </c>
      <c r="AU227" t="str">
        <f ca="1">IF(AND(ISNUMBER($AU$528),$B$294=1),$AU$528,HLOOKUP(INDIRECT(ADDRESS(2,COLUMN())),OFFSET($BN$2,0,0,ROW()-1,60),ROW()-1,FALSE))</f>
        <v/>
      </c>
      <c r="AV227" t="str">
        <f ca="1">IF(AND(ISNUMBER($AV$528),$B$294=1),$AV$528,HLOOKUP(INDIRECT(ADDRESS(2,COLUMN())),OFFSET($BN$2,0,0,ROW()-1,60),ROW()-1,FALSE))</f>
        <v/>
      </c>
      <c r="AW227" t="str">
        <f ca="1">IF(AND(ISNUMBER($AW$528),$B$294=1),$AW$528,HLOOKUP(INDIRECT(ADDRESS(2,COLUMN())),OFFSET($BN$2,0,0,ROW()-1,60),ROW()-1,FALSE))</f>
        <v/>
      </c>
      <c r="AX227" t="str">
        <f ca="1">IF(AND(ISNUMBER($AX$528),$B$294=1),$AX$528,HLOOKUP(INDIRECT(ADDRESS(2,COLUMN())),OFFSET($BN$2,0,0,ROW()-1,60),ROW()-1,FALSE))</f>
        <v/>
      </c>
      <c r="AY227" t="str">
        <f ca="1">IF(AND(ISNUMBER($AY$528),$B$294=1),$AY$528,HLOOKUP(INDIRECT(ADDRESS(2,COLUMN())),OFFSET($BN$2,0,0,ROW()-1,60),ROW()-1,FALSE))</f>
        <v/>
      </c>
      <c r="AZ227" t="str">
        <f ca="1">IF(AND(ISNUMBER($AZ$528),$B$294=1),$AZ$528,HLOOKUP(INDIRECT(ADDRESS(2,COLUMN())),OFFSET($BN$2,0,0,ROW()-1,60),ROW()-1,FALSE))</f>
        <v/>
      </c>
      <c r="BA227" t="str">
        <f ca="1">IF(AND(ISNUMBER($BA$528),$B$294=1),$BA$528,HLOOKUP(INDIRECT(ADDRESS(2,COLUMN())),OFFSET($BN$2,0,0,ROW()-1,60),ROW()-1,FALSE))</f>
        <v/>
      </c>
      <c r="BB227" t="str">
        <f ca="1">IF(AND(ISNUMBER($BB$528),$B$294=1),$BB$528,HLOOKUP(INDIRECT(ADDRESS(2,COLUMN())),OFFSET($BN$2,0,0,ROW()-1,60),ROW()-1,FALSE))</f>
        <v/>
      </c>
      <c r="BC227" t="str">
        <f ca="1">IF(AND(ISNUMBER($BC$528),$B$294=1),$BC$528,HLOOKUP(INDIRECT(ADDRESS(2,COLUMN())),OFFSET($BN$2,0,0,ROW()-1,60),ROW()-1,FALSE))</f>
        <v/>
      </c>
      <c r="BD227" t="str">
        <f ca="1">IF(AND(ISNUMBER($BD$528),$B$294=1),$BD$528,HLOOKUP(INDIRECT(ADDRESS(2,COLUMN())),OFFSET($BN$2,0,0,ROW()-1,60),ROW()-1,FALSE))</f>
        <v/>
      </c>
      <c r="BE227" t="str">
        <f ca="1">IF(AND(ISNUMBER($BE$528),$B$294=1),$BE$528,HLOOKUP(INDIRECT(ADDRESS(2,COLUMN())),OFFSET($BN$2,0,0,ROW()-1,60),ROW()-1,FALSE))</f>
        <v/>
      </c>
      <c r="BF227" t="str">
        <f ca="1">IF(AND(ISNUMBER($BF$528),$B$294=1),$BF$528,HLOOKUP(INDIRECT(ADDRESS(2,COLUMN())),OFFSET($BN$2,0,0,ROW()-1,60),ROW()-1,FALSE))</f>
        <v/>
      </c>
      <c r="BG227" t="str">
        <f ca="1">IF(AND(ISNUMBER($BG$528),$B$294=1),$BG$528,HLOOKUP(INDIRECT(ADDRESS(2,COLUMN())),OFFSET($BN$2,0,0,ROW()-1,60),ROW()-1,FALSE))</f>
        <v/>
      </c>
      <c r="BH227" t="str">
        <f ca="1">IF(AND(ISNUMBER($BH$528),$B$294=1),$BH$528,HLOOKUP(INDIRECT(ADDRESS(2,COLUMN())),OFFSET($BN$2,0,0,ROW()-1,60),ROW()-1,FALSE))</f>
        <v/>
      </c>
      <c r="BI227" t="str">
        <f ca="1">IF(AND(ISNUMBER($BI$528),$B$294=1),$BI$528,HLOOKUP(INDIRECT(ADDRESS(2,COLUMN())),OFFSET($BN$2,0,0,ROW()-1,60),ROW()-1,FALSE))</f>
        <v/>
      </c>
      <c r="BJ227" t="str">
        <f ca="1">IF(AND(ISNUMBER($BJ$528),$B$294=1),$BJ$528,HLOOKUP(INDIRECT(ADDRESS(2,COLUMN())),OFFSET($BN$2,0,0,ROW()-1,60),ROW()-1,FALSE))</f>
        <v/>
      </c>
      <c r="BK227" t="str">
        <f ca="1">IF(AND(ISNUMBER($BK$528),$B$294=1),$BK$528,HLOOKUP(INDIRECT(ADDRESS(2,COLUMN())),OFFSET($BN$2,0,0,ROW()-1,60),ROW()-1,FALSE))</f>
        <v/>
      </c>
      <c r="BL227" t="str">
        <f ca="1">IF(AND(ISNUMBER($BL$528),$B$294=1),$BL$528,HLOOKUP(INDIRECT(ADDRESS(2,COLUMN())),OFFSET($BN$2,0,0,ROW()-1,60),ROW()-1,FALSE))</f>
        <v/>
      </c>
      <c r="BM227" t="str">
        <f ca="1">IF(AND(ISNUMBER($BM$528),$B$294=1),$BM$528,HLOOKUP(INDIRECT(ADDRESS(2,COLUMN())),OFFSET($BN$2,0,0,ROW()-1,60),ROW()-1,FALSE))</f>
        <v/>
      </c>
      <c r="BN227" t="str">
        <f>""</f>
        <v/>
      </c>
      <c r="BO227">
        <f>2.923428026</f>
        <v>2.9234280259999998</v>
      </c>
      <c r="BP227">
        <f>3.167372525</f>
        <v>3.1673725250000002</v>
      </c>
      <c r="BQ227">
        <f>3.376584988</f>
        <v>3.3765849879999998</v>
      </c>
      <c r="BR227">
        <f>3.669335308</f>
        <v>3.669335308</v>
      </c>
      <c r="BS227">
        <f>3.846825127</f>
        <v>3.8468251269999998</v>
      </c>
      <c r="BT227">
        <f>3.935283415</f>
        <v>3.9352834149999998</v>
      </c>
      <c r="BU227">
        <f>4.139955977</f>
        <v>4.1399559769999996</v>
      </c>
      <c r="BV227">
        <f>4.040044548</f>
        <v>4.040044548</v>
      </c>
      <c r="BW227">
        <f>4.020493341</f>
        <v>4.0204933409999999</v>
      </c>
      <c r="BX227">
        <f>4.650653446</f>
        <v>4.6506534459999997</v>
      </c>
      <c r="BY227">
        <f>4.783904315</f>
        <v>4.783904315</v>
      </c>
      <c r="BZ227">
        <f>4.917537996</f>
        <v>4.9175379960000001</v>
      </c>
      <c r="CA227">
        <f>5.126811164</f>
        <v>5.1268111640000003</v>
      </c>
      <c r="CB227">
        <f>4.256998258</f>
        <v>4.2569982580000003</v>
      </c>
      <c r="CC227">
        <f>3.895710059</f>
        <v>3.8957100589999998</v>
      </c>
      <c r="CD227">
        <f>3.772079772</f>
        <v>3.7720797720000001</v>
      </c>
      <c r="CE227">
        <f>3.263907554</f>
        <v>3.2639075540000002</v>
      </c>
      <c r="CF227">
        <f>3.156413938</f>
        <v>3.156413938</v>
      </c>
      <c r="CG227">
        <f>3.146843524</f>
        <v>3.1468435239999999</v>
      </c>
      <c r="CH227">
        <f>3.102236513</f>
        <v>3.1022365129999998</v>
      </c>
      <c r="CI227">
        <f>3.435458743</f>
        <v>3.4354587429999999</v>
      </c>
      <c r="CJ227">
        <f>3.436529304</f>
        <v>3.436529304</v>
      </c>
      <c r="CK227">
        <f>3.322970964</f>
        <v>3.322970964</v>
      </c>
      <c r="CL227">
        <f>3.185354235</f>
        <v>3.1853542350000001</v>
      </c>
      <c r="CM227">
        <f>3.232726589</f>
        <v>3.2327265889999999</v>
      </c>
      <c r="CN227">
        <f>3.707777969</f>
        <v>3.7077779689999999</v>
      </c>
      <c r="CO227">
        <f>3.955553622</f>
        <v>3.955553622</v>
      </c>
      <c r="CP227">
        <f>4.095391924</f>
        <v>4.0953919240000003</v>
      </c>
      <c r="CQ227">
        <f>3.990047455</f>
        <v>3.990047455</v>
      </c>
      <c r="CR227">
        <f>3.827267876</f>
        <v>3.8272678760000001</v>
      </c>
      <c r="CS227">
        <f>3.676348178</f>
        <v>3.676348178</v>
      </c>
      <c r="CT227">
        <f>3.914107305</f>
        <v>3.9141073049999999</v>
      </c>
      <c r="CU227">
        <f>3.974943687</f>
        <v>3.9749436870000001</v>
      </c>
      <c r="CV227" t="str">
        <f>""</f>
        <v/>
      </c>
      <c r="CW227" t="str">
        <f>""</f>
        <v/>
      </c>
      <c r="CX227" t="str">
        <f>""</f>
        <v/>
      </c>
      <c r="CY227" t="str">
        <f>""</f>
        <v/>
      </c>
      <c r="CZ227" t="str">
        <f>""</f>
        <v/>
      </c>
      <c r="DA227" t="str">
        <f>""</f>
        <v/>
      </c>
      <c r="DB227" t="str">
        <f>""</f>
        <v/>
      </c>
      <c r="DC227" t="str">
        <f>""</f>
        <v/>
      </c>
      <c r="DD227" t="str">
        <f>""</f>
        <v/>
      </c>
      <c r="DE227" t="str">
        <f>""</f>
        <v/>
      </c>
      <c r="DF227" t="str">
        <f>""</f>
        <v/>
      </c>
      <c r="DG227" t="str">
        <f>""</f>
        <v/>
      </c>
      <c r="DH227" t="str">
        <f>""</f>
        <v/>
      </c>
      <c r="DI227" t="str">
        <f>""</f>
        <v/>
      </c>
      <c r="DJ227" t="str">
        <f>""</f>
        <v/>
      </c>
      <c r="DK227" t="str">
        <f>""</f>
        <v/>
      </c>
      <c r="DL227" t="str">
        <f>""</f>
        <v/>
      </c>
      <c r="DM227" t="str">
        <f>""</f>
        <v/>
      </c>
      <c r="DN227" t="str">
        <f>""</f>
        <v/>
      </c>
      <c r="DO227" t="str">
        <f>""</f>
        <v/>
      </c>
      <c r="DP227" t="str">
        <f>""</f>
        <v/>
      </c>
      <c r="DQ227" t="str">
        <f>""</f>
        <v/>
      </c>
      <c r="DR227" t="str">
        <f>""</f>
        <v/>
      </c>
      <c r="DS227" t="str">
        <f>""</f>
        <v/>
      </c>
      <c r="DT227" t="str">
        <f>""</f>
        <v/>
      </c>
      <c r="DU227" t="str">
        <f>""</f>
        <v/>
      </c>
    </row>
    <row r="228" spans="1:125">
      <c r="A228" t="str">
        <f>"    Corporate Office Properties Tr"</f>
        <v xml:space="preserve">    Corporate Office Properties Tr</v>
      </c>
      <c r="B228" t="str">
        <f>"OFC US Equity"</f>
        <v>OFC US Equity</v>
      </c>
      <c r="C228" t="str">
        <f t="shared" si="60"/>
        <v>F1023</v>
      </c>
      <c r="D228" t="str">
        <f t="shared" si="61"/>
        <v>FIXED_CHARGE_COVERAGE_RATIO</v>
      </c>
      <c r="E228" t="str">
        <f t="shared" si="62"/>
        <v>动态</v>
      </c>
      <c r="F228" t="str">
        <f ca="1">IF(AND(ISNUMBER($F$529),$B$294=1),$F$529,HLOOKUP(INDIRECT(ADDRESS(2,COLUMN())),OFFSET($BN$2,0,0,ROW()-1,60),ROW()-1,FALSE))</f>
        <v/>
      </c>
      <c r="G228">
        <f ca="1">IF(AND(ISNUMBER($G$529),$B$294=1),$G$529,HLOOKUP(INDIRECT(ADDRESS(2,COLUMN())),OFFSET($BN$2,0,0,ROW()-1,60),ROW()-1,FALSE))</f>
        <v>3.7</v>
      </c>
      <c r="H228">
        <f ca="1">IF(AND(ISNUMBER($H$529),$B$294=1),$H$529,HLOOKUP(INDIRECT(ADDRESS(2,COLUMN())),OFFSET($BN$2,0,0,ROW()-1,60),ROW()-1,FALSE))</f>
        <v>3.7</v>
      </c>
      <c r="I228">
        <f ca="1">IF(AND(ISNUMBER($I$529),$B$294=1),$I$529,HLOOKUP(INDIRECT(ADDRESS(2,COLUMN())),OFFSET($BN$2,0,0,ROW()-1,60),ROW()-1,FALSE))</f>
        <v>3.2</v>
      </c>
      <c r="J228">
        <f ca="1">IF(AND(ISNUMBER($J$529),$B$294=1),$J$529,HLOOKUP(INDIRECT(ADDRESS(2,COLUMN())),OFFSET($BN$2,0,0,ROW()-1,60),ROW()-1,FALSE))</f>
        <v>3.1</v>
      </c>
      <c r="K228">
        <f ca="1">IF(AND(ISNUMBER($K$529),$B$294=1),$K$529,HLOOKUP(INDIRECT(ADDRESS(2,COLUMN())),OFFSET($BN$2,0,0,ROW()-1,60),ROW()-1,FALSE))</f>
        <v>3.1</v>
      </c>
      <c r="L228">
        <f ca="1">IF(AND(ISNUMBER($L$529),$B$294=1),$L$529,HLOOKUP(INDIRECT(ADDRESS(2,COLUMN())),OFFSET($BN$2,0,0,ROW()-1,60),ROW()-1,FALSE))</f>
        <v>3.1</v>
      </c>
      <c r="M228">
        <f ca="1">IF(AND(ISNUMBER($M$529),$B$294=1),$M$529,HLOOKUP(INDIRECT(ADDRESS(2,COLUMN())),OFFSET($BN$2,0,0,ROW()-1,60),ROW()-1,FALSE))</f>
        <v>2.9</v>
      </c>
      <c r="N228">
        <f ca="1">IF(AND(ISNUMBER($N$529),$B$294=1),$N$529,HLOOKUP(INDIRECT(ADDRESS(2,COLUMN())),OFFSET($BN$2,0,0,ROW()-1,60),ROW()-1,FALSE))</f>
        <v>1.1100000000000001</v>
      </c>
      <c r="O228">
        <f ca="1">IF(AND(ISNUMBER($O$529),$B$294=1),$O$529,HLOOKUP(INDIRECT(ADDRESS(2,COLUMN())),OFFSET($BN$2,0,0,ROW()-1,60),ROW()-1,FALSE))</f>
        <v>2.9</v>
      </c>
      <c r="P228">
        <f ca="1">IF(AND(ISNUMBER($P$529),$B$294=1),$P$529,HLOOKUP(INDIRECT(ADDRESS(2,COLUMN())),OFFSET($BN$2,0,0,ROW()-1,60),ROW()-1,FALSE))</f>
        <v>2.9</v>
      </c>
      <c r="Q228">
        <f ca="1">IF(AND(ISNUMBER($Q$529),$B$294=1),$Q$529,HLOOKUP(INDIRECT(ADDRESS(2,COLUMN())),OFFSET($BN$2,0,0,ROW()-1,60),ROW()-1,FALSE))</f>
        <v>3.1</v>
      </c>
      <c r="R228">
        <f ca="1">IF(AND(ISNUMBER($R$529),$B$294=1),$R$529,HLOOKUP(INDIRECT(ADDRESS(2,COLUMN())),OFFSET($BN$2,0,0,ROW()-1,60),ROW()-1,FALSE))</f>
        <v>2.9</v>
      </c>
      <c r="S228">
        <f ca="1">IF(AND(ISNUMBER($S$529),$B$294=1),$S$529,HLOOKUP(INDIRECT(ADDRESS(2,COLUMN())),OFFSET($BN$2,0,0,ROW()-1,60),ROW()-1,FALSE))</f>
        <v>2.8</v>
      </c>
      <c r="T228">
        <f ca="1">IF(AND(ISNUMBER($T$529),$B$294=1),$T$529,HLOOKUP(INDIRECT(ADDRESS(2,COLUMN())),OFFSET($BN$2,0,0,ROW()-1,60),ROW()-1,FALSE))</f>
        <v>3.4</v>
      </c>
      <c r="U228">
        <f ca="1">IF(AND(ISNUMBER($U$529),$B$294=1),$U$529,HLOOKUP(INDIRECT(ADDRESS(2,COLUMN())),OFFSET($BN$2,0,0,ROW()-1,60),ROW()-1,FALSE))</f>
        <v>2.5</v>
      </c>
      <c r="V228">
        <f ca="1">IF(AND(ISNUMBER($V$529),$B$294=1),$V$529,HLOOKUP(INDIRECT(ADDRESS(2,COLUMN())),OFFSET($BN$2,0,0,ROW()-1,60),ROW()-1,FALSE))</f>
        <v>2.9</v>
      </c>
      <c r="W228">
        <f ca="1">IF(AND(ISNUMBER($W$529),$B$294=1),$W$529,HLOOKUP(INDIRECT(ADDRESS(2,COLUMN())),OFFSET($BN$2,0,0,ROW()-1,60),ROW()-1,FALSE))</f>
        <v>2.8</v>
      </c>
      <c r="X228">
        <f ca="1">IF(AND(ISNUMBER($X$529),$B$294=1),$X$529,HLOOKUP(INDIRECT(ADDRESS(2,COLUMN())),OFFSET($BN$2,0,0,ROW()-1,60),ROW()-1,FALSE))</f>
        <v>3.6</v>
      </c>
      <c r="Y228">
        <f ca="1">IF(AND(ISNUMBER($Y$529),$B$294=1),$Y$529,HLOOKUP(INDIRECT(ADDRESS(2,COLUMN())),OFFSET($BN$2,0,0,ROW()-1,60),ROW()-1,FALSE))</f>
        <v>2.9</v>
      </c>
      <c r="Z228">
        <f ca="1">IF(AND(ISNUMBER($Z$529),$B$294=1),$Z$529,HLOOKUP(INDIRECT(ADDRESS(2,COLUMN())),OFFSET($BN$2,0,0,ROW()-1,60),ROW()-1,FALSE))</f>
        <v>2.7</v>
      </c>
      <c r="AA228">
        <f ca="1">IF(AND(ISNUMBER($AA$529),$B$294=1),$AA$529,HLOOKUP(INDIRECT(ADDRESS(2,COLUMN())),OFFSET($BN$2,0,0,ROW()-1,60),ROW()-1,FALSE))</f>
        <v>2.6</v>
      </c>
      <c r="AB228">
        <f ca="1">IF(AND(ISNUMBER($AB$529),$B$294=1),$AB$529,HLOOKUP(INDIRECT(ADDRESS(2,COLUMN())),OFFSET($BN$2,0,0,ROW()-1,60),ROW()-1,FALSE))</f>
        <v>2.58</v>
      </c>
      <c r="AC228">
        <f ca="1">IF(AND(ISNUMBER($AC$529),$B$294=1),$AC$529,HLOOKUP(INDIRECT(ADDRESS(2,COLUMN())),OFFSET($BN$2,0,0,ROW()-1,60),ROW()-1,FALSE))</f>
        <v>2.65</v>
      </c>
      <c r="AD228">
        <f ca="1">IF(AND(ISNUMBER($AD$529),$B$294=1),$AD$529,HLOOKUP(INDIRECT(ADDRESS(2,COLUMN())),OFFSET($BN$2,0,0,ROW()-1,60),ROW()-1,FALSE))</f>
        <v>2.72</v>
      </c>
      <c r="AE228">
        <f ca="1">IF(AND(ISNUMBER($AE$529),$B$294=1),$AE$529,HLOOKUP(INDIRECT(ADDRESS(2,COLUMN())),OFFSET($BN$2,0,0,ROW()-1,60),ROW()-1,FALSE))</f>
        <v>2.61</v>
      </c>
      <c r="AF228">
        <f ca="1">IF(AND(ISNUMBER($AF$529),$B$294=1),$AF$529,HLOOKUP(INDIRECT(ADDRESS(2,COLUMN())),OFFSET($BN$2,0,0,ROW()-1,60),ROW()-1,FALSE))</f>
        <v>2.1337179609999999</v>
      </c>
      <c r="AG228">
        <f ca="1">IF(AND(ISNUMBER($AG$529),$B$294=1),$AG$529,HLOOKUP(INDIRECT(ADDRESS(2,COLUMN())),OFFSET($BN$2,0,0,ROW()-1,60),ROW()-1,FALSE))</f>
        <v>2.1175051090000001</v>
      </c>
      <c r="AH228">
        <f ca="1">IF(AND(ISNUMBER($AH$529),$B$294=1),$AH$529,HLOOKUP(INDIRECT(ADDRESS(2,COLUMN())),OFFSET($BN$2,0,0,ROW()-1,60),ROW()-1,FALSE))</f>
        <v>2.48</v>
      </c>
      <c r="AI228">
        <f ca="1">IF(AND(ISNUMBER($AI$529),$B$294=1),$AI$529,HLOOKUP(INDIRECT(ADDRESS(2,COLUMN())),OFFSET($BN$2,0,0,ROW()-1,60),ROW()-1,FALSE))</f>
        <v>2.54</v>
      </c>
      <c r="AJ228">
        <f ca="1">IF(AND(ISNUMBER($AJ$529),$B$294=1),$AJ$529,HLOOKUP(INDIRECT(ADDRESS(2,COLUMN())),OFFSET($BN$2,0,0,ROW()-1,60),ROW()-1,FALSE))</f>
        <v>2.5499999999999998</v>
      </c>
      <c r="AK228">
        <f ca="1">IF(AND(ISNUMBER($AK$529),$B$294=1),$AK$529,HLOOKUP(INDIRECT(ADDRESS(2,COLUMN())),OFFSET($BN$2,0,0,ROW()-1,60),ROW()-1,FALSE))</f>
        <v>2.41</v>
      </c>
      <c r="AL228">
        <f ca="1">IF(AND(ISNUMBER($AL$529),$B$294=1),$AL$529,HLOOKUP(INDIRECT(ADDRESS(2,COLUMN())),OFFSET($BN$2,0,0,ROW()-1,60),ROW()-1,FALSE))</f>
        <v>2.4700000000000002</v>
      </c>
      <c r="AM228">
        <f ca="1">IF(AND(ISNUMBER($AM$529),$B$294=1),$AM$529,HLOOKUP(INDIRECT(ADDRESS(2,COLUMN())),OFFSET($BN$2,0,0,ROW()-1,60),ROW()-1,FALSE))</f>
        <v>2.31</v>
      </c>
      <c r="AN228">
        <f ca="1">IF(AND(ISNUMBER($AN$529),$B$294=1),$AN$529,HLOOKUP(INDIRECT(ADDRESS(2,COLUMN())),OFFSET($BN$2,0,0,ROW()-1,60),ROW()-1,FALSE))</f>
        <v>2.64</v>
      </c>
      <c r="AO228">
        <f ca="1">IF(AND(ISNUMBER($AO$529),$B$294=1),$AO$529,HLOOKUP(INDIRECT(ADDRESS(2,COLUMN())),OFFSET($BN$2,0,0,ROW()-1,60),ROW()-1,FALSE))</f>
        <v>3.01</v>
      </c>
      <c r="AP228">
        <f ca="1">IF(AND(ISNUMBER($AP$529),$B$294=1),$AP$529,HLOOKUP(INDIRECT(ADDRESS(2,COLUMN())),OFFSET($BN$2,0,0,ROW()-1,60),ROW()-1,FALSE))</f>
        <v>2.86</v>
      </c>
      <c r="AQ228">
        <f ca="1">IF(AND(ISNUMBER($AQ$529),$B$294=1),$AQ$529,HLOOKUP(INDIRECT(ADDRESS(2,COLUMN())),OFFSET($BN$2,0,0,ROW()-1,60),ROW()-1,FALSE))</f>
        <v>3.08</v>
      </c>
      <c r="AR228">
        <f ca="1">IF(AND(ISNUMBER($AR$529),$B$294=1),$AR$529,HLOOKUP(INDIRECT(ADDRESS(2,COLUMN())),OFFSET($BN$2,0,0,ROW()-1,60),ROW()-1,FALSE))</f>
        <v>2.5299999999999998</v>
      </c>
      <c r="AS228">
        <f ca="1">IF(AND(ISNUMBER($AS$529),$B$294=1),$AS$529,HLOOKUP(INDIRECT(ADDRESS(2,COLUMN())),OFFSET($BN$2,0,0,ROW()-1,60),ROW()-1,FALSE))</f>
        <v>2.5499999999999998</v>
      </c>
      <c r="AT228">
        <f ca="1">IF(AND(ISNUMBER($AT$529),$B$294=1),$AT$529,HLOOKUP(INDIRECT(ADDRESS(2,COLUMN())),OFFSET($BN$2,0,0,ROW()-1,60),ROW()-1,FALSE))</f>
        <v>2.4500000000000002</v>
      </c>
      <c r="AU228">
        <f ca="1">IF(AND(ISNUMBER($AU$529),$B$294=1),$AU$529,HLOOKUP(INDIRECT(ADDRESS(2,COLUMN())),OFFSET($BN$2,0,0,ROW()-1,60),ROW()-1,FALSE))</f>
        <v>2.35</v>
      </c>
      <c r="AV228">
        <f ca="1">IF(AND(ISNUMBER($AV$529),$B$294=1),$AV$529,HLOOKUP(INDIRECT(ADDRESS(2,COLUMN())),OFFSET($BN$2,0,0,ROW()-1,60),ROW()-1,FALSE))</f>
        <v>2.44</v>
      </c>
      <c r="AW228">
        <f ca="1">IF(AND(ISNUMBER($AW$529),$B$294=1),$AW$529,HLOOKUP(INDIRECT(ADDRESS(2,COLUMN())),OFFSET($BN$2,0,0,ROW()-1,60),ROW()-1,FALSE))</f>
        <v>2.31</v>
      </c>
      <c r="AX228">
        <f ca="1">IF(AND(ISNUMBER($AX$529),$B$294=1),$AX$529,HLOOKUP(INDIRECT(ADDRESS(2,COLUMN())),OFFSET($BN$2,0,0,ROW()-1,60),ROW()-1,FALSE))</f>
        <v>2.21</v>
      </c>
      <c r="AY228">
        <f ca="1">IF(AND(ISNUMBER($AY$529),$B$294=1),$AY$529,HLOOKUP(INDIRECT(ADDRESS(2,COLUMN())),OFFSET($BN$2,0,0,ROW()-1,60),ROW()-1,FALSE))</f>
        <v>2.41</v>
      </c>
      <c r="AZ228">
        <f ca="1">IF(AND(ISNUMBER($AZ$529),$B$294=1),$AZ$529,HLOOKUP(INDIRECT(ADDRESS(2,COLUMN())),OFFSET($BN$2,0,0,ROW()-1,60),ROW()-1,FALSE))</f>
        <v>2.89</v>
      </c>
      <c r="BA228">
        <f ca="1">IF(AND(ISNUMBER($BA$529),$B$294=1),$BA$529,HLOOKUP(INDIRECT(ADDRESS(2,COLUMN())),OFFSET($BN$2,0,0,ROW()-1,60),ROW()-1,FALSE))</f>
        <v>2.2200000000000002</v>
      </c>
      <c r="BB228">
        <f ca="1">IF(AND(ISNUMBER($BB$529),$B$294=1),$BB$529,HLOOKUP(INDIRECT(ADDRESS(2,COLUMN())),OFFSET($BN$2,0,0,ROW()-1,60),ROW()-1,FALSE))</f>
        <v>2.29</v>
      </c>
      <c r="BC228">
        <f ca="1">IF(AND(ISNUMBER($BC$529),$B$294=1),$BC$529,HLOOKUP(INDIRECT(ADDRESS(2,COLUMN())),OFFSET($BN$2,0,0,ROW()-1,60),ROW()-1,FALSE))</f>
        <v>2.2599999999999998</v>
      </c>
      <c r="BD228">
        <f ca="1">IF(AND(ISNUMBER($BD$529),$B$294=1),$BD$529,HLOOKUP(INDIRECT(ADDRESS(2,COLUMN())),OFFSET($BN$2,0,0,ROW()-1,60),ROW()-1,FALSE))</f>
        <v>2.2668709439999999</v>
      </c>
      <c r="BE228">
        <f ca="1">IF(AND(ISNUMBER($BE$529),$B$294=1),$BE$529,HLOOKUP(INDIRECT(ADDRESS(2,COLUMN())),OFFSET($BN$2,0,0,ROW()-1,60),ROW()-1,FALSE))</f>
        <v>2.2859457820000002</v>
      </c>
      <c r="BF228">
        <f ca="1">IF(AND(ISNUMBER($BF$529),$B$294=1),$BF$529,HLOOKUP(INDIRECT(ADDRESS(2,COLUMN())),OFFSET($BN$2,0,0,ROW()-1,60),ROW()-1,FALSE))</f>
        <v>2.3199818649999999</v>
      </c>
      <c r="BG228">
        <f ca="1">IF(AND(ISNUMBER($BG$529),$B$294=1),$BG$529,HLOOKUP(INDIRECT(ADDRESS(2,COLUMN())),OFFSET($BN$2,0,0,ROW()-1,60),ROW()-1,FALSE))</f>
        <v>2.2607951640000001</v>
      </c>
      <c r="BH228">
        <f ca="1">IF(AND(ISNUMBER($BH$529),$B$294=1),$BH$529,HLOOKUP(INDIRECT(ADDRESS(2,COLUMN())),OFFSET($BN$2,0,0,ROW()-1,60),ROW()-1,FALSE))</f>
        <v>2.2147251479999999</v>
      </c>
      <c r="BI228">
        <f ca="1">IF(AND(ISNUMBER($BI$529),$B$294=1),$BI$529,HLOOKUP(INDIRECT(ADDRESS(2,COLUMN())),OFFSET($BN$2,0,0,ROW()-1,60),ROW()-1,FALSE))</f>
        <v>2.1859092599999999</v>
      </c>
      <c r="BJ228">
        <f ca="1">IF(AND(ISNUMBER($BJ$529),$B$294=1),$BJ$529,HLOOKUP(INDIRECT(ADDRESS(2,COLUMN())),OFFSET($BN$2,0,0,ROW()-1,60),ROW()-1,FALSE))</f>
        <v>2.1147335209999998</v>
      </c>
      <c r="BK228">
        <f ca="1">IF(AND(ISNUMBER($BK$529),$B$294=1),$BK$529,HLOOKUP(INDIRECT(ADDRESS(2,COLUMN())),OFFSET($BN$2,0,0,ROW()-1,60),ROW()-1,FALSE))</f>
        <v>2.098984357</v>
      </c>
      <c r="BL228">
        <f ca="1">IF(AND(ISNUMBER($BL$529),$B$294=1),$BL$529,HLOOKUP(INDIRECT(ADDRESS(2,COLUMN())),OFFSET($BN$2,0,0,ROW()-1,60),ROW()-1,FALSE))</f>
        <v>2.0011415129999999</v>
      </c>
      <c r="BM228">
        <f ca="1">IF(AND(ISNUMBER($BM$529),$B$294=1),$BM$529,HLOOKUP(INDIRECT(ADDRESS(2,COLUMN())),OFFSET($BN$2,0,0,ROW()-1,60),ROW()-1,FALSE))</f>
        <v>1.9312709020000001</v>
      </c>
      <c r="BN228" t="str">
        <f>""</f>
        <v/>
      </c>
      <c r="BO228">
        <f>3.7</f>
        <v>3.7</v>
      </c>
      <c r="BP228">
        <f>3.7</f>
        <v>3.7</v>
      </c>
      <c r="BQ228">
        <f>3.2</f>
        <v>3.2</v>
      </c>
      <c r="BR228">
        <f>3.1</f>
        <v>3.1</v>
      </c>
      <c r="BS228">
        <f>3.1</f>
        <v>3.1</v>
      </c>
      <c r="BT228">
        <f>3.1</f>
        <v>3.1</v>
      </c>
      <c r="BU228">
        <f>2.9</f>
        <v>2.9</v>
      </c>
      <c r="BV228">
        <f>1.11</f>
        <v>1.1100000000000001</v>
      </c>
      <c r="BW228">
        <f>2.9</f>
        <v>2.9</v>
      </c>
      <c r="BX228">
        <f>2.9</f>
        <v>2.9</v>
      </c>
      <c r="BY228">
        <f>3.1</f>
        <v>3.1</v>
      </c>
      <c r="BZ228">
        <f>2.9</f>
        <v>2.9</v>
      </c>
      <c r="CA228">
        <f>2.8</f>
        <v>2.8</v>
      </c>
      <c r="CB228">
        <f>3.4</f>
        <v>3.4</v>
      </c>
      <c r="CC228">
        <f>2.5</f>
        <v>2.5</v>
      </c>
      <c r="CD228">
        <f>2.9</f>
        <v>2.9</v>
      </c>
      <c r="CE228">
        <f>2.8</f>
        <v>2.8</v>
      </c>
      <c r="CF228">
        <f>3.6</f>
        <v>3.6</v>
      </c>
      <c r="CG228">
        <f>2.9</f>
        <v>2.9</v>
      </c>
      <c r="CH228">
        <f>2.7</f>
        <v>2.7</v>
      </c>
      <c r="CI228">
        <f>2.6</f>
        <v>2.6</v>
      </c>
      <c r="CJ228">
        <f>2.58</f>
        <v>2.58</v>
      </c>
      <c r="CK228">
        <f>2.65</f>
        <v>2.65</v>
      </c>
      <c r="CL228">
        <f>2.72</f>
        <v>2.72</v>
      </c>
      <c r="CM228">
        <f>2.61</f>
        <v>2.61</v>
      </c>
      <c r="CN228">
        <f>2.133717961</f>
        <v>2.1337179609999999</v>
      </c>
      <c r="CO228">
        <f>2.117505109</f>
        <v>2.1175051090000001</v>
      </c>
      <c r="CP228">
        <f>2.48</f>
        <v>2.48</v>
      </c>
      <c r="CQ228">
        <f>2.54</f>
        <v>2.54</v>
      </c>
      <c r="CR228">
        <f>2.55</f>
        <v>2.5499999999999998</v>
      </c>
      <c r="CS228">
        <f>2.41</f>
        <v>2.41</v>
      </c>
      <c r="CT228">
        <f>2.47</f>
        <v>2.4700000000000002</v>
      </c>
      <c r="CU228">
        <f>2.31</f>
        <v>2.31</v>
      </c>
      <c r="CV228">
        <f>2.64</f>
        <v>2.64</v>
      </c>
      <c r="CW228">
        <f>3.01</f>
        <v>3.01</v>
      </c>
      <c r="CX228">
        <f>2.86</f>
        <v>2.86</v>
      </c>
      <c r="CY228">
        <f>3.08</f>
        <v>3.08</v>
      </c>
      <c r="CZ228">
        <f>2.53</f>
        <v>2.5299999999999998</v>
      </c>
      <c r="DA228">
        <f>2.55</f>
        <v>2.5499999999999998</v>
      </c>
      <c r="DB228">
        <f>2.45</f>
        <v>2.4500000000000002</v>
      </c>
      <c r="DC228">
        <f>2.35</f>
        <v>2.35</v>
      </c>
      <c r="DD228">
        <f>2.44</f>
        <v>2.44</v>
      </c>
      <c r="DE228">
        <f>2.31</f>
        <v>2.31</v>
      </c>
      <c r="DF228">
        <f>2.21</f>
        <v>2.21</v>
      </c>
      <c r="DG228">
        <f>2.41</f>
        <v>2.41</v>
      </c>
      <c r="DH228">
        <f>2.89</f>
        <v>2.89</v>
      </c>
      <c r="DI228">
        <f>2.22</f>
        <v>2.2200000000000002</v>
      </c>
      <c r="DJ228">
        <f>2.29</f>
        <v>2.29</v>
      </c>
      <c r="DK228">
        <f>2.26</f>
        <v>2.2599999999999998</v>
      </c>
      <c r="DL228">
        <f>2.266870944</f>
        <v>2.2668709439999999</v>
      </c>
      <c r="DM228">
        <f>2.285945782</f>
        <v>2.2859457820000002</v>
      </c>
      <c r="DN228">
        <f>2.319981865</f>
        <v>2.3199818649999999</v>
      </c>
      <c r="DO228">
        <f>2.260795164</f>
        <v>2.2607951640000001</v>
      </c>
      <c r="DP228">
        <f>2.214725148</f>
        <v>2.2147251479999999</v>
      </c>
      <c r="DQ228">
        <f>2.18590926</f>
        <v>2.1859092599999999</v>
      </c>
      <c r="DR228">
        <f>2.114733521</f>
        <v>2.1147335209999998</v>
      </c>
      <c r="DS228">
        <f>2.098984357</f>
        <v>2.098984357</v>
      </c>
      <c r="DT228">
        <f>2.001141513</f>
        <v>2.0011415129999999</v>
      </c>
      <c r="DU228">
        <f>1.931270902</f>
        <v>1.9312709020000001</v>
      </c>
    </row>
    <row r="229" spans="1:125">
      <c r="A229" t="str">
        <f>"    Highwoods Properties Inc"</f>
        <v xml:space="preserve">    Highwoods Properties Inc</v>
      </c>
      <c r="B229" t="str">
        <f>"HIW US Equity"</f>
        <v>HIW US Equity</v>
      </c>
      <c r="C229" t="str">
        <f t="shared" si="60"/>
        <v>F1023</v>
      </c>
      <c r="D229" t="str">
        <f t="shared" si="61"/>
        <v>FIXED_CHARGE_COVERAGE_RATIO</v>
      </c>
      <c r="E229" t="str">
        <f t="shared" si="62"/>
        <v>动态</v>
      </c>
      <c r="F229" t="str">
        <f ca="1">IF(AND(ISNUMBER($F$530),$B$294=1),$F$530,HLOOKUP(INDIRECT(ADDRESS(2,COLUMN())),OFFSET($BN$2,0,0,ROW()-1,60),ROW()-1,FALSE))</f>
        <v/>
      </c>
      <c r="G229">
        <f ca="1">IF(AND(ISNUMBER($G$530),$B$294=1),$G$530,HLOOKUP(INDIRECT(ADDRESS(2,COLUMN())),OFFSET($BN$2,0,0,ROW()-1,60),ROW()-1,FALSE))</f>
        <v>3.25</v>
      </c>
      <c r="H229">
        <f ca="1">IF(AND(ISNUMBER($H$530),$B$294=1),$H$530,HLOOKUP(INDIRECT(ADDRESS(2,COLUMN())),OFFSET($BN$2,0,0,ROW()-1,60),ROW()-1,FALSE))</f>
        <v>3.02</v>
      </c>
      <c r="I229">
        <f ca="1">IF(AND(ISNUMBER($I$530),$B$294=1),$I$530,HLOOKUP(INDIRECT(ADDRESS(2,COLUMN())),OFFSET($BN$2,0,0,ROW()-1,60),ROW()-1,FALSE))</f>
        <v>2.46</v>
      </c>
      <c r="J229">
        <f ca="1">IF(AND(ISNUMBER($J$530),$B$294=1),$J$530,HLOOKUP(INDIRECT(ADDRESS(2,COLUMN())),OFFSET($BN$2,0,0,ROW()-1,60),ROW()-1,FALSE))</f>
        <v>2.46</v>
      </c>
      <c r="K229">
        <f ca="1">IF(AND(ISNUMBER($K$530),$B$294=1),$K$530,HLOOKUP(INDIRECT(ADDRESS(2,COLUMN())),OFFSET($BN$2,0,0,ROW()-1,60),ROW()-1,FALSE))</f>
        <v>2.29</v>
      </c>
      <c r="L229">
        <f ca="1">IF(AND(ISNUMBER($L$530),$B$294=1),$L$530,HLOOKUP(INDIRECT(ADDRESS(2,COLUMN())),OFFSET($BN$2,0,0,ROW()-1,60),ROW()-1,FALSE))</f>
        <v>2.33</v>
      </c>
      <c r="M229">
        <f ca="1">IF(AND(ISNUMBER($M$530),$B$294=1),$M$530,HLOOKUP(INDIRECT(ADDRESS(2,COLUMN())),OFFSET($BN$2,0,0,ROW()-1,60),ROW()-1,FALSE))</f>
        <v>2.25</v>
      </c>
      <c r="N229">
        <f ca="1">IF(AND(ISNUMBER($N$530),$B$294=1),$N$530,HLOOKUP(INDIRECT(ADDRESS(2,COLUMN())),OFFSET($BN$2,0,0,ROW()-1,60),ROW()-1,FALSE))</f>
        <v>2.09</v>
      </c>
      <c r="O229">
        <f ca="1">IF(AND(ISNUMBER($O$530),$B$294=1),$O$530,HLOOKUP(INDIRECT(ADDRESS(2,COLUMN())),OFFSET($BN$2,0,0,ROW()-1,60),ROW()-1,FALSE))</f>
        <v>1.81</v>
      </c>
      <c r="P229">
        <f ca="1">IF(AND(ISNUMBER($P$530),$B$294=1),$P$530,HLOOKUP(INDIRECT(ADDRESS(2,COLUMN())),OFFSET($BN$2,0,0,ROW()-1,60),ROW()-1,FALSE))</f>
        <v>2.02</v>
      </c>
      <c r="Q229">
        <f ca="1">IF(AND(ISNUMBER($Q$530),$B$294=1),$Q$530,HLOOKUP(INDIRECT(ADDRESS(2,COLUMN())),OFFSET($BN$2,0,0,ROW()-1,60),ROW()-1,FALSE))</f>
        <v>1.91</v>
      </c>
      <c r="R229">
        <f ca="1">IF(AND(ISNUMBER($R$530),$B$294=1),$R$530,HLOOKUP(INDIRECT(ADDRESS(2,COLUMN())),OFFSET($BN$2,0,0,ROW()-1,60),ROW()-1,FALSE))</f>
        <v>1.76</v>
      </c>
      <c r="S229">
        <f ca="1">IF(AND(ISNUMBER($S$530),$B$294=1),$S$530,HLOOKUP(INDIRECT(ADDRESS(2,COLUMN())),OFFSET($BN$2,0,0,ROW()-1,60),ROW()-1,FALSE))</f>
        <v>1.99</v>
      </c>
      <c r="T229">
        <f ca="1">IF(AND(ISNUMBER($T$530),$B$294=1),$T$530,HLOOKUP(INDIRECT(ADDRESS(2,COLUMN())),OFFSET($BN$2,0,0,ROW()-1,60),ROW()-1,FALSE))</f>
        <v>2.27</v>
      </c>
      <c r="U229">
        <f ca="1">IF(AND(ISNUMBER($U$530),$B$294=1),$U$530,HLOOKUP(INDIRECT(ADDRESS(2,COLUMN())),OFFSET($BN$2,0,0,ROW()-1,60),ROW()-1,FALSE))</f>
        <v>1.8</v>
      </c>
      <c r="V229">
        <f ca="1">IF(AND(ISNUMBER($V$530),$B$294=1),$V$530,HLOOKUP(INDIRECT(ADDRESS(2,COLUMN())),OFFSET($BN$2,0,0,ROW()-1,60),ROW()-1,FALSE))</f>
        <v>1.59</v>
      </c>
      <c r="W229">
        <f ca="1">IF(AND(ISNUMBER($W$530),$B$294=1),$W$530,HLOOKUP(INDIRECT(ADDRESS(2,COLUMN())),OFFSET($BN$2,0,0,ROW()-1,60),ROW()-1,FALSE))</f>
        <v>1.63</v>
      </c>
      <c r="X229">
        <f ca="1">IF(AND(ISNUMBER($X$530),$B$294=1),$X$530,HLOOKUP(INDIRECT(ADDRESS(2,COLUMN())),OFFSET($BN$2,0,0,ROW()-1,60),ROW()-1,FALSE))</f>
        <v>1.65</v>
      </c>
      <c r="Y229">
        <f ca="1">IF(AND(ISNUMBER($Y$530),$B$294=1),$Y$530,HLOOKUP(INDIRECT(ADDRESS(2,COLUMN())),OFFSET($BN$2,0,0,ROW()-1,60),ROW()-1,FALSE))</f>
        <v>1.6</v>
      </c>
      <c r="Z229">
        <f ca="1">IF(AND(ISNUMBER($Z$530),$B$294=1),$Z$530,HLOOKUP(INDIRECT(ADDRESS(2,COLUMN())),OFFSET($BN$2,0,0,ROW()-1,60),ROW()-1,FALSE))</f>
        <v>1.54</v>
      </c>
      <c r="AA229">
        <f ca="1">IF(AND(ISNUMBER($AA$530),$B$294=1),$AA$530,HLOOKUP(INDIRECT(ADDRESS(2,COLUMN())),OFFSET($BN$2,0,0,ROW()-1,60),ROW()-1,FALSE))</f>
        <v>1.39</v>
      </c>
      <c r="AB229">
        <f ca="1">IF(AND(ISNUMBER($AB$530),$B$294=1),$AB$530,HLOOKUP(INDIRECT(ADDRESS(2,COLUMN())),OFFSET($BN$2,0,0,ROW()-1,60),ROW()-1,FALSE))</f>
        <v>1.47</v>
      </c>
      <c r="AC229">
        <f ca="1">IF(AND(ISNUMBER($AC$530),$B$294=1),$AC$530,HLOOKUP(INDIRECT(ADDRESS(2,COLUMN())),OFFSET($BN$2,0,0,ROW()-1,60),ROW()-1,FALSE))</f>
        <v>1.51</v>
      </c>
      <c r="AD229">
        <f ca="1">IF(AND(ISNUMBER($AD$530),$B$294=1),$AD$530,HLOOKUP(INDIRECT(ADDRESS(2,COLUMN())),OFFSET($BN$2,0,0,ROW()-1,60),ROW()-1,FALSE))</f>
        <v>1.58</v>
      </c>
      <c r="AE229">
        <f ca="1">IF(AND(ISNUMBER($AE$530),$B$294=1),$AE$530,HLOOKUP(INDIRECT(ADDRESS(2,COLUMN())),OFFSET($BN$2,0,0,ROW()-1,60),ROW()-1,FALSE))</f>
        <v>1.45</v>
      </c>
      <c r="AF229">
        <f ca="1">IF(AND(ISNUMBER($AF$530),$B$294=1),$AF$530,HLOOKUP(INDIRECT(ADDRESS(2,COLUMN())),OFFSET($BN$2,0,0,ROW()-1,60),ROW()-1,FALSE))</f>
        <v>1.42</v>
      </c>
      <c r="AG229">
        <f ca="1">IF(AND(ISNUMBER($AG$530),$B$294=1),$AG$530,HLOOKUP(INDIRECT(ADDRESS(2,COLUMN())),OFFSET($BN$2,0,0,ROW()-1,60),ROW()-1,FALSE))</f>
        <v>1.52</v>
      </c>
      <c r="AH229">
        <f ca="1">IF(AND(ISNUMBER($AH$530),$B$294=1),$AH$530,HLOOKUP(INDIRECT(ADDRESS(2,COLUMN())),OFFSET($BN$2,0,0,ROW()-1,60),ROW()-1,FALSE))</f>
        <v>1.49</v>
      </c>
      <c r="AI229">
        <f ca="1">IF(AND(ISNUMBER($AI$530),$B$294=1),$AI$530,HLOOKUP(INDIRECT(ADDRESS(2,COLUMN())),OFFSET($BN$2,0,0,ROW()-1,60),ROW()-1,FALSE))</f>
        <v>-3.79</v>
      </c>
      <c r="AJ229">
        <f ca="1">IF(AND(ISNUMBER($AJ$530),$B$294=1),$AJ$530,HLOOKUP(INDIRECT(ADDRESS(2,COLUMN())),OFFSET($BN$2,0,0,ROW()-1,60),ROW()-1,FALSE))</f>
        <v>1.36</v>
      </c>
      <c r="AK229">
        <f ca="1">IF(AND(ISNUMBER($AK$530),$B$294=1),$AK$530,HLOOKUP(INDIRECT(ADDRESS(2,COLUMN())),OFFSET($BN$2,0,0,ROW()-1,60),ROW()-1,FALSE))</f>
        <v>2.68</v>
      </c>
      <c r="AL229">
        <f ca="1">IF(AND(ISNUMBER($AL$530),$B$294=1),$AL$530,HLOOKUP(INDIRECT(ADDRESS(2,COLUMN())),OFFSET($BN$2,0,0,ROW()-1,60),ROW()-1,FALSE))</f>
        <v>1.48</v>
      </c>
      <c r="AM229">
        <f ca="1">IF(AND(ISNUMBER($AM$530),$B$294=1),$AM$530,HLOOKUP(INDIRECT(ADDRESS(2,COLUMN())),OFFSET($BN$2,0,0,ROW()-1,60),ROW()-1,FALSE))</f>
        <v>2.6003997230000002</v>
      </c>
      <c r="AN229">
        <f ca="1">IF(AND(ISNUMBER($AN$530),$B$294=1),$AN$530,HLOOKUP(INDIRECT(ADDRESS(2,COLUMN())),OFFSET($BN$2,0,0,ROW()-1,60),ROW()-1,FALSE))</f>
        <v>2.586300692</v>
      </c>
      <c r="AO229">
        <f ca="1">IF(AND(ISNUMBER($AO$530),$B$294=1),$AO$530,HLOOKUP(INDIRECT(ADDRESS(2,COLUMN())),OFFSET($BN$2,0,0,ROW()-1,60),ROW()-1,FALSE))</f>
        <v>2.5331748190000001</v>
      </c>
      <c r="AP229">
        <f ca="1">IF(AND(ISNUMBER($AP$530),$B$294=1),$AP$530,HLOOKUP(INDIRECT(ADDRESS(2,COLUMN())),OFFSET($BN$2,0,0,ROW()-1,60),ROW()-1,FALSE))</f>
        <v>2.4117309420000002</v>
      </c>
      <c r="AQ229">
        <f ca="1">IF(AND(ISNUMBER($AQ$530),$B$294=1),$AQ$530,HLOOKUP(INDIRECT(ADDRESS(2,COLUMN())),OFFSET($BN$2,0,0,ROW()-1,60),ROW()-1,FALSE))</f>
        <v>1.02</v>
      </c>
      <c r="AR229">
        <f ca="1">IF(AND(ISNUMBER($AR$530),$B$294=1),$AR$530,HLOOKUP(INDIRECT(ADDRESS(2,COLUMN())),OFFSET($BN$2,0,0,ROW()-1,60),ROW()-1,FALSE))</f>
        <v>2.2633897049999998</v>
      </c>
      <c r="AS229">
        <f ca="1">IF(AND(ISNUMBER($AS$530),$B$294=1),$AS$530,HLOOKUP(INDIRECT(ADDRESS(2,COLUMN())),OFFSET($BN$2,0,0,ROW()-1,60),ROW()-1,FALSE))</f>
        <v>2.1565592109999998</v>
      </c>
      <c r="AT229">
        <f ca="1">IF(AND(ISNUMBER($AT$530),$B$294=1),$AT$530,HLOOKUP(INDIRECT(ADDRESS(2,COLUMN())),OFFSET($BN$2,0,0,ROW()-1,60),ROW()-1,FALSE))</f>
        <v>2.0735574400000001</v>
      </c>
      <c r="AU229">
        <f ca="1">IF(AND(ISNUMBER($AU$530),$B$294=1),$AU$530,HLOOKUP(INDIRECT(ADDRESS(2,COLUMN())),OFFSET($BN$2,0,0,ROW()-1,60),ROW()-1,FALSE))</f>
        <v>2.223036623</v>
      </c>
      <c r="AV229">
        <f ca="1">IF(AND(ISNUMBER($AV$530),$B$294=1),$AV$530,HLOOKUP(INDIRECT(ADDRESS(2,COLUMN())),OFFSET($BN$2,0,0,ROW()-1,60),ROW()-1,FALSE))</f>
        <v>2.174317195</v>
      </c>
      <c r="AW229">
        <f ca="1">IF(AND(ISNUMBER($AW$530),$B$294=1),$AW$530,HLOOKUP(INDIRECT(ADDRESS(2,COLUMN())),OFFSET($BN$2,0,0,ROW()-1,60),ROW()-1,FALSE))</f>
        <v>2.1819677500000001</v>
      </c>
      <c r="AX229">
        <f ca="1">IF(AND(ISNUMBER($AX$530),$B$294=1),$AX$530,HLOOKUP(INDIRECT(ADDRESS(2,COLUMN())),OFFSET($BN$2,0,0,ROW()-1,60),ROW()-1,FALSE))</f>
        <v>2.1896553129999998</v>
      </c>
      <c r="AY229">
        <f ca="1">IF(AND(ISNUMBER($AY$530),$B$294=1),$AY$530,HLOOKUP(INDIRECT(ADDRESS(2,COLUMN())),OFFSET($BN$2,0,0,ROW()-1,60),ROW()-1,FALSE))</f>
        <v>2.0124561390000002</v>
      </c>
      <c r="AZ229">
        <f ca="1">IF(AND(ISNUMBER($AZ$530),$B$294=1),$AZ$530,HLOOKUP(INDIRECT(ADDRESS(2,COLUMN())),OFFSET($BN$2,0,0,ROW()-1,60),ROW()-1,FALSE))</f>
        <v>1.9138581299999999</v>
      </c>
      <c r="BA229">
        <f ca="1">IF(AND(ISNUMBER($BA$530),$B$294=1),$BA$530,HLOOKUP(INDIRECT(ADDRESS(2,COLUMN())),OFFSET($BN$2,0,0,ROW()-1,60),ROW()-1,FALSE))</f>
        <v>1.9542633389999999</v>
      </c>
      <c r="BB229">
        <f ca="1">IF(AND(ISNUMBER($BB$530),$B$294=1),$BB$530,HLOOKUP(INDIRECT(ADDRESS(2,COLUMN())),OFFSET($BN$2,0,0,ROW()-1,60),ROW()-1,FALSE))</f>
        <v>1.9544538709999999</v>
      </c>
      <c r="BC229">
        <f ca="1">IF(AND(ISNUMBER($BC$530),$B$294=1),$BC$530,HLOOKUP(INDIRECT(ADDRESS(2,COLUMN())),OFFSET($BN$2,0,0,ROW()-1,60),ROW()-1,FALSE))</f>
        <v>1.9103551990000001</v>
      </c>
      <c r="BD229">
        <f ca="1">IF(AND(ISNUMBER($BD$530),$B$294=1),$BD$530,HLOOKUP(INDIRECT(ADDRESS(2,COLUMN())),OFFSET($BN$2,0,0,ROW()-1,60),ROW()-1,FALSE))</f>
        <v>1.8324094150000001</v>
      </c>
      <c r="BE229">
        <f ca="1">IF(AND(ISNUMBER($BE$530),$B$294=1),$BE$530,HLOOKUP(INDIRECT(ADDRESS(2,COLUMN())),OFFSET($BN$2,0,0,ROW()-1,60),ROW()-1,FALSE))</f>
        <v>1.752774214</v>
      </c>
      <c r="BF229">
        <f ca="1">IF(AND(ISNUMBER($BF$530),$B$294=1),$BF$530,HLOOKUP(INDIRECT(ADDRESS(2,COLUMN())),OFFSET($BN$2,0,0,ROW()-1,60),ROW()-1,FALSE))</f>
        <v>1.823559511</v>
      </c>
      <c r="BG229">
        <f ca="1">IF(AND(ISNUMBER($BG$530),$B$294=1),$BG$530,HLOOKUP(INDIRECT(ADDRESS(2,COLUMN())),OFFSET($BN$2,0,0,ROW()-1,60),ROW()-1,FALSE))</f>
        <v>1.7629765399999999</v>
      </c>
      <c r="BH229" t="str">
        <f ca="1">IF(AND(ISNUMBER($BH$530),$B$294=1),$BH$530,HLOOKUP(INDIRECT(ADDRESS(2,COLUMN())),OFFSET($BN$2,0,0,ROW()-1,60),ROW()-1,FALSE))</f>
        <v/>
      </c>
      <c r="BI229" t="str">
        <f ca="1">IF(AND(ISNUMBER($BI$530),$B$294=1),$BI$530,HLOOKUP(INDIRECT(ADDRESS(2,COLUMN())),OFFSET($BN$2,0,0,ROW()-1,60),ROW()-1,FALSE))</f>
        <v/>
      </c>
      <c r="BJ229" t="str">
        <f ca="1">IF(AND(ISNUMBER($BJ$530),$B$294=1),$BJ$530,HLOOKUP(INDIRECT(ADDRESS(2,COLUMN())),OFFSET($BN$2,0,0,ROW()-1,60),ROW()-1,FALSE))</f>
        <v/>
      </c>
      <c r="BK229" t="str">
        <f ca="1">IF(AND(ISNUMBER($BK$530),$B$294=1),$BK$530,HLOOKUP(INDIRECT(ADDRESS(2,COLUMN())),OFFSET($BN$2,0,0,ROW()-1,60),ROW()-1,FALSE))</f>
        <v/>
      </c>
      <c r="BL229" t="str">
        <f ca="1">IF(AND(ISNUMBER($BL$530),$B$294=1),$BL$530,HLOOKUP(INDIRECT(ADDRESS(2,COLUMN())),OFFSET($BN$2,0,0,ROW()-1,60),ROW()-1,FALSE))</f>
        <v/>
      </c>
      <c r="BM229" t="str">
        <f ca="1">IF(AND(ISNUMBER($BM$530),$B$294=1),$BM$530,HLOOKUP(INDIRECT(ADDRESS(2,COLUMN())),OFFSET($BN$2,0,0,ROW()-1,60),ROW()-1,FALSE))</f>
        <v/>
      </c>
      <c r="BN229" t="str">
        <f>""</f>
        <v/>
      </c>
      <c r="BO229">
        <f>3.25</f>
        <v>3.25</v>
      </c>
      <c r="BP229">
        <f>3.02</f>
        <v>3.02</v>
      </c>
      <c r="BQ229">
        <f>2.46</f>
        <v>2.46</v>
      </c>
      <c r="BR229">
        <f>2.46</f>
        <v>2.46</v>
      </c>
      <c r="BS229">
        <f>2.29</f>
        <v>2.29</v>
      </c>
      <c r="BT229">
        <f>2.33</f>
        <v>2.33</v>
      </c>
      <c r="BU229">
        <f>2.25</f>
        <v>2.25</v>
      </c>
      <c r="BV229">
        <f>2.09</f>
        <v>2.09</v>
      </c>
      <c r="BW229">
        <f>1.81</f>
        <v>1.81</v>
      </c>
      <c r="BX229">
        <f>2.02</f>
        <v>2.02</v>
      </c>
      <c r="BY229">
        <f>1.91</f>
        <v>1.91</v>
      </c>
      <c r="BZ229">
        <f>1.76</f>
        <v>1.76</v>
      </c>
      <c r="CA229">
        <f>1.99</f>
        <v>1.99</v>
      </c>
      <c r="CB229">
        <f>2.27</f>
        <v>2.27</v>
      </c>
      <c r="CC229">
        <f>1.8</f>
        <v>1.8</v>
      </c>
      <c r="CD229">
        <f>1.59</f>
        <v>1.59</v>
      </c>
      <c r="CE229">
        <f>1.63</f>
        <v>1.63</v>
      </c>
      <c r="CF229">
        <f>1.65</f>
        <v>1.65</v>
      </c>
      <c r="CG229">
        <f>1.6</f>
        <v>1.6</v>
      </c>
      <c r="CH229">
        <f>1.54</f>
        <v>1.54</v>
      </c>
      <c r="CI229">
        <f>1.39</f>
        <v>1.39</v>
      </c>
      <c r="CJ229">
        <f>1.47</f>
        <v>1.47</v>
      </c>
      <c r="CK229">
        <f>1.51</f>
        <v>1.51</v>
      </c>
      <c r="CL229">
        <f>1.58</f>
        <v>1.58</v>
      </c>
      <c r="CM229">
        <f>1.45</f>
        <v>1.45</v>
      </c>
      <c r="CN229">
        <f>1.42</f>
        <v>1.42</v>
      </c>
      <c r="CO229">
        <f>1.52</f>
        <v>1.52</v>
      </c>
      <c r="CP229">
        <f>1.49</f>
        <v>1.49</v>
      </c>
      <c r="CQ229">
        <f>-3.79</f>
        <v>-3.79</v>
      </c>
      <c r="CR229">
        <f>1.36</f>
        <v>1.36</v>
      </c>
      <c r="CS229">
        <f>2.68</f>
        <v>2.68</v>
      </c>
      <c r="CT229">
        <f>1.48</f>
        <v>1.48</v>
      </c>
      <c r="CU229">
        <f>2.600399723</f>
        <v>2.6003997230000002</v>
      </c>
      <c r="CV229">
        <f>2.586300692</f>
        <v>2.586300692</v>
      </c>
      <c r="CW229">
        <f>2.533174819</f>
        <v>2.5331748190000001</v>
      </c>
      <c r="CX229">
        <f>2.411730942</f>
        <v>2.4117309420000002</v>
      </c>
      <c r="CY229">
        <f>1.02</f>
        <v>1.02</v>
      </c>
      <c r="CZ229">
        <f>2.263389705</f>
        <v>2.2633897049999998</v>
      </c>
      <c r="DA229">
        <f>2.156559211</f>
        <v>2.1565592109999998</v>
      </c>
      <c r="DB229">
        <f>2.07355744</f>
        <v>2.0735574400000001</v>
      </c>
      <c r="DC229">
        <f>2.223036623</f>
        <v>2.223036623</v>
      </c>
      <c r="DD229">
        <f>2.174317195</f>
        <v>2.174317195</v>
      </c>
      <c r="DE229">
        <f>2.18196775</f>
        <v>2.1819677500000001</v>
      </c>
      <c r="DF229">
        <f>2.189655313</f>
        <v>2.1896553129999998</v>
      </c>
      <c r="DG229">
        <f>2.012456139</f>
        <v>2.0124561390000002</v>
      </c>
      <c r="DH229">
        <f>1.91385813</f>
        <v>1.9138581299999999</v>
      </c>
      <c r="DI229">
        <f>1.954263339</f>
        <v>1.9542633389999999</v>
      </c>
      <c r="DJ229">
        <f>1.954453871</f>
        <v>1.9544538709999999</v>
      </c>
      <c r="DK229">
        <f>1.910355199</f>
        <v>1.9103551990000001</v>
      </c>
      <c r="DL229">
        <f>1.832409415</f>
        <v>1.8324094150000001</v>
      </c>
      <c r="DM229">
        <f>1.752774214</f>
        <v>1.752774214</v>
      </c>
      <c r="DN229">
        <f>1.823559511</f>
        <v>1.823559511</v>
      </c>
      <c r="DO229">
        <f>1.76297654</f>
        <v>1.7629765399999999</v>
      </c>
      <c r="DP229" t="str">
        <f>""</f>
        <v/>
      </c>
      <c r="DQ229" t="str">
        <f>""</f>
        <v/>
      </c>
      <c r="DR229" t="str">
        <f>""</f>
        <v/>
      </c>
      <c r="DS229" t="str">
        <f>""</f>
        <v/>
      </c>
      <c r="DT229" t="str">
        <f>""</f>
        <v/>
      </c>
      <c r="DU229" t="str">
        <f>""</f>
        <v/>
      </c>
    </row>
    <row r="230" spans="1:125">
      <c r="A230" t="str">
        <f>"    Kilroy Realty Corp"</f>
        <v xml:space="preserve">    Kilroy Realty Corp</v>
      </c>
      <c r="B230" t="str">
        <f>"KRC US Equity"</f>
        <v>KRC US Equity</v>
      </c>
      <c r="C230" t="str">
        <f t="shared" si="60"/>
        <v>F1023</v>
      </c>
      <c r="D230" t="str">
        <f t="shared" si="61"/>
        <v>FIXED_CHARGE_COVERAGE_RATIO</v>
      </c>
      <c r="E230" t="str">
        <f t="shared" si="62"/>
        <v>动态</v>
      </c>
      <c r="F230" t="str">
        <f ca="1">IF(AND(ISNUMBER($F$531),$B$294=1),$F$531,HLOOKUP(INDIRECT(ADDRESS(2,COLUMN())),OFFSET($BN$2,0,0,ROW()-1,60),ROW()-1,FALSE))</f>
        <v/>
      </c>
      <c r="G230">
        <f ca="1">IF(AND(ISNUMBER($G$531),$B$294=1),$G$531,HLOOKUP(INDIRECT(ADDRESS(2,COLUMN())),OFFSET($BN$2,0,0,ROW()-1,60),ROW()-1,FALSE))</f>
        <v>4.2</v>
      </c>
      <c r="H230">
        <f ca="1">IF(AND(ISNUMBER($H$531),$B$294=1),$H$531,HLOOKUP(INDIRECT(ADDRESS(2,COLUMN())),OFFSET($BN$2,0,0,ROW()-1,60),ROW()-1,FALSE))</f>
        <v>3.3</v>
      </c>
      <c r="I230">
        <f ca="1">IF(AND(ISNUMBER($I$531),$B$294=1),$I$531,HLOOKUP(INDIRECT(ADDRESS(2,COLUMN())),OFFSET($BN$2,0,0,ROW()-1,60),ROW()-1,FALSE))</f>
        <v>3.3</v>
      </c>
      <c r="J230">
        <f ca="1">IF(AND(ISNUMBER($J$531),$B$294=1),$J$531,HLOOKUP(INDIRECT(ADDRESS(2,COLUMN())),OFFSET($BN$2,0,0,ROW()-1,60),ROW()-1,FALSE))</f>
        <v>3.2</v>
      </c>
      <c r="K230">
        <f ca="1">IF(AND(ISNUMBER($K$531),$B$294=1),$K$531,HLOOKUP(INDIRECT(ADDRESS(2,COLUMN())),OFFSET($BN$2,0,0,ROW()-1,60),ROW()-1,FALSE))</f>
        <v>3.7</v>
      </c>
      <c r="L230">
        <f ca="1">IF(AND(ISNUMBER($L$531),$B$294=1),$L$531,HLOOKUP(INDIRECT(ADDRESS(2,COLUMN())),OFFSET($BN$2,0,0,ROW()-1,60),ROW()-1,FALSE))</f>
        <v>3</v>
      </c>
      <c r="M230">
        <f ca="1">IF(AND(ISNUMBER($M$531),$B$294=1),$M$531,HLOOKUP(INDIRECT(ADDRESS(2,COLUMN())),OFFSET($BN$2,0,0,ROW()-1,60),ROW()-1,FALSE))</f>
        <v>2.8</v>
      </c>
      <c r="N230">
        <f ca="1">IF(AND(ISNUMBER($N$531),$B$294=1),$N$531,HLOOKUP(INDIRECT(ADDRESS(2,COLUMN())),OFFSET($BN$2,0,0,ROW()-1,60),ROW()-1,FALSE))</f>
        <v>2.5</v>
      </c>
      <c r="O230">
        <f ca="1">IF(AND(ISNUMBER($O$531),$B$294=1),$O$531,HLOOKUP(INDIRECT(ADDRESS(2,COLUMN())),OFFSET($BN$2,0,0,ROW()-1,60),ROW()-1,FALSE))</f>
        <v>3.1</v>
      </c>
      <c r="P230">
        <f ca="1">IF(AND(ISNUMBER($P$531),$B$294=1),$P$531,HLOOKUP(INDIRECT(ADDRESS(2,COLUMN())),OFFSET($BN$2,0,0,ROW()-1,60),ROW()-1,FALSE))</f>
        <v>3</v>
      </c>
      <c r="Q230">
        <f ca="1">IF(AND(ISNUMBER($Q$531),$B$294=1),$Q$531,HLOOKUP(INDIRECT(ADDRESS(2,COLUMN())),OFFSET($BN$2,0,0,ROW()-1,60),ROW()-1,FALSE))</f>
        <v>3.1</v>
      </c>
      <c r="R230">
        <f ca="1">IF(AND(ISNUMBER($R$531),$B$294=1),$R$531,HLOOKUP(INDIRECT(ADDRESS(2,COLUMN())),OFFSET($BN$2,0,0,ROW()-1,60),ROW()-1,FALSE))</f>
        <v>3.6</v>
      </c>
      <c r="S230">
        <f ca="1">IF(AND(ISNUMBER($S$531),$B$294=1),$S$531,HLOOKUP(INDIRECT(ADDRESS(2,COLUMN())),OFFSET($BN$2,0,0,ROW()-1,60),ROW()-1,FALSE))</f>
        <v>2.9</v>
      </c>
      <c r="T230">
        <f ca="1">IF(AND(ISNUMBER($T$531),$B$294=1),$T$531,HLOOKUP(INDIRECT(ADDRESS(2,COLUMN())),OFFSET($BN$2,0,0,ROW()-1,60),ROW()-1,FALSE))</f>
        <v>2.6</v>
      </c>
      <c r="U230">
        <f ca="1">IF(AND(ISNUMBER($U$531),$B$294=1),$U$531,HLOOKUP(INDIRECT(ADDRESS(2,COLUMN())),OFFSET($BN$2,0,0,ROW()-1,60),ROW()-1,FALSE))</f>
        <v>2.9</v>
      </c>
      <c r="V230">
        <f ca="1">IF(AND(ISNUMBER($V$531),$B$294=1),$V$531,HLOOKUP(INDIRECT(ADDRESS(2,COLUMN())),OFFSET($BN$2,0,0,ROW()-1,60),ROW()-1,FALSE))</f>
        <v>2.7</v>
      </c>
      <c r="W230">
        <f ca="1">IF(AND(ISNUMBER($W$531),$B$294=1),$W$531,HLOOKUP(INDIRECT(ADDRESS(2,COLUMN())),OFFSET($BN$2,0,0,ROW()-1,60),ROW()-1,FALSE))</f>
        <v>2.7</v>
      </c>
      <c r="X230">
        <f ca="1">IF(AND(ISNUMBER($X$531),$B$294=1),$X$531,HLOOKUP(INDIRECT(ADDRESS(2,COLUMN())),OFFSET($BN$2,0,0,ROW()-1,60),ROW()-1,FALSE))</f>
        <v>2.7</v>
      </c>
      <c r="Y230">
        <f ca="1">IF(AND(ISNUMBER($Y$531),$B$294=1),$Y$531,HLOOKUP(INDIRECT(ADDRESS(2,COLUMN())),OFFSET($BN$2,0,0,ROW()-1,60),ROW()-1,FALSE))</f>
        <v>2.7</v>
      </c>
      <c r="Z230">
        <f ca="1">IF(AND(ISNUMBER($Z$531),$B$294=1),$Z$531,HLOOKUP(INDIRECT(ADDRESS(2,COLUMN())),OFFSET($BN$2,0,0,ROW()-1,60),ROW()-1,FALSE))</f>
        <v>2.5</v>
      </c>
      <c r="AA230">
        <f ca="1">IF(AND(ISNUMBER($AA$531),$B$294=1),$AA$531,HLOOKUP(INDIRECT(ADDRESS(2,COLUMN())),OFFSET($BN$2,0,0,ROW()-1,60),ROW()-1,FALSE))</f>
        <v>2.6</v>
      </c>
      <c r="AB230">
        <f ca="1">IF(AND(ISNUMBER($AB$531),$B$294=1),$AB$531,HLOOKUP(INDIRECT(ADDRESS(2,COLUMN())),OFFSET($BN$2,0,0,ROW()-1,60),ROW()-1,FALSE))</f>
        <v>2.6</v>
      </c>
      <c r="AC230">
        <f ca="1">IF(AND(ISNUMBER($AC$531),$B$294=1),$AC$531,HLOOKUP(INDIRECT(ADDRESS(2,COLUMN())),OFFSET($BN$2,0,0,ROW()-1,60),ROW()-1,FALSE))</f>
        <v>2.6</v>
      </c>
      <c r="AD230">
        <f ca="1">IF(AND(ISNUMBER($AD$531),$B$294=1),$AD$531,HLOOKUP(INDIRECT(ADDRESS(2,COLUMN())),OFFSET($BN$2,0,0,ROW()-1,60),ROW()-1,FALSE))</f>
        <v>2.5</v>
      </c>
      <c r="AE230">
        <f ca="1">IF(AND(ISNUMBER($AE$531),$B$294=1),$AE$531,HLOOKUP(INDIRECT(ADDRESS(2,COLUMN())),OFFSET($BN$2,0,0,ROW()-1,60),ROW()-1,FALSE))</f>
        <v>2.2999999999999998</v>
      </c>
      <c r="AF230">
        <f ca="1">IF(AND(ISNUMBER($AF$531),$B$294=1),$AF$531,HLOOKUP(INDIRECT(ADDRESS(2,COLUMN())),OFFSET($BN$2,0,0,ROW()-1,60),ROW()-1,FALSE))</f>
        <v>2.2999999999999998</v>
      </c>
      <c r="AG230">
        <f ca="1">IF(AND(ISNUMBER($AG$531),$B$294=1),$AG$531,HLOOKUP(INDIRECT(ADDRESS(2,COLUMN())),OFFSET($BN$2,0,0,ROW()-1,60),ROW()-1,FALSE))</f>
        <v>2.4</v>
      </c>
      <c r="AH230">
        <f ca="1">IF(AND(ISNUMBER($AH$531),$B$294=1),$AH$531,HLOOKUP(INDIRECT(ADDRESS(2,COLUMN())),OFFSET($BN$2,0,0,ROW()-1,60),ROW()-1,FALSE))</f>
        <v>2.4</v>
      </c>
      <c r="AI230">
        <f ca="1">IF(AND(ISNUMBER($AI$531),$B$294=1),$AI$531,HLOOKUP(INDIRECT(ADDRESS(2,COLUMN())),OFFSET($BN$2,0,0,ROW()-1,60),ROW()-1,FALSE))</f>
        <v>2.5</v>
      </c>
      <c r="AJ230">
        <f ca="1">IF(AND(ISNUMBER($AJ$531),$B$294=1),$AJ$531,HLOOKUP(INDIRECT(ADDRESS(2,COLUMN())),OFFSET($BN$2,0,0,ROW()-1,60),ROW()-1,FALSE))</f>
        <v>2.7</v>
      </c>
      <c r="AK230">
        <f ca="1">IF(AND(ISNUMBER($AK$531),$B$294=1),$AK$531,HLOOKUP(INDIRECT(ADDRESS(2,COLUMN())),OFFSET($BN$2,0,0,ROW()-1,60),ROW()-1,FALSE))</f>
        <v>2.7</v>
      </c>
      <c r="AL230">
        <f ca="1">IF(AND(ISNUMBER($AL$531),$B$294=1),$AL$531,HLOOKUP(INDIRECT(ADDRESS(2,COLUMN())),OFFSET($BN$2,0,0,ROW()-1,60),ROW()-1,FALSE))</f>
        <v>2.8</v>
      </c>
      <c r="AM230">
        <f ca="1">IF(AND(ISNUMBER($AM$531),$B$294=1),$AM$531,HLOOKUP(INDIRECT(ADDRESS(2,COLUMN())),OFFSET($BN$2,0,0,ROW()-1,60),ROW()-1,FALSE))</f>
        <v>2.2000000000000002</v>
      </c>
      <c r="AN230">
        <f ca="1">IF(AND(ISNUMBER($AN$531),$B$294=1),$AN$531,HLOOKUP(INDIRECT(ADDRESS(2,COLUMN())),OFFSET($BN$2,0,0,ROW()-1,60),ROW()-1,FALSE))</f>
        <v>3</v>
      </c>
      <c r="AO230">
        <f ca="1">IF(AND(ISNUMBER($AO$531),$B$294=1),$AO$531,HLOOKUP(INDIRECT(ADDRESS(2,COLUMN())),OFFSET($BN$2,0,0,ROW()-1,60),ROW()-1,FALSE))</f>
        <v>3.1</v>
      </c>
      <c r="AP230">
        <f ca="1">IF(AND(ISNUMBER($AP$531),$B$294=1),$AP$531,HLOOKUP(INDIRECT(ADDRESS(2,COLUMN())),OFFSET($BN$2,0,0,ROW()-1,60),ROW()-1,FALSE))</f>
        <v>3</v>
      </c>
      <c r="AQ230">
        <f ca="1">IF(AND(ISNUMBER($AQ$531),$B$294=1),$AQ$531,HLOOKUP(INDIRECT(ADDRESS(2,COLUMN())),OFFSET($BN$2,0,0,ROW()-1,60),ROW()-1,FALSE))</f>
        <v>2.5</v>
      </c>
      <c r="AR230">
        <f ca="1">IF(AND(ISNUMBER($AR$531),$B$294=1),$AR$531,HLOOKUP(INDIRECT(ADDRESS(2,COLUMN())),OFFSET($BN$2,0,0,ROW()-1,60),ROW()-1,FALSE))</f>
        <v>3.6</v>
      </c>
      <c r="AS230">
        <f ca="1">IF(AND(ISNUMBER($AS$531),$B$294=1),$AS$531,HLOOKUP(INDIRECT(ADDRESS(2,COLUMN())),OFFSET($BN$2,0,0,ROW()-1,60),ROW()-1,FALSE))</f>
        <v>3.1</v>
      </c>
      <c r="AT230">
        <f ca="1">IF(AND(ISNUMBER($AT$531),$B$294=1),$AT$531,HLOOKUP(INDIRECT(ADDRESS(2,COLUMN())),OFFSET($BN$2,0,0,ROW()-1,60),ROW()-1,FALSE))</f>
        <v>3.2</v>
      </c>
      <c r="AU230" t="str">
        <f ca="1">IF(AND(ISNUMBER($AU$531),$B$294=1),$AU$531,HLOOKUP(INDIRECT(ADDRESS(2,COLUMN())),OFFSET($BN$2,0,0,ROW()-1,60),ROW()-1,FALSE))</f>
        <v/>
      </c>
      <c r="AV230">
        <f ca="1">IF(AND(ISNUMBER($AV$531),$B$294=1),$AV$531,HLOOKUP(INDIRECT(ADDRESS(2,COLUMN())),OFFSET($BN$2,0,0,ROW()-1,60),ROW()-1,FALSE))</f>
        <v>3.2</v>
      </c>
      <c r="AW230">
        <f ca="1">IF(AND(ISNUMBER($AW$531),$B$294=1),$AW$531,HLOOKUP(INDIRECT(ADDRESS(2,COLUMN())),OFFSET($BN$2,0,0,ROW()-1,60),ROW()-1,FALSE))</f>
        <v>3.3</v>
      </c>
      <c r="AX230">
        <f ca="1">IF(AND(ISNUMBER($AX$531),$B$294=1),$AX$531,HLOOKUP(INDIRECT(ADDRESS(2,COLUMN())),OFFSET($BN$2,0,0,ROW()-1,60),ROW()-1,FALSE))</f>
        <v>2.9</v>
      </c>
      <c r="AY230" t="str">
        <f ca="1">IF(AND(ISNUMBER($AY$531),$B$294=1),$AY$531,HLOOKUP(INDIRECT(ADDRESS(2,COLUMN())),OFFSET($BN$2,0,0,ROW()-1,60),ROW()-1,FALSE))</f>
        <v/>
      </c>
      <c r="AZ230">
        <f ca="1">IF(AND(ISNUMBER($AZ$531),$B$294=1),$AZ$531,HLOOKUP(INDIRECT(ADDRESS(2,COLUMN())),OFFSET($BN$2,0,0,ROW()-1,60),ROW()-1,FALSE))</f>
        <v>2.9</v>
      </c>
      <c r="BA230">
        <f ca="1">IF(AND(ISNUMBER($BA$531),$B$294=1),$BA$531,HLOOKUP(INDIRECT(ADDRESS(2,COLUMN())),OFFSET($BN$2,0,0,ROW()-1,60),ROW()-1,FALSE))</f>
        <v>3.5</v>
      </c>
      <c r="BB230">
        <f ca="1">IF(AND(ISNUMBER($BB$531),$B$294=1),$BB$531,HLOOKUP(INDIRECT(ADDRESS(2,COLUMN())),OFFSET($BN$2,0,0,ROW()-1,60),ROW()-1,FALSE))</f>
        <v>2.7</v>
      </c>
      <c r="BC230" t="str">
        <f ca="1">IF(AND(ISNUMBER($BC$531),$B$294=1),$BC$531,HLOOKUP(INDIRECT(ADDRESS(2,COLUMN())),OFFSET($BN$2,0,0,ROW()-1,60),ROW()-1,FALSE))</f>
        <v/>
      </c>
      <c r="BD230" t="str">
        <f ca="1">IF(AND(ISNUMBER($BD$531),$B$294=1),$BD$531,HLOOKUP(INDIRECT(ADDRESS(2,COLUMN())),OFFSET($BN$2,0,0,ROW()-1,60),ROW()-1,FALSE))</f>
        <v/>
      </c>
      <c r="BE230" t="str">
        <f ca="1">IF(AND(ISNUMBER($BE$531),$B$294=1),$BE$531,HLOOKUP(INDIRECT(ADDRESS(2,COLUMN())),OFFSET($BN$2,0,0,ROW()-1,60),ROW()-1,FALSE))</f>
        <v/>
      </c>
      <c r="BF230">
        <f ca="1">IF(AND(ISNUMBER($BF$531),$B$294=1),$BF$531,HLOOKUP(INDIRECT(ADDRESS(2,COLUMN())),OFFSET($BN$2,0,0,ROW()-1,60),ROW()-1,FALSE))</f>
        <v>2.458545719</v>
      </c>
      <c r="BG230">
        <f ca="1">IF(AND(ISNUMBER($BG$531),$B$294=1),$BG$531,HLOOKUP(INDIRECT(ADDRESS(2,COLUMN())),OFFSET($BN$2,0,0,ROW()-1,60),ROW()-1,FALSE))</f>
        <v>2.8132960549999999</v>
      </c>
      <c r="BH230">
        <f ca="1">IF(AND(ISNUMBER($BH$531),$B$294=1),$BH$531,HLOOKUP(INDIRECT(ADDRESS(2,COLUMN())),OFFSET($BN$2,0,0,ROW()-1,60),ROW()-1,FALSE))</f>
        <v>3.0486044620000001</v>
      </c>
      <c r="BI230" t="str">
        <f ca="1">IF(AND(ISNUMBER($BI$531),$B$294=1),$BI$531,HLOOKUP(INDIRECT(ADDRESS(2,COLUMN())),OFFSET($BN$2,0,0,ROW()-1,60),ROW()-1,FALSE))</f>
        <v/>
      </c>
      <c r="BJ230" t="str">
        <f ca="1">IF(AND(ISNUMBER($BJ$531),$B$294=1),$BJ$531,HLOOKUP(INDIRECT(ADDRESS(2,COLUMN())),OFFSET($BN$2,0,0,ROW()-1,60),ROW()-1,FALSE))</f>
        <v/>
      </c>
      <c r="BK230" t="str">
        <f ca="1">IF(AND(ISNUMBER($BK$531),$B$294=1),$BK$531,HLOOKUP(INDIRECT(ADDRESS(2,COLUMN())),OFFSET($BN$2,0,0,ROW()-1,60),ROW()-1,FALSE))</f>
        <v/>
      </c>
      <c r="BL230" t="str">
        <f ca="1">IF(AND(ISNUMBER($BL$531),$B$294=1),$BL$531,HLOOKUP(INDIRECT(ADDRESS(2,COLUMN())),OFFSET($BN$2,0,0,ROW()-1,60),ROW()-1,FALSE))</f>
        <v/>
      </c>
      <c r="BM230" t="str">
        <f ca="1">IF(AND(ISNUMBER($BM$531),$B$294=1),$BM$531,HLOOKUP(INDIRECT(ADDRESS(2,COLUMN())),OFFSET($BN$2,0,0,ROW()-1,60),ROW()-1,FALSE))</f>
        <v/>
      </c>
      <c r="BN230" t="str">
        <f>""</f>
        <v/>
      </c>
      <c r="BO230">
        <f>4.2</f>
        <v>4.2</v>
      </c>
      <c r="BP230">
        <f>3.3</f>
        <v>3.3</v>
      </c>
      <c r="BQ230">
        <f>3.3</f>
        <v>3.3</v>
      </c>
      <c r="BR230">
        <f>3.2</f>
        <v>3.2</v>
      </c>
      <c r="BS230">
        <f>3.7</f>
        <v>3.7</v>
      </c>
      <c r="BT230">
        <f>3</f>
        <v>3</v>
      </c>
      <c r="BU230">
        <f>2.8</f>
        <v>2.8</v>
      </c>
      <c r="BV230">
        <f>2.5</f>
        <v>2.5</v>
      </c>
      <c r="BW230">
        <f>3.1</f>
        <v>3.1</v>
      </c>
      <c r="BX230">
        <f>3</f>
        <v>3</v>
      </c>
      <c r="BY230">
        <f>3.1</f>
        <v>3.1</v>
      </c>
      <c r="BZ230">
        <f>3.6</f>
        <v>3.6</v>
      </c>
      <c r="CA230">
        <f>2.9</f>
        <v>2.9</v>
      </c>
      <c r="CB230">
        <f>2.6</f>
        <v>2.6</v>
      </c>
      <c r="CC230">
        <f>2.9</f>
        <v>2.9</v>
      </c>
      <c r="CD230">
        <f>2.7</f>
        <v>2.7</v>
      </c>
      <c r="CE230">
        <f>2.7</f>
        <v>2.7</v>
      </c>
      <c r="CF230">
        <f>2.7</f>
        <v>2.7</v>
      </c>
      <c r="CG230">
        <f>2.7</f>
        <v>2.7</v>
      </c>
      <c r="CH230">
        <f>2.5</f>
        <v>2.5</v>
      </c>
      <c r="CI230">
        <f>2.6</f>
        <v>2.6</v>
      </c>
      <c r="CJ230">
        <f>2.6</f>
        <v>2.6</v>
      </c>
      <c r="CK230">
        <f>2.6</f>
        <v>2.6</v>
      </c>
      <c r="CL230">
        <f>2.5</f>
        <v>2.5</v>
      </c>
      <c r="CM230">
        <f>2.3</f>
        <v>2.2999999999999998</v>
      </c>
      <c r="CN230">
        <f>2.3</f>
        <v>2.2999999999999998</v>
      </c>
      <c r="CO230">
        <f>2.4</f>
        <v>2.4</v>
      </c>
      <c r="CP230">
        <f>2.4</f>
        <v>2.4</v>
      </c>
      <c r="CQ230">
        <f>2.5</f>
        <v>2.5</v>
      </c>
      <c r="CR230">
        <f>2.7</f>
        <v>2.7</v>
      </c>
      <c r="CS230">
        <f>2.7</f>
        <v>2.7</v>
      </c>
      <c r="CT230">
        <f>2.8</f>
        <v>2.8</v>
      </c>
      <c r="CU230">
        <f>2.2</f>
        <v>2.2000000000000002</v>
      </c>
      <c r="CV230">
        <f>3</f>
        <v>3</v>
      </c>
      <c r="CW230">
        <f>3.1</f>
        <v>3.1</v>
      </c>
      <c r="CX230">
        <f>3</f>
        <v>3</v>
      </c>
      <c r="CY230">
        <f>2.5</f>
        <v>2.5</v>
      </c>
      <c r="CZ230">
        <f>3.6</f>
        <v>3.6</v>
      </c>
      <c r="DA230">
        <f>3.1</f>
        <v>3.1</v>
      </c>
      <c r="DB230">
        <f>3.2</f>
        <v>3.2</v>
      </c>
      <c r="DC230" t="str">
        <f>""</f>
        <v/>
      </c>
      <c r="DD230">
        <f>3.2</f>
        <v>3.2</v>
      </c>
      <c r="DE230">
        <f>3.3</f>
        <v>3.3</v>
      </c>
      <c r="DF230">
        <f>2.9</f>
        <v>2.9</v>
      </c>
      <c r="DG230" t="str">
        <f>""</f>
        <v/>
      </c>
      <c r="DH230">
        <f>2.9</f>
        <v>2.9</v>
      </c>
      <c r="DI230">
        <f>3.5</f>
        <v>3.5</v>
      </c>
      <c r="DJ230">
        <f>2.7</f>
        <v>2.7</v>
      </c>
      <c r="DK230" t="str">
        <f>""</f>
        <v/>
      </c>
      <c r="DL230" t="str">
        <f>""</f>
        <v/>
      </c>
      <c r="DM230" t="str">
        <f>""</f>
        <v/>
      </c>
      <c r="DN230">
        <f>2.458545719</f>
        <v>2.458545719</v>
      </c>
      <c r="DO230">
        <f>2.813296055</f>
        <v>2.8132960549999999</v>
      </c>
      <c r="DP230">
        <f>3.048604462</f>
        <v>3.0486044620000001</v>
      </c>
      <c r="DQ230" t="str">
        <f>""</f>
        <v/>
      </c>
      <c r="DR230" t="str">
        <f>""</f>
        <v/>
      </c>
      <c r="DS230" t="str">
        <f>""</f>
        <v/>
      </c>
      <c r="DT230" t="str">
        <f>""</f>
        <v/>
      </c>
      <c r="DU230" t="str">
        <f>""</f>
        <v/>
      </c>
    </row>
    <row r="231" spans="1:125">
      <c r="A231" t="str">
        <f>"    Mack-Cali Realty Corp"</f>
        <v xml:space="preserve">    Mack-Cali Realty Corp</v>
      </c>
      <c r="B231" t="str">
        <f>"CLI US Equity"</f>
        <v>CLI US Equity</v>
      </c>
      <c r="C231" t="str">
        <f t="shared" si="60"/>
        <v>F1023</v>
      </c>
      <c r="D231" t="str">
        <f t="shared" si="61"/>
        <v>FIXED_CHARGE_COVERAGE_RATIO</v>
      </c>
      <c r="E231" t="str">
        <f t="shared" si="62"/>
        <v>动态</v>
      </c>
      <c r="F231" t="str">
        <f ca="1">IF(AND(ISNUMBER($F$532),$B$294=1),$F$532,HLOOKUP(INDIRECT(ADDRESS(2,COLUMN())),OFFSET($BN$2,0,0,ROW()-1,60),ROW()-1,FALSE))</f>
        <v/>
      </c>
      <c r="G231">
        <f ca="1">IF(AND(ISNUMBER($G$532),$B$294=1),$G$532,HLOOKUP(INDIRECT(ADDRESS(2,COLUMN())),OFFSET($BN$2,0,0,ROW()-1,60),ROW()-1,FALSE))</f>
        <v>2.4</v>
      </c>
      <c r="H231">
        <f ca="1">IF(AND(ISNUMBER($H$532),$B$294=1),$H$532,HLOOKUP(INDIRECT(ADDRESS(2,COLUMN())),OFFSET($BN$2,0,0,ROW()-1,60),ROW()-1,FALSE))</f>
        <v>2.6</v>
      </c>
      <c r="I231">
        <f ca="1">IF(AND(ISNUMBER($I$532),$B$294=1),$I$532,HLOOKUP(INDIRECT(ADDRESS(2,COLUMN())),OFFSET($BN$2,0,0,ROW()-1,60),ROW()-1,FALSE))</f>
        <v>2.8</v>
      </c>
      <c r="J231">
        <f ca="1">IF(AND(ISNUMBER($J$532),$B$294=1),$J$532,HLOOKUP(INDIRECT(ADDRESS(2,COLUMN())),OFFSET($BN$2,0,0,ROW()-1,60),ROW()-1,FALSE))</f>
        <v>2.9</v>
      </c>
      <c r="K231">
        <f ca="1">IF(AND(ISNUMBER($K$532),$B$294=1),$K$532,HLOOKUP(INDIRECT(ADDRESS(2,COLUMN())),OFFSET($BN$2,0,0,ROW()-1,60),ROW()-1,FALSE))</f>
        <v>2.71</v>
      </c>
      <c r="L231">
        <f ca="1">IF(AND(ISNUMBER($L$532),$B$294=1),$L$532,HLOOKUP(INDIRECT(ADDRESS(2,COLUMN())),OFFSET($BN$2,0,0,ROW()-1,60),ROW()-1,FALSE))</f>
        <v>2.63</v>
      </c>
      <c r="M231">
        <f ca="1">IF(AND(ISNUMBER($M$532),$B$294=1),$M$532,HLOOKUP(INDIRECT(ADDRESS(2,COLUMN())),OFFSET($BN$2,0,0,ROW()-1,60),ROW()-1,FALSE))</f>
        <v>2.64</v>
      </c>
      <c r="N231">
        <f ca="1">IF(AND(ISNUMBER($N$532),$B$294=1),$N$532,HLOOKUP(INDIRECT(ADDRESS(2,COLUMN())),OFFSET($BN$2,0,0,ROW()-1,60),ROW()-1,FALSE))</f>
        <v>2.35</v>
      </c>
      <c r="O231">
        <f ca="1">IF(AND(ISNUMBER($O$532),$B$294=1),$O$532,HLOOKUP(INDIRECT(ADDRESS(2,COLUMN())),OFFSET($BN$2,0,0,ROW()-1,60),ROW()-1,FALSE))</f>
        <v>2.35</v>
      </c>
      <c r="P231">
        <f ca="1">IF(AND(ISNUMBER($P$532),$B$294=1),$P$532,HLOOKUP(INDIRECT(ADDRESS(2,COLUMN())),OFFSET($BN$2,0,0,ROW()-1,60),ROW()-1,FALSE))</f>
        <v>2.64</v>
      </c>
      <c r="Q231">
        <f ca="1">IF(AND(ISNUMBER($Q$532),$B$294=1),$Q$532,HLOOKUP(INDIRECT(ADDRESS(2,COLUMN())),OFFSET($BN$2,0,0,ROW()-1,60),ROW()-1,FALSE))</f>
        <v>2.3199999999999998</v>
      </c>
      <c r="R231">
        <f ca="1">IF(AND(ISNUMBER($R$532),$B$294=1),$R$532,HLOOKUP(INDIRECT(ADDRESS(2,COLUMN())),OFFSET($BN$2,0,0,ROW()-1,60),ROW()-1,FALSE))</f>
        <v>2.2000000000000002</v>
      </c>
      <c r="S231">
        <f ca="1">IF(AND(ISNUMBER($S$532),$B$294=1),$S$532,HLOOKUP(INDIRECT(ADDRESS(2,COLUMN())),OFFSET($BN$2,0,0,ROW()-1,60),ROW()-1,FALSE))</f>
        <v>1.85</v>
      </c>
      <c r="T231">
        <f ca="1">IF(AND(ISNUMBER($T$532),$B$294=1),$T$532,HLOOKUP(INDIRECT(ADDRESS(2,COLUMN())),OFFSET($BN$2,0,0,ROW()-1,60),ROW()-1,FALSE))</f>
        <v>2.34</v>
      </c>
      <c r="U231">
        <f ca="1">IF(AND(ISNUMBER($U$532),$B$294=1),$U$532,HLOOKUP(INDIRECT(ADDRESS(2,COLUMN())),OFFSET($BN$2,0,0,ROW()-1,60),ROW()-1,FALSE))</f>
        <v>2.44</v>
      </c>
      <c r="V231">
        <f ca="1">IF(AND(ISNUMBER($V$532),$B$294=1),$V$532,HLOOKUP(INDIRECT(ADDRESS(2,COLUMN())),OFFSET($BN$2,0,0,ROW()-1,60),ROW()-1,FALSE))</f>
        <v>1.77</v>
      </c>
      <c r="W231">
        <f ca="1">IF(AND(ISNUMBER($W$532),$B$294=1),$W$532,HLOOKUP(INDIRECT(ADDRESS(2,COLUMN())),OFFSET($BN$2,0,0,ROW()-1,60),ROW()-1,FALSE))</f>
        <v>2.38</v>
      </c>
      <c r="X231">
        <f ca="1">IF(AND(ISNUMBER($X$532),$B$294=1),$X$532,HLOOKUP(INDIRECT(ADDRESS(2,COLUMN())),OFFSET($BN$2,0,0,ROW()-1,60),ROW()-1,FALSE))</f>
        <v>2.48</v>
      </c>
      <c r="Y231">
        <f ca="1">IF(AND(ISNUMBER($Y$532),$B$294=1),$Y$532,HLOOKUP(INDIRECT(ADDRESS(2,COLUMN())),OFFSET($BN$2,0,0,ROW()-1,60),ROW()-1,FALSE))</f>
        <v>2.72</v>
      </c>
      <c r="Z231">
        <f ca="1">IF(AND(ISNUMBER($Z$532),$B$294=1),$Z$532,HLOOKUP(INDIRECT(ADDRESS(2,COLUMN())),OFFSET($BN$2,0,0,ROW()-1,60),ROW()-1,FALSE))</f>
        <v>2.7</v>
      </c>
      <c r="AA231">
        <f ca="1">IF(AND(ISNUMBER($AA$532),$B$294=1),$AA$532,HLOOKUP(INDIRECT(ADDRESS(2,COLUMN())),OFFSET($BN$2,0,0,ROW()-1,60),ROW()-1,FALSE))</f>
        <v>2.8</v>
      </c>
      <c r="AB231">
        <f ca="1">IF(AND(ISNUMBER($AB$532),$B$294=1),$AB$532,HLOOKUP(INDIRECT(ADDRESS(2,COLUMN())),OFFSET($BN$2,0,0,ROW()-1,60),ROW()-1,FALSE))</f>
        <v>2.92</v>
      </c>
      <c r="AC231">
        <f ca="1">IF(AND(ISNUMBER($AC$532),$B$294=1),$AC$532,HLOOKUP(INDIRECT(ADDRESS(2,COLUMN())),OFFSET($BN$2,0,0,ROW()-1,60),ROW()-1,FALSE))</f>
        <v>2.88</v>
      </c>
      <c r="AD231">
        <f ca="1">IF(AND(ISNUMBER($AD$532),$B$294=1),$AD$532,HLOOKUP(INDIRECT(ADDRESS(2,COLUMN())),OFFSET($BN$2,0,0,ROW()-1,60),ROW()-1,FALSE))</f>
        <v>3.31</v>
      </c>
      <c r="AE231">
        <f ca="1">IF(AND(ISNUMBER($AE$532),$B$294=1),$AE$532,HLOOKUP(INDIRECT(ADDRESS(2,COLUMN())),OFFSET($BN$2,0,0,ROW()-1,60),ROW()-1,FALSE))</f>
        <v>3.06</v>
      </c>
      <c r="AF231">
        <f ca="1">IF(AND(ISNUMBER($AF$532),$B$294=1),$AF$532,HLOOKUP(INDIRECT(ADDRESS(2,COLUMN())),OFFSET($BN$2,0,0,ROW()-1,60),ROW()-1,FALSE))</f>
        <v>3.17</v>
      </c>
      <c r="AG231">
        <f ca="1">IF(AND(ISNUMBER($AG$532),$B$294=1),$AG$532,HLOOKUP(INDIRECT(ADDRESS(2,COLUMN())),OFFSET($BN$2,0,0,ROW()-1,60),ROW()-1,FALSE))</f>
        <v>3.07</v>
      </c>
      <c r="AH231">
        <f ca="1">IF(AND(ISNUMBER($AH$532),$B$294=1),$AH$532,HLOOKUP(INDIRECT(ADDRESS(2,COLUMN())),OFFSET($BN$2,0,0,ROW()-1,60),ROW()-1,FALSE))</f>
        <v>2.98</v>
      </c>
      <c r="AI231">
        <f ca="1">IF(AND(ISNUMBER($AI$532),$B$294=1),$AI$532,HLOOKUP(INDIRECT(ADDRESS(2,COLUMN())),OFFSET($BN$2,0,0,ROW()-1,60),ROW()-1,FALSE))</f>
        <v>2.4</v>
      </c>
      <c r="AJ231">
        <f ca="1">IF(AND(ISNUMBER($AJ$532),$B$294=1),$AJ$532,HLOOKUP(INDIRECT(ADDRESS(2,COLUMN())),OFFSET($BN$2,0,0,ROW()-1,60),ROW()-1,FALSE))</f>
        <v>2.61</v>
      </c>
      <c r="AK231">
        <f ca="1">IF(AND(ISNUMBER($AK$532),$B$294=1),$AK$532,HLOOKUP(INDIRECT(ADDRESS(2,COLUMN())),OFFSET($BN$2,0,0,ROW()-1,60),ROW()-1,FALSE))</f>
        <v>2.65</v>
      </c>
      <c r="AL231">
        <f ca="1">IF(AND(ISNUMBER($AL$532),$B$294=1),$AL$532,HLOOKUP(INDIRECT(ADDRESS(2,COLUMN())),OFFSET($BN$2,0,0,ROW()-1,60),ROW()-1,FALSE))</f>
        <v>2.59</v>
      </c>
      <c r="AM231">
        <f ca="1">IF(AND(ISNUMBER($AM$532),$B$294=1),$AM$532,HLOOKUP(INDIRECT(ADDRESS(2,COLUMN())),OFFSET($BN$2,0,0,ROW()-1,60),ROW()-1,FALSE))</f>
        <v>-5.85</v>
      </c>
      <c r="AN231">
        <f ca="1">IF(AND(ISNUMBER($AN$532),$B$294=1),$AN$532,HLOOKUP(INDIRECT(ADDRESS(2,COLUMN())),OFFSET($BN$2,0,0,ROW()-1,60),ROW()-1,FALSE))</f>
        <v>2.97</v>
      </c>
      <c r="AO231">
        <f ca="1">IF(AND(ISNUMBER($AO$532),$B$294=1),$AO$532,HLOOKUP(INDIRECT(ADDRESS(2,COLUMN())),OFFSET($BN$2,0,0,ROW()-1,60),ROW()-1,FALSE))</f>
        <v>2.89</v>
      </c>
      <c r="AP231">
        <f ca="1">IF(AND(ISNUMBER($AP$532),$B$294=1),$AP$532,HLOOKUP(INDIRECT(ADDRESS(2,COLUMN())),OFFSET($BN$2,0,0,ROW()-1,60),ROW()-1,FALSE))</f>
        <v>2.71</v>
      </c>
      <c r="AQ231">
        <f ca="1">IF(AND(ISNUMBER($AQ$532),$B$294=1),$AQ$532,HLOOKUP(INDIRECT(ADDRESS(2,COLUMN())),OFFSET($BN$2,0,0,ROW()-1,60),ROW()-1,FALSE))</f>
        <v>2.54</v>
      </c>
      <c r="AR231">
        <f ca="1">IF(AND(ISNUMBER($AR$532),$B$294=1),$AR$532,HLOOKUP(INDIRECT(ADDRESS(2,COLUMN())),OFFSET($BN$2,0,0,ROW()-1,60),ROW()-1,FALSE))</f>
        <v>3.06</v>
      </c>
      <c r="AS231">
        <f ca="1">IF(AND(ISNUMBER($AS$532),$B$294=1),$AS$532,HLOOKUP(INDIRECT(ADDRESS(2,COLUMN())),OFFSET($BN$2,0,0,ROW()-1,60),ROW()-1,FALSE))</f>
        <v>2.85</v>
      </c>
      <c r="AT231">
        <f ca="1">IF(AND(ISNUMBER($AT$532),$B$294=1),$AT$532,HLOOKUP(INDIRECT(ADDRESS(2,COLUMN())),OFFSET($BN$2,0,0,ROW()-1,60),ROW()-1,FALSE))</f>
        <v>2.7</v>
      </c>
      <c r="AU231">
        <f ca="1">IF(AND(ISNUMBER($AU$532),$B$294=1),$AU$532,HLOOKUP(INDIRECT(ADDRESS(2,COLUMN())),OFFSET($BN$2,0,0,ROW()-1,60),ROW()-1,FALSE))</f>
        <v>2.86</v>
      </c>
      <c r="AV231">
        <f ca="1">IF(AND(ISNUMBER($AV$532),$B$294=1),$AV$532,HLOOKUP(INDIRECT(ADDRESS(2,COLUMN())),OFFSET($BN$2,0,0,ROW()-1,60),ROW()-1,FALSE))</f>
        <v>2.93</v>
      </c>
      <c r="AW231">
        <f ca="1">IF(AND(ISNUMBER($AW$532),$B$294=1),$AW$532,HLOOKUP(INDIRECT(ADDRESS(2,COLUMN())),OFFSET($BN$2,0,0,ROW()-1,60),ROW()-1,FALSE))</f>
        <v>2.94</v>
      </c>
      <c r="AX231">
        <f ca="1">IF(AND(ISNUMBER($AX$532),$B$294=1),$AX$532,HLOOKUP(INDIRECT(ADDRESS(2,COLUMN())),OFFSET($BN$2,0,0,ROW()-1,60),ROW()-1,FALSE))</f>
        <v>2.77</v>
      </c>
      <c r="AY231">
        <f ca="1">IF(AND(ISNUMBER($AY$532),$B$294=1),$AY$532,HLOOKUP(INDIRECT(ADDRESS(2,COLUMN())),OFFSET($BN$2,0,0,ROW()-1,60),ROW()-1,FALSE))</f>
        <v>2.4700000000000002</v>
      </c>
      <c r="AZ231">
        <f ca="1">IF(AND(ISNUMBER($AZ$532),$B$294=1),$AZ$532,HLOOKUP(INDIRECT(ADDRESS(2,COLUMN())),OFFSET($BN$2,0,0,ROW()-1,60),ROW()-1,FALSE))</f>
        <v>2.4500000000000002</v>
      </c>
      <c r="BA231">
        <f ca="1">IF(AND(ISNUMBER($BA$532),$B$294=1),$BA$532,HLOOKUP(INDIRECT(ADDRESS(2,COLUMN())),OFFSET($BN$2,0,0,ROW()-1,60),ROW()-1,FALSE))</f>
        <v>2.71</v>
      </c>
      <c r="BB231">
        <f ca="1">IF(AND(ISNUMBER($BB$532),$B$294=1),$BB$532,HLOOKUP(INDIRECT(ADDRESS(2,COLUMN())),OFFSET($BN$2,0,0,ROW()-1,60),ROW()-1,FALSE))</f>
        <v>3</v>
      </c>
      <c r="BC231">
        <f ca="1">IF(AND(ISNUMBER($BC$532),$B$294=1),$BC$532,HLOOKUP(INDIRECT(ADDRESS(2,COLUMN())),OFFSET($BN$2,0,0,ROW()-1,60),ROW()-1,FALSE))</f>
        <v>2.9602223009999999</v>
      </c>
      <c r="BD231">
        <f ca="1">IF(AND(ISNUMBER($BD$532),$B$294=1),$BD$532,HLOOKUP(INDIRECT(ADDRESS(2,COLUMN())),OFFSET($BN$2,0,0,ROW()-1,60),ROW()-1,FALSE))</f>
        <v>3.1577305629999999</v>
      </c>
      <c r="BE231">
        <f ca="1">IF(AND(ISNUMBER($BE$532),$B$294=1),$BE$532,HLOOKUP(INDIRECT(ADDRESS(2,COLUMN())),OFFSET($BN$2,0,0,ROW()-1,60),ROW()-1,FALSE))</f>
        <v>3.1757448849999999</v>
      </c>
      <c r="BF231">
        <f ca="1">IF(AND(ISNUMBER($BF$532),$B$294=1),$BF$532,HLOOKUP(INDIRECT(ADDRESS(2,COLUMN())),OFFSET($BN$2,0,0,ROW()-1,60),ROW()-1,FALSE))</f>
        <v>3.1782366010000001</v>
      </c>
      <c r="BG231">
        <f ca="1">IF(AND(ISNUMBER($BG$532),$B$294=1),$BG$532,HLOOKUP(INDIRECT(ADDRESS(2,COLUMN())),OFFSET($BN$2,0,0,ROW()-1,60),ROW()-1,FALSE))</f>
        <v>3.1546473179999999</v>
      </c>
      <c r="BH231">
        <f ca="1">IF(AND(ISNUMBER($BH$532),$B$294=1),$BH$532,HLOOKUP(INDIRECT(ADDRESS(2,COLUMN())),OFFSET($BN$2,0,0,ROW()-1,60),ROW()-1,FALSE))</f>
        <v>3.1195561359999999</v>
      </c>
      <c r="BI231">
        <f ca="1">IF(AND(ISNUMBER($BI$532),$B$294=1),$BI$532,HLOOKUP(INDIRECT(ADDRESS(2,COLUMN())),OFFSET($BN$2,0,0,ROW()-1,60),ROW()-1,FALSE))</f>
        <v>3.2606712500000001</v>
      </c>
      <c r="BJ231">
        <f ca="1">IF(AND(ISNUMBER($BJ$532),$B$294=1),$BJ$532,HLOOKUP(INDIRECT(ADDRESS(2,COLUMN())),OFFSET($BN$2,0,0,ROW()-1,60),ROW()-1,FALSE))</f>
        <v>3.2207300210000001</v>
      </c>
      <c r="BK231">
        <f ca="1">IF(AND(ISNUMBER($BK$532),$B$294=1),$BK$532,HLOOKUP(INDIRECT(ADDRESS(2,COLUMN())),OFFSET($BN$2,0,0,ROW()-1,60),ROW()-1,FALSE))</f>
        <v>3.2115691399999999</v>
      </c>
      <c r="BL231">
        <f ca="1">IF(AND(ISNUMBER($BL$532),$B$294=1),$BL$532,HLOOKUP(INDIRECT(ADDRESS(2,COLUMN())),OFFSET($BN$2,0,0,ROW()-1,60),ROW()-1,FALSE))</f>
        <v>3.198698383</v>
      </c>
      <c r="BM231">
        <f ca="1">IF(AND(ISNUMBER($BM$532),$B$294=1),$BM$532,HLOOKUP(INDIRECT(ADDRESS(2,COLUMN())),OFFSET($BN$2,0,0,ROW()-1,60),ROW()-1,FALSE))</f>
        <v>3.1807087549999999</v>
      </c>
      <c r="BN231" t="str">
        <f>""</f>
        <v/>
      </c>
      <c r="BO231">
        <f>2.4</f>
        <v>2.4</v>
      </c>
      <c r="BP231">
        <f>2.6</f>
        <v>2.6</v>
      </c>
      <c r="BQ231">
        <f>2.8</f>
        <v>2.8</v>
      </c>
      <c r="BR231">
        <f>2.9</f>
        <v>2.9</v>
      </c>
      <c r="BS231">
        <f>2.71</f>
        <v>2.71</v>
      </c>
      <c r="BT231">
        <f>2.63</f>
        <v>2.63</v>
      </c>
      <c r="BU231">
        <f>2.64</f>
        <v>2.64</v>
      </c>
      <c r="BV231">
        <f>2.35</f>
        <v>2.35</v>
      </c>
      <c r="BW231">
        <f>2.35</f>
        <v>2.35</v>
      </c>
      <c r="BX231">
        <f>2.64</f>
        <v>2.64</v>
      </c>
      <c r="BY231">
        <f>2.32</f>
        <v>2.3199999999999998</v>
      </c>
      <c r="BZ231">
        <f>2.2</f>
        <v>2.2000000000000002</v>
      </c>
      <c r="CA231">
        <f>1.85</f>
        <v>1.85</v>
      </c>
      <c r="CB231">
        <f>2.34</f>
        <v>2.34</v>
      </c>
      <c r="CC231">
        <f>2.44</f>
        <v>2.44</v>
      </c>
      <c r="CD231">
        <f>1.77</f>
        <v>1.77</v>
      </c>
      <c r="CE231">
        <f>2.38</f>
        <v>2.38</v>
      </c>
      <c r="CF231">
        <f>2.48</f>
        <v>2.48</v>
      </c>
      <c r="CG231">
        <f>2.72</f>
        <v>2.72</v>
      </c>
      <c r="CH231">
        <f>2.7</f>
        <v>2.7</v>
      </c>
      <c r="CI231">
        <f>2.8</f>
        <v>2.8</v>
      </c>
      <c r="CJ231">
        <f>2.92</f>
        <v>2.92</v>
      </c>
      <c r="CK231">
        <f>2.88</f>
        <v>2.88</v>
      </c>
      <c r="CL231">
        <f>3.31</f>
        <v>3.31</v>
      </c>
      <c r="CM231">
        <f>3.06</f>
        <v>3.06</v>
      </c>
      <c r="CN231">
        <f>3.17</f>
        <v>3.17</v>
      </c>
      <c r="CO231">
        <f>3.07</f>
        <v>3.07</v>
      </c>
      <c r="CP231">
        <f>2.98</f>
        <v>2.98</v>
      </c>
      <c r="CQ231">
        <f>2.4</f>
        <v>2.4</v>
      </c>
      <c r="CR231">
        <f>2.61</f>
        <v>2.61</v>
      </c>
      <c r="CS231">
        <f>2.65</f>
        <v>2.65</v>
      </c>
      <c r="CT231">
        <f>2.59</f>
        <v>2.59</v>
      </c>
      <c r="CU231">
        <f>-5.85</f>
        <v>-5.85</v>
      </c>
      <c r="CV231">
        <f>2.97</f>
        <v>2.97</v>
      </c>
      <c r="CW231">
        <f>2.89</f>
        <v>2.89</v>
      </c>
      <c r="CX231">
        <f>2.71</f>
        <v>2.71</v>
      </c>
      <c r="CY231">
        <f>2.54</f>
        <v>2.54</v>
      </c>
      <c r="CZ231">
        <f>3.06</f>
        <v>3.06</v>
      </c>
      <c r="DA231">
        <f>2.85</f>
        <v>2.85</v>
      </c>
      <c r="DB231">
        <f>2.7</f>
        <v>2.7</v>
      </c>
      <c r="DC231">
        <f>2.86</f>
        <v>2.86</v>
      </c>
      <c r="DD231">
        <f>2.93</f>
        <v>2.93</v>
      </c>
      <c r="DE231">
        <f>2.94</f>
        <v>2.94</v>
      </c>
      <c r="DF231">
        <f>2.77</f>
        <v>2.77</v>
      </c>
      <c r="DG231">
        <f>2.47</f>
        <v>2.4700000000000002</v>
      </c>
      <c r="DH231">
        <f>2.45</f>
        <v>2.4500000000000002</v>
      </c>
      <c r="DI231">
        <f>2.71</f>
        <v>2.71</v>
      </c>
      <c r="DJ231">
        <f>3</f>
        <v>3</v>
      </c>
      <c r="DK231">
        <f>2.960222301</f>
        <v>2.9602223009999999</v>
      </c>
      <c r="DL231">
        <f>3.157730563</f>
        <v>3.1577305629999999</v>
      </c>
      <c r="DM231">
        <f>3.175744885</f>
        <v>3.1757448849999999</v>
      </c>
      <c r="DN231">
        <f>3.178236601</f>
        <v>3.1782366010000001</v>
      </c>
      <c r="DO231">
        <f>3.154647318</f>
        <v>3.1546473179999999</v>
      </c>
      <c r="DP231">
        <f>3.119556136</f>
        <v>3.1195561359999999</v>
      </c>
      <c r="DQ231">
        <f>3.26067125</f>
        <v>3.2606712500000001</v>
      </c>
      <c r="DR231">
        <f>3.220730021</f>
        <v>3.2207300210000001</v>
      </c>
      <c r="DS231">
        <f>3.21156914</f>
        <v>3.2115691399999999</v>
      </c>
      <c r="DT231">
        <f>3.198698383</f>
        <v>3.198698383</v>
      </c>
      <c r="DU231">
        <f>3.180708755</f>
        <v>3.1807087549999999</v>
      </c>
    </row>
    <row r="232" spans="1:125">
      <c r="A232" t="str">
        <f>"    Piedmont Office Realty Trust I"</f>
        <v xml:space="preserve">    Piedmont Office Realty Trust I</v>
      </c>
      <c r="B232" t="str">
        <f>"PDM US Equity"</f>
        <v>PDM US Equity</v>
      </c>
      <c r="C232" t="str">
        <f t="shared" si="60"/>
        <v>F1023</v>
      </c>
      <c r="D232" t="str">
        <f t="shared" si="61"/>
        <v>FIXED_CHARGE_COVERAGE_RATIO</v>
      </c>
      <c r="E232" t="str">
        <f t="shared" si="62"/>
        <v>动态</v>
      </c>
      <c r="F232" t="str">
        <f ca="1">IF(AND(ISNUMBER($F$533),$B$294=1),$F$533,HLOOKUP(INDIRECT(ADDRESS(2,COLUMN())),OFFSET($BN$2,0,0,ROW()-1,60),ROW()-1,FALSE))</f>
        <v/>
      </c>
      <c r="G232">
        <f ca="1">IF(AND(ISNUMBER($G$533),$B$294=1),$G$533,HLOOKUP(INDIRECT(ADDRESS(2,COLUMN())),OFFSET($BN$2,0,0,ROW()-1,60),ROW()-1,FALSE))</f>
        <v>4.9000000000000004</v>
      </c>
      <c r="H232">
        <f ca="1">IF(AND(ISNUMBER($H$533),$B$294=1),$H$533,HLOOKUP(INDIRECT(ADDRESS(2,COLUMN())),OFFSET($BN$2,0,0,ROW()-1,60),ROW()-1,FALSE))</f>
        <v>4.7</v>
      </c>
      <c r="I232">
        <f ca="1">IF(AND(ISNUMBER($I$533),$B$294=1),$I$533,HLOOKUP(INDIRECT(ADDRESS(2,COLUMN())),OFFSET($BN$2,0,0,ROW()-1,60),ROW()-1,FALSE))</f>
        <v>4.5999999999999996</v>
      </c>
      <c r="J232">
        <f ca="1">IF(AND(ISNUMBER($J$533),$B$294=1),$J$533,HLOOKUP(INDIRECT(ADDRESS(2,COLUMN())),OFFSET($BN$2,0,0,ROW()-1,60),ROW()-1,FALSE))</f>
        <v>4.3</v>
      </c>
      <c r="K232">
        <f ca="1">IF(AND(ISNUMBER($K$533),$B$294=1),$K$533,HLOOKUP(INDIRECT(ADDRESS(2,COLUMN())),OFFSET($BN$2,0,0,ROW()-1,60),ROW()-1,FALSE))</f>
        <v>4.5</v>
      </c>
      <c r="L232">
        <f ca="1">IF(AND(ISNUMBER($L$533),$B$294=1),$L$533,HLOOKUP(INDIRECT(ADDRESS(2,COLUMN())),OFFSET($BN$2,0,0,ROW()-1,60),ROW()-1,FALSE))</f>
        <v>4.4000000000000004</v>
      </c>
      <c r="M232">
        <f ca="1">IF(AND(ISNUMBER($M$533),$B$294=1),$M$533,HLOOKUP(INDIRECT(ADDRESS(2,COLUMN())),OFFSET($BN$2,0,0,ROW()-1,60),ROW()-1,FALSE))</f>
        <v>4.3</v>
      </c>
      <c r="N232">
        <f ca="1">IF(AND(ISNUMBER($N$533),$B$294=1),$N$533,HLOOKUP(INDIRECT(ADDRESS(2,COLUMN())),OFFSET($BN$2,0,0,ROW()-1,60),ROW()-1,FALSE))</f>
        <v>4.3</v>
      </c>
      <c r="O232">
        <f ca="1">IF(AND(ISNUMBER($O$533),$B$294=1),$O$533,HLOOKUP(INDIRECT(ADDRESS(2,COLUMN())),OFFSET($BN$2,0,0,ROW()-1,60),ROW()-1,FALSE))</f>
        <v>4.0999999999999996</v>
      </c>
      <c r="P232">
        <f ca="1">IF(AND(ISNUMBER($P$533),$B$294=1),$P$533,HLOOKUP(INDIRECT(ADDRESS(2,COLUMN())),OFFSET($BN$2,0,0,ROW()-1,60),ROW()-1,FALSE))</f>
        <v>4</v>
      </c>
      <c r="Q232">
        <f ca="1">IF(AND(ISNUMBER($Q$533),$B$294=1),$Q$533,HLOOKUP(INDIRECT(ADDRESS(2,COLUMN())),OFFSET($BN$2,0,0,ROW()-1,60),ROW()-1,FALSE))</f>
        <v>4</v>
      </c>
      <c r="R232">
        <f ca="1">IF(AND(ISNUMBER($R$533),$B$294=1),$R$533,HLOOKUP(INDIRECT(ADDRESS(2,COLUMN())),OFFSET($BN$2,0,0,ROW()-1,60),ROW()-1,FALSE))</f>
        <v>4</v>
      </c>
      <c r="S232">
        <f ca="1">IF(AND(ISNUMBER($S$533),$B$294=1),$S$533,HLOOKUP(INDIRECT(ADDRESS(2,COLUMN())),OFFSET($BN$2,0,0,ROW()-1,60),ROW()-1,FALSE))</f>
        <v>4</v>
      </c>
      <c r="T232">
        <f ca="1">IF(AND(ISNUMBER($T$533),$B$294=1),$T$533,HLOOKUP(INDIRECT(ADDRESS(2,COLUMN())),OFFSET($BN$2,0,0,ROW()-1,60),ROW()-1,FALSE))</f>
        <v>4</v>
      </c>
      <c r="U232">
        <f ca="1">IF(AND(ISNUMBER($U$533),$B$294=1),$U$533,HLOOKUP(INDIRECT(ADDRESS(2,COLUMN())),OFFSET($BN$2,0,0,ROW()-1,60),ROW()-1,FALSE))</f>
        <v>4</v>
      </c>
      <c r="V232">
        <f ca="1">IF(AND(ISNUMBER($V$533),$B$294=1),$V$533,HLOOKUP(INDIRECT(ADDRESS(2,COLUMN())),OFFSET($BN$2,0,0,ROW()-1,60),ROW()-1,FALSE))</f>
        <v>3.8</v>
      </c>
      <c r="W232">
        <f ca="1">IF(AND(ISNUMBER($W$533),$B$294=1),$W$533,HLOOKUP(INDIRECT(ADDRESS(2,COLUMN())),OFFSET($BN$2,0,0,ROW()-1,60),ROW()-1,FALSE))</f>
        <v>4</v>
      </c>
      <c r="X232">
        <f ca="1">IF(AND(ISNUMBER($X$533),$B$294=1),$X$533,HLOOKUP(INDIRECT(ADDRESS(2,COLUMN())),OFFSET($BN$2,0,0,ROW()-1,60),ROW()-1,FALSE))</f>
        <v>4.2</v>
      </c>
      <c r="Y232">
        <f ca="1">IF(AND(ISNUMBER($Y$533),$B$294=1),$Y$533,HLOOKUP(INDIRECT(ADDRESS(2,COLUMN())),OFFSET($BN$2,0,0,ROW()-1,60),ROW()-1,FALSE))</f>
        <v>4.2</v>
      </c>
      <c r="Z232">
        <f ca="1">IF(AND(ISNUMBER($Z$533),$B$294=1),$Z$533,HLOOKUP(INDIRECT(ADDRESS(2,COLUMN())),OFFSET($BN$2,0,0,ROW()-1,60),ROW()-1,FALSE))</f>
        <v>4.8</v>
      </c>
      <c r="AA232">
        <f ca="1">IF(AND(ISNUMBER($AA$533),$B$294=1),$AA$533,HLOOKUP(INDIRECT(ADDRESS(2,COLUMN())),OFFSET($BN$2,0,0,ROW()-1,60),ROW()-1,FALSE))</f>
        <v>4.7</v>
      </c>
      <c r="AB232">
        <f ca="1">IF(AND(ISNUMBER($AB$533),$B$294=1),$AB$533,HLOOKUP(INDIRECT(ADDRESS(2,COLUMN())),OFFSET($BN$2,0,0,ROW()-1,60),ROW()-1,FALSE))</f>
        <v>4.9000000000000004</v>
      </c>
      <c r="AC232">
        <f ca="1">IF(AND(ISNUMBER($AC$533),$B$294=1),$AC$533,HLOOKUP(INDIRECT(ADDRESS(2,COLUMN())),OFFSET($BN$2,0,0,ROW()-1,60),ROW()-1,FALSE))</f>
        <v>4.8</v>
      </c>
      <c r="AD232">
        <f ca="1">IF(AND(ISNUMBER($AD$533),$B$294=1),$AD$533,HLOOKUP(INDIRECT(ADDRESS(2,COLUMN())),OFFSET($BN$2,0,0,ROW()-1,60),ROW()-1,FALSE))</f>
        <v>4.5999999999999996</v>
      </c>
      <c r="AE232">
        <f ca="1">IF(AND(ISNUMBER($AE$533),$B$294=1),$AE$533,HLOOKUP(INDIRECT(ADDRESS(2,COLUMN())),OFFSET($BN$2,0,0,ROW()-1,60),ROW()-1,FALSE))</f>
        <v>4.7</v>
      </c>
      <c r="AF232">
        <f ca="1">IF(AND(ISNUMBER($AF$533),$B$294=1),$AF$533,HLOOKUP(INDIRECT(ADDRESS(2,COLUMN())),OFFSET($BN$2,0,0,ROW()-1,60),ROW()-1,FALSE))</f>
        <v>4.9000000000000004</v>
      </c>
      <c r="AG232">
        <f ca="1">IF(AND(ISNUMBER($AG$533),$B$294=1),$AG$533,HLOOKUP(INDIRECT(ADDRESS(2,COLUMN())),OFFSET($BN$2,0,0,ROW()-1,60),ROW()-1,FALSE))</f>
        <v>4.4000000000000004</v>
      </c>
      <c r="AH232">
        <f ca="1">IF(AND(ISNUMBER($AH$533),$B$294=1),$AH$533,HLOOKUP(INDIRECT(ADDRESS(2,COLUMN())),OFFSET($BN$2,0,0,ROW()-1,60),ROW()-1,FALSE))</f>
        <v>5.2</v>
      </c>
      <c r="AI232">
        <f ca="1">IF(AND(ISNUMBER($AI$533),$B$294=1),$AI$533,HLOOKUP(INDIRECT(ADDRESS(2,COLUMN())),OFFSET($BN$2,0,0,ROW()-1,60),ROW()-1,FALSE))</f>
        <v>4.9000000000000004</v>
      </c>
      <c r="AJ232">
        <f ca="1">IF(AND(ISNUMBER($AJ$533),$B$294=1),$AJ$533,HLOOKUP(INDIRECT(ADDRESS(2,COLUMN())),OFFSET($BN$2,0,0,ROW()-1,60),ROW()-1,FALSE))</f>
        <v>5.5</v>
      </c>
      <c r="AK232">
        <f ca="1">IF(AND(ISNUMBER($AK$533),$B$294=1),$AK$533,HLOOKUP(INDIRECT(ADDRESS(2,COLUMN())),OFFSET($BN$2,0,0,ROW()-1,60),ROW()-1,FALSE))</f>
        <v>4.5</v>
      </c>
      <c r="AL232">
        <f ca="1">IF(AND(ISNUMBER($AL$533),$B$294=1),$AL$533,HLOOKUP(INDIRECT(ADDRESS(2,COLUMN())),OFFSET($BN$2,0,0,ROW()-1,60),ROW()-1,FALSE))</f>
        <v>4.5999999999999996</v>
      </c>
      <c r="AM232">
        <f ca="1">IF(AND(ISNUMBER($AM$533),$B$294=1),$AM$533,HLOOKUP(INDIRECT(ADDRESS(2,COLUMN())),OFFSET($BN$2,0,0,ROW()-1,60),ROW()-1,FALSE))</f>
        <v>4.5</v>
      </c>
      <c r="AN232">
        <f ca="1">IF(AND(ISNUMBER($AN$533),$B$294=1),$AN$533,HLOOKUP(INDIRECT(ADDRESS(2,COLUMN())),OFFSET($BN$2,0,0,ROW()-1,60),ROW()-1,FALSE))</f>
        <v>4.1400191949999998</v>
      </c>
      <c r="AO232">
        <f ca="1">IF(AND(ISNUMBER($AO$533),$B$294=1),$AO$533,HLOOKUP(INDIRECT(ADDRESS(2,COLUMN())),OFFSET($BN$2,0,0,ROW()-1,60),ROW()-1,FALSE))</f>
        <v>4.6652781599999997</v>
      </c>
      <c r="AP232">
        <f ca="1">IF(AND(ISNUMBER($AP$533),$B$294=1),$AP$533,HLOOKUP(INDIRECT(ADDRESS(2,COLUMN())),OFFSET($BN$2,0,0,ROW()-1,60),ROW()-1,FALSE))</f>
        <v>4.7787421840000004</v>
      </c>
      <c r="AQ232">
        <f ca="1">IF(AND(ISNUMBER($AQ$533),$B$294=1),$AQ$533,HLOOKUP(INDIRECT(ADDRESS(2,COLUMN())),OFFSET($BN$2,0,0,ROW()-1,60),ROW()-1,FALSE))</f>
        <v>4.9230049830000002</v>
      </c>
      <c r="AR232">
        <f ca="1">IF(AND(ISNUMBER($AR$533),$B$294=1),$AR$533,HLOOKUP(INDIRECT(ADDRESS(2,COLUMN())),OFFSET($BN$2,0,0,ROW()-1,60),ROW()-1,FALSE))</f>
        <v>5.1533004399999998</v>
      </c>
      <c r="AS232">
        <f ca="1">IF(AND(ISNUMBER($AS$533),$B$294=1),$AS$533,HLOOKUP(INDIRECT(ADDRESS(2,COLUMN())),OFFSET($BN$2,0,0,ROW()-1,60),ROW()-1,FALSE))</f>
        <v>5.3931267209999998</v>
      </c>
      <c r="AT232">
        <f ca="1">IF(AND(ISNUMBER($AT$533),$B$294=1),$AT$533,HLOOKUP(INDIRECT(ADDRESS(2,COLUMN())),OFFSET($BN$2,0,0,ROW()-1,60),ROW()-1,FALSE))</f>
        <v>5.5377141280000002</v>
      </c>
      <c r="AU232">
        <f ca="1">IF(AND(ISNUMBER($AU$533),$B$294=1),$AU$533,HLOOKUP(INDIRECT(ADDRESS(2,COLUMN())),OFFSET($BN$2,0,0,ROW()-1,60),ROW()-1,FALSE))</f>
        <v>5.4950839179999997</v>
      </c>
      <c r="AV232">
        <f ca="1">IF(AND(ISNUMBER($AV$533),$B$294=1),$AV$533,HLOOKUP(INDIRECT(ADDRESS(2,COLUMN())),OFFSET($BN$2,0,0,ROW()-1,60),ROW()-1,FALSE))</f>
        <v>5.1880896510000003</v>
      </c>
      <c r="AW232">
        <f ca="1">IF(AND(ISNUMBER($AW$533),$B$294=1),$AW$533,HLOOKUP(INDIRECT(ADDRESS(2,COLUMN())),OFFSET($BN$2,0,0,ROW()-1,60),ROW()-1,FALSE))</f>
        <v>5.2483571549999999</v>
      </c>
      <c r="AX232">
        <f ca="1">IF(AND(ISNUMBER($AX$533),$B$294=1),$AX$533,HLOOKUP(INDIRECT(ADDRESS(2,COLUMN())),OFFSET($BN$2,0,0,ROW()-1,60),ROW()-1,FALSE))</f>
        <v>5.2049467170000003</v>
      </c>
      <c r="AY232">
        <f ca="1">IF(AND(ISNUMBER($AY$533),$B$294=1),$AY$533,HLOOKUP(INDIRECT(ADDRESS(2,COLUMN())),OFFSET($BN$2,0,0,ROW()-1,60),ROW()-1,FALSE))</f>
        <v>5.3217401229999997</v>
      </c>
      <c r="AZ232">
        <f ca="1">IF(AND(ISNUMBER($AZ$533),$B$294=1),$AZ$533,HLOOKUP(INDIRECT(ADDRESS(2,COLUMN())),OFFSET($BN$2,0,0,ROW()-1,60),ROW()-1,FALSE))</f>
        <v>5.6974259600000003</v>
      </c>
      <c r="BA232" t="str">
        <f ca="1">IF(AND(ISNUMBER($BA$533),$B$294=1),$BA$533,HLOOKUP(INDIRECT(ADDRESS(2,COLUMN())),OFFSET($BN$2,0,0,ROW()-1,60),ROW()-1,FALSE))</f>
        <v/>
      </c>
      <c r="BB232" t="str">
        <f ca="1">IF(AND(ISNUMBER($BB$533),$B$294=1),$BB$533,HLOOKUP(INDIRECT(ADDRESS(2,COLUMN())),OFFSET($BN$2,0,0,ROW()-1,60),ROW()-1,FALSE))</f>
        <v/>
      </c>
      <c r="BC232" t="str">
        <f ca="1">IF(AND(ISNUMBER($BC$533),$B$294=1),$BC$533,HLOOKUP(INDIRECT(ADDRESS(2,COLUMN())),OFFSET($BN$2,0,0,ROW()-1,60),ROW()-1,FALSE))</f>
        <v/>
      </c>
      <c r="BD232" t="str">
        <f ca="1">IF(AND(ISNUMBER($BD$533),$B$294=1),$BD$533,HLOOKUP(INDIRECT(ADDRESS(2,COLUMN())),OFFSET($BN$2,0,0,ROW()-1,60),ROW()-1,FALSE))</f>
        <v/>
      </c>
      <c r="BE232" t="str">
        <f ca="1">IF(AND(ISNUMBER($BE$533),$B$294=1),$BE$533,HLOOKUP(INDIRECT(ADDRESS(2,COLUMN())),OFFSET($BN$2,0,0,ROW()-1,60),ROW()-1,FALSE))</f>
        <v/>
      </c>
      <c r="BF232" t="str">
        <f ca="1">IF(AND(ISNUMBER($BF$533),$B$294=1),$BF$533,HLOOKUP(INDIRECT(ADDRESS(2,COLUMN())),OFFSET($BN$2,0,0,ROW()-1,60),ROW()-1,FALSE))</f>
        <v/>
      </c>
      <c r="BG232" t="str">
        <f ca="1">IF(AND(ISNUMBER($BG$533),$B$294=1),$BG$533,HLOOKUP(INDIRECT(ADDRESS(2,COLUMN())),OFFSET($BN$2,0,0,ROW()-1,60),ROW()-1,FALSE))</f>
        <v/>
      </c>
      <c r="BH232" t="str">
        <f ca="1">IF(AND(ISNUMBER($BH$533),$B$294=1),$BH$533,HLOOKUP(INDIRECT(ADDRESS(2,COLUMN())),OFFSET($BN$2,0,0,ROW()-1,60),ROW()-1,FALSE))</f>
        <v/>
      </c>
      <c r="BI232">
        <f ca="1">IF(AND(ISNUMBER($BI$533),$B$294=1),$BI$533,HLOOKUP(INDIRECT(ADDRESS(2,COLUMN())),OFFSET($BN$2,0,0,ROW()-1,60),ROW()-1,FALSE))</f>
        <v>12.59110864</v>
      </c>
      <c r="BJ232">
        <f ca="1">IF(AND(ISNUMBER($BJ$533),$B$294=1),$BJ$533,HLOOKUP(INDIRECT(ADDRESS(2,COLUMN())),OFFSET($BN$2,0,0,ROW()-1,60),ROW()-1,FALSE))</f>
        <v>13.758403400000001</v>
      </c>
      <c r="BK232">
        <f ca="1">IF(AND(ISNUMBER($BK$533),$B$294=1),$BK$533,HLOOKUP(INDIRECT(ADDRESS(2,COLUMN())),OFFSET($BN$2,0,0,ROW()-1,60),ROW()-1,FALSE))</f>
        <v>14.658904</v>
      </c>
      <c r="BL232">
        <f ca="1">IF(AND(ISNUMBER($BL$533),$B$294=1),$BL$533,HLOOKUP(INDIRECT(ADDRESS(2,COLUMN())),OFFSET($BN$2,0,0,ROW()-1,60),ROW()-1,FALSE))</f>
        <v>16.227728259999999</v>
      </c>
      <c r="BM232">
        <f ca="1">IF(AND(ISNUMBER($BM$533),$B$294=1),$BM$533,HLOOKUP(INDIRECT(ADDRESS(2,COLUMN())),OFFSET($BN$2,0,0,ROW()-1,60),ROW()-1,FALSE))</f>
        <v>16.369879099999999</v>
      </c>
      <c r="BN232" t="str">
        <f>""</f>
        <v/>
      </c>
      <c r="BO232">
        <f>4.9</f>
        <v>4.9000000000000004</v>
      </c>
      <c r="BP232">
        <f>4.7</f>
        <v>4.7</v>
      </c>
      <c r="BQ232">
        <f>4.6</f>
        <v>4.5999999999999996</v>
      </c>
      <c r="BR232">
        <f>4.3</f>
        <v>4.3</v>
      </c>
      <c r="BS232">
        <f>4.5</f>
        <v>4.5</v>
      </c>
      <c r="BT232">
        <f>4.4</f>
        <v>4.4000000000000004</v>
      </c>
      <c r="BU232">
        <f>4.3</f>
        <v>4.3</v>
      </c>
      <c r="BV232">
        <f>4.3</f>
        <v>4.3</v>
      </c>
      <c r="BW232">
        <f>4.1</f>
        <v>4.0999999999999996</v>
      </c>
      <c r="BX232">
        <f>4</f>
        <v>4</v>
      </c>
      <c r="BY232">
        <f>4</f>
        <v>4</v>
      </c>
      <c r="BZ232">
        <f>4</f>
        <v>4</v>
      </c>
      <c r="CA232">
        <f>4</f>
        <v>4</v>
      </c>
      <c r="CB232">
        <f>4</f>
        <v>4</v>
      </c>
      <c r="CC232">
        <f>4</f>
        <v>4</v>
      </c>
      <c r="CD232">
        <f>3.8</f>
        <v>3.8</v>
      </c>
      <c r="CE232">
        <f>4</f>
        <v>4</v>
      </c>
      <c r="CF232">
        <f>4.2</f>
        <v>4.2</v>
      </c>
      <c r="CG232">
        <f>4.2</f>
        <v>4.2</v>
      </c>
      <c r="CH232">
        <f>4.8</f>
        <v>4.8</v>
      </c>
      <c r="CI232">
        <f>4.7</f>
        <v>4.7</v>
      </c>
      <c r="CJ232">
        <f>4.9</f>
        <v>4.9000000000000004</v>
      </c>
      <c r="CK232">
        <f>4.8</f>
        <v>4.8</v>
      </c>
      <c r="CL232">
        <f>4.6</f>
        <v>4.5999999999999996</v>
      </c>
      <c r="CM232">
        <f>4.7</f>
        <v>4.7</v>
      </c>
      <c r="CN232">
        <f>4.9</f>
        <v>4.9000000000000004</v>
      </c>
      <c r="CO232">
        <f>4.4</f>
        <v>4.4000000000000004</v>
      </c>
      <c r="CP232">
        <f>5.2</f>
        <v>5.2</v>
      </c>
      <c r="CQ232">
        <f>4.9</f>
        <v>4.9000000000000004</v>
      </c>
      <c r="CR232">
        <f>5.5</f>
        <v>5.5</v>
      </c>
      <c r="CS232">
        <f>4.5</f>
        <v>4.5</v>
      </c>
      <c r="CT232">
        <f>4.6</f>
        <v>4.5999999999999996</v>
      </c>
      <c r="CU232">
        <f>4.5</f>
        <v>4.5</v>
      </c>
      <c r="CV232">
        <f>4.140019195</f>
        <v>4.1400191949999998</v>
      </c>
      <c r="CW232">
        <f>4.66527816</f>
        <v>4.6652781599999997</v>
      </c>
      <c r="CX232">
        <f>4.778742184</f>
        <v>4.7787421840000004</v>
      </c>
      <c r="CY232">
        <f>4.923004983</f>
        <v>4.9230049830000002</v>
      </c>
      <c r="CZ232">
        <f>5.15330044</f>
        <v>5.1533004399999998</v>
      </c>
      <c r="DA232">
        <f>5.393126721</f>
        <v>5.3931267209999998</v>
      </c>
      <c r="DB232">
        <f>5.537714128</f>
        <v>5.5377141280000002</v>
      </c>
      <c r="DC232">
        <f>5.495083918</f>
        <v>5.4950839179999997</v>
      </c>
      <c r="DD232">
        <f>5.188089651</f>
        <v>5.1880896510000003</v>
      </c>
      <c r="DE232">
        <f>5.248357155</f>
        <v>5.2483571549999999</v>
      </c>
      <c r="DF232">
        <f>5.204946717</f>
        <v>5.2049467170000003</v>
      </c>
      <c r="DG232">
        <f>5.321740123</f>
        <v>5.3217401229999997</v>
      </c>
      <c r="DH232">
        <f>5.69742596</f>
        <v>5.6974259600000003</v>
      </c>
      <c r="DI232" t="str">
        <f>""</f>
        <v/>
      </c>
      <c r="DJ232" t="str">
        <f>""</f>
        <v/>
      </c>
      <c r="DK232" t="str">
        <f>""</f>
        <v/>
      </c>
      <c r="DL232" t="str">
        <f>""</f>
        <v/>
      </c>
      <c r="DM232" t="str">
        <f>""</f>
        <v/>
      </c>
      <c r="DN232" t="str">
        <f>""</f>
        <v/>
      </c>
      <c r="DO232" t="str">
        <f>""</f>
        <v/>
      </c>
      <c r="DP232" t="str">
        <f>""</f>
        <v/>
      </c>
      <c r="DQ232">
        <f>12.59110864</f>
        <v>12.59110864</v>
      </c>
      <c r="DR232">
        <f>13.7584034</f>
        <v>13.758403400000001</v>
      </c>
      <c r="DS232">
        <f>14.658904</f>
        <v>14.658904</v>
      </c>
      <c r="DT232">
        <f>16.22772826</f>
        <v>16.227728259999999</v>
      </c>
      <c r="DU232">
        <f>16.3698791</f>
        <v>16.369879099999999</v>
      </c>
    </row>
    <row r="233" spans="1:125">
      <c r="A233" t="str">
        <f>"    SL Green Realty Corp"</f>
        <v xml:space="preserve">    SL Green Realty Corp</v>
      </c>
      <c r="B233" t="str">
        <f>"SLG US Equity"</f>
        <v>SLG US Equity</v>
      </c>
      <c r="C233" t="str">
        <f t="shared" si="60"/>
        <v>F1023</v>
      </c>
      <c r="D233" t="str">
        <f t="shared" si="61"/>
        <v>FIXED_CHARGE_COVERAGE_RATIO</v>
      </c>
      <c r="E233" t="str">
        <f t="shared" si="62"/>
        <v>动态</v>
      </c>
      <c r="F233" t="str">
        <f ca="1">IF(AND(ISNUMBER($F$534),$B$294=1),$F$534,HLOOKUP(INDIRECT(ADDRESS(2,COLUMN())),OFFSET($BN$2,0,0,ROW()-1,60),ROW()-1,FALSE))</f>
        <v/>
      </c>
      <c r="G233">
        <f ca="1">IF(AND(ISNUMBER($G$534),$B$294=1),$G$534,HLOOKUP(INDIRECT(ADDRESS(2,COLUMN())),OFFSET($BN$2,0,0,ROW()-1,60),ROW()-1,FALSE))</f>
        <v>2.6</v>
      </c>
      <c r="H233">
        <f ca="1">IF(AND(ISNUMBER($H$534),$B$294=1),$H$534,HLOOKUP(INDIRECT(ADDRESS(2,COLUMN())),OFFSET($BN$2,0,0,ROW()-1,60),ROW()-1,FALSE))</f>
        <v>2.56</v>
      </c>
      <c r="I233">
        <f ca="1">IF(AND(ISNUMBER($I$534),$B$294=1),$I$534,HLOOKUP(INDIRECT(ADDRESS(2,COLUMN())),OFFSET($BN$2,0,0,ROW()-1,60),ROW()-1,FALSE))</f>
        <v>2.59</v>
      </c>
      <c r="J233">
        <f ca="1">IF(AND(ISNUMBER($J$534),$B$294=1),$J$534,HLOOKUP(INDIRECT(ADDRESS(2,COLUMN())),OFFSET($BN$2,0,0,ROW()-1,60),ROW()-1,FALSE))</f>
        <v>2.95</v>
      </c>
      <c r="K233">
        <f ca="1">IF(AND(ISNUMBER($K$534),$B$294=1),$K$534,HLOOKUP(INDIRECT(ADDRESS(2,COLUMN())),OFFSET($BN$2,0,0,ROW()-1,60),ROW()-1,FALSE))</f>
        <v>2.91</v>
      </c>
      <c r="L233">
        <f ca="1">IF(AND(ISNUMBER($L$534),$B$294=1),$L$534,HLOOKUP(INDIRECT(ADDRESS(2,COLUMN())),OFFSET($BN$2,0,0,ROW()-1,60),ROW()-1,FALSE))</f>
        <v>2.89</v>
      </c>
      <c r="M233">
        <f ca="1">IF(AND(ISNUMBER($M$534),$B$294=1),$M$534,HLOOKUP(INDIRECT(ADDRESS(2,COLUMN())),OFFSET($BN$2,0,0,ROW()-1,60),ROW()-1,FALSE))</f>
        <v>2.87</v>
      </c>
      <c r="N233">
        <f ca="1">IF(AND(ISNUMBER($N$534),$B$294=1),$N$534,HLOOKUP(INDIRECT(ADDRESS(2,COLUMN())),OFFSET($BN$2,0,0,ROW()-1,60),ROW()-1,FALSE))</f>
        <v>2.5299999999999998</v>
      </c>
      <c r="O233">
        <f ca="1">IF(AND(ISNUMBER($O$534),$B$294=1),$O$534,HLOOKUP(INDIRECT(ADDRESS(2,COLUMN())),OFFSET($BN$2,0,0,ROW()-1,60),ROW()-1,FALSE))</f>
        <v>2.5</v>
      </c>
      <c r="P233">
        <f ca="1">IF(AND(ISNUMBER($P$534),$B$294=1),$P$534,HLOOKUP(INDIRECT(ADDRESS(2,COLUMN())),OFFSET($BN$2,0,0,ROW()-1,60),ROW()-1,FALSE))</f>
        <v>2.4500000000000002</v>
      </c>
      <c r="Q233">
        <f ca="1">IF(AND(ISNUMBER($Q$534),$B$294=1),$Q$534,HLOOKUP(INDIRECT(ADDRESS(2,COLUMN())),OFFSET($BN$2,0,0,ROW()-1,60),ROW()-1,FALSE))</f>
        <v>2.33</v>
      </c>
      <c r="R233">
        <f ca="1">IF(AND(ISNUMBER($R$534),$B$294=1),$R$534,HLOOKUP(INDIRECT(ADDRESS(2,COLUMN())),OFFSET($BN$2,0,0,ROW()-1,60),ROW()-1,FALSE))</f>
        <v>2.2999999999999998</v>
      </c>
      <c r="S233">
        <f ca="1">IF(AND(ISNUMBER($S$534),$B$294=1),$S$534,HLOOKUP(INDIRECT(ADDRESS(2,COLUMN())),OFFSET($BN$2,0,0,ROW()-1,60),ROW()-1,FALSE))</f>
        <v>2.2400000000000002</v>
      </c>
      <c r="T233">
        <f ca="1">IF(AND(ISNUMBER($T$534),$B$294=1),$T$534,HLOOKUP(INDIRECT(ADDRESS(2,COLUMN())),OFFSET($BN$2,0,0,ROW()-1,60),ROW()-1,FALSE))</f>
        <v>2.2400000000000002</v>
      </c>
      <c r="U233">
        <f ca="1">IF(AND(ISNUMBER($U$534),$B$294=1),$U$534,HLOOKUP(INDIRECT(ADDRESS(2,COLUMN())),OFFSET($BN$2,0,0,ROW()-1,60),ROW()-1,FALSE))</f>
        <v>2.39</v>
      </c>
      <c r="V233">
        <f ca="1">IF(AND(ISNUMBER($V$534),$B$294=1),$V$534,HLOOKUP(INDIRECT(ADDRESS(2,COLUMN())),OFFSET($BN$2,0,0,ROW()-1,60),ROW()-1,FALSE))</f>
        <v>4.68</v>
      </c>
      <c r="W233">
        <f ca="1">IF(AND(ISNUMBER($W$534),$B$294=1),$W$534,HLOOKUP(INDIRECT(ADDRESS(2,COLUMN())),OFFSET($BN$2,0,0,ROW()-1,60),ROW()-1,FALSE))</f>
        <v>2.1</v>
      </c>
      <c r="X233">
        <f ca="1">IF(AND(ISNUMBER($X$534),$B$294=1),$X$534,HLOOKUP(INDIRECT(ADDRESS(2,COLUMN())),OFFSET($BN$2,0,0,ROW()-1,60),ROW()-1,FALSE))</f>
        <v>2.13</v>
      </c>
      <c r="Y233">
        <f ca="1">IF(AND(ISNUMBER($Y$534),$B$294=1),$Y$534,HLOOKUP(INDIRECT(ADDRESS(2,COLUMN())),OFFSET($BN$2,0,0,ROW()-1,60),ROW()-1,FALSE))</f>
        <v>2.1</v>
      </c>
      <c r="Z233">
        <f ca="1">IF(AND(ISNUMBER($Z$534),$B$294=1),$Z$534,HLOOKUP(INDIRECT(ADDRESS(2,COLUMN())),OFFSET($BN$2,0,0,ROW()-1,60),ROW()-1,FALSE))</f>
        <v>1.9</v>
      </c>
      <c r="AA233">
        <f ca="1">IF(AND(ISNUMBER($AA$534),$B$294=1),$AA$534,HLOOKUP(INDIRECT(ADDRESS(2,COLUMN())),OFFSET($BN$2,0,0,ROW()-1,60),ROW()-1,FALSE))</f>
        <v>1.77</v>
      </c>
      <c r="AB233">
        <f ca="1">IF(AND(ISNUMBER($AB$534),$B$294=1),$AB$534,HLOOKUP(INDIRECT(ADDRESS(2,COLUMN())),OFFSET($BN$2,0,0,ROW()-1,60),ROW()-1,FALSE))</f>
        <v>1.9</v>
      </c>
      <c r="AC233">
        <f ca="1">IF(AND(ISNUMBER($AC$534),$B$294=1),$AC$534,HLOOKUP(INDIRECT(ADDRESS(2,COLUMN())),OFFSET($BN$2,0,0,ROW()-1,60),ROW()-1,FALSE))</f>
        <v>2</v>
      </c>
      <c r="AD233">
        <f ca="1">IF(AND(ISNUMBER($AD$534),$B$294=1),$AD$534,HLOOKUP(INDIRECT(ADDRESS(2,COLUMN())),OFFSET($BN$2,0,0,ROW()-1,60),ROW()-1,FALSE))</f>
        <v>1.8</v>
      </c>
      <c r="AE233">
        <f ca="1">IF(AND(ISNUMBER($AE$534),$B$294=1),$AE$534,HLOOKUP(INDIRECT(ADDRESS(2,COLUMN())),OFFSET($BN$2,0,0,ROW()-1,60),ROW()-1,FALSE))</f>
        <v>1.8</v>
      </c>
      <c r="AF233">
        <f ca="1">IF(AND(ISNUMBER($AF$534),$B$294=1),$AF$534,HLOOKUP(INDIRECT(ADDRESS(2,COLUMN())),OFFSET($BN$2,0,0,ROW()-1,60),ROW()-1,FALSE))</f>
        <v>1.8</v>
      </c>
      <c r="AG233">
        <f ca="1">IF(AND(ISNUMBER($AG$534),$B$294=1),$AG$534,HLOOKUP(INDIRECT(ADDRESS(2,COLUMN())),OFFSET($BN$2,0,0,ROW()-1,60),ROW()-1,FALSE))</f>
        <v>1.95</v>
      </c>
      <c r="AH233">
        <f ca="1">IF(AND(ISNUMBER($AH$534),$B$294=1),$AH$534,HLOOKUP(INDIRECT(ADDRESS(2,COLUMN())),OFFSET($BN$2,0,0,ROW()-1,60),ROW()-1,FALSE))</f>
        <v>2.37</v>
      </c>
      <c r="AI233">
        <f ca="1">IF(AND(ISNUMBER($AI$534),$B$294=1),$AI$534,HLOOKUP(INDIRECT(ADDRESS(2,COLUMN())),OFFSET($BN$2,0,0,ROW()-1,60),ROW()-1,FALSE))</f>
        <v>1.97</v>
      </c>
      <c r="AJ233">
        <f ca="1">IF(AND(ISNUMBER($AJ$534),$B$294=1),$AJ$534,HLOOKUP(INDIRECT(ADDRESS(2,COLUMN())),OFFSET($BN$2,0,0,ROW()-1,60),ROW()-1,FALSE))</f>
        <v>2.87</v>
      </c>
      <c r="AK233">
        <f ca="1">IF(AND(ISNUMBER($AK$534),$B$294=1),$AK$534,HLOOKUP(INDIRECT(ADDRESS(2,COLUMN())),OFFSET($BN$2,0,0,ROW()-1,60),ROW()-1,FALSE))</f>
        <v>2.0699999999999998</v>
      </c>
      <c r="AL233">
        <f ca="1">IF(AND(ISNUMBER($AL$534),$B$294=1),$AL$534,HLOOKUP(INDIRECT(ADDRESS(2,COLUMN())),OFFSET($BN$2,0,0,ROW()-1,60),ROW()-1,FALSE))</f>
        <v>2.14</v>
      </c>
      <c r="AM233">
        <f ca="1">IF(AND(ISNUMBER($AM$534),$B$294=1),$AM$534,HLOOKUP(INDIRECT(ADDRESS(2,COLUMN())),OFFSET($BN$2,0,0,ROW()-1,60),ROW()-1,FALSE))</f>
        <v>2.29</v>
      </c>
      <c r="AN233">
        <f ca="1">IF(AND(ISNUMBER($AN$534),$B$294=1),$AN$534,HLOOKUP(INDIRECT(ADDRESS(2,COLUMN())),OFFSET($BN$2,0,0,ROW()-1,60),ROW()-1,FALSE))</f>
        <v>2.39</v>
      </c>
      <c r="AO233">
        <f ca="1">IF(AND(ISNUMBER($AO$534),$B$294=1),$AO$534,HLOOKUP(INDIRECT(ADDRESS(2,COLUMN())),OFFSET($BN$2,0,0,ROW()-1,60),ROW()-1,FALSE))</f>
        <v>2.7</v>
      </c>
      <c r="AP233">
        <f ca="1">IF(AND(ISNUMBER($AP$534),$B$294=1),$AP$534,HLOOKUP(INDIRECT(ADDRESS(2,COLUMN())),OFFSET($BN$2,0,0,ROW()-1,60),ROW()-1,FALSE))</f>
        <v>2.85</v>
      </c>
      <c r="AQ233">
        <f ca="1">IF(AND(ISNUMBER($AQ$534),$B$294=1),$AQ$534,HLOOKUP(INDIRECT(ADDRESS(2,COLUMN())),OFFSET($BN$2,0,0,ROW()-1,60),ROW()-1,FALSE))</f>
        <v>2.81</v>
      </c>
      <c r="AR233">
        <f ca="1">IF(AND(ISNUMBER($AR$534),$B$294=1),$AR$534,HLOOKUP(INDIRECT(ADDRESS(2,COLUMN())),OFFSET($BN$2,0,0,ROW()-1,60),ROW()-1,FALSE))</f>
        <v>1.95</v>
      </c>
      <c r="AS233">
        <f ca="1">IF(AND(ISNUMBER($AS$534),$B$294=1),$AS$534,HLOOKUP(INDIRECT(ADDRESS(2,COLUMN())),OFFSET($BN$2,0,0,ROW()-1,60),ROW()-1,FALSE))</f>
        <v>2.29</v>
      </c>
      <c r="AT233">
        <f ca="1">IF(AND(ISNUMBER($AT$534),$B$294=1),$AT$534,HLOOKUP(INDIRECT(ADDRESS(2,COLUMN())),OFFSET($BN$2,0,0,ROW()-1,60),ROW()-1,FALSE))</f>
        <v>1.91</v>
      </c>
      <c r="AU233">
        <f ca="1">IF(AND(ISNUMBER($AU$534),$B$294=1),$AU$534,HLOOKUP(INDIRECT(ADDRESS(2,COLUMN())),OFFSET($BN$2,0,0,ROW()-1,60),ROW()-1,FALSE))</f>
        <v>1.79</v>
      </c>
      <c r="AV233">
        <f ca="1">IF(AND(ISNUMBER($AV$534),$B$294=1),$AV$534,HLOOKUP(INDIRECT(ADDRESS(2,COLUMN())),OFFSET($BN$2,0,0,ROW()-1,60),ROW()-1,FALSE))</f>
        <v>1.88</v>
      </c>
      <c r="AW233">
        <f ca="1">IF(AND(ISNUMBER($AW$534),$B$294=1),$AW$534,HLOOKUP(INDIRECT(ADDRESS(2,COLUMN())),OFFSET($BN$2,0,0,ROW()-1,60),ROW()-1,FALSE))</f>
        <v>2</v>
      </c>
      <c r="AX233">
        <f ca="1">IF(AND(ISNUMBER($AX$534),$B$294=1),$AX$534,HLOOKUP(INDIRECT(ADDRESS(2,COLUMN())),OFFSET($BN$2,0,0,ROW()-1,60),ROW()-1,FALSE))</f>
        <v>2.5299999999999998</v>
      </c>
      <c r="AY233">
        <f ca="1">IF(AND(ISNUMBER($AY$534),$B$294=1),$AY$534,HLOOKUP(INDIRECT(ADDRESS(2,COLUMN())),OFFSET($BN$2,0,0,ROW()-1,60),ROW()-1,FALSE))</f>
        <v>2.6318447730000001</v>
      </c>
      <c r="AZ233">
        <f ca="1">IF(AND(ISNUMBER($AZ$534),$B$294=1),$AZ$534,HLOOKUP(INDIRECT(ADDRESS(2,COLUMN())),OFFSET($BN$2,0,0,ROW()-1,60),ROW()-1,FALSE))</f>
        <v>2.4700000000000002</v>
      </c>
      <c r="BA233">
        <f ca="1">IF(AND(ISNUMBER($BA$534),$B$294=1),$BA$534,HLOOKUP(INDIRECT(ADDRESS(2,COLUMN())),OFFSET($BN$2,0,0,ROW()-1,60),ROW()-1,FALSE))</f>
        <v>2.59</v>
      </c>
      <c r="BB233">
        <f ca="1">IF(AND(ISNUMBER($BB$534),$B$294=1),$BB$534,HLOOKUP(INDIRECT(ADDRESS(2,COLUMN())),OFFSET($BN$2,0,0,ROW()-1,60),ROW()-1,FALSE))</f>
        <v>2.4500000000000002</v>
      </c>
      <c r="BC233" t="str">
        <f ca="1">IF(AND(ISNUMBER($BC$534),$B$294=1),$BC$534,HLOOKUP(INDIRECT(ADDRESS(2,COLUMN())),OFFSET($BN$2,0,0,ROW()-1,60),ROW()-1,FALSE))</f>
        <v/>
      </c>
      <c r="BD233" t="str">
        <f ca="1">IF(AND(ISNUMBER($BD$534),$B$294=1),$BD$534,HLOOKUP(INDIRECT(ADDRESS(2,COLUMN())),OFFSET($BN$2,0,0,ROW()-1,60),ROW()-1,FALSE))</f>
        <v/>
      </c>
      <c r="BE233" t="str">
        <f ca="1">IF(AND(ISNUMBER($BE$534),$B$294=1),$BE$534,HLOOKUP(INDIRECT(ADDRESS(2,COLUMN())),OFFSET($BN$2,0,0,ROW()-1,60),ROW()-1,FALSE))</f>
        <v/>
      </c>
      <c r="BF233" t="str">
        <f ca="1">IF(AND(ISNUMBER($BF$534),$B$294=1),$BF$534,HLOOKUP(INDIRECT(ADDRESS(2,COLUMN())),OFFSET($BN$2,0,0,ROW()-1,60),ROW()-1,FALSE))</f>
        <v/>
      </c>
      <c r="BG233" t="str">
        <f ca="1">IF(AND(ISNUMBER($BG$534),$B$294=1),$BG$534,HLOOKUP(INDIRECT(ADDRESS(2,COLUMN())),OFFSET($BN$2,0,0,ROW()-1,60),ROW()-1,FALSE))</f>
        <v/>
      </c>
      <c r="BH233" t="str">
        <f ca="1">IF(AND(ISNUMBER($BH$534),$B$294=1),$BH$534,HLOOKUP(INDIRECT(ADDRESS(2,COLUMN())),OFFSET($BN$2,0,0,ROW()-1,60),ROW()-1,FALSE))</f>
        <v/>
      </c>
      <c r="BI233" t="str">
        <f ca="1">IF(AND(ISNUMBER($BI$534),$B$294=1),$BI$534,HLOOKUP(INDIRECT(ADDRESS(2,COLUMN())),OFFSET($BN$2,0,0,ROW()-1,60),ROW()-1,FALSE))</f>
        <v/>
      </c>
      <c r="BJ233" t="str">
        <f ca="1">IF(AND(ISNUMBER($BJ$534),$B$294=1),$BJ$534,HLOOKUP(INDIRECT(ADDRESS(2,COLUMN())),OFFSET($BN$2,0,0,ROW()-1,60),ROW()-1,FALSE))</f>
        <v/>
      </c>
      <c r="BK233" t="str">
        <f ca="1">IF(AND(ISNUMBER($BK$534),$B$294=1),$BK$534,HLOOKUP(INDIRECT(ADDRESS(2,COLUMN())),OFFSET($BN$2,0,0,ROW()-1,60),ROW()-1,FALSE))</f>
        <v/>
      </c>
      <c r="BL233" t="str">
        <f ca="1">IF(AND(ISNUMBER($BL$534),$B$294=1),$BL$534,HLOOKUP(INDIRECT(ADDRESS(2,COLUMN())),OFFSET($BN$2,0,0,ROW()-1,60),ROW()-1,FALSE))</f>
        <v/>
      </c>
      <c r="BM233" t="str">
        <f ca="1">IF(AND(ISNUMBER($BM$534),$B$294=1),$BM$534,HLOOKUP(INDIRECT(ADDRESS(2,COLUMN())),OFFSET($BN$2,0,0,ROW()-1,60),ROW()-1,FALSE))</f>
        <v/>
      </c>
      <c r="BN233" t="str">
        <f>""</f>
        <v/>
      </c>
      <c r="BO233">
        <f>2.6</f>
        <v>2.6</v>
      </c>
      <c r="BP233">
        <f>2.56</f>
        <v>2.56</v>
      </c>
      <c r="BQ233">
        <f>2.59</f>
        <v>2.59</v>
      </c>
      <c r="BR233">
        <f>2.95</f>
        <v>2.95</v>
      </c>
      <c r="BS233">
        <f>2.91</f>
        <v>2.91</v>
      </c>
      <c r="BT233">
        <f>2.89</f>
        <v>2.89</v>
      </c>
      <c r="BU233">
        <f>2.87</f>
        <v>2.87</v>
      </c>
      <c r="BV233">
        <f>2.53</f>
        <v>2.5299999999999998</v>
      </c>
      <c r="BW233">
        <f>2.5</f>
        <v>2.5</v>
      </c>
      <c r="BX233">
        <f>2.45</f>
        <v>2.4500000000000002</v>
      </c>
      <c r="BY233">
        <f>2.33</f>
        <v>2.33</v>
      </c>
      <c r="BZ233">
        <f>2.3</f>
        <v>2.2999999999999998</v>
      </c>
      <c r="CA233">
        <f>2.24</f>
        <v>2.2400000000000002</v>
      </c>
      <c r="CB233">
        <f>2.24</f>
        <v>2.2400000000000002</v>
      </c>
      <c r="CC233">
        <f>2.39</f>
        <v>2.39</v>
      </c>
      <c r="CD233">
        <f>4.68</f>
        <v>4.68</v>
      </c>
      <c r="CE233">
        <f>2.1</f>
        <v>2.1</v>
      </c>
      <c r="CF233">
        <f>2.13</f>
        <v>2.13</v>
      </c>
      <c r="CG233">
        <f>2.1</f>
        <v>2.1</v>
      </c>
      <c r="CH233">
        <f>1.9</f>
        <v>1.9</v>
      </c>
      <c r="CI233">
        <f>1.77</f>
        <v>1.77</v>
      </c>
      <c r="CJ233">
        <f>1.9</f>
        <v>1.9</v>
      </c>
      <c r="CK233">
        <f>2</f>
        <v>2</v>
      </c>
      <c r="CL233">
        <f>1.8</f>
        <v>1.8</v>
      </c>
      <c r="CM233">
        <f>1.8</f>
        <v>1.8</v>
      </c>
      <c r="CN233">
        <f>1.8</f>
        <v>1.8</v>
      </c>
      <c r="CO233">
        <f>1.95</f>
        <v>1.95</v>
      </c>
      <c r="CP233">
        <f>2.37</f>
        <v>2.37</v>
      </c>
      <c r="CQ233">
        <f>1.97</f>
        <v>1.97</v>
      </c>
      <c r="CR233">
        <f>2.87</f>
        <v>2.87</v>
      </c>
      <c r="CS233">
        <f>2.07</f>
        <v>2.0699999999999998</v>
      </c>
      <c r="CT233">
        <f>2.14</f>
        <v>2.14</v>
      </c>
      <c r="CU233">
        <f>2.29</f>
        <v>2.29</v>
      </c>
      <c r="CV233">
        <f>2.39</f>
        <v>2.39</v>
      </c>
      <c r="CW233">
        <f>2.7</f>
        <v>2.7</v>
      </c>
      <c r="CX233">
        <f>2.85</f>
        <v>2.85</v>
      </c>
      <c r="CY233">
        <f>2.81</f>
        <v>2.81</v>
      </c>
      <c r="CZ233">
        <f>1.95</f>
        <v>1.95</v>
      </c>
      <c r="DA233">
        <f>2.29</f>
        <v>2.29</v>
      </c>
      <c r="DB233">
        <f>1.91</f>
        <v>1.91</v>
      </c>
      <c r="DC233">
        <f>1.79</f>
        <v>1.79</v>
      </c>
      <c r="DD233">
        <f>1.88</f>
        <v>1.88</v>
      </c>
      <c r="DE233">
        <f>2</f>
        <v>2</v>
      </c>
      <c r="DF233">
        <f>2.53</f>
        <v>2.5299999999999998</v>
      </c>
      <c r="DG233">
        <f>2.631844773</f>
        <v>2.6318447730000001</v>
      </c>
      <c r="DH233">
        <f>2.47</f>
        <v>2.4700000000000002</v>
      </c>
      <c r="DI233">
        <f>2.59</f>
        <v>2.59</v>
      </c>
      <c r="DJ233">
        <f>2.45</f>
        <v>2.4500000000000002</v>
      </c>
      <c r="DK233" t="str">
        <f>""</f>
        <v/>
      </c>
      <c r="DL233" t="str">
        <f>""</f>
        <v/>
      </c>
      <c r="DM233" t="str">
        <f>""</f>
        <v/>
      </c>
      <c r="DN233" t="str">
        <f>""</f>
        <v/>
      </c>
      <c r="DO233" t="str">
        <f>""</f>
        <v/>
      </c>
      <c r="DP233" t="str">
        <f>""</f>
        <v/>
      </c>
      <c r="DQ233" t="str">
        <f>""</f>
        <v/>
      </c>
      <c r="DR233" t="str">
        <f>""</f>
        <v/>
      </c>
      <c r="DS233" t="str">
        <f>""</f>
        <v/>
      </c>
      <c r="DT233" t="str">
        <f>""</f>
        <v/>
      </c>
      <c r="DU233" t="str">
        <f>""</f>
        <v/>
      </c>
    </row>
    <row r="234" spans="1:125">
      <c r="A234" t="str">
        <f>"    Vornado Realty Trust"</f>
        <v xml:space="preserve">    Vornado Realty Trust</v>
      </c>
      <c r="B234" t="str">
        <f>"VNO US Equity"</f>
        <v>VNO US Equity</v>
      </c>
      <c r="C234" t="str">
        <f t="shared" si="60"/>
        <v>F1023</v>
      </c>
      <c r="D234" t="str">
        <f t="shared" si="61"/>
        <v>FIXED_CHARGE_COVERAGE_RATIO</v>
      </c>
      <c r="E234" t="str">
        <f t="shared" si="62"/>
        <v>动态</v>
      </c>
      <c r="F234" t="str">
        <f ca="1">IF(AND(ISNUMBER($F$535),$B$294=1),$F$535,HLOOKUP(INDIRECT(ADDRESS(2,COLUMN())),OFFSET($BN$2,0,0,ROW()-1,60),ROW()-1,FALSE))</f>
        <v/>
      </c>
      <c r="G234">
        <f ca="1">IF(AND(ISNUMBER($G$535),$B$294=1),$G$535,HLOOKUP(INDIRECT(ADDRESS(2,COLUMN())),OFFSET($BN$2,0,0,ROW()-1,60),ROW()-1,FALSE))</f>
        <v>1.83</v>
      </c>
      <c r="H234">
        <f ca="1">IF(AND(ISNUMBER($H$535),$B$294=1),$H$535,HLOOKUP(INDIRECT(ADDRESS(2,COLUMN())),OFFSET($BN$2,0,0,ROW()-1,60),ROW()-1,FALSE))</f>
        <v>2.5499999999999998</v>
      </c>
      <c r="I234">
        <f ca="1">IF(AND(ISNUMBER($I$535),$B$294=1),$I$535,HLOOKUP(INDIRECT(ADDRESS(2,COLUMN())),OFFSET($BN$2,0,0,ROW()-1,60),ROW()-1,FALSE))</f>
        <v>2.75</v>
      </c>
      <c r="J234">
        <f ca="1">IF(AND(ISNUMBER($J$535),$B$294=1),$J$535,HLOOKUP(INDIRECT(ADDRESS(2,COLUMN())),OFFSET($BN$2,0,0,ROW()-1,60),ROW()-1,FALSE))</f>
        <v>2.85</v>
      </c>
      <c r="K234">
        <f ca="1">IF(AND(ISNUMBER($K$535),$B$294=1),$K$535,HLOOKUP(INDIRECT(ADDRESS(2,COLUMN())),OFFSET($BN$2,0,0,ROW()-1,60),ROW()-1,FALSE))</f>
        <v>2.99</v>
      </c>
      <c r="L234">
        <f ca="1">IF(AND(ISNUMBER($L$535),$B$294=1),$L$535,HLOOKUP(INDIRECT(ADDRESS(2,COLUMN())),OFFSET($BN$2,0,0,ROW()-1,60),ROW()-1,FALSE))</f>
        <v>2.82</v>
      </c>
      <c r="M234">
        <f ca="1">IF(AND(ISNUMBER($M$535),$B$294=1),$M$535,HLOOKUP(INDIRECT(ADDRESS(2,COLUMN())),OFFSET($BN$2,0,0,ROW()-1,60),ROW()-1,FALSE))</f>
        <v>2.69</v>
      </c>
      <c r="N234">
        <f ca="1">IF(AND(ISNUMBER($N$535),$B$294=1),$N$535,HLOOKUP(INDIRECT(ADDRESS(2,COLUMN())),OFFSET($BN$2,0,0,ROW()-1,60),ROW()-1,FALSE))</f>
        <v>2.59</v>
      </c>
      <c r="O234">
        <f ca="1">IF(AND(ISNUMBER($O$535),$B$294=1),$O$535,HLOOKUP(INDIRECT(ADDRESS(2,COLUMN())),OFFSET($BN$2,0,0,ROW()-1,60),ROW()-1,FALSE))</f>
        <v>2.68</v>
      </c>
      <c r="P234">
        <f ca="1">IF(AND(ISNUMBER($P$535),$B$294=1),$P$535,HLOOKUP(INDIRECT(ADDRESS(2,COLUMN())),OFFSET($BN$2,0,0,ROW()-1,60),ROW()-1,FALSE))</f>
        <v>2.5</v>
      </c>
      <c r="Q234">
        <f ca="1">IF(AND(ISNUMBER($Q$535),$B$294=1),$Q$535,HLOOKUP(INDIRECT(ADDRESS(2,COLUMN())),OFFSET($BN$2,0,0,ROW()-1,60),ROW()-1,FALSE))</f>
        <v>2.8</v>
      </c>
      <c r="R234">
        <f ca="1">IF(AND(ISNUMBER($R$535),$B$294=1),$R$535,HLOOKUP(INDIRECT(ADDRESS(2,COLUMN())),OFFSET($BN$2,0,0,ROW()-1,60),ROW()-1,FALSE))</f>
        <v>2.67</v>
      </c>
      <c r="S234">
        <f ca="1">IF(AND(ISNUMBER($S$535),$B$294=1),$S$535,HLOOKUP(INDIRECT(ADDRESS(2,COLUMN())),OFFSET($BN$2,0,0,ROW()-1,60),ROW()-1,FALSE))</f>
        <v>2.08</v>
      </c>
      <c r="T234">
        <f ca="1">IF(AND(ISNUMBER($T$535),$B$294=1),$T$535,HLOOKUP(INDIRECT(ADDRESS(2,COLUMN())),OFFSET($BN$2,0,0,ROW()-1,60),ROW()-1,FALSE))</f>
        <v>2.48</v>
      </c>
      <c r="U234">
        <f ca="1">IF(AND(ISNUMBER($U$535),$B$294=1),$U$535,HLOOKUP(INDIRECT(ADDRESS(2,COLUMN())),OFFSET($BN$2,0,0,ROW()-1,60),ROW()-1,FALSE))</f>
        <v>1.9378862720000001</v>
      </c>
      <c r="V234">
        <f ca="1">IF(AND(ISNUMBER($V$535),$B$294=1),$V$535,HLOOKUP(INDIRECT(ADDRESS(2,COLUMN())),OFFSET($BN$2,0,0,ROW()-1,60),ROW()-1,FALSE))</f>
        <v>2.5499999999999998</v>
      </c>
      <c r="W234">
        <f ca="1">IF(AND(ISNUMBER($W$535),$B$294=1),$W$535,HLOOKUP(INDIRECT(ADDRESS(2,COLUMN())),OFFSET($BN$2,0,0,ROW()-1,60),ROW()-1,FALSE))</f>
        <v>1.85</v>
      </c>
      <c r="X234">
        <f ca="1">IF(AND(ISNUMBER($X$535),$B$294=1),$X$535,HLOOKUP(INDIRECT(ADDRESS(2,COLUMN())),OFFSET($BN$2,0,0,ROW()-1,60),ROW()-1,FALSE))</f>
        <v>2.5</v>
      </c>
      <c r="Y234">
        <f ca="1">IF(AND(ISNUMBER($Y$535),$B$294=1),$Y$535,HLOOKUP(INDIRECT(ADDRESS(2,COLUMN())),OFFSET($BN$2,0,0,ROW()-1,60),ROW()-1,FALSE))</f>
        <v>2.25404077</v>
      </c>
      <c r="Z234">
        <f ca="1">IF(AND(ISNUMBER($Z$535),$B$294=1),$Z$535,HLOOKUP(INDIRECT(ADDRESS(2,COLUMN())),OFFSET($BN$2,0,0,ROW()-1,60),ROW()-1,FALSE))</f>
        <v>2.2002934430000001</v>
      </c>
      <c r="AA234">
        <f ca="1">IF(AND(ISNUMBER($AA$535),$B$294=1),$AA$535,HLOOKUP(INDIRECT(ADDRESS(2,COLUMN())),OFFSET($BN$2,0,0,ROW()-1,60),ROW()-1,FALSE))</f>
        <v>1.36</v>
      </c>
      <c r="AB234">
        <f ca="1">IF(AND(ISNUMBER($AB$535),$B$294=1),$AB$535,HLOOKUP(INDIRECT(ADDRESS(2,COLUMN())),OFFSET($BN$2,0,0,ROW()-1,60),ROW()-1,FALSE))</f>
        <v>2.6177970990000001</v>
      </c>
      <c r="AC234">
        <f ca="1">IF(AND(ISNUMBER($AC$535),$B$294=1),$AC$535,HLOOKUP(INDIRECT(ADDRESS(2,COLUMN())),OFFSET($BN$2,0,0,ROW()-1,60),ROW()-1,FALSE))</f>
        <v>2.5381545010000002</v>
      </c>
      <c r="AD234">
        <f ca="1">IF(AND(ISNUMBER($AD$535),$B$294=1),$AD$535,HLOOKUP(INDIRECT(ADDRESS(2,COLUMN())),OFFSET($BN$2,0,0,ROW()-1,60),ROW()-1,FALSE))</f>
        <v>2.623832663</v>
      </c>
      <c r="AE234">
        <f ca="1">IF(AND(ISNUMBER($AE$535),$B$294=1),$AE$535,HLOOKUP(INDIRECT(ADDRESS(2,COLUMN())),OFFSET($BN$2,0,0,ROW()-1,60),ROW()-1,FALSE))</f>
        <v>2.7757553549999998</v>
      </c>
      <c r="AF234">
        <f ca="1">IF(AND(ISNUMBER($AF$535),$B$294=1),$AF$535,HLOOKUP(INDIRECT(ADDRESS(2,COLUMN())),OFFSET($BN$2,0,0,ROW()-1,60),ROW()-1,FALSE))</f>
        <v>2.845765149</v>
      </c>
      <c r="AG234">
        <f ca="1">IF(AND(ISNUMBER($AG$535),$B$294=1),$AG$535,HLOOKUP(INDIRECT(ADDRESS(2,COLUMN())),OFFSET($BN$2,0,0,ROW()-1,60),ROW()-1,FALSE))</f>
        <v>2.9233204740000001</v>
      </c>
      <c r="AH234">
        <f ca="1">IF(AND(ISNUMBER($AH$535),$B$294=1),$AH$535,HLOOKUP(INDIRECT(ADDRESS(2,COLUMN())),OFFSET($BN$2,0,0,ROW()-1,60),ROW()-1,FALSE))</f>
        <v>2.8546616249999999</v>
      </c>
      <c r="AI234">
        <f ca="1">IF(AND(ISNUMBER($AI$535),$B$294=1),$AI$535,HLOOKUP(INDIRECT(ADDRESS(2,COLUMN())),OFFSET($BN$2,0,0,ROW()-1,60),ROW()-1,FALSE))</f>
        <v>1.99</v>
      </c>
      <c r="AJ234">
        <f ca="1">IF(AND(ISNUMBER($AJ$535),$B$294=1),$AJ$535,HLOOKUP(INDIRECT(ADDRESS(2,COLUMN())),OFFSET($BN$2,0,0,ROW()-1,60),ROW()-1,FALSE))</f>
        <v>2.2912339099999999</v>
      </c>
      <c r="AK234">
        <f ca="1">IF(AND(ISNUMBER($AK$535),$B$294=1),$AK$535,HLOOKUP(INDIRECT(ADDRESS(2,COLUMN())),OFFSET($BN$2,0,0,ROW()-1,60),ROW()-1,FALSE))</f>
        <v>2.2370658689999998</v>
      </c>
      <c r="AL234">
        <f ca="1">IF(AND(ISNUMBER($AL$535),$B$294=1),$AL$535,HLOOKUP(INDIRECT(ADDRESS(2,COLUMN())),OFFSET($BN$2,0,0,ROW()-1,60),ROW()-1,FALSE))</f>
        <v>1.9898731789999999</v>
      </c>
      <c r="AM234">
        <f ca="1">IF(AND(ISNUMBER($AM$535),$B$294=1),$AM$535,HLOOKUP(INDIRECT(ADDRESS(2,COLUMN())),OFFSET($BN$2,0,0,ROW()-1,60),ROW()-1,FALSE))</f>
        <v>0.95</v>
      </c>
      <c r="AN234">
        <f ca="1">IF(AND(ISNUMBER($AN$535),$B$294=1),$AN$535,HLOOKUP(INDIRECT(ADDRESS(2,COLUMN())),OFFSET($BN$2,0,0,ROW()-1,60),ROW()-1,FALSE))</f>
        <v>1.651475872</v>
      </c>
      <c r="AO234">
        <f ca="1">IF(AND(ISNUMBER($AO$535),$B$294=1),$AO$535,HLOOKUP(INDIRECT(ADDRESS(2,COLUMN())),OFFSET($BN$2,0,0,ROW()-1,60),ROW()-1,FALSE))</f>
        <v>1.5699729630000001</v>
      </c>
      <c r="AP234">
        <f ca="1">IF(AND(ISNUMBER($AP$535),$B$294=1),$AP$535,HLOOKUP(INDIRECT(ADDRESS(2,COLUMN())),OFFSET($BN$2,0,0,ROW()-1,60),ROW()-1,FALSE))</f>
        <v>1.8447408729999999</v>
      </c>
      <c r="AQ234">
        <f ca="1">IF(AND(ISNUMBER($AQ$535),$B$294=1),$AQ$535,HLOOKUP(INDIRECT(ADDRESS(2,COLUMN())),OFFSET($BN$2,0,0,ROW()-1,60),ROW()-1,FALSE))</f>
        <v>1.19</v>
      </c>
      <c r="AR234">
        <f ca="1">IF(AND(ISNUMBER($AR$535),$B$294=1),$AR$535,HLOOKUP(INDIRECT(ADDRESS(2,COLUMN())),OFFSET($BN$2,0,0,ROW()-1,60),ROW()-1,FALSE))</f>
        <v>2.3420400670000001</v>
      </c>
      <c r="AS234">
        <f ca="1">IF(AND(ISNUMBER($AS$535),$B$294=1),$AS$535,HLOOKUP(INDIRECT(ADDRESS(2,COLUMN())),OFFSET($BN$2,0,0,ROW()-1,60),ROW()-1,FALSE))</f>
        <v>2.3296475870000002</v>
      </c>
      <c r="AT234">
        <f ca="1">IF(AND(ISNUMBER($AT$535),$B$294=1),$AT$535,HLOOKUP(INDIRECT(ADDRESS(2,COLUMN())),OFFSET($BN$2,0,0,ROW()-1,60),ROW()-1,FALSE))</f>
        <v>2.3539350059999999</v>
      </c>
      <c r="AU234">
        <f ca="1">IF(AND(ISNUMBER($AU$535),$B$294=1),$AU$535,HLOOKUP(INDIRECT(ADDRESS(2,COLUMN())),OFFSET($BN$2,0,0,ROW()-1,60),ROW()-1,FALSE))</f>
        <v>1.49</v>
      </c>
      <c r="AV234">
        <f ca="1">IF(AND(ISNUMBER($AV$535),$B$294=1),$AV$535,HLOOKUP(INDIRECT(ADDRESS(2,COLUMN())),OFFSET($BN$2,0,0,ROW()-1,60),ROW()-1,FALSE))</f>
        <v>2.3224481950000002</v>
      </c>
      <c r="AW234">
        <f ca="1">IF(AND(ISNUMBER($AW$535),$B$294=1),$AW$535,HLOOKUP(INDIRECT(ADDRESS(2,COLUMN())),OFFSET($BN$2,0,0,ROW()-1,60),ROW()-1,FALSE))</f>
        <v>2.4736204150000001</v>
      </c>
      <c r="AX234" t="str">
        <f ca="1">IF(AND(ISNUMBER($AX$535),$B$294=1),$AX$535,HLOOKUP(INDIRECT(ADDRESS(2,COLUMN())),OFFSET($BN$2,0,0,ROW()-1,60),ROW()-1,FALSE))</f>
        <v/>
      </c>
      <c r="AY234">
        <f ca="1">IF(AND(ISNUMBER($AY$535),$B$294=1),$AY$535,HLOOKUP(INDIRECT(ADDRESS(2,COLUMN())),OFFSET($BN$2,0,0,ROW()-1,60),ROW()-1,FALSE))</f>
        <v>1.66</v>
      </c>
      <c r="AZ234" t="str">
        <f ca="1">IF(AND(ISNUMBER($AZ$535),$B$294=1),$AZ$535,HLOOKUP(INDIRECT(ADDRESS(2,COLUMN())),OFFSET($BN$2,0,0,ROW()-1,60),ROW()-1,FALSE))</f>
        <v/>
      </c>
      <c r="BA234" t="str">
        <f ca="1">IF(AND(ISNUMBER($BA$535),$B$294=1),$BA$535,HLOOKUP(INDIRECT(ADDRESS(2,COLUMN())),OFFSET($BN$2,0,0,ROW()-1,60),ROW()-1,FALSE))</f>
        <v/>
      </c>
      <c r="BB234" t="str">
        <f ca="1">IF(AND(ISNUMBER($BB$535),$B$294=1),$BB$535,HLOOKUP(INDIRECT(ADDRESS(2,COLUMN())),OFFSET($BN$2,0,0,ROW()-1,60),ROW()-1,FALSE))</f>
        <v/>
      </c>
      <c r="BC234" t="str">
        <f ca="1">IF(AND(ISNUMBER($BC$535),$B$294=1),$BC$535,HLOOKUP(INDIRECT(ADDRESS(2,COLUMN())),OFFSET($BN$2,0,0,ROW()-1,60),ROW()-1,FALSE))</f>
        <v/>
      </c>
      <c r="BD234" t="str">
        <f ca="1">IF(AND(ISNUMBER($BD$535),$B$294=1),$BD$535,HLOOKUP(INDIRECT(ADDRESS(2,COLUMN())),OFFSET($BN$2,0,0,ROW()-1,60),ROW()-1,FALSE))</f>
        <v/>
      </c>
      <c r="BE234" t="str">
        <f ca="1">IF(AND(ISNUMBER($BE$535),$B$294=1),$BE$535,HLOOKUP(INDIRECT(ADDRESS(2,COLUMN())),OFFSET($BN$2,0,0,ROW()-1,60),ROW()-1,FALSE))</f>
        <v/>
      </c>
      <c r="BF234" t="str">
        <f ca="1">IF(AND(ISNUMBER($BF$535),$B$294=1),$BF$535,HLOOKUP(INDIRECT(ADDRESS(2,COLUMN())),OFFSET($BN$2,0,0,ROW()-1,60),ROW()-1,FALSE))</f>
        <v/>
      </c>
      <c r="BG234" t="str">
        <f ca="1">IF(AND(ISNUMBER($BG$535),$B$294=1),$BG$535,HLOOKUP(INDIRECT(ADDRESS(2,COLUMN())),OFFSET($BN$2,0,0,ROW()-1,60),ROW()-1,FALSE))</f>
        <v/>
      </c>
      <c r="BH234" t="str">
        <f ca="1">IF(AND(ISNUMBER($BH$535),$B$294=1),$BH$535,HLOOKUP(INDIRECT(ADDRESS(2,COLUMN())),OFFSET($BN$2,0,0,ROW()-1,60),ROW()-1,FALSE))</f>
        <v/>
      </c>
      <c r="BI234">
        <f ca="1">IF(AND(ISNUMBER($BI$535),$B$294=1),$BI$535,HLOOKUP(INDIRECT(ADDRESS(2,COLUMN())),OFFSET($BN$2,0,0,ROW()-1,60),ROW()-1,FALSE))</f>
        <v>3.6062349330000001</v>
      </c>
      <c r="BJ234">
        <f ca="1">IF(AND(ISNUMBER($BJ$535),$B$294=1),$BJ$535,HLOOKUP(INDIRECT(ADDRESS(2,COLUMN())),OFFSET($BN$2,0,0,ROW()-1,60),ROW()-1,FALSE))</f>
        <v>3.500698254</v>
      </c>
      <c r="BK234">
        <f ca="1">IF(AND(ISNUMBER($BK$535),$B$294=1),$BK$535,HLOOKUP(INDIRECT(ADDRESS(2,COLUMN())),OFFSET($BN$2,0,0,ROW()-1,60),ROW()-1,FALSE))</f>
        <v>3.575661035</v>
      </c>
      <c r="BL234">
        <f ca="1">IF(AND(ISNUMBER($BL$535),$B$294=1),$BL$535,HLOOKUP(INDIRECT(ADDRESS(2,COLUMN())),OFFSET($BN$2,0,0,ROW()-1,60),ROW()-1,FALSE))</f>
        <v>3.4129802429999998</v>
      </c>
      <c r="BM234">
        <f ca="1">IF(AND(ISNUMBER($BM$535),$B$294=1),$BM$535,HLOOKUP(INDIRECT(ADDRESS(2,COLUMN())),OFFSET($BN$2,0,0,ROW()-1,60),ROW()-1,FALSE))</f>
        <v>3.3426153859999999</v>
      </c>
      <c r="BN234" t="str">
        <f>""</f>
        <v/>
      </c>
      <c r="BO234">
        <f>1.83</f>
        <v>1.83</v>
      </c>
      <c r="BP234">
        <f>2.55</f>
        <v>2.5499999999999998</v>
      </c>
      <c r="BQ234">
        <f>2.75</f>
        <v>2.75</v>
      </c>
      <c r="BR234">
        <f>2.85</f>
        <v>2.85</v>
      </c>
      <c r="BS234">
        <f>2.99</f>
        <v>2.99</v>
      </c>
      <c r="BT234">
        <f>2.82</f>
        <v>2.82</v>
      </c>
      <c r="BU234">
        <f>2.69</f>
        <v>2.69</v>
      </c>
      <c r="BV234">
        <f>2.59</f>
        <v>2.59</v>
      </c>
      <c r="BW234">
        <f>2.68</f>
        <v>2.68</v>
      </c>
      <c r="BX234">
        <f>2.5</f>
        <v>2.5</v>
      </c>
      <c r="BY234">
        <f>2.8</f>
        <v>2.8</v>
      </c>
      <c r="BZ234">
        <f>2.67</f>
        <v>2.67</v>
      </c>
      <c r="CA234">
        <f>2.08</f>
        <v>2.08</v>
      </c>
      <c r="CB234">
        <f>2.48</f>
        <v>2.48</v>
      </c>
      <c r="CC234">
        <f>1.937886272</f>
        <v>1.9378862720000001</v>
      </c>
      <c r="CD234">
        <f>2.55</f>
        <v>2.5499999999999998</v>
      </c>
      <c r="CE234">
        <f>1.85</f>
        <v>1.85</v>
      </c>
      <c r="CF234">
        <f>2.5</f>
        <v>2.5</v>
      </c>
      <c r="CG234">
        <f>2.25404077</f>
        <v>2.25404077</v>
      </c>
      <c r="CH234">
        <f>2.200293443</f>
        <v>2.2002934430000001</v>
      </c>
      <c r="CI234">
        <f>1.36</f>
        <v>1.36</v>
      </c>
      <c r="CJ234">
        <f>2.617797099</f>
        <v>2.6177970990000001</v>
      </c>
      <c r="CK234">
        <f>2.538154501</f>
        <v>2.5381545010000002</v>
      </c>
      <c r="CL234">
        <f>2.623832663</f>
        <v>2.623832663</v>
      </c>
      <c r="CM234">
        <f>2.775755355</f>
        <v>2.7757553549999998</v>
      </c>
      <c r="CN234">
        <f>2.845765149</f>
        <v>2.845765149</v>
      </c>
      <c r="CO234">
        <f>2.923320474</f>
        <v>2.9233204740000001</v>
      </c>
      <c r="CP234">
        <f>2.854661625</f>
        <v>2.8546616249999999</v>
      </c>
      <c r="CQ234">
        <f>1.99</f>
        <v>1.99</v>
      </c>
      <c r="CR234">
        <f>2.29123391</f>
        <v>2.2912339099999999</v>
      </c>
      <c r="CS234">
        <f>2.237065869</f>
        <v>2.2370658689999998</v>
      </c>
      <c r="CT234">
        <f>1.989873179</f>
        <v>1.9898731789999999</v>
      </c>
      <c r="CU234">
        <f>0.95</f>
        <v>0.95</v>
      </c>
      <c r="CV234">
        <f>1.651475872</f>
        <v>1.651475872</v>
      </c>
      <c r="CW234">
        <f>1.569972963</f>
        <v>1.5699729630000001</v>
      </c>
      <c r="CX234">
        <f>1.844740873</f>
        <v>1.8447408729999999</v>
      </c>
      <c r="CY234">
        <f>1.19</f>
        <v>1.19</v>
      </c>
      <c r="CZ234">
        <f>2.342040067</f>
        <v>2.3420400670000001</v>
      </c>
      <c r="DA234">
        <f>2.329647587</f>
        <v>2.3296475870000002</v>
      </c>
      <c r="DB234">
        <f>2.353935006</f>
        <v>2.3539350059999999</v>
      </c>
      <c r="DC234">
        <f>1.49</f>
        <v>1.49</v>
      </c>
      <c r="DD234">
        <f>2.322448195</f>
        <v>2.3224481950000002</v>
      </c>
      <c r="DE234">
        <f>2.473620415</f>
        <v>2.4736204150000001</v>
      </c>
      <c r="DF234" t="str">
        <f>""</f>
        <v/>
      </c>
      <c r="DG234">
        <f>1.66</f>
        <v>1.66</v>
      </c>
      <c r="DH234" t="str">
        <f>""</f>
        <v/>
      </c>
      <c r="DI234" t="str">
        <f>""</f>
        <v/>
      </c>
      <c r="DJ234" t="str">
        <f>""</f>
        <v/>
      </c>
      <c r="DK234" t="str">
        <f>""</f>
        <v/>
      </c>
      <c r="DL234" t="str">
        <f>""</f>
        <v/>
      </c>
      <c r="DM234" t="str">
        <f>""</f>
        <v/>
      </c>
      <c r="DN234" t="str">
        <f>""</f>
        <v/>
      </c>
      <c r="DO234" t="str">
        <f>""</f>
        <v/>
      </c>
      <c r="DP234" t="str">
        <f>""</f>
        <v/>
      </c>
      <c r="DQ234">
        <f>3.606234933</f>
        <v>3.6062349330000001</v>
      </c>
      <c r="DR234">
        <f>3.500698254</f>
        <v>3.500698254</v>
      </c>
      <c r="DS234">
        <f>3.575661035</f>
        <v>3.575661035</v>
      </c>
      <c r="DT234">
        <f>3.412980243</f>
        <v>3.4129802429999998</v>
      </c>
      <c r="DU234">
        <f>3.342615386</f>
        <v>3.3426153859999999</v>
      </c>
    </row>
    <row r="235" spans="1:125">
      <c r="A235" t="str">
        <f>"现金与有价证券"</f>
        <v>现金与有价证券</v>
      </c>
      <c r="B235" t="str">
        <f>""</f>
        <v/>
      </c>
      <c r="E235" t="str">
        <f>"Median"</f>
        <v>Median</v>
      </c>
      <c r="F235" t="str">
        <f ca="1">IF(ISERROR(IF(MEDIAN($F$236:$F$245) = 0, "", MEDIAN($F$236:$F$245))), "", (IF(MEDIAN($F$236:$F$245) = 0, "", MEDIAN($F$236:$F$245))))</f>
        <v/>
      </c>
      <c r="G235">
        <f ca="1">IF(ISERROR(IF(MEDIAN($G$236:$G$245) = 0, "", MEDIAN($G$236:$G$245))), "", (IF(MEDIAN($G$236:$G$245) = 0, "", MEDIAN($G$236:$G$245))))</f>
        <v>42.914500000000004</v>
      </c>
      <c r="H235">
        <f ca="1">IF(ISERROR(IF(MEDIAN($H$236:$H$245) = 0, "", MEDIAN($H$236:$H$245))), "", (IF(MEDIAN($H$236:$H$245) = 0, "", MEDIAN($H$236:$H$245))))</f>
        <v>76.871499999999997</v>
      </c>
      <c r="I235">
        <f ca="1">IF(ISERROR(IF(MEDIAN($I$236:$I$245) = 0, "", MEDIAN($I$236:$I$245))), "", (IF(MEDIAN($I$236:$I$245) = 0, "", MEDIAN($I$236:$I$245))))</f>
        <v>154.43249999999998</v>
      </c>
      <c r="J235">
        <f ca="1">IF(ISERROR(IF(MEDIAN($J$236:$J$245) = 0, "", MEDIAN($J$236:$J$245))), "", (IF(MEDIAN($J$236:$J$245) = 0, "", MEDIAN($J$236:$J$245))))</f>
        <v>268.79650000000004</v>
      </c>
      <c r="K235">
        <f ca="1">IF(ISERROR(IF(MEDIAN($K$236:$K$245) = 0, "", MEDIAN($K$236:$K$245))), "", (IF(MEDIAN($K$236:$K$245) = 0, "", MEDIAN($K$236:$K$245))))</f>
        <v>201.89100000000002</v>
      </c>
      <c r="L235">
        <f ca="1">IF(ISERROR(IF(MEDIAN($L$236:$L$245) = 0, "", MEDIAN($L$236:$L$245))), "", (IF(MEDIAN($L$236:$L$245) = 0, "", MEDIAN($L$236:$L$245))))</f>
        <v>204.95749999999998</v>
      </c>
      <c r="M235">
        <f ca="1">IF(ISERROR(IF(MEDIAN($M$236:$M$245) = 0, "", MEDIAN($M$236:$M$245))), "", (IF(MEDIAN($M$236:$M$245) = 0, "", MEDIAN($M$236:$M$245))))</f>
        <v>27.894500000000001</v>
      </c>
      <c r="N235">
        <f ca="1">IF(ISERROR(IF(MEDIAN($N$236:$N$245) = 0, "", MEDIAN($N$236:$N$245))), "", (IF(MEDIAN($N$236:$N$245) = 0, "", MEDIAN($N$236:$N$245))))</f>
        <v>150.89850000000001</v>
      </c>
      <c r="O235">
        <f ca="1">IF(ISERROR(IF(MEDIAN($O$236:$O$245) = 0, "", MEDIAN($O$236:$O$245))), "", (IF(MEDIAN($O$236:$O$245) = 0, "", MEDIAN($O$236:$O$245))))</f>
        <v>56.600999999999999</v>
      </c>
      <c r="P235">
        <f ca="1">IF(ISERROR(IF(MEDIAN($P$236:$P$245) = 0, "", MEDIAN($P$236:$P$245))), "", (IF(MEDIAN($P$236:$P$245) = 0, "", MEDIAN($P$236:$P$245))))</f>
        <v>47.727499999999999</v>
      </c>
      <c r="Q235">
        <f ca="1">IF(ISERROR(IF(MEDIAN($Q$236:$Q$245) = 0, "", MEDIAN($Q$236:$Q$245))), "", (IF(MEDIAN($Q$236:$Q$245) = 0, "", MEDIAN($Q$236:$Q$245))))</f>
        <v>35.408000000000001</v>
      </c>
      <c r="R235">
        <f ca="1">IF(ISERROR(IF(MEDIAN($R$236:$R$245) = 0, "", MEDIAN($R$236:$R$245))), "", (IF(MEDIAN($R$236:$R$245) = 0, "", MEDIAN($R$236:$R$245))))</f>
        <v>40.708500000000001</v>
      </c>
      <c r="S235">
        <f ca="1">IF(ISERROR(IF(MEDIAN($S$236:$S$245) = 0, "", MEDIAN($S$236:$S$245))), "", (IF(MEDIAN($S$236:$S$245) = 0, "", MEDIAN($S$236:$S$245))))</f>
        <v>89.669499999999999</v>
      </c>
      <c r="T235">
        <f ca="1">IF(ISERROR(IF(MEDIAN($T$236:$T$245) = 0, "", MEDIAN($T$236:$T$245))), "", (IF(MEDIAN($T$236:$T$245) = 0, "", MEDIAN($T$236:$T$245))))</f>
        <v>152.9795</v>
      </c>
      <c r="U235">
        <f ca="1">IF(ISERROR(IF(MEDIAN($U$236:$U$245) = 0, "", MEDIAN($U$236:$U$245))), "", (IF(MEDIAN($U$236:$U$245) = 0, "", MEDIAN($U$236:$U$245))))</f>
        <v>78.579499999999996</v>
      </c>
      <c r="V235">
        <f ca="1">IF(ISERROR(IF(MEDIAN($V$236:$V$245) = 0, "", MEDIAN($V$236:$V$245))), "", (IF(MEDIAN($V$236:$V$245) = 0, "", MEDIAN($V$236:$V$245))))</f>
        <v>90.888499999999993</v>
      </c>
      <c r="W235">
        <f ca="1">IF(ISERROR(IF(MEDIAN($W$236:$W$245) = 0, "", MEDIAN($W$236:$W$245))), "", (IF(MEDIAN($W$236:$W$245) = 0, "", MEDIAN($W$236:$W$245))))</f>
        <v>153.27350000000001</v>
      </c>
      <c r="X235">
        <f ca="1">IF(ISERROR(IF(MEDIAN($X$236:$X$245) = 0, "", MEDIAN($X$236:$X$245))), "", (IF(MEDIAN($X$236:$X$245) = 0, "", MEDIAN($X$236:$X$245))))</f>
        <v>191.33350000000002</v>
      </c>
      <c r="Y235">
        <f ca="1">IF(ISERROR(IF(MEDIAN($Y$236:$Y$245) = 0, "", MEDIAN($Y$236:$Y$245))), "", (IF(MEDIAN($Y$236:$Y$245) = 0, "", MEDIAN($Y$236:$Y$245))))</f>
        <v>142.881</v>
      </c>
      <c r="Z235">
        <f ca="1">IF(ISERROR(IF(MEDIAN($Z$236:$Z$245) = 0, "", MEDIAN($Z$236:$Z$245))), "", (IF(MEDIAN($Z$236:$Z$245) = 0, "", MEDIAN($Z$236:$Z$245))))</f>
        <v>58.248500000000007</v>
      </c>
      <c r="AA235">
        <f ca="1">IF(ISERROR(IF(MEDIAN($AA$236:$AA$245) = 0, "", MEDIAN($AA$236:$AA$245))), "", (IF(MEDIAN($AA$236:$AA$245) = 0, "", MEDIAN($AA$236:$AA$245))))</f>
        <v>35.1785</v>
      </c>
      <c r="AB235">
        <f ca="1">IF(ISERROR(IF(MEDIAN($AB$236:$AB$245) = 0, "", MEDIAN($AB$236:$AB$245))), "", (IF(MEDIAN($AB$236:$AB$245) = 0, "", MEDIAN($AB$236:$AB$245))))</f>
        <v>34.9895</v>
      </c>
      <c r="AC235">
        <f ca="1">IF(ISERROR(IF(MEDIAN($AC$236:$AC$245) = 0, "", MEDIAN($AC$236:$AC$245))), "", (IF(MEDIAN($AC$236:$AC$245) = 0, "", MEDIAN($AC$236:$AC$245))))</f>
        <v>43.743499999999997</v>
      </c>
      <c r="AD235">
        <f ca="1">IF(ISERROR(IF(MEDIAN($AD$236:$AD$245) = 0, "", MEDIAN($AD$236:$AD$245))), "", (IF(MEDIAN($AD$236:$AD$245) = 0, "", MEDIAN($AD$236:$AD$245))))</f>
        <v>91.410499999999985</v>
      </c>
      <c r="AE235">
        <f ca="1">IF(ISERROR(IF(MEDIAN($AE$236:$AE$245) = 0, "", MEDIAN($AE$236:$AE$245))), "", (IF(MEDIAN($AE$236:$AE$245) = 0, "", MEDIAN($AE$236:$AE$245))))</f>
        <v>29.981999999999999</v>
      </c>
      <c r="AF235">
        <f ca="1">IF(ISERROR(IF(MEDIAN($AF$236:$AF$245) = 0, "", MEDIAN($AF$236:$AF$245))), "", (IF(MEDIAN($AF$236:$AF$245) = 0, "", MEDIAN($AF$236:$AF$245))))</f>
        <v>15.991</v>
      </c>
      <c r="AG235">
        <f ca="1">IF(ISERROR(IF(MEDIAN($AG$236:$AG$245) = 0, "", MEDIAN($AG$236:$AG$245))), "", (IF(MEDIAN($AG$236:$AG$245) = 0, "", MEDIAN($AG$236:$AG$245))))</f>
        <v>23.408000000000001</v>
      </c>
      <c r="AH235">
        <f ca="1">IF(ISERROR(IF(MEDIAN($AH$236:$AH$245) = 0, "", MEDIAN($AH$236:$AH$245))), "", (IF(MEDIAN($AH$236:$AH$245) = 0, "", MEDIAN($AH$236:$AH$245))))</f>
        <v>31.714999999999996</v>
      </c>
      <c r="AI235">
        <f ca="1">IF(ISERROR(IF(MEDIAN($AI$236:$AI$245) = 0, "", MEDIAN($AI$236:$AI$245))), "", (IF(MEDIAN($AI$236:$AI$245) = 0, "", MEDIAN($AI$236:$AI$245))))</f>
        <v>30.366499999999998</v>
      </c>
      <c r="AJ235">
        <f ca="1">IF(ISERROR(IF(MEDIAN($AJ$236:$AJ$245) = 0, "", MEDIAN($AJ$236:$AJ$245))), "", (IF(MEDIAN($AJ$236:$AJ$245) = 0, "", MEDIAN($AJ$236:$AJ$245))))</f>
        <v>85.789999999999992</v>
      </c>
      <c r="AK235">
        <f ca="1">IF(ISERROR(IF(MEDIAN($AK$236:$AK$245) = 0, "", MEDIAN($AK$236:$AK$245))), "", (IF(MEDIAN($AK$236:$AK$245) = 0, "", MEDIAN($AK$236:$AK$245))))</f>
        <v>93.567999999999998</v>
      </c>
      <c r="AL235">
        <f ca="1">IF(ISERROR(IF(MEDIAN($AL$236:$AL$245) = 0, "", MEDIAN($AL$236:$AL$245))), "", (IF(MEDIAN($AL$236:$AL$245) = 0, "", MEDIAN($AL$236:$AL$245))))</f>
        <v>115.346</v>
      </c>
      <c r="AM235">
        <f ca="1">IF(ISERROR(IF(MEDIAN($AM$236:$AM$245) = 0, "", MEDIAN($AM$236:$AM$245))), "", (IF(MEDIAN($AM$236:$AM$245) = 0, "", MEDIAN($AM$236:$AM$245))))</f>
        <v>63.212000000000003</v>
      </c>
      <c r="AN235">
        <f ca="1">IF(ISERROR(IF(MEDIAN($AN$236:$AN$245) = 0, "", MEDIAN($AN$236:$AN$245))), "", (IF(MEDIAN($AN$236:$AN$245) = 0, "", MEDIAN($AN$236:$AN$245))))</f>
        <v>56.512</v>
      </c>
      <c r="AO235">
        <f ca="1">IF(ISERROR(IF(MEDIAN($AO$236:$AO$245) = 0, "", MEDIAN($AO$236:$AO$245))), "", (IF(MEDIAN($AO$236:$AO$245) = 0, "", MEDIAN($AO$236:$AO$245))))</f>
        <v>25.366</v>
      </c>
      <c r="AP235">
        <f ca="1">IF(ISERROR(IF(MEDIAN($AP$236:$AP$245) = 0, "", MEDIAN($AP$236:$AP$245))), "", (IF(MEDIAN($AP$236:$AP$245) = 0, "", MEDIAN($AP$236:$AP$245))))</f>
        <v>31.901499999999999</v>
      </c>
      <c r="AQ235">
        <f ca="1">IF(ISERROR(IF(MEDIAN($AQ$236:$AQ$245) = 0, "", MEDIAN($AQ$236:$AQ$245))), "", (IF(MEDIAN($AQ$236:$AQ$245) = 0, "", MEDIAN($AQ$236:$AQ$245))))</f>
        <v>20.332999999999998</v>
      </c>
      <c r="AR235">
        <f ca="1">IF(ISERROR(IF(MEDIAN($AR$236:$AR$245) = 0, "", MEDIAN($AR$236:$AR$245))), "", (IF(MEDIAN($AR$236:$AR$245) = 0, "", MEDIAN($AR$236:$AR$245))))</f>
        <v>21.315999999999999</v>
      </c>
      <c r="AS235">
        <f ca="1">IF(ISERROR(IF(MEDIAN($AS$236:$AS$245) = 0, "", MEDIAN($AS$236:$AS$245))), "", (IF(MEDIAN($AS$236:$AS$245) = 0, "", MEDIAN($AS$236:$AS$245))))</f>
        <v>33.777000000000001</v>
      </c>
      <c r="AT235">
        <f ca="1">IF(ISERROR(IF(MEDIAN($AT$236:$AT$245) = 0, "", MEDIAN($AT$236:$AT$245))), "", (IF(MEDIAN($AT$236:$AT$245) = 0, "", MEDIAN($AT$236:$AT$245))))</f>
        <v>37.606999999999999</v>
      </c>
      <c r="AU235">
        <f ca="1">IF(ISERROR(IF(MEDIAN($AU$236:$AU$245) = 0, "", MEDIAN($AU$236:$AU$245))), "", (IF(MEDIAN($AU$236:$AU$245) = 0, "", MEDIAN($AU$236:$AU$245))))</f>
        <v>24.716000000000001</v>
      </c>
      <c r="AV235">
        <f ca="1">IF(ISERROR(IF(MEDIAN($AV$236:$AV$245) = 0, "", MEDIAN($AV$236:$AV$245))), "", (IF(MEDIAN($AV$236:$AV$245) = 0, "", MEDIAN($AV$236:$AV$245))))</f>
        <v>29.981000000000002</v>
      </c>
      <c r="AW235">
        <f ca="1">IF(ISERROR(IF(MEDIAN($AW$236:$AW$245) = 0, "", MEDIAN($AW$236:$AW$245))), "", (IF(MEDIAN($AW$236:$AW$245) = 0, "", MEDIAN($AW$236:$AW$245))))</f>
        <v>28.521999999999998</v>
      </c>
      <c r="AX235">
        <f ca="1">IF(ISERROR(IF(MEDIAN($AX$236:$AX$245) = 0, "", MEDIAN($AX$236:$AX$245))), "", (IF(MEDIAN($AX$236:$AX$245) = 0, "", MEDIAN($AX$236:$AX$245))))</f>
        <v>55.055</v>
      </c>
      <c r="AY235">
        <f ca="1">IF(ISERROR(IF(MEDIAN($AY$236:$AY$245) = 0, "", MEDIAN($AY$236:$AY$245))), "", (IF(MEDIAN($AY$236:$AY$245) = 0, "", MEDIAN($AY$236:$AY$245))))</f>
        <v>44.131</v>
      </c>
      <c r="AZ235">
        <f ca="1">IF(ISERROR(IF(MEDIAN($AZ$236:$AZ$245) = 0, "", MEDIAN($AZ$236:$AZ$245))), "", (IF(MEDIAN($AZ$236:$AZ$245) = 0, "", MEDIAN($AZ$236:$AZ$245))))</f>
        <v>20.78</v>
      </c>
      <c r="BA235">
        <f ca="1">IF(ISERROR(IF(MEDIAN($BA$236:$BA$245) = 0, "", MEDIAN($BA$236:$BA$245))), "", (IF(MEDIAN($BA$236:$BA$245) = 0, "", MEDIAN($BA$236:$BA$245))))</f>
        <v>20.417000000000002</v>
      </c>
      <c r="BB235">
        <f ca="1">IF(ISERROR(IF(MEDIAN($BB$236:$BB$245) = 0, "", MEDIAN($BB$236:$BB$245))), "", (IF(MEDIAN($BB$236:$BB$245) = 0, "", MEDIAN($BB$236:$BB$245))))</f>
        <v>24.143999999999998</v>
      </c>
      <c r="BC235">
        <f ca="1">IF(ISERROR(IF(MEDIAN($BC$236:$BC$245) = 0, "", MEDIAN($BC$236:$BC$245))), "", (IF(MEDIAN($BC$236:$BC$245) = 0, "", MEDIAN($BC$236:$BC$245))))</f>
        <v>24.103999999999999</v>
      </c>
      <c r="BD235">
        <f ca="1">IF(ISERROR(IF(MEDIAN($BD$236:$BD$245) = 0, "", MEDIAN($BD$236:$BD$245))), "", (IF(MEDIAN($BD$236:$BD$245) = 0, "", MEDIAN($BD$236:$BD$245))))</f>
        <v>17.347999999999999</v>
      </c>
      <c r="BE235">
        <f ca="1">IF(ISERROR(IF(MEDIAN($BE$236:$BE$245) = 0, "", MEDIAN($BE$236:$BE$245))), "", (IF(MEDIAN($BE$236:$BE$245) = 0, "", MEDIAN($BE$236:$BE$245))))</f>
        <v>21.486000000000001</v>
      </c>
      <c r="BF235">
        <f ca="1">IF(ISERROR(IF(MEDIAN($BF$236:$BF$245) = 0, "", MEDIAN($BF$236:$BF$245))), "", (IF(MEDIAN($BF$236:$BF$245) = 0, "", MEDIAN($BF$236:$BF$245))))</f>
        <v>16.789000000000001</v>
      </c>
      <c r="BG235">
        <f ca="1">IF(ISERROR(IF(MEDIAN($BG$236:$BG$245) = 0, "", MEDIAN($BG$236:$BG$245))), "", (IF(MEDIAN($BG$236:$BG$245) = 0, "", MEDIAN($BG$236:$BG$245))))</f>
        <v>24.481999999999999</v>
      </c>
      <c r="BH235">
        <f ca="1">IF(ISERROR(IF(MEDIAN($BH$236:$BH$245) = 0, "", MEDIAN($BH$236:$BH$245))), "", (IF(MEDIAN($BH$236:$BH$245) = 0, "", MEDIAN($BH$236:$BH$245))))</f>
        <v>20.468</v>
      </c>
      <c r="BI235">
        <f ca="1">IF(ISERROR(IF(MEDIAN($BI$236:$BI$245) = 0, "", MEDIAN($BI$236:$BI$245))), "", (IF(MEDIAN($BI$236:$BI$245) = 0, "", MEDIAN($BI$236:$BI$245))))</f>
        <v>12.202</v>
      </c>
      <c r="BJ235">
        <f ca="1">IF(ISERROR(IF(MEDIAN($BJ$236:$BJ$245) = 0, "", MEDIAN($BJ$236:$BJ$245))), "", (IF(MEDIAN($BJ$236:$BJ$245) = 0, "", MEDIAN($BJ$236:$BJ$245))))</f>
        <v>17.001000000000001</v>
      </c>
      <c r="BK235">
        <f ca="1">IF(ISERROR(IF(MEDIAN($BK$236:$BK$245) = 0, "", MEDIAN($BK$236:$BK$245))), "", (IF(MEDIAN($BK$236:$BK$245) = 0, "", MEDIAN($BK$236:$BK$245))))</f>
        <v>38.546001429999997</v>
      </c>
      <c r="BL235">
        <f ca="1">IF(ISERROR(IF(MEDIAN($BL$236:$BL$245) = 0, "", MEDIAN($BL$236:$BL$245))), "", (IF(MEDIAN($BL$236:$BL$245) = 0, "", MEDIAN($BL$236:$BL$245))))</f>
        <v>16.077999999999999</v>
      </c>
      <c r="BM235">
        <f ca="1">IF(ISERROR(IF(MEDIAN($BM$236:$BM$245) = 0, "", MEDIAN($BM$236:$BM$245))), "", (IF(MEDIAN($BM$236:$BM$245) = 0, "", MEDIAN($BM$236:$BM$245))))</f>
        <v>13.025</v>
      </c>
      <c r="BN235" t="str">
        <f>""</f>
        <v/>
      </c>
      <c r="BO235">
        <f>42.9145</f>
        <v>42.914499999999997</v>
      </c>
      <c r="BP235">
        <f>76.8715</f>
        <v>76.871499999999997</v>
      </c>
      <c r="BQ235">
        <f>154.4325</f>
        <v>154.4325</v>
      </c>
      <c r="BR235">
        <f>268.7965</f>
        <v>268.79649999999998</v>
      </c>
      <c r="BS235">
        <f>201.891</f>
        <v>201.89099999999999</v>
      </c>
      <c r="BT235">
        <f>204.9575</f>
        <v>204.95750000000001</v>
      </c>
      <c r="BU235">
        <f>27.8945</f>
        <v>27.894500000000001</v>
      </c>
      <c r="BV235">
        <f>150.8985</f>
        <v>150.89850000000001</v>
      </c>
      <c r="BW235">
        <f>56.601</f>
        <v>56.600999999999999</v>
      </c>
      <c r="BX235">
        <f>47.7275</f>
        <v>47.727499999999999</v>
      </c>
      <c r="BY235">
        <f>35.408</f>
        <v>35.408000000000001</v>
      </c>
      <c r="BZ235">
        <f>40.7085</f>
        <v>40.708500000000001</v>
      </c>
      <c r="CA235">
        <f>89.6695</f>
        <v>89.669499999999999</v>
      </c>
      <c r="CB235">
        <f>152.9795</f>
        <v>152.9795</v>
      </c>
      <c r="CC235">
        <f>78.5795</f>
        <v>78.579499999999996</v>
      </c>
      <c r="CD235">
        <f>90.8885</f>
        <v>90.888499999999993</v>
      </c>
      <c r="CE235">
        <f>153.2735</f>
        <v>153.27350000000001</v>
      </c>
      <c r="CF235">
        <f>191.3335</f>
        <v>191.33349999999999</v>
      </c>
      <c r="CG235">
        <f>142.881</f>
        <v>142.881</v>
      </c>
      <c r="CH235">
        <f>58.2485</f>
        <v>58.2485</v>
      </c>
      <c r="CI235">
        <f>35.1785</f>
        <v>35.1785</v>
      </c>
      <c r="CJ235">
        <f>34.9895</f>
        <v>34.9895</v>
      </c>
      <c r="CK235">
        <f>43.7435</f>
        <v>43.743499999999997</v>
      </c>
      <c r="CL235">
        <f>91.4105</f>
        <v>91.410499999999999</v>
      </c>
      <c r="CM235">
        <f>29.982</f>
        <v>29.981999999999999</v>
      </c>
      <c r="CN235">
        <f>15.991</f>
        <v>15.991</v>
      </c>
      <c r="CO235">
        <f>23.408</f>
        <v>23.408000000000001</v>
      </c>
      <c r="CP235">
        <f>31.715</f>
        <v>31.715</v>
      </c>
      <c r="CQ235">
        <f>30.3665</f>
        <v>30.366499999999998</v>
      </c>
      <c r="CR235">
        <f>85.79</f>
        <v>85.79</v>
      </c>
      <c r="CS235">
        <f>93.568</f>
        <v>93.567999999999998</v>
      </c>
      <c r="CT235">
        <f>115.346</f>
        <v>115.346</v>
      </c>
      <c r="CU235">
        <f>63.212</f>
        <v>63.212000000000003</v>
      </c>
      <c r="CV235">
        <f>56.512</f>
        <v>56.512</v>
      </c>
      <c r="CW235">
        <f>25.366</f>
        <v>25.366</v>
      </c>
      <c r="CX235">
        <f>31.9015</f>
        <v>31.901499999999999</v>
      </c>
      <c r="CY235">
        <f>20.333</f>
        <v>20.332999999999998</v>
      </c>
      <c r="CZ235">
        <f>21.316</f>
        <v>21.315999999999999</v>
      </c>
      <c r="DA235">
        <f>33.777</f>
        <v>33.777000000000001</v>
      </c>
      <c r="DB235">
        <f>37.607</f>
        <v>37.606999999999999</v>
      </c>
      <c r="DC235">
        <f>24.716</f>
        <v>24.716000000000001</v>
      </c>
      <c r="DD235">
        <f>29.981</f>
        <v>29.981000000000002</v>
      </c>
      <c r="DE235">
        <f>28.522</f>
        <v>28.521999999999998</v>
      </c>
      <c r="DF235">
        <f>55.055</f>
        <v>55.055</v>
      </c>
      <c r="DG235">
        <f>44.131</f>
        <v>44.131</v>
      </c>
      <c r="DH235">
        <f>20.78</f>
        <v>20.78</v>
      </c>
      <c r="DI235">
        <f>20.417</f>
        <v>20.417000000000002</v>
      </c>
      <c r="DJ235">
        <f>24.144</f>
        <v>24.143999999999998</v>
      </c>
      <c r="DK235">
        <f>24.104</f>
        <v>24.103999999999999</v>
      </c>
      <c r="DL235">
        <f>17.348</f>
        <v>17.347999999999999</v>
      </c>
      <c r="DM235">
        <f>21.486</f>
        <v>21.486000000000001</v>
      </c>
      <c r="DN235">
        <f>16.789</f>
        <v>16.789000000000001</v>
      </c>
      <c r="DO235">
        <f>24.482</f>
        <v>24.481999999999999</v>
      </c>
      <c r="DP235">
        <f>20.468</f>
        <v>20.468</v>
      </c>
      <c r="DQ235">
        <f>12.202</f>
        <v>12.202</v>
      </c>
      <c r="DR235">
        <f>17.001</f>
        <v>17.001000000000001</v>
      </c>
      <c r="DS235">
        <f>38.54600143</f>
        <v>38.546001429999997</v>
      </c>
      <c r="DT235">
        <f>16.078</f>
        <v>16.077999999999999</v>
      </c>
      <c r="DU235">
        <f>13.025</f>
        <v>13.025</v>
      </c>
    </row>
    <row r="236" spans="1:125">
      <c r="A236" t="str">
        <f>"    Boston Properties Inc"</f>
        <v xml:space="preserve">    Boston Properties Inc</v>
      </c>
      <c r="B236" t="str">
        <f>"BXP US Equity"</f>
        <v>BXP US Equity</v>
      </c>
      <c r="C236" t="str">
        <f t="shared" ref="C236:C245" si="63">"RR253"</f>
        <v>RR253</v>
      </c>
      <c r="D236" t="str">
        <f t="shared" ref="D236:D245" si="64">"CASH_AND_MARKETABLE_SECURITIES"</f>
        <v>CASH_AND_MARKETABLE_SECURITIES</v>
      </c>
      <c r="E236" t="str">
        <f t="shared" ref="E236:E245" si="65">"动态"</f>
        <v>动态</v>
      </c>
      <c r="F236" t="str">
        <f ca="1">IF(AND(ISNUMBER($F$536),$B$294=1),$F$536,HLOOKUP(INDIRECT(ADDRESS(2,COLUMN())),OFFSET($BN$2,0,0,ROW()-1,60),ROW()-1,FALSE))</f>
        <v/>
      </c>
      <c r="G236">
        <f ca="1">IF(AND(ISNUMBER($G$536),$B$294=1),$G$536,HLOOKUP(INDIRECT(ADDRESS(2,COLUMN())),OFFSET($BN$2,0,0,ROW()-1,60),ROW()-1,FALSE))</f>
        <v>434.767</v>
      </c>
      <c r="H236">
        <f ca="1">IF(AND(ISNUMBER($H$536),$B$294=1),$H$536,HLOOKUP(INDIRECT(ADDRESS(2,COLUMN())),OFFSET($BN$2,0,0,ROW()-1,60),ROW()-1,FALSE))</f>
        <v>493.05500000000001</v>
      </c>
      <c r="I236">
        <f ca="1">IF(AND(ISNUMBER($I$536),$B$294=1),$I$536,HLOOKUP(INDIRECT(ADDRESS(2,COLUMN())),OFFSET($BN$2,0,0,ROW()-1,60),ROW()-1,FALSE))</f>
        <v>492.435</v>
      </c>
      <c r="J236">
        <f ca="1">IF(AND(ISNUMBER($J$536),$B$294=1),$J$536,HLOOKUP(INDIRECT(ADDRESS(2,COLUMN())),OFFSET($BN$2,0,0,ROW()-1,60),ROW()-1,FALSE))</f>
        <v>302.93900000000002</v>
      </c>
      <c r="K236">
        <f ca="1">IF(AND(ISNUMBER($K$536),$B$294=1),$K$536,HLOOKUP(INDIRECT(ADDRESS(2,COLUMN())),OFFSET($BN$2,0,0,ROW()-1,60),ROW()-1,FALSE))</f>
        <v>356.91399999999999</v>
      </c>
      <c r="L236">
        <f ca="1">IF(AND(ISNUMBER($L$536),$B$294=1),$L$536,HLOOKUP(INDIRECT(ADDRESS(2,COLUMN())),OFFSET($BN$2,0,0,ROW()-1,60),ROW()-1,FALSE))</f>
        <v>419.32299999999998</v>
      </c>
      <c r="M236">
        <f ca="1">IF(AND(ISNUMBER($M$536),$B$294=1),$M$536,HLOOKUP(INDIRECT(ADDRESS(2,COLUMN())),OFFSET($BN$2,0,0,ROW()-1,60),ROW()-1,FALSE))</f>
        <v>1180.0440000000001</v>
      </c>
      <c r="N236">
        <f ca="1">IF(AND(ISNUMBER($N$536),$B$294=1),$N$536,HLOOKUP(INDIRECT(ADDRESS(2,COLUMN())),OFFSET($BN$2,0,0,ROW()-1,60),ROW()-1,FALSE))</f>
        <v>1605.6780000000001</v>
      </c>
      <c r="O236">
        <f ca="1">IF(AND(ISNUMBER($O$536),$B$294=1),$O$536,HLOOKUP(INDIRECT(ADDRESS(2,COLUMN())),OFFSET($BN$2,0,0,ROW()-1,60),ROW()-1,FALSE))</f>
        <v>723.71799999999996</v>
      </c>
      <c r="P236">
        <f ca="1">IF(AND(ISNUMBER($P$536),$B$294=1),$P$536,HLOOKUP(INDIRECT(ADDRESS(2,COLUMN())),OFFSET($BN$2,0,0,ROW()-1,60),ROW()-1,FALSE))</f>
        <v>1387.0070000000001</v>
      </c>
      <c r="Q236">
        <f ca="1">IF(AND(ISNUMBER($Q$536),$B$294=1),$Q$536,HLOOKUP(INDIRECT(ADDRESS(2,COLUMN())),OFFSET($BN$2,0,0,ROW()-1,60),ROW()-1,FALSE))</f>
        <v>1342.751</v>
      </c>
      <c r="R236">
        <f ca="1">IF(AND(ISNUMBER($R$536),$B$294=1),$R$536,HLOOKUP(INDIRECT(ADDRESS(2,COLUMN())),OFFSET($BN$2,0,0,ROW()-1,60),ROW()-1,FALSE))</f>
        <v>1064.396</v>
      </c>
      <c r="S236">
        <f ca="1">IF(AND(ISNUMBER($S$536),$B$294=1),$S$536,HLOOKUP(INDIRECT(ADDRESS(2,COLUMN())),OFFSET($BN$2,0,0,ROW()-1,60),ROW()-1,FALSE))</f>
        <v>1763.079</v>
      </c>
      <c r="T236">
        <f ca="1">IF(AND(ISNUMBER($T$536),$B$294=1),$T$536,HLOOKUP(INDIRECT(ADDRESS(2,COLUMN())),OFFSET($BN$2,0,0,ROW()-1,60),ROW()-1,FALSE))</f>
        <v>846.66399999999999</v>
      </c>
      <c r="U236">
        <f ca="1">IF(AND(ISNUMBER($U$536),$B$294=1),$U$536,HLOOKUP(INDIRECT(ADDRESS(2,COLUMN())),OFFSET($BN$2,0,0,ROW()-1,60),ROW()-1,FALSE))</f>
        <v>1036.576</v>
      </c>
      <c r="V236">
        <f ca="1">IF(AND(ISNUMBER($V$536),$B$294=1),$V$536,HLOOKUP(INDIRECT(ADDRESS(2,COLUMN())),OFFSET($BN$2,0,0,ROW()-1,60),ROW()-1,FALSE))</f>
        <v>1179.5730000000001</v>
      </c>
      <c r="W236">
        <f ca="1">IF(AND(ISNUMBER($W$536),$B$294=1),$W$536,HLOOKUP(INDIRECT(ADDRESS(2,COLUMN())),OFFSET($BN$2,0,0,ROW()-1,60),ROW()-1,FALSE))</f>
        <v>2365.1370000000002</v>
      </c>
      <c r="X236">
        <f ca="1">IF(AND(ISNUMBER($X$536),$B$294=1),$X$536,HLOOKUP(INDIRECT(ADDRESS(2,COLUMN())),OFFSET($BN$2,0,0,ROW()-1,60),ROW()-1,FALSE))</f>
        <v>1641.2750000000001</v>
      </c>
      <c r="Y236">
        <f ca="1">IF(AND(ISNUMBER($Y$536),$B$294=1),$Y$536,HLOOKUP(INDIRECT(ADDRESS(2,COLUMN())),OFFSET($BN$2,0,0,ROW()-1,60),ROW()-1,FALSE))</f>
        <v>1608.731</v>
      </c>
      <c r="Z236">
        <f ca="1">IF(AND(ISNUMBER($Z$536),$B$294=1),$Z$536,HLOOKUP(INDIRECT(ADDRESS(2,COLUMN())),OFFSET($BN$2,0,0,ROW()-1,60),ROW()-1,FALSE))</f>
        <v>909.37599999999998</v>
      </c>
      <c r="AA236">
        <f ca="1">IF(AND(ISNUMBER($AA$536),$B$294=1),$AA$536,HLOOKUP(INDIRECT(ADDRESS(2,COLUMN())),OFFSET($BN$2,0,0,ROW()-1,60),ROW()-1,FALSE))</f>
        <v>1041.9780000000001</v>
      </c>
      <c r="AB236">
        <f ca="1">IF(AND(ISNUMBER($AB$536),$B$294=1),$AB$536,HLOOKUP(INDIRECT(ADDRESS(2,COLUMN())),OFFSET($BN$2,0,0,ROW()-1,60),ROW()-1,FALSE))</f>
        <v>1223.2149999999999</v>
      </c>
      <c r="AC236">
        <f ca="1">IF(AND(ISNUMBER($AC$536),$B$294=1),$AC$536,HLOOKUP(INDIRECT(ADDRESS(2,COLUMN())),OFFSET($BN$2,0,0,ROW()-1,60),ROW()-1,FALSE))</f>
        <v>1671.9970000000001</v>
      </c>
      <c r="AD236">
        <f ca="1">IF(AND(ISNUMBER($AD$536),$B$294=1),$AD$536,HLOOKUP(INDIRECT(ADDRESS(2,COLUMN())),OFFSET($BN$2,0,0,ROW()-1,60),ROW()-1,FALSE))</f>
        <v>591.19600000000003</v>
      </c>
      <c r="AE236">
        <f ca="1">IF(AND(ISNUMBER($AE$536),$B$294=1),$AE$536,HLOOKUP(INDIRECT(ADDRESS(2,COLUMN())),OFFSET($BN$2,0,0,ROW()-1,60),ROW()-1,FALSE))</f>
        <v>1823.2080000000001</v>
      </c>
      <c r="AF236">
        <f ca="1">IF(AND(ISNUMBER($AF$536),$B$294=1),$AF$536,HLOOKUP(INDIRECT(ADDRESS(2,COLUMN())),OFFSET($BN$2,0,0,ROW()-1,60),ROW()-1,FALSE))</f>
        <v>1063.0239999999999</v>
      </c>
      <c r="AG236">
        <f ca="1">IF(AND(ISNUMBER($AG$536),$B$294=1),$AG$536,HLOOKUP(INDIRECT(ADDRESS(2,COLUMN())),OFFSET($BN$2,0,0,ROW()-1,60),ROW()-1,FALSE))</f>
        <v>780.58399999999995</v>
      </c>
      <c r="AH236">
        <f ca="1">IF(AND(ISNUMBER($AH$536),$B$294=1),$AH$536,HLOOKUP(INDIRECT(ADDRESS(2,COLUMN())),OFFSET($BN$2,0,0,ROW()-1,60),ROW()-1,FALSE))</f>
        <v>747.30499999999995</v>
      </c>
      <c r="AI236">
        <f ca="1">IF(AND(ISNUMBER($AI$536),$B$294=1),$AI$536,HLOOKUP(INDIRECT(ADDRESS(2,COLUMN())),OFFSET($BN$2,0,0,ROW()-1,60),ROW()-1,FALSE))</f>
        <v>478.94799999999998</v>
      </c>
      <c r="AJ236">
        <f ca="1">IF(AND(ISNUMBER($AJ$536),$B$294=1),$AJ$536,HLOOKUP(INDIRECT(ADDRESS(2,COLUMN())),OFFSET($BN$2,0,0,ROW()-1,60),ROW()-1,FALSE))</f>
        <v>1270.0740000000001</v>
      </c>
      <c r="AK236">
        <f ca="1">IF(AND(ISNUMBER($AK$536),$B$294=1),$AK$536,HLOOKUP(INDIRECT(ADDRESS(2,COLUMN())),OFFSET($BN$2,0,0,ROW()-1,60),ROW()-1,FALSE))</f>
        <v>1703.4480000000001</v>
      </c>
      <c r="AL236">
        <f ca="1">IF(AND(ISNUMBER($AL$536),$B$294=1),$AL$536,HLOOKUP(INDIRECT(ADDRESS(2,COLUMN())),OFFSET($BN$2,0,0,ROW()-1,60),ROW()-1,FALSE))</f>
        <v>1220.3920000000001</v>
      </c>
      <c r="AM236">
        <f ca="1">IF(AND(ISNUMBER($AM$536),$B$294=1),$AM$536,HLOOKUP(INDIRECT(ADDRESS(2,COLUMN())),OFFSET($BN$2,0,0,ROW()-1,60),ROW()-1,FALSE))</f>
        <v>1448.933</v>
      </c>
      <c r="AN236">
        <f ca="1">IF(AND(ISNUMBER($AN$536),$B$294=1),$AN$536,HLOOKUP(INDIRECT(ADDRESS(2,COLUMN())),OFFSET($BN$2,0,0,ROW()-1,60),ROW()-1,FALSE))</f>
        <v>782.10599999999999</v>
      </c>
      <c r="AO236">
        <f ca="1">IF(AND(ISNUMBER($AO$536),$B$294=1),$AO$536,HLOOKUP(INDIRECT(ADDRESS(2,COLUMN())),OFFSET($BN$2,0,0,ROW()-1,60),ROW()-1,FALSE))</f>
        <v>819.245</v>
      </c>
      <c r="AP236">
        <f ca="1">IF(AND(ISNUMBER($AP$536),$B$294=1),$AP$536,HLOOKUP(INDIRECT(ADDRESS(2,COLUMN())),OFFSET($BN$2,0,0,ROW()-1,60),ROW()-1,FALSE))</f>
        <v>143.78899999999999</v>
      </c>
      <c r="AQ236">
        <f ca="1">IF(AND(ISNUMBER($AQ$536),$B$294=1),$AQ$536,HLOOKUP(INDIRECT(ADDRESS(2,COLUMN())),OFFSET($BN$2,0,0,ROW()-1,60),ROW()-1,FALSE))</f>
        <v>241.51</v>
      </c>
      <c r="AR236">
        <f ca="1">IF(AND(ISNUMBER($AR$536),$B$294=1),$AR$536,HLOOKUP(INDIRECT(ADDRESS(2,COLUMN())),OFFSET($BN$2,0,0,ROW()-1,60),ROW()-1,FALSE))</f>
        <v>55.597000000000001</v>
      </c>
      <c r="AS236">
        <f ca="1">IF(AND(ISNUMBER($AS$536),$B$294=1),$AS$536,HLOOKUP(INDIRECT(ADDRESS(2,COLUMN())),OFFSET($BN$2,0,0,ROW()-1,60),ROW()-1,FALSE))</f>
        <v>112.11</v>
      </c>
      <c r="AT236">
        <f ca="1">IF(AND(ISNUMBER($AT$536),$B$294=1),$AT$536,HLOOKUP(INDIRECT(ADDRESS(2,COLUMN())),OFFSET($BN$2,0,0,ROW()-1,60),ROW()-1,FALSE))</f>
        <v>794.64300000000003</v>
      </c>
      <c r="AU236">
        <f ca="1">IF(AND(ISNUMBER($AU$536),$B$294=1),$AU$536,HLOOKUP(INDIRECT(ADDRESS(2,COLUMN())),OFFSET($BN$2,0,0,ROW()-1,60),ROW()-1,FALSE))</f>
        <v>1506.921</v>
      </c>
      <c r="AV236">
        <f ca="1">IF(AND(ISNUMBER($AV$536),$B$294=1),$AV$536,HLOOKUP(INDIRECT(ADDRESS(2,COLUMN())),OFFSET($BN$2,0,0,ROW()-1,60),ROW()-1,FALSE))</f>
        <v>1894.1980000000001</v>
      </c>
      <c r="AW236">
        <f ca="1">IF(AND(ISNUMBER($AW$536),$B$294=1),$AW$536,HLOOKUP(INDIRECT(ADDRESS(2,COLUMN())),OFFSET($BN$2,0,0,ROW()-1,60),ROW()-1,FALSE))</f>
        <v>1885.318</v>
      </c>
      <c r="AX236">
        <f ca="1">IF(AND(ISNUMBER($AX$536),$B$294=1),$AX$536,HLOOKUP(INDIRECT(ADDRESS(2,COLUMN())),OFFSET($BN$2,0,0,ROW()-1,60),ROW()-1,FALSE))</f>
        <v>2016.336</v>
      </c>
      <c r="AY236">
        <f ca="1">IF(AND(ISNUMBER($AY$536),$B$294=1),$AY$536,HLOOKUP(INDIRECT(ADDRESS(2,COLUMN())),OFFSET($BN$2,0,0,ROW()-1,60),ROW()-1,FALSE))</f>
        <v>725.78800000000001</v>
      </c>
      <c r="AZ236">
        <f ca="1">IF(AND(ISNUMBER($AZ$536),$B$294=1),$AZ$536,HLOOKUP(INDIRECT(ADDRESS(2,COLUMN())),OFFSET($BN$2,0,0,ROW()-1,60),ROW()-1,FALSE))</f>
        <v>1049.0260000000001</v>
      </c>
      <c r="BA236">
        <f ca="1">IF(AND(ISNUMBER($BA$536),$B$294=1),$BA$536,HLOOKUP(INDIRECT(ADDRESS(2,COLUMN())),OFFSET($BN$2,0,0,ROW()-1,60),ROW()-1,FALSE))</f>
        <v>370.39600000000002</v>
      </c>
      <c r="BB236">
        <f ca="1">IF(AND(ISNUMBER($BB$536),$B$294=1),$BB$536,HLOOKUP(INDIRECT(ADDRESS(2,COLUMN())),OFFSET($BN$2,0,0,ROW()-1,60),ROW()-1,FALSE))</f>
        <v>32.213999999999999</v>
      </c>
      <c r="BC236">
        <f ca="1">IF(AND(ISNUMBER($BC$536),$B$294=1),$BC$536,HLOOKUP(INDIRECT(ADDRESS(2,COLUMN())),OFFSET($BN$2,0,0,ROW()-1,60),ROW()-1,FALSE))</f>
        <v>261.49599999999998</v>
      </c>
      <c r="BD236">
        <f ca="1">IF(AND(ISNUMBER($BD$536),$B$294=1),$BD$536,HLOOKUP(INDIRECT(ADDRESS(2,COLUMN())),OFFSET($BN$2,0,0,ROW()-1,60),ROW()-1,FALSE))</f>
        <v>450.577</v>
      </c>
      <c r="BE236">
        <f ca="1">IF(AND(ISNUMBER($BE$536),$B$294=1),$BE$536,HLOOKUP(INDIRECT(ADDRESS(2,COLUMN())),OFFSET($BN$2,0,0,ROW()-1,60),ROW()-1,FALSE))</f>
        <v>507.18200000000002</v>
      </c>
      <c r="BF236">
        <f ca="1">IF(AND(ISNUMBER($BF$536),$B$294=1),$BF$536,HLOOKUP(INDIRECT(ADDRESS(2,COLUMN())),OFFSET($BN$2,0,0,ROW()-1,60),ROW()-1,FALSE))</f>
        <v>209.30699999999999</v>
      </c>
      <c r="BG236">
        <f ca="1">IF(AND(ISNUMBER($BG$536),$B$294=1),$BG$536,HLOOKUP(INDIRECT(ADDRESS(2,COLUMN())),OFFSET($BN$2,0,0,ROW()-1,60),ROW()-1,FALSE))</f>
        <v>239.34399999999999</v>
      </c>
      <c r="BH236">
        <f ca="1">IF(AND(ISNUMBER($BH$536),$B$294=1),$BH$536,HLOOKUP(INDIRECT(ADDRESS(2,COLUMN())),OFFSET($BN$2,0,0,ROW()-1,60),ROW()-1,FALSE))</f>
        <v>213.872986</v>
      </c>
      <c r="BI236">
        <f ca="1">IF(AND(ISNUMBER($BI$536),$B$294=1),$BI$536,HLOOKUP(INDIRECT(ADDRESS(2,COLUMN())),OFFSET($BN$2,0,0,ROW()-1,60),ROW()-1,FALSE))</f>
        <v>227.69799800000001</v>
      </c>
      <c r="BJ236">
        <f ca="1">IF(AND(ISNUMBER($BJ$536),$B$294=1),$BJ$536,HLOOKUP(INDIRECT(ADDRESS(2,COLUMN())),OFFSET($BN$2,0,0,ROW()-1,60),ROW()-1,FALSE))</f>
        <v>182.15100100000001</v>
      </c>
      <c r="BK236">
        <f ca="1">IF(AND(ISNUMBER($BK$536),$B$294=1),$BK$536,HLOOKUP(INDIRECT(ADDRESS(2,COLUMN())),OFFSET($BN$2,0,0,ROW()-1,60),ROW()-1,FALSE))</f>
        <v>22.686001000000001</v>
      </c>
      <c r="BL236">
        <f ca="1">IF(AND(ISNUMBER($BL$536),$B$294=1),$BL$536,HLOOKUP(INDIRECT(ADDRESS(2,COLUMN())),OFFSET($BN$2,0,0,ROW()-1,60),ROW()-1,FALSE))</f>
        <v>37.620998</v>
      </c>
      <c r="BM236">
        <f ca="1">IF(AND(ISNUMBER($BM$536),$B$294=1),$BM$536,HLOOKUP(INDIRECT(ADDRESS(2,COLUMN())),OFFSET($BN$2,0,0,ROW()-1,60),ROW()-1,FALSE))</f>
        <v>158.58699999999999</v>
      </c>
      <c r="BN236" t="str">
        <f>""</f>
        <v/>
      </c>
      <c r="BO236">
        <f>434.767</f>
        <v>434.767</v>
      </c>
      <c r="BP236">
        <f>493.055</f>
        <v>493.05500000000001</v>
      </c>
      <c r="BQ236">
        <f>492.435</f>
        <v>492.435</v>
      </c>
      <c r="BR236">
        <f>302.939</f>
        <v>302.93900000000002</v>
      </c>
      <c r="BS236">
        <f>356.914</f>
        <v>356.91399999999999</v>
      </c>
      <c r="BT236">
        <f>419.323</f>
        <v>419.32299999999998</v>
      </c>
      <c r="BU236">
        <f>1180.044</f>
        <v>1180.0440000000001</v>
      </c>
      <c r="BV236">
        <f>1605.678</f>
        <v>1605.6780000000001</v>
      </c>
      <c r="BW236">
        <f>723.718</f>
        <v>723.71799999999996</v>
      </c>
      <c r="BX236">
        <f>1387.007</f>
        <v>1387.0070000000001</v>
      </c>
      <c r="BY236">
        <f>1342.751</f>
        <v>1342.751</v>
      </c>
      <c r="BZ236">
        <f>1064.396</f>
        <v>1064.396</v>
      </c>
      <c r="CA236">
        <f>1763.079</f>
        <v>1763.079</v>
      </c>
      <c r="CB236">
        <f>846.664</f>
        <v>846.66399999999999</v>
      </c>
      <c r="CC236">
        <f>1036.576</f>
        <v>1036.576</v>
      </c>
      <c r="CD236">
        <f>1179.573</f>
        <v>1179.5730000000001</v>
      </c>
      <c r="CE236">
        <f>2365.137</f>
        <v>2365.1370000000002</v>
      </c>
      <c r="CF236">
        <f>1641.275</f>
        <v>1641.2750000000001</v>
      </c>
      <c r="CG236">
        <f>1608.731</f>
        <v>1608.731</v>
      </c>
      <c r="CH236">
        <f>909.376</f>
        <v>909.37599999999998</v>
      </c>
      <c r="CI236">
        <f>1041.978</f>
        <v>1041.9780000000001</v>
      </c>
      <c r="CJ236">
        <f>1223.215</f>
        <v>1223.2149999999999</v>
      </c>
      <c r="CK236">
        <f>1671.997</f>
        <v>1671.9970000000001</v>
      </c>
      <c r="CL236">
        <f>591.196</f>
        <v>591.19600000000003</v>
      </c>
      <c r="CM236">
        <f>1823.208</f>
        <v>1823.2080000000001</v>
      </c>
      <c r="CN236">
        <f>1063.024</f>
        <v>1063.0239999999999</v>
      </c>
      <c r="CO236">
        <f>780.584</f>
        <v>780.58399999999995</v>
      </c>
      <c r="CP236">
        <f>747.305</f>
        <v>747.30499999999995</v>
      </c>
      <c r="CQ236">
        <f>478.948</f>
        <v>478.94799999999998</v>
      </c>
      <c r="CR236">
        <f>1270.074</f>
        <v>1270.0740000000001</v>
      </c>
      <c r="CS236">
        <f>1703.448</f>
        <v>1703.4480000000001</v>
      </c>
      <c r="CT236">
        <f>1220.392</f>
        <v>1220.3920000000001</v>
      </c>
      <c r="CU236">
        <f>1448.933</f>
        <v>1448.933</v>
      </c>
      <c r="CV236">
        <f>782.106</f>
        <v>782.10599999999999</v>
      </c>
      <c r="CW236">
        <f>819.245</f>
        <v>819.245</v>
      </c>
      <c r="CX236">
        <f>143.789</f>
        <v>143.78899999999999</v>
      </c>
      <c r="CY236">
        <f>241.51</f>
        <v>241.51</v>
      </c>
      <c r="CZ236">
        <f>55.597</f>
        <v>55.597000000000001</v>
      </c>
      <c r="DA236">
        <f>112.11</f>
        <v>112.11</v>
      </c>
      <c r="DB236">
        <f>794.643</f>
        <v>794.64300000000003</v>
      </c>
      <c r="DC236">
        <f>1506.921</f>
        <v>1506.921</v>
      </c>
      <c r="DD236">
        <f>1894.198</f>
        <v>1894.1980000000001</v>
      </c>
      <c r="DE236">
        <f>1885.318</f>
        <v>1885.318</v>
      </c>
      <c r="DF236">
        <f>2016.336</f>
        <v>2016.336</v>
      </c>
      <c r="DG236">
        <f>725.788</f>
        <v>725.78800000000001</v>
      </c>
      <c r="DH236">
        <f>1049.026</f>
        <v>1049.0260000000001</v>
      </c>
      <c r="DI236">
        <f>370.396</f>
        <v>370.39600000000002</v>
      </c>
      <c r="DJ236">
        <f>32.214</f>
        <v>32.213999999999999</v>
      </c>
      <c r="DK236">
        <f>261.496</f>
        <v>261.49599999999998</v>
      </c>
      <c r="DL236">
        <f>450.577</f>
        <v>450.577</v>
      </c>
      <c r="DM236">
        <f>507.182</f>
        <v>507.18200000000002</v>
      </c>
      <c r="DN236">
        <f>209.307</f>
        <v>209.30699999999999</v>
      </c>
      <c r="DO236">
        <f>239.344</f>
        <v>239.34399999999999</v>
      </c>
      <c r="DP236">
        <f>213.872986</f>
        <v>213.872986</v>
      </c>
      <c r="DQ236">
        <f>227.697998</f>
        <v>227.69799800000001</v>
      </c>
      <c r="DR236">
        <f>182.151001</f>
        <v>182.15100100000001</v>
      </c>
      <c r="DS236">
        <f>22.686001</f>
        <v>22.686001000000001</v>
      </c>
      <c r="DT236">
        <f>37.620998</f>
        <v>37.620998</v>
      </c>
      <c r="DU236">
        <f>158.587</f>
        <v>158.58699999999999</v>
      </c>
    </row>
    <row r="237" spans="1:125">
      <c r="A237" t="str">
        <f>"    Brandywine Realty Trust"</f>
        <v xml:space="preserve">    Brandywine Realty Trust</v>
      </c>
      <c r="B237" t="str">
        <f>"BDN US Equity"</f>
        <v>BDN US Equity</v>
      </c>
      <c r="C237" t="str">
        <f t="shared" si="63"/>
        <v>RR253</v>
      </c>
      <c r="D237" t="str">
        <f t="shared" si="64"/>
        <v>CASH_AND_MARKETABLE_SECURITIES</v>
      </c>
      <c r="E237" t="str">
        <f t="shared" si="65"/>
        <v>动态</v>
      </c>
      <c r="F237" t="str">
        <f ca="1">IF(AND(ISNUMBER($F$537),$B$294=1),$F$537,HLOOKUP(INDIRECT(ADDRESS(2,COLUMN())),OFFSET($BN$2,0,0,ROW()-1,60),ROW()-1,FALSE))</f>
        <v/>
      </c>
      <c r="G237">
        <f ca="1">IF(AND(ISNUMBER($G$537),$B$294=1),$G$537,HLOOKUP(INDIRECT(ADDRESS(2,COLUMN())),OFFSET($BN$2,0,0,ROW()-1,60),ROW()-1,FALSE))</f>
        <v>202.179</v>
      </c>
      <c r="H237">
        <f ca="1">IF(AND(ISNUMBER($H$537),$B$294=1),$H$537,HLOOKUP(INDIRECT(ADDRESS(2,COLUMN())),OFFSET($BN$2,0,0,ROW()-1,60),ROW()-1,FALSE))</f>
        <v>25.286999999999999</v>
      </c>
      <c r="I237">
        <f ca="1">IF(AND(ISNUMBER($I$537),$B$294=1),$I$537,HLOOKUP(INDIRECT(ADDRESS(2,COLUMN())),OFFSET($BN$2,0,0,ROW()-1,60),ROW()-1,FALSE))</f>
        <v>37.9</v>
      </c>
      <c r="J237">
        <f ca="1">IF(AND(ISNUMBER($J$537),$B$294=1),$J$537,HLOOKUP(INDIRECT(ADDRESS(2,COLUMN())),OFFSET($BN$2,0,0,ROW()-1,60),ROW()-1,FALSE))</f>
        <v>234.654</v>
      </c>
      <c r="K237">
        <f ca="1">IF(AND(ISNUMBER($K$537),$B$294=1),$K$537,HLOOKUP(INDIRECT(ADDRESS(2,COLUMN())),OFFSET($BN$2,0,0,ROW()-1,60),ROW()-1,FALSE))</f>
        <v>193.91900000000001</v>
      </c>
      <c r="L237">
        <f ca="1">IF(AND(ISNUMBER($L$537),$B$294=1),$L$537,HLOOKUP(INDIRECT(ADDRESS(2,COLUMN())),OFFSET($BN$2,0,0,ROW()-1,60),ROW()-1,FALSE))</f>
        <v>219.059</v>
      </c>
      <c r="M237">
        <f ca="1">IF(AND(ISNUMBER($M$537),$B$294=1),$M$537,HLOOKUP(INDIRECT(ADDRESS(2,COLUMN())),OFFSET($BN$2,0,0,ROW()-1,60),ROW()-1,FALSE))</f>
        <v>265.59699999999998</v>
      </c>
      <c r="N237">
        <f ca="1">IF(AND(ISNUMBER($N$537),$B$294=1),$N$537,HLOOKUP(INDIRECT(ADDRESS(2,COLUMN())),OFFSET($BN$2,0,0,ROW()-1,60),ROW()-1,FALSE))</f>
        <v>423.517</v>
      </c>
      <c r="O237">
        <f ca="1">IF(AND(ISNUMBER($O$537),$B$294=1),$O$537,HLOOKUP(INDIRECT(ADDRESS(2,COLUMN())),OFFSET($BN$2,0,0,ROW()-1,60),ROW()-1,FALSE))</f>
        <v>56.694000000000003</v>
      </c>
      <c r="P237">
        <f ca="1">IF(AND(ISNUMBER($P$537),$B$294=1),$P$537,HLOOKUP(INDIRECT(ADDRESS(2,COLUMN())),OFFSET($BN$2,0,0,ROW()-1,60),ROW()-1,FALSE))</f>
        <v>50.631999999999998</v>
      </c>
      <c r="Q237">
        <f ca="1">IF(AND(ISNUMBER($Q$537),$B$294=1),$Q$537,HLOOKUP(INDIRECT(ADDRESS(2,COLUMN())),OFFSET($BN$2,0,0,ROW()-1,60),ROW()-1,FALSE))</f>
        <v>123.982</v>
      </c>
      <c r="R237">
        <f ca="1">IF(AND(ISNUMBER($R$537),$B$294=1),$R$537,HLOOKUP(INDIRECT(ADDRESS(2,COLUMN())),OFFSET($BN$2,0,0,ROW()-1,60),ROW()-1,FALSE))</f>
        <v>309.08300000000003</v>
      </c>
      <c r="S237">
        <f ca="1">IF(AND(ISNUMBER($S$537),$B$294=1),$S$537,HLOOKUP(INDIRECT(ADDRESS(2,COLUMN())),OFFSET($BN$2,0,0,ROW()-1,60),ROW()-1,FALSE))</f>
        <v>257.50200000000001</v>
      </c>
      <c r="T237">
        <f ca="1">IF(AND(ISNUMBER($T$537),$B$294=1),$T$537,HLOOKUP(INDIRECT(ADDRESS(2,COLUMN())),OFFSET($BN$2,0,0,ROW()-1,60),ROW()-1,FALSE))</f>
        <v>671.94299999999998</v>
      </c>
      <c r="U237">
        <f ca="1">IF(AND(ISNUMBER($U$537),$B$294=1),$U$537,HLOOKUP(INDIRECT(ADDRESS(2,COLUMN())),OFFSET($BN$2,0,0,ROW()-1,60),ROW()-1,FALSE))</f>
        <v>234.83600000000001</v>
      </c>
      <c r="V237">
        <f ca="1">IF(AND(ISNUMBER($V$537),$B$294=1),$V$537,HLOOKUP(INDIRECT(ADDRESS(2,COLUMN())),OFFSET($BN$2,0,0,ROW()-1,60),ROW()-1,FALSE))</f>
        <v>236.291</v>
      </c>
      <c r="W237">
        <f ca="1">IF(AND(ISNUMBER($W$537),$B$294=1),$W$537,HLOOKUP(INDIRECT(ADDRESS(2,COLUMN())),OFFSET($BN$2,0,0,ROW()-1,60),ROW()-1,FALSE))</f>
        <v>263.20699999999999</v>
      </c>
      <c r="X237">
        <f ca="1">IF(AND(ISNUMBER($X$537),$B$294=1),$X$537,HLOOKUP(INDIRECT(ADDRESS(2,COLUMN())),OFFSET($BN$2,0,0,ROW()-1,60),ROW()-1,FALSE))</f>
        <v>185.517</v>
      </c>
      <c r="Y237">
        <f ca="1">IF(AND(ISNUMBER($Y$537),$B$294=1),$Y$537,HLOOKUP(INDIRECT(ADDRESS(2,COLUMN())),OFFSET($BN$2,0,0,ROW()-1,60),ROW()-1,FALSE))</f>
        <v>215.94800000000001</v>
      </c>
      <c r="Z237">
        <f ca="1">IF(AND(ISNUMBER($Z$537),$B$294=1),$Z$537,HLOOKUP(INDIRECT(ADDRESS(2,COLUMN())),OFFSET($BN$2,0,0,ROW()-1,60),ROW()-1,FALSE))</f>
        <v>47.874000000000002</v>
      </c>
      <c r="AA237">
        <f ca="1">IF(AND(ISNUMBER($AA$537),$B$294=1),$AA$537,HLOOKUP(INDIRECT(ADDRESS(2,COLUMN())),OFFSET($BN$2,0,0,ROW()-1,60),ROW()-1,FALSE))</f>
        <v>1.5489999999999999</v>
      </c>
      <c r="AB237">
        <f ca="1">IF(AND(ISNUMBER($AB$537),$B$294=1),$AB$537,HLOOKUP(INDIRECT(ADDRESS(2,COLUMN())),OFFSET($BN$2,0,0,ROW()-1,60),ROW()-1,FALSE))</f>
        <v>241.61600000000001</v>
      </c>
      <c r="AC237">
        <f ca="1">IF(AND(ISNUMBER($AC$537),$B$294=1),$AC$537,HLOOKUP(INDIRECT(ADDRESS(2,COLUMN())),OFFSET($BN$2,0,0,ROW()-1,60),ROW()-1,FALSE))</f>
        <v>190.05500000000001</v>
      </c>
      <c r="AD237">
        <f ca="1">IF(AND(ISNUMBER($AD$537),$B$294=1),$AD$537,HLOOKUP(INDIRECT(ADDRESS(2,COLUMN())),OFFSET($BN$2,0,0,ROW()-1,60),ROW()-1,FALSE))</f>
        <v>284.23599999999999</v>
      </c>
      <c r="AE237">
        <f ca="1">IF(AND(ISNUMBER($AE$537),$B$294=1),$AE$537,HLOOKUP(INDIRECT(ADDRESS(2,COLUMN())),OFFSET($BN$2,0,0,ROW()-1,60),ROW()-1,FALSE))</f>
        <v>0.41</v>
      </c>
      <c r="AF237">
        <f ca="1">IF(AND(ISNUMBER($AF$537),$B$294=1),$AF$537,HLOOKUP(INDIRECT(ADDRESS(2,COLUMN())),OFFSET($BN$2,0,0,ROW()-1,60),ROW()-1,FALSE))</f>
        <v>5.7060000000000004</v>
      </c>
      <c r="AG237">
        <f ca="1">IF(AND(ISNUMBER($AG$537),$B$294=1),$AG$537,HLOOKUP(INDIRECT(ADDRESS(2,COLUMN())),OFFSET($BN$2,0,0,ROW()-1,60),ROW()-1,FALSE))</f>
        <v>0.73299999999999998</v>
      </c>
      <c r="AH237">
        <f ca="1">IF(AND(ISNUMBER($AH$537),$B$294=1),$AH$537,HLOOKUP(INDIRECT(ADDRESS(2,COLUMN())),OFFSET($BN$2,0,0,ROW()-1,60),ROW()-1,FALSE))</f>
        <v>0.249</v>
      </c>
      <c r="AI237">
        <f ca="1">IF(AND(ISNUMBER($AI$537),$B$294=1),$AI$537,HLOOKUP(INDIRECT(ADDRESS(2,COLUMN())),OFFSET($BN$2,0,0,ROW()-1,60),ROW()-1,FALSE))</f>
        <v>16.565000000000001</v>
      </c>
      <c r="AJ237">
        <f ca="1">IF(AND(ISNUMBER($AJ$537),$B$294=1),$AJ$537,HLOOKUP(INDIRECT(ADDRESS(2,COLUMN())),OFFSET($BN$2,0,0,ROW()-1,60),ROW()-1,FALSE))</f>
        <v>104.041</v>
      </c>
      <c r="AK237">
        <f ca="1">IF(AND(ISNUMBER($AK$537),$B$294=1),$AK$537,HLOOKUP(INDIRECT(ADDRESS(2,COLUMN())),OFFSET($BN$2,0,0,ROW()-1,60),ROW()-1,FALSE))</f>
        <v>0.29699999999999999</v>
      </c>
      <c r="AL237">
        <f ca="1">IF(AND(ISNUMBER($AL$537),$B$294=1),$AL$537,HLOOKUP(INDIRECT(ADDRESS(2,COLUMN())),OFFSET($BN$2,0,0,ROW()-1,60),ROW()-1,FALSE))</f>
        <v>7.59</v>
      </c>
      <c r="AM237">
        <f ca="1">IF(AND(ISNUMBER($AM$537),$B$294=1),$AM$537,HLOOKUP(INDIRECT(ADDRESS(2,COLUMN())),OFFSET($BN$2,0,0,ROW()-1,60),ROW()-1,FALSE))</f>
        <v>1.5669999999999999</v>
      </c>
      <c r="AN237">
        <f ca="1">IF(AND(ISNUMBER($AN$537),$B$294=1),$AN$537,HLOOKUP(INDIRECT(ADDRESS(2,COLUMN())),OFFSET($BN$2,0,0,ROW()-1,60),ROW()-1,FALSE))</f>
        <v>3.2959999999999998</v>
      </c>
      <c r="AO237">
        <f ca="1">IF(AND(ISNUMBER($AO$537),$B$294=1),$AO$537,HLOOKUP(INDIRECT(ADDRESS(2,COLUMN())),OFFSET($BN$2,0,0,ROW()-1,60),ROW()-1,FALSE))</f>
        <v>3.9359999999999999</v>
      </c>
      <c r="AP237">
        <f ca="1">IF(AND(ISNUMBER($AP$537),$B$294=1),$AP$537,HLOOKUP(INDIRECT(ADDRESS(2,COLUMN())),OFFSET($BN$2,0,0,ROW()-1,60),ROW()-1,FALSE))</f>
        <v>4.0830000000000002</v>
      </c>
      <c r="AQ237">
        <f ca="1">IF(AND(ISNUMBER($AQ$537),$B$294=1),$AQ$537,HLOOKUP(INDIRECT(ADDRESS(2,COLUMN())),OFFSET($BN$2,0,0,ROW()-1,60),ROW()-1,FALSE))</f>
        <v>3.9239999999999999</v>
      </c>
      <c r="AR237">
        <f ca="1">IF(AND(ISNUMBER($AR$537),$B$294=1),$AR$537,HLOOKUP(INDIRECT(ADDRESS(2,COLUMN())),OFFSET($BN$2,0,0,ROW()-1,60),ROW()-1,FALSE))</f>
        <v>2.6739999999999999</v>
      </c>
      <c r="AS237">
        <f ca="1">IF(AND(ISNUMBER($AS$537),$B$294=1),$AS$537,HLOOKUP(INDIRECT(ADDRESS(2,COLUMN())),OFFSET($BN$2,0,0,ROW()-1,60),ROW()-1,FALSE))</f>
        <v>4.7910000000000004</v>
      </c>
      <c r="AT237">
        <f ca="1">IF(AND(ISNUMBER($AT$537),$B$294=1),$AT$537,HLOOKUP(INDIRECT(ADDRESS(2,COLUMN())),OFFSET($BN$2,0,0,ROW()-1,60),ROW()-1,FALSE))</f>
        <v>3.8519999999999999</v>
      </c>
      <c r="AU237">
        <f ca="1">IF(AND(ISNUMBER($AU$537),$B$294=1),$AU$537,HLOOKUP(INDIRECT(ADDRESS(2,COLUMN())),OFFSET($BN$2,0,0,ROW()-1,60),ROW()-1,FALSE))</f>
        <v>5.6</v>
      </c>
      <c r="AV237">
        <f ca="1">IF(AND(ISNUMBER($AV$537),$B$294=1),$AV$537,HLOOKUP(INDIRECT(ADDRESS(2,COLUMN())),OFFSET($BN$2,0,0,ROW()-1,60),ROW()-1,FALSE))</f>
        <v>17.661000000000001</v>
      </c>
      <c r="AW237">
        <f ca="1">IF(AND(ISNUMBER($AW$537),$B$294=1),$AW$537,HLOOKUP(INDIRECT(ADDRESS(2,COLUMN())),OFFSET($BN$2,0,0,ROW()-1,60),ROW()-1,FALSE))</f>
        <v>28.521999999999998</v>
      </c>
      <c r="AX237">
        <f ca="1">IF(AND(ISNUMBER($AX$537),$B$294=1),$AX$537,HLOOKUP(INDIRECT(ADDRESS(2,COLUMN())),OFFSET($BN$2,0,0,ROW()-1,60),ROW()-1,FALSE))</f>
        <v>3.8849999999999998</v>
      </c>
      <c r="AY237">
        <f ca="1">IF(AND(ISNUMBER($AY$537),$B$294=1),$AY$537,HLOOKUP(INDIRECT(ADDRESS(2,COLUMN())),OFFSET($BN$2,0,0,ROW()-1,60),ROW()-1,FALSE))</f>
        <v>25.379000000000001</v>
      </c>
      <c r="AZ237">
        <f ca="1">IF(AND(ISNUMBER($AZ$537),$B$294=1),$AZ$537,HLOOKUP(INDIRECT(ADDRESS(2,COLUMN())),OFFSET($BN$2,0,0,ROW()-1,60),ROW()-1,FALSE))</f>
        <v>16.538</v>
      </c>
      <c r="BA237">
        <f ca="1">IF(AND(ISNUMBER($BA$537),$B$294=1),$BA$537,HLOOKUP(INDIRECT(ADDRESS(2,COLUMN())),OFFSET($BN$2,0,0,ROW()-1,60),ROW()-1,FALSE))</f>
        <v>26.376999999999999</v>
      </c>
      <c r="BB237">
        <f ca="1">IF(AND(ISNUMBER($BB$537),$B$294=1),$BB$537,HLOOKUP(INDIRECT(ADDRESS(2,COLUMN())),OFFSET($BN$2,0,0,ROW()-1,60),ROW()-1,FALSE))</f>
        <v>36.301000000000002</v>
      </c>
      <c r="BC237">
        <f ca="1">IF(AND(ISNUMBER($BC$537),$B$294=1),$BC$537,HLOOKUP(INDIRECT(ADDRESS(2,COLUMN())),OFFSET($BN$2,0,0,ROW()-1,60),ROW()-1,FALSE))</f>
        <v>7.1740000000000004</v>
      </c>
      <c r="BD237">
        <f ca="1">IF(AND(ISNUMBER($BD$537),$B$294=1),$BD$537,HLOOKUP(INDIRECT(ADDRESS(2,COLUMN())),OFFSET($BN$2,0,0,ROW()-1,60),ROW()-1,FALSE))</f>
        <v>23.34</v>
      </c>
      <c r="BE237">
        <f ca="1">IF(AND(ISNUMBER($BE$537),$B$294=1),$BE$537,HLOOKUP(INDIRECT(ADDRESS(2,COLUMN())),OFFSET($BN$2,0,0,ROW()-1,60),ROW()-1,FALSE))</f>
        <v>9.3209999999999997</v>
      </c>
      <c r="BF237">
        <f ca="1">IF(AND(ISNUMBER($BF$537),$B$294=1),$BF$537,HLOOKUP(INDIRECT(ADDRESS(2,COLUMN())),OFFSET($BN$2,0,0,ROW()-1,60),ROW()-1,FALSE))</f>
        <v>15.473000000000001</v>
      </c>
      <c r="BG237">
        <f ca="1">IF(AND(ISNUMBER($BG$537),$B$294=1),$BG$537,HLOOKUP(INDIRECT(ADDRESS(2,COLUMN())),OFFSET($BN$2,0,0,ROW()-1,60),ROW()-1,FALSE))</f>
        <v>15.346</v>
      </c>
      <c r="BH237">
        <f ca="1">IF(AND(ISNUMBER($BH$537),$B$294=1),$BH$537,HLOOKUP(INDIRECT(ADDRESS(2,COLUMN())),OFFSET($BN$2,0,0,ROW()-1,60),ROW()-1,FALSE))</f>
        <v>9.8629999999999995</v>
      </c>
      <c r="BI237">
        <f ca="1">IF(AND(ISNUMBER($BI$537),$B$294=1),$BI$537,HLOOKUP(INDIRECT(ADDRESS(2,COLUMN())),OFFSET($BN$2,0,0,ROW()-1,60),ROW()-1,FALSE))</f>
        <v>10.545</v>
      </c>
      <c r="BJ237">
        <f ca="1">IF(AND(ISNUMBER($BJ$537),$B$294=1),$BJ$537,HLOOKUP(INDIRECT(ADDRESS(2,COLUMN())),OFFSET($BN$2,0,0,ROW()-1,60),ROW()-1,FALSE))</f>
        <v>7.5570000000000004</v>
      </c>
      <c r="BK237" t="str">
        <f ca="1">IF(AND(ISNUMBER($BK$537),$B$294=1),$BK$537,HLOOKUP(INDIRECT(ADDRESS(2,COLUMN())),OFFSET($BN$2,0,0,ROW()-1,60),ROW()-1,FALSE))</f>
        <v/>
      </c>
      <c r="BL237">
        <f ca="1">IF(AND(ISNUMBER($BL$537),$B$294=1),$BL$537,HLOOKUP(INDIRECT(ADDRESS(2,COLUMN())),OFFSET($BN$2,0,0,ROW()-1,60),ROW()-1,FALSE))</f>
        <v>7.4930000000000003</v>
      </c>
      <c r="BM237">
        <f ca="1">IF(AND(ISNUMBER($BM$537),$B$294=1),$BM$537,HLOOKUP(INDIRECT(ADDRESS(2,COLUMN())),OFFSET($BN$2,0,0,ROW()-1,60),ROW()-1,FALSE))</f>
        <v>7.52</v>
      </c>
      <c r="BN237" t="str">
        <f>""</f>
        <v/>
      </c>
      <c r="BO237">
        <f>202.179</f>
        <v>202.179</v>
      </c>
      <c r="BP237">
        <f>25.287</f>
        <v>25.286999999999999</v>
      </c>
      <c r="BQ237">
        <f>37.9</f>
        <v>37.9</v>
      </c>
      <c r="BR237">
        <f>234.654</f>
        <v>234.654</v>
      </c>
      <c r="BS237">
        <f>193.919</f>
        <v>193.91900000000001</v>
      </c>
      <c r="BT237">
        <f>219.059</f>
        <v>219.059</v>
      </c>
      <c r="BU237">
        <f>265.597</f>
        <v>265.59699999999998</v>
      </c>
      <c r="BV237">
        <f>423.517</f>
        <v>423.517</v>
      </c>
      <c r="BW237">
        <f>56.694</f>
        <v>56.694000000000003</v>
      </c>
      <c r="BX237">
        <f>50.632</f>
        <v>50.631999999999998</v>
      </c>
      <c r="BY237">
        <f>123.982</f>
        <v>123.982</v>
      </c>
      <c r="BZ237">
        <f>309.083</f>
        <v>309.08300000000003</v>
      </c>
      <c r="CA237">
        <f>257.502</f>
        <v>257.50200000000001</v>
      </c>
      <c r="CB237">
        <f>671.943</f>
        <v>671.94299999999998</v>
      </c>
      <c r="CC237">
        <f>234.836</f>
        <v>234.83600000000001</v>
      </c>
      <c r="CD237">
        <f>236.291</f>
        <v>236.291</v>
      </c>
      <c r="CE237">
        <f>263.207</f>
        <v>263.20699999999999</v>
      </c>
      <c r="CF237">
        <f>185.517</f>
        <v>185.517</v>
      </c>
      <c r="CG237">
        <f>215.948</f>
        <v>215.94800000000001</v>
      </c>
      <c r="CH237">
        <f>47.874</f>
        <v>47.874000000000002</v>
      </c>
      <c r="CI237">
        <f>1.549</f>
        <v>1.5489999999999999</v>
      </c>
      <c r="CJ237">
        <f>241.616</f>
        <v>241.61600000000001</v>
      </c>
      <c r="CK237">
        <f>190.055</f>
        <v>190.05500000000001</v>
      </c>
      <c r="CL237">
        <f>284.236</f>
        <v>284.23599999999999</v>
      </c>
      <c r="CM237">
        <f>0.41</f>
        <v>0.41</v>
      </c>
      <c r="CN237">
        <f>5.706</f>
        <v>5.7060000000000004</v>
      </c>
      <c r="CO237">
        <f>0.733</f>
        <v>0.73299999999999998</v>
      </c>
      <c r="CP237">
        <f>0.249</f>
        <v>0.249</v>
      </c>
      <c r="CQ237">
        <f>16.565</f>
        <v>16.565000000000001</v>
      </c>
      <c r="CR237">
        <f>104.041</f>
        <v>104.041</v>
      </c>
      <c r="CS237">
        <f>0.297</f>
        <v>0.29699999999999999</v>
      </c>
      <c r="CT237">
        <f>7.59</f>
        <v>7.59</v>
      </c>
      <c r="CU237">
        <f>1.567</f>
        <v>1.5669999999999999</v>
      </c>
      <c r="CV237">
        <f>3.296</f>
        <v>3.2959999999999998</v>
      </c>
      <c r="CW237">
        <f>3.936</f>
        <v>3.9359999999999999</v>
      </c>
      <c r="CX237">
        <f>4.083</f>
        <v>4.0830000000000002</v>
      </c>
      <c r="CY237">
        <f>3.924</f>
        <v>3.9239999999999999</v>
      </c>
      <c r="CZ237">
        <f>2.674</f>
        <v>2.6739999999999999</v>
      </c>
      <c r="DA237">
        <f>4.791</f>
        <v>4.7910000000000004</v>
      </c>
      <c r="DB237">
        <f>3.852</f>
        <v>3.8519999999999999</v>
      </c>
      <c r="DC237">
        <f>5.6</f>
        <v>5.6</v>
      </c>
      <c r="DD237">
        <f>17.661</f>
        <v>17.661000000000001</v>
      </c>
      <c r="DE237">
        <f>28.522</f>
        <v>28.521999999999998</v>
      </c>
      <c r="DF237">
        <f>3.885</f>
        <v>3.8849999999999998</v>
      </c>
      <c r="DG237">
        <f>25.379</f>
        <v>25.379000000000001</v>
      </c>
      <c r="DH237">
        <f>16.538</f>
        <v>16.538</v>
      </c>
      <c r="DI237">
        <f>26.377</f>
        <v>26.376999999999999</v>
      </c>
      <c r="DJ237">
        <f>36.301</f>
        <v>36.301000000000002</v>
      </c>
      <c r="DK237">
        <f>7.174</f>
        <v>7.1740000000000004</v>
      </c>
      <c r="DL237">
        <f>23.34</f>
        <v>23.34</v>
      </c>
      <c r="DM237">
        <f>9.321</f>
        <v>9.3209999999999997</v>
      </c>
      <c r="DN237">
        <f>15.473</f>
        <v>15.473000000000001</v>
      </c>
      <c r="DO237">
        <f>15.346</f>
        <v>15.346</v>
      </c>
      <c r="DP237">
        <f>9.863</f>
        <v>9.8629999999999995</v>
      </c>
      <c r="DQ237">
        <f>10.545</f>
        <v>10.545</v>
      </c>
      <c r="DR237">
        <f>7.557</f>
        <v>7.5570000000000004</v>
      </c>
      <c r="DS237" t="str">
        <f>""</f>
        <v/>
      </c>
      <c r="DT237">
        <f>7.493</f>
        <v>7.4930000000000003</v>
      </c>
      <c r="DU237">
        <f>7.52</f>
        <v>7.52</v>
      </c>
    </row>
    <row r="238" spans="1:125">
      <c r="A238" t="str">
        <f>"    Columbia Property Trust Inc"</f>
        <v xml:space="preserve">    Columbia Property Trust Inc</v>
      </c>
      <c r="B238" t="str">
        <f>"CXP US Equity"</f>
        <v>CXP US Equity</v>
      </c>
      <c r="C238" t="str">
        <f t="shared" si="63"/>
        <v>RR253</v>
      </c>
      <c r="D238" t="str">
        <f t="shared" si="64"/>
        <v>CASH_AND_MARKETABLE_SECURITIES</v>
      </c>
      <c r="E238" t="str">
        <f t="shared" si="65"/>
        <v>动态</v>
      </c>
      <c r="F238" t="str">
        <f ca="1">IF(AND(ISNUMBER($F$538),$B$294=1),$F$538,HLOOKUP(INDIRECT(ADDRESS(2,COLUMN())),OFFSET($BN$2,0,0,ROW()-1,60),ROW()-1,FALSE))</f>
        <v/>
      </c>
      <c r="G238">
        <f ca="1">IF(AND(ISNUMBER($G$538),$B$294=1),$G$538,HLOOKUP(INDIRECT(ADDRESS(2,COLUMN())),OFFSET($BN$2,0,0,ROW()-1,60),ROW()-1,FALSE))</f>
        <v>9.5670000000000002</v>
      </c>
      <c r="H238">
        <f ca="1">IF(AND(ISNUMBER($H$538),$B$294=1),$H$538,HLOOKUP(INDIRECT(ADDRESS(2,COLUMN())),OFFSET($BN$2,0,0,ROW()-1,60),ROW()-1,FALSE))</f>
        <v>382.73</v>
      </c>
      <c r="I238">
        <f ca="1">IF(AND(ISNUMBER($I$538),$B$294=1),$I$538,HLOOKUP(INDIRECT(ADDRESS(2,COLUMN())),OFFSET($BN$2,0,0,ROW()-1,60),ROW()-1,FALSE))</f>
        <v>506.53800000000001</v>
      </c>
      <c r="J238">
        <f ca="1">IF(AND(ISNUMBER($J$538),$B$294=1),$J$538,HLOOKUP(INDIRECT(ADDRESS(2,COLUMN())),OFFSET($BN$2,0,0,ROW()-1,60),ROW()-1,FALSE))</f>
        <v>554.65499999999997</v>
      </c>
      <c r="K238">
        <f ca="1">IF(AND(ISNUMBER($K$538),$B$294=1),$K$538,HLOOKUP(INDIRECT(ADDRESS(2,COLUMN())),OFFSET($BN$2,0,0,ROW()-1,60),ROW()-1,FALSE))</f>
        <v>216.08500000000001</v>
      </c>
      <c r="L238">
        <f ca="1">IF(AND(ISNUMBER($L$538),$B$294=1),$L$538,HLOOKUP(INDIRECT(ADDRESS(2,COLUMN())),OFFSET($BN$2,0,0,ROW()-1,60),ROW()-1,FALSE))</f>
        <v>190.85599999999999</v>
      </c>
      <c r="M238">
        <f ca="1">IF(AND(ISNUMBER($M$538),$B$294=1),$M$538,HLOOKUP(INDIRECT(ADDRESS(2,COLUMN())),OFFSET($BN$2,0,0,ROW()-1,60),ROW()-1,FALSE))</f>
        <v>23.803000000000001</v>
      </c>
      <c r="N238">
        <f ca="1">IF(AND(ISNUMBER($N$538),$B$294=1),$N$538,HLOOKUP(INDIRECT(ADDRESS(2,COLUMN())),OFFSET($BN$2,0,0,ROW()-1,60),ROW()-1,FALSE))</f>
        <v>185.376</v>
      </c>
      <c r="O238">
        <f ca="1">IF(AND(ISNUMBER($O$538),$B$294=1),$O$538,HLOOKUP(INDIRECT(ADDRESS(2,COLUMN())),OFFSET($BN$2,0,0,ROW()-1,60),ROW()-1,FALSE))</f>
        <v>32.645000000000003</v>
      </c>
      <c r="P238">
        <f ca="1">IF(AND(ISNUMBER($P$538),$B$294=1),$P$538,HLOOKUP(INDIRECT(ADDRESS(2,COLUMN())),OFFSET($BN$2,0,0,ROW()-1,60),ROW()-1,FALSE))</f>
        <v>44.823</v>
      </c>
      <c r="Q238">
        <f ca="1">IF(AND(ISNUMBER($Q$538),$B$294=1),$Q$538,HLOOKUP(INDIRECT(ADDRESS(2,COLUMN())),OFFSET($BN$2,0,0,ROW()-1,60),ROW()-1,FALSE))</f>
        <v>33.741999999999997</v>
      </c>
      <c r="R238">
        <f ca="1">IF(AND(ISNUMBER($R$538),$B$294=1),$R$538,HLOOKUP(INDIRECT(ADDRESS(2,COLUMN())),OFFSET($BN$2,0,0,ROW()-1,60),ROW()-1,FALSE))</f>
        <v>31.236000000000001</v>
      </c>
      <c r="S238">
        <f ca="1">IF(AND(ISNUMBER($S$538),$B$294=1),$S$538,HLOOKUP(INDIRECT(ADDRESS(2,COLUMN())),OFFSET($BN$2,0,0,ROW()-1,60),ROW()-1,FALSE))</f>
        <v>149.79</v>
      </c>
      <c r="T238">
        <f ca="1">IF(AND(ISNUMBER($T$538),$B$294=1),$T$538,HLOOKUP(INDIRECT(ADDRESS(2,COLUMN())),OFFSET($BN$2,0,0,ROW()-1,60),ROW()-1,FALSE))</f>
        <v>46.433</v>
      </c>
      <c r="U238">
        <f ca="1">IF(AND(ISNUMBER($U$538),$B$294=1),$U$538,HLOOKUP(INDIRECT(ADDRESS(2,COLUMN())),OFFSET($BN$2,0,0,ROW()-1,60),ROW()-1,FALSE))</f>
        <v>49.334000000000003</v>
      </c>
      <c r="V238">
        <f ca="1">IF(AND(ISNUMBER($V$538),$B$294=1),$V$538,HLOOKUP(INDIRECT(ADDRESS(2,COLUMN())),OFFSET($BN$2,0,0,ROW()-1,60),ROW()-1,FALSE))</f>
        <v>86.242999999999995</v>
      </c>
      <c r="W238">
        <f ca="1">IF(AND(ISNUMBER($W$538),$B$294=1),$W$538,HLOOKUP(INDIRECT(ADDRESS(2,COLUMN())),OFFSET($BN$2,0,0,ROW()-1,60),ROW()-1,FALSE))</f>
        <v>99.855000000000004</v>
      </c>
      <c r="X238">
        <f ca="1">IF(AND(ISNUMBER($X$538),$B$294=1),$X$538,HLOOKUP(INDIRECT(ADDRESS(2,COLUMN())),OFFSET($BN$2,0,0,ROW()-1,60),ROW()-1,FALSE))</f>
        <v>59.908000000000001</v>
      </c>
      <c r="Y238">
        <f ca="1">IF(AND(ISNUMBER($Y$538),$B$294=1),$Y$538,HLOOKUP(INDIRECT(ADDRESS(2,COLUMN())),OFFSET($BN$2,0,0,ROW()-1,60),ROW()-1,FALSE))</f>
        <v>61.667000000000002</v>
      </c>
      <c r="Z238">
        <f ca="1">IF(AND(ISNUMBER($Z$538),$B$294=1),$Z$538,HLOOKUP(INDIRECT(ADDRESS(2,COLUMN())),OFFSET($BN$2,0,0,ROW()-1,60),ROW()-1,FALSE))</f>
        <v>68.623000000000005</v>
      </c>
      <c r="AA238">
        <f ca="1">IF(AND(ISNUMBER($AA$538),$B$294=1),$AA$538,HLOOKUP(INDIRECT(ADDRESS(2,COLUMN())),OFFSET($BN$2,0,0,ROW()-1,60),ROW()-1,FALSE))</f>
        <v>53.656999999999996</v>
      </c>
      <c r="AB238">
        <f ca="1">IF(AND(ISNUMBER($AB$538),$B$294=1),$AB$538,HLOOKUP(INDIRECT(ADDRESS(2,COLUMN())),OFFSET($BN$2,0,0,ROW()-1,60),ROW()-1,FALSE))</f>
        <v>48.436</v>
      </c>
      <c r="AC238">
        <f ca="1">IF(AND(ISNUMBER($AC$538),$B$294=1),$AC$538,HLOOKUP(INDIRECT(ADDRESS(2,COLUMN())),OFFSET($BN$2,0,0,ROW()-1,60),ROW()-1,FALSE))</f>
        <v>60.618000000000002</v>
      </c>
      <c r="AD238">
        <f ca="1">IF(AND(ISNUMBER($AD$538),$B$294=1),$AD$538,HLOOKUP(INDIRECT(ADDRESS(2,COLUMN())),OFFSET($BN$2,0,0,ROW()-1,60),ROW()-1,FALSE))</f>
        <v>49.155999999999999</v>
      </c>
      <c r="AE238">
        <f ca="1">IF(AND(ISNUMBER($AE$538),$B$294=1),$AE$538,HLOOKUP(INDIRECT(ADDRESS(2,COLUMN())),OFFSET($BN$2,0,0,ROW()-1,60),ROW()-1,FALSE))</f>
        <v>39.468000000000004</v>
      </c>
      <c r="AF238">
        <f ca="1">IF(AND(ISNUMBER($AF$538),$B$294=1),$AF$538,HLOOKUP(INDIRECT(ADDRESS(2,COLUMN())),OFFSET($BN$2,0,0,ROW()-1,60),ROW()-1,FALSE))</f>
        <v>31.809000000000001</v>
      </c>
      <c r="AG238">
        <f ca="1">IF(AND(ISNUMBER($AG$538),$B$294=1),$AG$538,HLOOKUP(INDIRECT(ADDRESS(2,COLUMN())),OFFSET($BN$2,0,0,ROW()-1,60),ROW()-1,FALSE))</f>
        <v>38.593000000000004</v>
      </c>
      <c r="AH238">
        <f ca="1">IF(AND(ISNUMBER($AH$538),$B$294=1),$AH$538,HLOOKUP(INDIRECT(ADDRESS(2,COLUMN())),OFFSET($BN$2,0,0,ROW()-1,60),ROW()-1,FALSE))</f>
        <v>32.619999999999997</v>
      </c>
      <c r="AI238">
        <f ca="1">IF(AND(ISNUMBER($AI$538),$B$294=1),$AI$538,HLOOKUP(INDIRECT(ADDRESS(2,COLUMN())),OFFSET($BN$2,0,0,ROW()-1,60),ROW()-1,FALSE))</f>
        <v>38.881999999999998</v>
      </c>
      <c r="AJ238">
        <f ca="1">IF(AND(ISNUMBER($AJ$538),$B$294=1),$AJ$538,HLOOKUP(INDIRECT(ADDRESS(2,COLUMN())),OFFSET($BN$2,0,0,ROW()-1,60),ROW()-1,FALSE))</f>
        <v>53.537999999999997</v>
      </c>
      <c r="AK238">
        <f ca="1">IF(AND(ISNUMBER($AK$538),$B$294=1),$AK$538,HLOOKUP(INDIRECT(ADDRESS(2,COLUMN())),OFFSET($BN$2,0,0,ROW()-1,60),ROW()-1,FALSE))</f>
        <v>106.07</v>
      </c>
      <c r="AL238">
        <f ca="1">IF(AND(ISNUMBER($AL$538),$B$294=1),$AL$538,HLOOKUP(INDIRECT(ADDRESS(2,COLUMN())),OFFSET($BN$2,0,0,ROW()-1,60),ROW()-1,FALSE))</f>
        <v>153.69800000000001</v>
      </c>
      <c r="AM238">
        <f ca="1">IF(AND(ISNUMBER($AM$538),$B$294=1),$AM$538,HLOOKUP(INDIRECT(ADDRESS(2,COLUMN())),OFFSET($BN$2,0,0,ROW()-1,60),ROW()-1,FALSE))</f>
        <v>102.72499999999999</v>
      </c>
      <c r="AN238">
        <f ca="1">IF(AND(ISNUMBER($AN$538),$B$294=1),$AN$538,HLOOKUP(INDIRECT(ADDRESS(2,COLUMN())),OFFSET($BN$2,0,0,ROW()-1,60),ROW()-1,FALSE))</f>
        <v>70.954999999999998</v>
      </c>
      <c r="AO238">
        <f ca="1">IF(AND(ISNUMBER($AO$538),$B$294=1),$AO$538,HLOOKUP(INDIRECT(ADDRESS(2,COLUMN())),OFFSET($BN$2,0,0,ROW()-1,60),ROW()-1,FALSE))</f>
        <v>65.650999999999996</v>
      </c>
      <c r="AP238">
        <f ca="1">IF(AND(ISNUMBER($AP$538),$B$294=1),$AP$538,HLOOKUP(INDIRECT(ADDRESS(2,COLUMN())),OFFSET($BN$2,0,0,ROW()-1,60),ROW()-1,FALSE))</f>
        <v>93.641000000000005</v>
      </c>
      <c r="AQ238" t="str">
        <f ca="1">IF(AND(ISNUMBER($AQ$538),$B$294=1),$AQ$538,HLOOKUP(INDIRECT(ADDRESS(2,COLUMN())),OFFSET($BN$2,0,0,ROW()-1,60),ROW()-1,FALSE))</f>
        <v/>
      </c>
      <c r="AR238" t="str">
        <f ca="1">IF(AND(ISNUMBER($AR$538),$B$294=1),$AR$538,HLOOKUP(INDIRECT(ADDRESS(2,COLUMN())),OFFSET($BN$2,0,0,ROW()-1,60),ROW()-1,FALSE))</f>
        <v/>
      </c>
      <c r="AS238" t="str">
        <f ca="1">IF(AND(ISNUMBER($AS$538),$B$294=1),$AS$538,HLOOKUP(INDIRECT(ADDRESS(2,COLUMN())),OFFSET($BN$2,0,0,ROW()-1,60),ROW()-1,FALSE))</f>
        <v/>
      </c>
      <c r="AT238" t="str">
        <f ca="1">IF(AND(ISNUMBER($AT$538),$B$294=1),$AT$538,HLOOKUP(INDIRECT(ADDRESS(2,COLUMN())),OFFSET($BN$2,0,0,ROW()-1,60),ROW()-1,FALSE))</f>
        <v/>
      </c>
      <c r="AU238" t="str">
        <f ca="1">IF(AND(ISNUMBER($AU$538),$B$294=1),$AU$538,HLOOKUP(INDIRECT(ADDRESS(2,COLUMN())),OFFSET($BN$2,0,0,ROW()-1,60),ROW()-1,FALSE))</f>
        <v/>
      </c>
      <c r="AV238" t="str">
        <f ca="1">IF(AND(ISNUMBER($AV$538),$B$294=1),$AV$538,HLOOKUP(INDIRECT(ADDRESS(2,COLUMN())),OFFSET($BN$2,0,0,ROW()-1,60),ROW()-1,FALSE))</f>
        <v/>
      </c>
      <c r="AW238" t="str">
        <f ca="1">IF(AND(ISNUMBER($AW$538),$B$294=1),$AW$538,HLOOKUP(INDIRECT(ADDRESS(2,COLUMN())),OFFSET($BN$2,0,0,ROW()-1,60),ROW()-1,FALSE))</f>
        <v/>
      </c>
      <c r="AX238" t="str">
        <f ca="1">IF(AND(ISNUMBER($AX$538),$B$294=1),$AX$538,HLOOKUP(INDIRECT(ADDRESS(2,COLUMN())),OFFSET($BN$2,0,0,ROW()-1,60),ROW()-1,FALSE))</f>
        <v/>
      </c>
      <c r="AY238" t="str">
        <f ca="1">IF(AND(ISNUMBER($AY$538),$B$294=1),$AY$538,HLOOKUP(INDIRECT(ADDRESS(2,COLUMN())),OFFSET($BN$2,0,0,ROW()-1,60),ROW()-1,FALSE))</f>
        <v/>
      </c>
      <c r="AZ238" t="str">
        <f ca="1">IF(AND(ISNUMBER($AZ$538),$B$294=1),$AZ$538,HLOOKUP(INDIRECT(ADDRESS(2,COLUMN())),OFFSET($BN$2,0,0,ROW()-1,60),ROW()-1,FALSE))</f>
        <v/>
      </c>
      <c r="BA238" t="str">
        <f ca="1">IF(AND(ISNUMBER($BA$538),$B$294=1),$BA$538,HLOOKUP(INDIRECT(ADDRESS(2,COLUMN())),OFFSET($BN$2,0,0,ROW()-1,60),ROW()-1,FALSE))</f>
        <v/>
      </c>
      <c r="BB238" t="str">
        <f ca="1">IF(AND(ISNUMBER($BB$538),$B$294=1),$BB$538,HLOOKUP(INDIRECT(ADDRESS(2,COLUMN())),OFFSET($BN$2,0,0,ROW()-1,60),ROW()-1,FALSE))</f>
        <v/>
      </c>
      <c r="BC238" t="str">
        <f ca="1">IF(AND(ISNUMBER($BC$538),$B$294=1),$BC$538,HLOOKUP(INDIRECT(ADDRESS(2,COLUMN())),OFFSET($BN$2,0,0,ROW()-1,60),ROW()-1,FALSE))</f>
        <v/>
      </c>
      <c r="BD238" t="str">
        <f ca="1">IF(AND(ISNUMBER($BD$538),$B$294=1),$BD$538,HLOOKUP(INDIRECT(ADDRESS(2,COLUMN())),OFFSET($BN$2,0,0,ROW()-1,60),ROW()-1,FALSE))</f>
        <v/>
      </c>
      <c r="BE238" t="str">
        <f ca="1">IF(AND(ISNUMBER($BE$538),$B$294=1),$BE$538,HLOOKUP(INDIRECT(ADDRESS(2,COLUMN())),OFFSET($BN$2,0,0,ROW()-1,60),ROW()-1,FALSE))</f>
        <v/>
      </c>
      <c r="BF238" t="str">
        <f ca="1">IF(AND(ISNUMBER($BF$538),$B$294=1),$BF$538,HLOOKUP(INDIRECT(ADDRESS(2,COLUMN())),OFFSET($BN$2,0,0,ROW()-1,60),ROW()-1,FALSE))</f>
        <v/>
      </c>
      <c r="BG238" t="str">
        <f ca="1">IF(AND(ISNUMBER($BG$538),$B$294=1),$BG$538,HLOOKUP(INDIRECT(ADDRESS(2,COLUMN())),OFFSET($BN$2,0,0,ROW()-1,60),ROW()-1,FALSE))</f>
        <v/>
      </c>
      <c r="BH238" t="str">
        <f ca="1">IF(AND(ISNUMBER($BH$538),$B$294=1),$BH$538,HLOOKUP(INDIRECT(ADDRESS(2,COLUMN())),OFFSET($BN$2,0,0,ROW()-1,60),ROW()-1,FALSE))</f>
        <v/>
      </c>
      <c r="BI238" t="str">
        <f ca="1">IF(AND(ISNUMBER($BI$538),$B$294=1),$BI$538,HLOOKUP(INDIRECT(ADDRESS(2,COLUMN())),OFFSET($BN$2,0,0,ROW()-1,60),ROW()-1,FALSE))</f>
        <v/>
      </c>
      <c r="BJ238" t="str">
        <f ca="1">IF(AND(ISNUMBER($BJ$538),$B$294=1),$BJ$538,HLOOKUP(INDIRECT(ADDRESS(2,COLUMN())),OFFSET($BN$2,0,0,ROW()-1,60),ROW()-1,FALSE))</f>
        <v/>
      </c>
      <c r="BK238" t="str">
        <f ca="1">IF(AND(ISNUMBER($BK$538),$B$294=1),$BK$538,HLOOKUP(INDIRECT(ADDRESS(2,COLUMN())),OFFSET($BN$2,0,0,ROW()-1,60),ROW()-1,FALSE))</f>
        <v/>
      </c>
      <c r="BL238" t="str">
        <f ca="1">IF(AND(ISNUMBER($BL$538),$B$294=1),$BL$538,HLOOKUP(INDIRECT(ADDRESS(2,COLUMN())),OFFSET($BN$2,0,0,ROW()-1,60),ROW()-1,FALSE))</f>
        <v/>
      </c>
      <c r="BM238" t="str">
        <f ca="1">IF(AND(ISNUMBER($BM$538),$B$294=1),$BM$538,HLOOKUP(INDIRECT(ADDRESS(2,COLUMN())),OFFSET($BN$2,0,0,ROW()-1,60),ROW()-1,FALSE))</f>
        <v/>
      </c>
      <c r="BN238" t="str">
        <f>""</f>
        <v/>
      </c>
      <c r="BO238">
        <f>9.567</f>
        <v>9.5670000000000002</v>
      </c>
      <c r="BP238">
        <f>382.73</f>
        <v>382.73</v>
      </c>
      <c r="BQ238">
        <f>506.538</f>
        <v>506.53800000000001</v>
      </c>
      <c r="BR238">
        <f>554.655</f>
        <v>554.65499999999997</v>
      </c>
      <c r="BS238">
        <f>216.085</f>
        <v>216.08500000000001</v>
      </c>
      <c r="BT238">
        <f>190.856</f>
        <v>190.85599999999999</v>
      </c>
      <c r="BU238">
        <f>23.803</f>
        <v>23.803000000000001</v>
      </c>
      <c r="BV238">
        <f>185.376</f>
        <v>185.376</v>
      </c>
      <c r="BW238">
        <f>32.645</f>
        <v>32.645000000000003</v>
      </c>
      <c r="BX238">
        <f>44.823</f>
        <v>44.823</v>
      </c>
      <c r="BY238">
        <f>33.742</f>
        <v>33.741999999999997</v>
      </c>
      <c r="BZ238">
        <f>31.236</f>
        <v>31.236000000000001</v>
      </c>
      <c r="CA238">
        <f>149.79</f>
        <v>149.79</v>
      </c>
      <c r="CB238">
        <f>46.433</f>
        <v>46.433</v>
      </c>
      <c r="CC238">
        <f>49.334</f>
        <v>49.334000000000003</v>
      </c>
      <c r="CD238">
        <f>86.243</f>
        <v>86.242999999999995</v>
      </c>
      <c r="CE238">
        <f>99.855</f>
        <v>99.855000000000004</v>
      </c>
      <c r="CF238">
        <f>59.908</f>
        <v>59.908000000000001</v>
      </c>
      <c r="CG238">
        <f>61.667</f>
        <v>61.667000000000002</v>
      </c>
      <c r="CH238">
        <f>68.623</f>
        <v>68.623000000000005</v>
      </c>
      <c r="CI238">
        <f>53.657</f>
        <v>53.656999999999996</v>
      </c>
      <c r="CJ238">
        <f>48.436</f>
        <v>48.436</v>
      </c>
      <c r="CK238">
        <f>60.618</f>
        <v>60.618000000000002</v>
      </c>
      <c r="CL238">
        <f>49.156</f>
        <v>49.155999999999999</v>
      </c>
      <c r="CM238">
        <f>39.468</f>
        <v>39.468000000000004</v>
      </c>
      <c r="CN238">
        <f>31.809</f>
        <v>31.809000000000001</v>
      </c>
      <c r="CO238">
        <f>38.593</f>
        <v>38.593000000000004</v>
      </c>
      <c r="CP238">
        <f>32.62</f>
        <v>32.619999999999997</v>
      </c>
      <c r="CQ238">
        <f>38.882</f>
        <v>38.881999999999998</v>
      </c>
      <c r="CR238">
        <f>53.538</f>
        <v>53.537999999999997</v>
      </c>
      <c r="CS238">
        <f>106.07</f>
        <v>106.07</v>
      </c>
      <c r="CT238">
        <f>153.698</f>
        <v>153.69800000000001</v>
      </c>
      <c r="CU238">
        <f>102.725</f>
        <v>102.72499999999999</v>
      </c>
      <c r="CV238">
        <f>70.955</f>
        <v>70.954999999999998</v>
      </c>
      <c r="CW238">
        <f>65.651</f>
        <v>65.650999999999996</v>
      </c>
      <c r="CX238">
        <f>93.641</f>
        <v>93.641000000000005</v>
      </c>
      <c r="CY238" t="str">
        <f>""</f>
        <v/>
      </c>
      <c r="CZ238" t="str">
        <f>""</f>
        <v/>
      </c>
      <c r="DA238" t="str">
        <f>""</f>
        <v/>
      </c>
      <c r="DB238" t="str">
        <f>""</f>
        <v/>
      </c>
      <c r="DC238" t="str">
        <f>""</f>
        <v/>
      </c>
      <c r="DD238" t="str">
        <f>""</f>
        <v/>
      </c>
      <c r="DE238" t="str">
        <f>""</f>
        <v/>
      </c>
      <c r="DF238" t="str">
        <f>""</f>
        <v/>
      </c>
      <c r="DG238" t="str">
        <f>""</f>
        <v/>
      </c>
      <c r="DH238" t="str">
        <f>""</f>
        <v/>
      </c>
      <c r="DI238" t="str">
        <f>""</f>
        <v/>
      </c>
      <c r="DJ238" t="str">
        <f>""</f>
        <v/>
      </c>
      <c r="DK238" t="str">
        <f>""</f>
        <v/>
      </c>
      <c r="DL238" t="str">
        <f>""</f>
        <v/>
      </c>
      <c r="DM238" t="str">
        <f>""</f>
        <v/>
      </c>
      <c r="DN238" t="str">
        <f>""</f>
        <v/>
      </c>
      <c r="DO238" t="str">
        <f>""</f>
        <v/>
      </c>
      <c r="DP238" t="str">
        <f>""</f>
        <v/>
      </c>
      <c r="DQ238" t="str">
        <f>""</f>
        <v/>
      </c>
      <c r="DR238" t="str">
        <f>""</f>
        <v/>
      </c>
      <c r="DS238" t="str">
        <f>""</f>
        <v/>
      </c>
      <c r="DT238" t="str">
        <f>""</f>
        <v/>
      </c>
      <c r="DU238" t="str">
        <f>""</f>
        <v/>
      </c>
    </row>
    <row r="239" spans="1:125">
      <c r="A239" t="str">
        <f>"    Corporate Office Properties Tr"</f>
        <v xml:space="preserve">    Corporate Office Properties Tr</v>
      </c>
      <c r="B239" t="str">
        <f>"OFC US Equity"</f>
        <v>OFC US Equity</v>
      </c>
      <c r="C239" t="str">
        <f t="shared" si="63"/>
        <v>RR253</v>
      </c>
      <c r="D239" t="str">
        <f t="shared" si="64"/>
        <v>CASH_AND_MARKETABLE_SECURITIES</v>
      </c>
      <c r="E239" t="str">
        <f t="shared" si="65"/>
        <v>动态</v>
      </c>
      <c r="F239" t="str">
        <f ca="1">IF(AND(ISNUMBER($F$539),$B$294=1),$F$539,HLOOKUP(INDIRECT(ADDRESS(2,COLUMN())),OFFSET($BN$2,0,0,ROW()-1,60),ROW()-1,FALSE))</f>
        <v/>
      </c>
      <c r="G239">
        <f ca="1">IF(AND(ISNUMBER($G$539),$B$294=1),$G$539,HLOOKUP(INDIRECT(ADDRESS(2,COLUMN())),OFFSET($BN$2,0,0,ROW()-1,60),ROW()-1,FALSE))</f>
        <v>12.260999999999999</v>
      </c>
      <c r="H239">
        <f ca="1">IF(AND(ISNUMBER($H$539),$B$294=1),$H$539,HLOOKUP(INDIRECT(ADDRESS(2,COLUMN())),OFFSET($BN$2,0,0,ROW()-1,60),ROW()-1,FALSE))</f>
        <v>10.858000000000001</v>
      </c>
      <c r="I239">
        <f ca="1">IF(AND(ISNUMBER($I$539),$B$294=1),$I$539,HLOOKUP(INDIRECT(ADDRESS(2,COLUMN())),OFFSET($BN$2,0,0,ROW()-1,60),ROW()-1,FALSE))</f>
        <v>10.606</v>
      </c>
      <c r="J239">
        <f ca="1">IF(AND(ISNUMBER($J$539),$B$294=1),$J$539,HLOOKUP(INDIRECT(ADDRESS(2,COLUMN())),OFFSET($BN$2,0,0,ROW()-1,60),ROW()-1,FALSE))</f>
        <v>226.47</v>
      </c>
      <c r="K239">
        <f ca="1">IF(AND(ISNUMBER($K$539),$B$294=1),$K$539,HLOOKUP(INDIRECT(ADDRESS(2,COLUMN())),OFFSET($BN$2,0,0,ROW()-1,60),ROW()-1,FALSE))</f>
        <v>209.863</v>
      </c>
      <c r="L239">
        <f ca="1">IF(AND(ISNUMBER($L$539),$B$294=1),$L$539,HLOOKUP(INDIRECT(ADDRESS(2,COLUMN())),OFFSET($BN$2,0,0,ROW()-1,60),ROW()-1,FALSE))</f>
        <v>47.573999999999998</v>
      </c>
      <c r="M239">
        <f ca="1">IF(AND(ISNUMBER($M$539),$B$294=1),$M$539,HLOOKUP(INDIRECT(ADDRESS(2,COLUMN())),OFFSET($BN$2,0,0,ROW()-1,60),ROW()-1,FALSE))</f>
        <v>13.317</v>
      </c>
      <c r="N239">
        <f ca="1">IF(AND(ISNUMBER($N$539),$B$294=1),$N$539,HLOOKUP(INDIRECT(ADDRESS(2,COLUMN())),OFFSET($BN$2,0,0,ROW()-1,60),ROW()-1,FALSE))</f>
        <v>62.488999999999997</v>
      </c>
      <c r="O239">
        <f ca="1">IF(AND(ISNUMBER($O$539),$B$294=1),$O$539,HLOOKUP(INDIRECT(ADDRESS(2,COLUMN())),OFFSET($BN$2,0,0,ROW()-1,60),ROW()-1,FALSE))</f>
        <v>60.31</v>
      </c>
      <c r="P239">
        <f ca="1">IF(AND(ISNUMBER($P$539),$B$294=1),$P$539,HLOOKUP(INDIRECT(ADDRESS(2,COLUMN())),OFFSET($BN$2,0,0,ROW()-1,60),ROW()-1,FALSE))</f>
        <v>3.84</v>
      </c>
      <c r="Q239">
        <f ca="1">IF(AND(ISNUMBER($Q$539),$B$294=1),$Q$539,HLOOKUP(INDIRECT(ADDRESS(2,COLUMN())),OFFSET($BN$2,0,0,ROW()-1,60),ROW()-1,FALSE))</f>
        <v>37.073999999999998</v>
      </c>
      <c r="R239">
        <f ca="1">IF(AND(ISNUMBER($R$539),$B$294=1),$R$539,HLOOKUP(INDIRECT(ADDRESS(2,COLUMN())),OFFSET($BN$2,0,0,ROW()-1,60),ROW()-1,FALSE))</f>
        <v>4.4290000000000003</v>
      </c>
      <c r="S239">
        <f ca="1">IF(AND(ISNUMBER($S$539),$B$294=1),$S$539,HLOOKUP(INDIRECT(ADDRESS(2,COLUMN())),OFFSET($BN$2,0,0,ROW()-1,60),ROW()-1,FALSE))</f>
        <v>6.077</v>
      </c>
      <c r="T239">
        <f ca="1">IF(AND(ISNUMBER($T$539),$B$294=1),$T$539,HLOOKUP(INDIRECT(ADDRESS(2,COLUMN())),OFFSET($BN$2,0,0,ROW()-1,60),ROW()-1,FALSE))</f>
        <v>40.018000000000001</v>
      </c>
      <c r="U239">
        <f ca="1">IF(AND(ISNUMBER($U$539),$B$294=1),$U$539,HLOOKUP(INDIRECT(ADDRESS(2,COLUMN())),OFFSET($BN$2,0,0,ROW()-1,60),ROW()-1,FALSE))</f>
        <v>76.215999999999994</v>
      </c>
      <c r="V239">
        <f ca="1">IF(AND(ISNUMBER($V$539),$B$294=1),$V$539,HLOOKUP(INDIRECT(ADDRESS(2,COLUMN())),OFFSET($BN$2,0,0,ROW()-1,60),ROW()-1,FALSE))</f>
        <v>18.373999999999999</v>
      </c>
      <c r="W239">
        <f ca="1">IF(AND(ISNUMBER($W$539),$B$294=1),$W$539,HLOOKUP(INDIRECT(ADDRESS(2,COLUMN())),OFFSET($BN$2,0,0,ROW()-1,60),ROW()-1,FALSE))</f>
        <v>54.372999999999998</v>
      </c>
      <c r="X239">
        <f ca="1">IF(AND(ISNUMBER($X$539),$B$294=1),$X$539,HLOOKUP(INDIRECT(ADDRESS(2,COLUMN())),OFFSET($BN$2,0,0,ROW()-1,60),ROW()-1,FALSE))</f>
        <v>27.318000000000001</v>
      </c>
      <c r="Y239">
        <f ca="1">IF(AND(ISNUMBER($Y$539),$B$294=1),$Y$539,HLOOKUP(INDIRECT(ADDRESS(2,COLUMN())),OFFSET($BN$2,0,0,ROW()-1,60),ROW()-1,FALSE))</f>
        <v>9.1959999999999997</v>
      </c>
      <c r="Z239">
        <f ca="1">IF(AND(ISNUMBER($Z$539),$B$294=1),$Z$539,HLOOKUP(INDIRECT(ADDRESS(2,COLUMN())),OFFSET($BN$2,0,0,ROW()-1,60),ROW()-1,FALSE))</f>
        <v>23.509</v>
      </c>
      <c r="AA239">
        <f ca="1">IF(AND(ISNUMBER($AA$539),$B$294=1),$AA$539,HLOOKUP(INDIRECT(ADDRESS(2,COLUMN())),OFFSET($BN$2,0,0,ROW()-1,60),ROW()-1,FALSE))</f>
        <v>10.593999999999999</v>
      </c>
      <c r="AB239">
        <f ca="1">IF(AND(ISNUMBER($AB$539),$B$294=1),$AB$539,HLOOKUP(INDIRECT(ADDRESS(2,COLUMN())),OFFSET($BN$2,0,0,ROW()-1,60),ROW()-1,FALSE))</f>
        <v>5.0090000000000003</v>
      </c>
      <c r="AC239">
        <f ca="1">IF(AND(ISNUMBER($AC$539),$B$294=1),$AC$539,HLOOKUP(INDIRECT(ADDRESS(2,COLUMN())),OFFSET($BN$2,0,0,ROW()-1,60),ROW()-1,FALSE))</f>
        <v>4.702</v>
      </c>
      <c r="AD239">
        <f ca="1">IF(AND(ISNUMBER($AD$539),$B$294=1),$AD$539,HLOOKUP(INDIRECT(ADDRESS(2,COLUMN())),OFFSET($BN$2,0,0,ROW()-1,60),ROW()-1,FALSE))</f>
        <v>7.9870000000000001</v>
      </c>
      <c r="AE239">
        <f ca="1">IF(AND(ISNUMBER($AE$539),$B$294=1),$AE$539,HLOOKUP(INDIRECT(ADDRESS(2,COLUMN())),OFFSET($BN$2,0,0,ROW()-1,60),ROW()-1,FALSE))</f>
        <v>5.5590000000000002</v>
      </c>
      <c r="AF239">
        <f ca="1">IF(AND(ISNUMBER($AF$539),$B$294=1),$AF$539,HLOOKUP(INDIRECT(ADDRESS(2,COLUMN())),OFFSET($BN$2,0,0,ROW()-1,60),ROW()-1,FALSE))</f>
        <v>11.504</v>
      </c>
      <c r="AG239">
        <f ca="1">IF(AND(ISNUMBER($AG$539),$B$294=1),$AG$539,HLOOKUP(INDIRECT(ADDRESS(2,COLUMN())),OFFSET($BN$2,0,0,ROW()-1,60),ROW()-1,FALSE))</f>
        <v>11.702999999999999</v>
      </c>
      <c r="AH239">
        <f ca="1">IF(AND(ISNUMBER($AH$539),$B$294=1),$AH$539,HLOOKUP(INDIRECT(ADDRESS(2,COLUMN())),OFFSET($BN$2,0,0,ROW()-1,60),ROW()-1,FALSE))</f>
        <v>12.606</v>
      </c>
      <c r="AI239">
        <f ca="1">IF(AND(ISNUMBER($AI$539),$B$294=1),$AI$539,HLOOKUP(INDIRECT(ADDRESS(2,COLUMN())),OFFSET($BN$2,0,0,ROW()-1,60),ROW()-1,FALSE))</f>
        <v>10.102</v>
      </c>
      <c r="AJ239">
        <f ca="1">IF(AND(ISNUMBER($AJ$539),$B$294=1),$AJ$539,HLOOKUP(INDIRECT(ADDRESS(2,COLUMN())),OFFSET($BN$2,0,0,ROW()-1,60),ROW()-1,FALSE))</f>
        <v>11.733000000000001</v>
      </c>
      <c r="AK239">
        <f ca="1">IF(AND(ISNUMBER($AK$539),$B$294=1),$AK$539,HLOOKUP(INDIRECT(ADDRESS(2,COLUMN())),OFFSET($BN$2,0,0,ROW()-1,60),ROW()-1,FALSE))</f>
        <v>9.8789999999999996</v>
      </c>
      <c r="AL239">
        <f ca="1">IF(AND(ISNUMBER($AL$539),$B$294=1),$AL$539,HLOOKUP(INDIRECT(ADDRESS(2,COLUMN())),OFFSET($BN$2,0,0,ROW()-1,60),ROW()-1,FALSE))</f>
        <v>10.18</v>
      </c>
      <c r="AM239">
        <f ca="1">IF(AND(ISNUMBER($AM$539),$B$294=1),$AM$539,HLOOKUP(INDIRECT(ADDRESS(2,COLUMN())),OFFSET($BN$2,0,0,ROW()-1,60),ROW()-1,FALSE))</f>
        <v>8.2620000000000005</v>
      </c>
      <c r="AN239">
        <f ca="1">IF(AND(ISNUMBER($AN$539),$B$294=1),$AN$539,HLOOKUP(INDIRECT(ADDRESS(2,COLUMN())),OFFSET($BN$2,0,0,ROW()-1,60),ROW()-1,FALSE))</f>
        <v>9.9809999999999999</v>
      </c>
      <c r="AO239">
        <f ca="1">IF(AND(ISNUMBER($AO$539),$B$294=1),$AO$539,HLOOKUP(INDIRECT(ADDRESS(2,COLUMN())),OFFSET($BN$2,0,0,ROW()-1,60),ROW()-1,FALSE))</f>
        <v>11.930999999999999</v>
      </c>
      <c r="AP239">
        <f ca="1">IF(AND(ISNUMBER($AP$539),$B$294=1),$AP$539,HLOOKUP(INDIRECT(ADDRESS(2,COLUMN())),OFFSET($BN$2,0,0,ROW()-1,60),ROW()-1,FALSE))</f>
        <v>12.702</v>
      </c>
      <c r="AQ239">
        <f ca="1">IF(AND(ISNUMBER($AQ$539),$B$294=1),$AQ$539,HLOOKUP(INDIRECT(ADDRESS(2,COLUMN())),OFFSET($BN$2,0,0,ROW()-1,60),ROW()-1,FALSE))</f>
        <v>6.7750000000000004</v>
      </c>
      <c r="AR239">
        <f ca="1">IF(AND(ISNUMBER($AR$539),$B$294=1),$AR$539,HLOOKUP(INDIRECT(ADDRESS(2,COLUMN())),OFFSET($BN$2,0,0,ROW()-1,60),ROW()-1,FALSE))</f>
        <v>21.315999999999999</v>
      </c>
      <c r="AS239">
        <f ca="1">IF(AND(ISNUMBER($AS$539),$B$294=1),$AS$539,HLOOKUP(INDIRECT(ADDRESS(2,COLUMN())),OFFSET($BN$2,0,0,ROW()-1,60),ROW()-1,FALSE))</f>
        <v>12.856999999999999</v>
      </c>
      <c r="AT239">
        <f ca="1">IF(AND(ISNUMBER($AT$539),$B$294=1),$AT$539,HLOOKUP(INDIRECT(ADDRESS(2,COLUMN())),OFFSET($BN$2,0,0,ROW()-1,60),ROW()-1,FALSE))</f>
        <v>37.606999999999999</v>
      </c>
      <c r="AU239">
        <f ca="1">IF(AND(ISNUMBER($AU$539),$B$294=1),$AU$539,HLOOKUP(INDIRECT(ADDRESS(2,COLUMN())),OFFSET($BN$2,0,0,ROW()-1,60),ROW()-1,FALSE))</f>
        <v>24.638000000000002</v>
      </c>
      <c r="AV239">
        <f ca="1">IF(AND(ISNUMBER($AV$539),$B$294=1),$AV$539,HLOOKUP(INDIRECT(ADDRESS(2,COLUMN())),OFFSET($BN$2,0,0,ROW()-1,60),ROW()-1,FALSE))</f>
        <v>21.895</v>
      </c>
      <c r="AW239">
        <f ca="1">IF(AND(ISNUMBER($AW$539),$B$294=1),$AW$539,HLOOKUP(INDIRECT(ADDRESS(2,COLUMN())),OFFSET($BN$2,0,0,ROW()-1,60),ROW()-1,FALSE))</f>
        <v>15.122999999999999</v>
      </c>
      <c r="AX239">
        <f ca="1">IF(AND(ISNUMBER($AX$539),$B$294=1),$AX$539,HLOOKUP(INDIRECT(ADDRESS(2,COLUMN())),OFFSET($BN$2,0,0,ROW()-1,60),ROW()-1,FALSE))</f>
        <v>22.003</v>
      </c>
      <c r="AY239">
        <f ca="1">IF(AND(ISNUMBER($AY$539),$B$294=1),$AY$539,HLOOKUP(INDIRECT(ADDRESS(2,COLUMN())),OFFSET($BN$2,0,0,ROW()-1,60),ROW()-1,FALSE))</f>
        <v>7.923</v>
      </c>
      <c r="AZ239">
        <f ca="1">IF(AND(ISNUMBER($AZ$539),$B$294=1),$AZ$539,HLOOKUP(INDIRECT(ADDRESS(2,COLUMN())),OFFSET($BN$2,0,0,ROW()-1,60),ROW()-1,FALSE))</f>
        <v>10.81</v>
      </c>
      <c r="BA239">
        <f ca="1">IF(AND(ISNUMBER($BA$539),$B$294=1),$BA$539,HLOOKUP(INDIRECT(ADDRESS(2,COLUMN())),OFFSET($BN$2,0,0,ROW()-1,60),ROW()-1,FALSE))</f>
        <v>5.7480000000000002</v>
      </c>
      <c r="BB239">
        <f ca="1">IF(AND(ISNUMBER($BB$539),$B$294=1),$BB$539,HLOOKUP(INDIRECT(ADDRESS(2,COLUMN())),OFFSET($BN$2,0,0,ROW()-1,60),ROW()-1,FALSE))</f>
        <v>20.169</v>
      </c>
      <c r="BC239">
        <f ca="1">IF(AND(ISNUMBER($BC$539),$B$294=1),$BC$539,HLOOKUP(INDIRECT(ADDRESS(2,COLUMN())),OFFSET($BN$2,0,0,ROW()-1,60),ROW()-1,FALSE))</f>
        <v>10.784000000000001</v>
      </c>
      <c r="BD239">
        <f ca="1">IF(AND(ISNUMBER($BD$539),$B$294=1),$BD$539,HLOOKUP(INDIRECT(ADDRESS(2,COLUMN())),OFFSET($BN$2,0,0,ROW()-1,60),ROW()-1,FALSE))</f>
        <v>17.347999999999999</v>
      </c>
      <c r="BE239">
        <f ca="1">IF(AND(ISNUMBER($BE$539),$B$294=1),$BE$539,HLOOKUP(INDIRECT(ADDRESS(2,COLUMN())),OFFSET($BN$2,0,0,ROW()-1,60),ROW()-1,FALSE))</f>
        <v>21.486000000000001</v>
      </c>
      <c r="BF239">
        <f ca="1">IF(AND(ISNUMBER($BF$539),$B$294=1),$BF$539,HLOOKUP(INDIRECT(ADDRESS(2,COLUMN())),OFFSET($BN$2,0,0,ROW()-1,60),ROW()-1,FALSE))</f>
        <v>6.2119999999999997</v>
      </c>
      <c r="BG239">
        <f ca="1">IF(AND(ISNUMBER($BG$539),$B$294=1),$BG$539,HLOOKUP(INDIRECT(ADDRESS(2,COLUMN())),OFFSET($BN$2,0,0,ROW()-1,60),ROW()-1,FALSE))</f>
        <v>13.821</v>
      </c>
      <c r="BH239">
        <f ca="1">IF(AND(ISNUMBER($BH$539),$B$294=1),$BH$539,HLOOKUP(INDIRECT(ADDRESS(2,COLUMN())),OFFSET($BN$2,0,0,ROW()-1,60),ROW()-1,FALSE))</f>
        <v>6.8120000000000003</v>
      </c>
      <c r="BI239">
        <f ca="1">IF(AND(ISNUMBER($BI$539),$B$294=1),$BI$539,HLOOKUP(INDIRECT(ADDRESS(2,COLUMN())),OFFSET($BN$2,0,0,ROW()-1,60),ROW()-1,FALSE))</f>
        <v>12.202</v>
      </c>
      <c r="BJ239">
        <f ca="1">IF(AND(ISNUMBER($BJ$539),$B$294=1),$BJ$539,HLOOKUP(INDIRECT(ADDRESS(2,COLUMN())),OFFSET($BN$2,0,0,ROW()-1,60),ROW()-1,FALSE))</f>
        <v>9.5359999999999996</v>
      </c>
      <c r="BK239">
        <f ca="1">IF(AND(ISNUMBER($BK$539),$B$294=1),$BK$539,HLOOKUP(INDIRECT(ADDRESS(2,COLUMN())),OFFSET($BN$2,0,0,ROW()-1,60),ROW()-1,FALSE))</f>
        <v>9.4809999470000008</v>
      </c>
      <c r="BL239">
        <f ca="1">IF(AND(ISNUMBER($BL$539),$B$294=1),$BL$539,HLOOKUP(INDIRECT(ADDRESS(2,COLUMN())),OFFSET($BN$2,0,0,ROW()-1,60),ROW()-1,FALSE))</f>
        <v>13.372</v>
      </c>
      <c r="BM239">
        <f ca="1">IF(AND(ISNUMBER($BM$539),$B$294=1),$BM$539,HLOOKUP(INDIRECT(ADDRESS(2,COLUMN())),OFFSET($BN$2,0,0,ROW()-1,60),ROW()-1,FALSE))</f>
        <v>8.3670000000000009</v>
      </c>
      <c r="BN239" t="str">
        <f>""</f>
        <v/>
      </c>
      <c r="BO239">
        <f>12.261</f>
        <v>12.260999999999999</v>
      </c>
      <c r="BP239">
        <f>10.858</f>
        <v>10.858000000000001</v>
      </c>
      <c r="BQ239">
        <f>10.606</f>
        <v>10.606</v>
      </c>
      <c r="BR239">
        <f>226.47</f>
        <v>226.47</v>
      </c>
      <c r="BS239">
        <f>209.863</f>
        <v>209.863</v>
      </c>
      <c r="BT239">
        <f>47.574</f>
        <v>47.573999999999998</v>
      </c>
      <c r="BU239">
        <f>13.317</f>
        <v>13.317</v>
      </c>
      <c r="BV239">
        <f>62.489</f>
        <v>62.488999999999997</v>
      </c>
      <c r="BW239">
        <f>60.31</f>
        <v>60.31</v>
      </c>
      <c r="BX239">
        <f>3.84</f>
        <v>3.84</v>
      </c>
      <c r="BY239">
        <f>37.074</f>
        <v>37.073999999999998</v>
      </c>
      <c r="BZ239">
        <f>4.429</f>
        <v>4.4290000000000003</v>
      </c>
      <c r="CA239">
        <f>6.077</f>
        <v>6.077</v>
      </c>
      <c r="CB239">
        <f>40.018</f>
        <v>40.018000000000001</v>
      </c>
      <c r="CC239">
        <f>76.216</f>
        <v>76.215999999999994</v>
      </c>
      <c r="CD239">
        <f>18.374</f>
        <v>18.373999999999999</v>
      </c>
      <c r="CE239">
        <f>54.373</f>
        <v>54.372999999999998</v>
      </c>
      <c r="CF239">
        <f>27.318</f>
        <v>27.318000000000001</v>
      </c>
      <c r="CG239">
        <f>9.196</f>
        <v>9.1959999999999997</v>
      </c>
      <c r="CH239">
        <f>23.509</f>
        <v>23.509</v>
      </c>
      <c r="CI239">
        <f>10.594</f>
        <v>10.593999999999999</v>
      </c>
      <c r="CJ239">
        <f>5.009</f>
        <v>5.0090000000000003</v>
      </c>
      <c r="CK239">
        <f>4.702</f>
        <v>4.702</v>
      </c>
      <c r="CL239">
        <f>7.987</f>
        <v>7.9870000000000001</v>
      </c>
      <c r="CM239">
        <f>5.559</f>
        <v>5.5590000000000002</v>
      </c>
      <c r="CN239">
        <f>11.504</f>
        <v>11.504</v>
      </c>
      <c r="CO239">
        <f>11.703</f>
        <v>11.702999999999999</v>
      </c>
      <c r="CP239">
        <f>12.606</f>
        <v>12.606</v>
      </c>
      <c r="CQ239">
        <f>10.102</f>
        <v>10.102</v>
      </c>
      <c r="CR239">
        <f>11.733</f>
        <v>11.733000000000001</v>
      </c>
      <c r="CS239">
        <f>9.879</f>
        <v>9.8789999999999996</v>
      </c>
      <c r="CT239">
        <f>10.18</f>
        <v>10.18</v>
      </c>
      <c r="CU239">
        <f>8.262</f>
        <v>8.2620000000000005</v>
      </c>
      <c r="CV239">
        <f>9.981</f>
        <v>9.9809999999999999</v>
      </c>
      <c r="CW239">
        <f>11.931</f>
        <v>11.930999999999999</v>
      </c>
      <c r="CX239">
        <f>12.702</f>
        <v>12.702</v>
      </c>
      <c r="CY239">
        <f>6.775</f>
        <v>6.7750000000000004</v>
      </c>
      <c r="CZ239">
        <f>21.316</f>
        <v>21.315999999999999</v>
      </c>
      <c r="DA239">
        <f>12.857</f>
        <v>12.856999999999999</v>
      </c>
      <c r="DB239">
        <f>37.607</f>
        <v>37.606999999999999</v>
      </c>
      <c r="DC239">
        <f>24.638</f>
        <v>24.638000000000002</v>
      </c>
      <c r="DD239">
        <f>21.895</f>
        <v>21.895</v>
      </c>
      <c r="DE239">
        <f>15.123</f>
        <v>15.122999999999999</v>
      </c>
      <c r="DF239">
        <f>22.003</f>
        <v>22.003</v>
      </c>
      <c r="DG239">
        <f>7.923</f>
        <v>7.923</v>
      </c>
      <c r="DH239">
        <f>10.81</f>
        <v>10.81</v>
      </c>
      <c r="DI239">
        <f>5.748</f>
        <v>5.7480000000000002</v>
      </c>
      <c r="DJ239">
        <f>20.169</f>
        <v>20.169</v>
      </c>
      <c r="DK239">
        <f>10.784</f>
        <v>10.784000000000001</v>
      </c>
      <c r="DL239">
        <f>17.348</f>
        <v>17.347999999999999</v>
      </c>
      <c r="DM239">
        <f>21.486</f>
        <v>21.486000000000001</v>
      </c>
      <c r="DN239">
        <f>6.212</f>
        <v>6.2119999999999997</v>
      </c>
      <c r="DO239">
        <f>13.821</f>
        <v>13.821</v>
      </c>
      <c r="DP239">
        <f>6.812</f>
        <v>6.8120000000000003</v>
      </c>
      <c r="DQ239">
        <f>12.202</f>
        <v>12.202</v>
      </c>
      <c r="DR239">
        <f>9.536</f>
        <v>9.5359999999999996</v>
      </c>
      <c r="DS239">
        <f>9.480999947</f>
        <v>9.4809999470000008</v>
      </c>
      <c r="DT239">
        <f>13.372</f>
        <v>13.372</v>
      </c>
      <c r="DU239">
        <f>8.367</f>
        <v>8.3670000000000009</v>
      </c>
    </row>
    <row r="240" spans="1:125">
      <c r="A240" t="str">
        <f>"    Highwoods Properties Inc"</f>
        <v xml:space="preserve">    Highwoods Properties Inc</v>
      </c>
      <c r="B240" t="str">
        <f>"HIW US Equity"</f>
        <v>HIW US Equity</v>
      </c>
      <c r="C240" t="str">
        <f t="shared" si="63"/>
        <v>RR253</v>
      </c>
      <c r="D240" t="str">
        <f t="shared" si="64"/>
        <v>CASH_AND_MARKETABLE_SECURITIES</v>
      </c>
      <c r="E240" t="str">
        <f t="shared" si="65"/>
        <v>动态</v>
      </c>
      <c r="F240" t="str">
        <f ca="1">IF(AND(ISNUMBER($F$540),$B$294=1),$F$540,HLOOKUP(INDIRECT(ADDRESS(2,COLUMN())),OFFSET($BN$2,0,0,ROW()-1,60),ROW()-1,FALSE))</f>
        <v/>
      </c>
      <c r="G240">
        <f ca="1">IF(AND(ISNUMBER($G$540),$B$294=1),$G$540,HLOOKUP(INDIRECT(ADDRESS(2,COLUMN())),OFFSET($BN$2,0,0,ROW()-1,60),ROW()-1,FALSE))</f>
        <v>3.2719999999999998</v>
      </c>
      <c r="H240">
        <f ca="1">IF(AND(ISNUMBER($H$540),$B$294=1),$H$540,HLOOKUP(INDIRECT(ADDRESS(2,COLUMN())),OFFSET($BN$2,0,0,ROW()-1,60),ROW()-1,FALSE))</f>
        <v>4.8639999999999999</v>
      </c>
      <c r="I240">
        <f ca="1">IF(AND(ISNUMBER($I$540),$B$294=1),$I$540,HLOOKUP(INDIRECT(ADDRESS(2,COLUMN())),OFFSET($BN$2,0,0,ROW()-1,60),ROW()-1,FALSE))</f>
        <v>13.346</v>
      </c>
      <c r="J240">
        <f ca="1">IF(AND(ISNUMBER($J$540),$B$294=1),$J$540,HLOOKUP(INDIRECT(ADDRESS(2,COLUMN())),OFFSET($BN$2,0,0,ROW()-1,60),ROW()-1,FALSE))</f>
        <v>4.9180000000000001</v>
      </c>
      <c r="K240">
        <f ca="1">IF(AND(ISNUMBER($K$540),$B$294=1),$K$540,HLOOKUP(INDIRECT(ADDRESS(2,COLUMN())),OFFSET($BN$2,0,0,ROW()-1,60),ROW()-1,FALSE))</f>
        <v>49.49</v>
      </c>
      <c r="L240">
        <f ca="1">IF(AND(ISNUMBER($L$540),$B$294=1),$L$540,HLOOKUP(INDIRECT(ADDRESS(2,COLUMN())),OFFSET($BN$2,0,0,ROW()-1,60),ROW()-1,FALSE))</f>
        <v>6.3869999999999996</v>
      </c>
      <c r="M240">
        <f ca="1">IF(AND(ISNUMBER($M$540),$B$294=1),$M$540,HLOOKUP(INDIRECT(ADDRESS(2,COLUMN())),OFFSET($BN$2,0,0,ROW()-1,60),ROW()-1,FALSE))</f>
        <v>2.444</v>
      </c>
      <c r="N240">
        <f ca="1">IF(AND(ISNUMBER($N$540),$B$294=1),$N$540,HLOOKUP(INDIRECT(ADDRESS(2,COLUMN())),OFFSET($BN$2,0,0,ROW()-1,60),ROW()-1,FALSE))</f>
        <v>3.3450000000000002</v>
      </c>
      <c r="O240">
        <f ca="1">IF(AND(ISNUMBER($O$540),$B$294=1),$O$540,HLOOKUP(INDIRECT(ADDRESS(2,COLUMN())),OFFSET($BN$2,0,0,ROW()-1,60),ROW()-1,FALSE))</f>
        <v>5.0359999999999996</v>
      </c>
      <c r="P240">
        <f ca="1">IF(AND(ISNUMBER($P$540),$B$294=1),$P$540,HLOOKUP(INDIRECT(ADDRESS(2,COLUMN())),OFFSET($BN$2,0,0,ROW()-1,60),ROW()-1,FALSE))</f>
        <v>5.1840000000000002</v>
      </c>
      <c r="Q240">
        <f ca="1">IF(AND(ISNUMBER($Q$540),$B$294=1),$Q$540,HLOOKUP(INDIRECT(ADDRESS(2,COLUMN())),OFFSET($BN$2,0,0,ROW()-1,60),ROW()-1,FALSE))</f>
        <v>4.9390000000000001</v>
      </c>
      <c r="R240">
        <f ca="1">IF(AND(ISNUMBER($R$540),$B$294=1),$R$540,HLOOKUP(INDIRECT(ADDRESS(2,COLUMN())),OFFSET($BN$2,0,0,ROW()-1,60),ROW()-1,FALSE))</f>
        <v>11.381</v>
      </c>
      <c r="S240">
        <f ca="1">IF(AND(ISNUMBER($S$540),$B$294=1),$S$540,HLOOKUP(INDIRECT(ADDRESS(2,COLUMN())),OFFSET($BN$2,0,0,ROW()-1,60),ROW()-1,FALSE))</f>
        <v>8.8320000000000007</v>
      </c>
      <c r="T240">
        <f ca="1">IF(AND(ISNUMBER($T$540),$B$294=1),$T$540,HLOOKUP(INDIRECT(ADDRESS(2,COLUMN())),OFFSET($BN$2,0,0,ROW()-1,60),ROW()-1,FALSE))</f>
        <v>11.6</v>
      </c>
      <c r="U240">
        <f ca="1">IF(AND(ISNUMBER($U$540),$B$294=1),$U$540,HLOOKUP(INDIRECT(ADDRESS(2,COLUMN())),OFFSET($BN$2,0,0,ROW()-1,60),ROW()-1,FALSE))</f>
        <v>18.699000000000002</v>
      </c>
      <c r="V240">
        <f ca="1">IF(AND(ISNUMBER($V$540),$B$294=1),$V$540,HLOOKUP(INDIRECT(ADDRESS(2,COLUMN())),OFFSET($BN$2,0,0,ROW()-1,60),ROW()-1,FALSE))</f>
        <v>13.343999999999999</v>
      </c>
      <c r="W240">
        <f ca="1">IF(AND(ISNUMBER($W$540),$B$294=1),$W$540,HLOOKUP(INDIRECT(ADDRESS(2,COLUMN())),OFFSET($BN$2,0,0,ROW()-1,60),ROW()-1,FALSE))</f>
        <v>10.183999999999999</v>
      </c>
      <c r="X240">
        <f ca="1">IF(AND(ISNUMBER($X$540),$B$294=1),$X$540,HLOOKUP(INDIRECT(ADDRESS(2,COLUMN())),OFFSET($BN$2,0,0,ROW()-1,60),ROW()-1,FALSE))</f>
        <v>31.689</v>
      </c>
      <c r="Y240">
        <f ca="1">IF(AND(ISNUMBER($Y$540),$B$294=1),$Y$540,HLOOKUP(INDIRECT(ADDRESS(2,COLUMN())),OFFSET($BN$2,0,0,ROW()-1,60),ROW()-1,FALSE))</f>
        <v>10.122</v>
      </c>
      <c r="Z240">
        <f ca="1">IF(AND(ISNUMBER($Z$540),$B$294=1),$Z$540,HLOOKUP(INDIRECT(ADDRESS(2,COLUMN())),OFFSET($BN$2,0,0,ROW()-1,60),ROW()-1,FALSE))</f>
        <v>12.17</v>
      </c>
      <c r="AA240">
        <f ca="1">IF(AND(ISNUMBER($AA$540),$B$294=1),$AA$540,HLOOKUP(INDIRECT(ADDRESS(2,COLUMN())),OFFSET($BN$2,0,0,ROW()-1,60),ROW()-1,FALSE))</f>
        <v>13.782999999999999</v>
      </c>
      <c r="AB240">
        <f ca="1">IF(AND(ISNUMBER($AB$540),$B$294=1),$AB$540,HLOOKUP(INDIRECT(ADDRESS(2,COLUMN())),OFFSET($BN$2,0,0,ROW()-1,60),ROW()-1,FALSE))</f>
        <v>9.0860000000000003</v>
      </c>
      <c r="AC240">
        <f ca="1">IF(AND(ISNUMBER($AC$540),$B$294=1),$AC$540,HLOOKUP(INDIRECT(ADDRESS(2,COLUMN())),OFFSET($BN$2,0,0,ROW()-1,60),ROW()-1,FALSE))</f>
        <v>6.5270000000000001</v>
      </c>
      <c r="AD240">
        <f ca="1">IF(AND(ISNUMBER($AD$540),$B$294=1),$AD$540,HLOOKUP(INDIRECT(ADDRESS(2,COLUMN())),OFFSET($BN$2,0,0,ROW()-1,60),ROW()-1,FALSE))</f>
        <v>12.215</v>
      </c>
      <c r="AE240">
        <f ca="1">IF(AND(ISNUMBER($AE$540),$B$294=1),$AE$540,HLOOKUP(INDIRECT(ADDRESS(2,COLUMN())),OFFSET($BN$2,0,0,ROW()-1,60),ROW()-1,FALSE))</f>
        <v>11.188000000000001</v>
      </c>
      <c r="AF240">
        <f ca="1">IF(AND(ISNUMBER($AF$540),$B$294=1),$AF$540,HLOOKUP(INDIRECT(ADDRESS(2,COLUMN())),OFFSET($BN$2,0,0,ROW()-1,60),ROW()-1,FALSE))</f>
        <v>11.087999999999999</v>
      </c>
      <c r="AG240">
        <f ca="1">IF(AND(ISNUMBER($AG$540),$B$294=1),$AG$540,HLOOKUP(INDIRECT(ADDRESS(2,COLUMN())),OFFSET($BN$2,0,0,ROW()-1,60),ROW()-1,FALSE))</f>
        <v>9.2390000000000008</v>
      </c>
      <c r="AH240">
        <f ca="1">IF(AND(ISNUMBER($AH$540),$B$294=1),$AH$540,HLOOKUP(INDIRECT(ADDRESS(2,COLUMN())),OFFSET($BN$2,0,0,ROW()-1,60),ROW()-1,FALSE))</f>
        <v>30.81</v>
      </c>
      <c r="AI240">
        <f ca="1">IF(AND(ISNUMBER($AI$540),$B$294=1),$AI$540,HLOOKUP(INDIRECT(ADDRESS(2,COLUMN())),OFFSET($BN$2,0,0,ROW()-1,60),ROW()-1,FALSE))</f>
        <v>14.206</v>
      </c>
      <c r="AJ240">
        <f ca="1">IF(AND(ISNUMBER($AJ$540),$B$294=1),$AJ$540,HLOOKUP(INDIRECT(ADDRESS(2,COLUMN())),OFFSET($BN$2,0,0,ROW()-1,60),ROW()-1,FALSE))</f>
        <v>20.969000000000001</v>
      </c>
      <c r="AK240">
        <f ca="1">IF(AND(ISNUMBER($AK$540),$B$294=1),$AK$540,HLOOKUP(INDIRECT(ADDRESS(2,COLUMN())),OFFSET($BN$2,0,0,ROW()-1,60),ROW()-1,FALSE))</f>
        <v>35.843000000000004</v>
      </c>
      <c r="AL240">
        <f ca="1">IF(AND(ISNUMBER($AL$540),$B$294=1),$AL$540,HLOOKUP(INDIRECT(ADDRESS(2,COLUMN())),OFFSET($BN$2,0,0,ROW()-1,60),ROW()-1,FALSE))</f>
        <v>14.337999999999999</v>
      </c>
      <c r="AM240">
        <f ca="1">IF(AND(ISNUMBER($AM$540),$B$294=1),$AM$540,HLOOKUP(INDIRECT(ADDRESS(2,COLUMN())),OFFSET($BN$2,0,0,ROW()-1,60),ROW()-1,FALSE))</f>
        <v>23.699000000000002</v>
      </c>
      <c r="AN240">
        <f ca="1">IF(AND(ISNUMBER($AN$540),$B$294=1),$AN$540,HLOOKUP(INDIRECT(ADDRESS(2,COLUMN())),OFFSET($BN$2,0,0,ROW()-1,60),ROW()-1,FALSE))</f>
        <v>42.069000000000003</v>
      </c>
      <c r="AO240">
        <f ca="1">IF(AND(ISNUMBER($AO$540),$B$294=1),$AO$540,HLOOKUP(INDIRECT(ADDRESS(2,COLUMN())),OFFSET($BN$2,0,0,ROW()-1,60),ROW()-1,FALSE))</f>
        <v>13.372</v>
      </c>
      <c r="AP240">
        <f ca="1">IF(AND(ISNUMBER($AP$540),$B$294=1),$AP$540,HLOOKUP(INDIRECT(ADDRESS(2,COLUMN())),OFFSET($BN$2,0,0,ROW()-1,60),ROW()-1,FALSE))</f>
        <v>7.7569999999999997</v>
      </c>
      <c r="AQ240">
        <f ca="1">IF(AND(ISNUMBER($AQ$540),$B$294=1),$AQ$540,HLOOKUP(INDIRECT(ADDRESS(2,COLUMN())),OFFSET($BN$2,0,0,ROW()-1,60),ROW()-1,FALSE))</f>
        <v>13.757</v>
      </c>
      <c r="AR240">
        <f ca="1">IF(AND(ISNUMBER($AR$540),$B$294=1),$AR$540,HLOOKUP(INDIRECT(ADDRESS(2,COLUMN())),OFFSET($BN$2,0,0,ROW()-1,60),ROW()-1,FALSE))</f>
        <v>13.667</v>
      </c>
      <c r="AS240">
        <f ca="1">IF(AND(ISNUMBER($AS$540),$B$294=1),$AS$540,HLOOKUP(INDIRECT(ADDRESS(2,COLUMN())),OFFSET($BN$2,0,0,ROW()-1,60),ROW()-1,FALSE))</f>
        <v>4.0330000000000004</v>
      </c>
      <c r="AT240">
        <f ca="1">IF(AND(ISNUMBER($AT$540),$B$294=1),$AT$540,HLOOKUP(INDIRECT(ADDRESS(2,COLUMN())),OFFSET($BN$2,0,0,ROW()-1,60),ROW()-1,FALSE))</f>
        <v>6.5949999999999998</v>
      </c>
      <c r="AU240">
        <f ca="1">IF(AND(ISNUMBER($AU$540),$B$294=1),$AU$540,HLOOKUP(INDIRECT(ADDRESS(2,COLUMN())),OFFSET($BN$2,0,0,ROW()-1,60),ROW()-1,FALSE))</f>
        <v>3.14</v>
      </c>
      <c r="AV240">
        <f ca="1">IF(AND(ISNUMBER($AV$540),$B$294=1),$AV$540,HLOOKUP(INDIRECT(ADDRESS(2,COLUMN())),OFFSET($BN$2,0,0,ROW()-1,60),ROW()-1,FALSE))</f>
        <v>3.468</v>
      </c>
      <c r="AW240">
        <f ca="1">IF(AND(ISNUMBER($AW$540),$B$294=1),$AW$540,HLOOKUP(INDIRECT(ADDRESS(2,COLUMN())),OFFSET($BN$2,0,0,ROW()-1,60),ROW()-1,FALSE))</f>
        <v>16.838999999999999</v>
      </c>
      <c r="AX240">
        <f ca="1">IF(AND(ISNUMBER($AX$540),$B$294=1),$AX$540,HLOOKUP(INDIRECT(ADDRESS(2,COLUMN())),OFFSET($BN$2,0,0,ROW()-1,60),ROW()-1,FALSE))</f>
        <v>17.004000000000001</v>
      </c>
      <c r="AY240">
        <f ca="1">IF(AND(ISNUMBER($AY$540),$B$294=1),$AY$540,HLOOKUP(INDIRECT(ADDRESS(2,COLUMN())),OFFSET($BN$2,0,0,ROW()-1,60),ROW()-1,FALSE))</f>
        <v>16.690000000000001</v>
      </c>
      <c r="AZ240">
        <f ca="1">IF(AND(ISNUMBER($AZ$540),$B$294=1),$AZ$540,HLOOKUP(INDIRECT(ADDRESS(2,COLUMN())),OFFSET($BN$2,0,0,ROW()-1,60),ROW()-1,FALSE))</f>
        <v>7.524</v>
      </c>
      <c r="BA240">
        <f ca="1">IF(AND(ISNUMBER($BA$540),$B$294=1),$BA$540,HLOOKUP(INDIRECT(ADDRESS(2,COLUMN())),OFFSET($BN$2,0,0,ROW()-1,60),ROW()-1,FALSE))</f>
        <v>4.9279999999999999</v>
      </c>
      <c r="BB240">
        <f ca="1">IF(AND(ISNUMBER($BB$540),$B$294=1),$BB$540,HLOOKUP(INDIRECT(ADDRESS(2,COLUMN())),OFFSET($BN$2,0,0,ROW()-1,60),ROW()-1,FALSE))</f>
        <v>24.143999999999998</v>
      </c>
      <c r="BC240">
        <f ca="1">IF(AND(ISNUMBER($BC$540),$B$294=1),$BC$540,HLOOKUP(INDIRECT(ADDRESS(2,COLUMN())),OFFSET($BN$2,0,0,ROW()-1,60),ROW()-1,FALSE))</f>
        <v>1.212</v>
      </c>
      <c r="BD240">
        <f ca="1">IF(AND(ISNUMBER($BD$540),$B$294=1),$BD$540,HLOOKUP(INDIRECT(ADDRESS(2,COLUMN())),OFFSET($BN$2,0,0,ROW()-1,60),ROW()-1,FALSE))</f>
        <v>0.64600000000000002</v>
      </c>
      <c r="BE240">
        <f ca="1">IF(AND(ISNUMBER($BE$540),$B$294=1),$BE$540,HLOOKUP(INDIRECT(ADDRESS(2,COLUMN())),OFFSET($BN$2,0,0,ROW()-1,60),ROW()-1,FALSE))</f>
        <v>44.21</v>
      </c>
      <c r="BF240">
        <f ca="1">IF(AND(ISNUMBER($BF$540),$B$294=1),$BF$540,HLOOKUP(INDIRECT(ADDRESS(2,COLUMN())),OFFSET($BN$2,0,0,ROW()-1,60),ROW()-1,FALSE))</f>
        <v>55.341999999999999</v>
      </c>
      <c r="BG240">
        <f ca="1">IF(AND(ISNUMBER($BG$540),$B$294=1),$BG$540,HLOOKUP(INDIRECT(ADDRESS(2,COLUMN())),OFFSET($BN$2,0,0,ROW()-1,60),ROW()-1,FALSE))</f>
        <v>24.481999999999999</v>
      </c>
      <c r="BH240">
        <f ca="1">IF(AND(ISNUMBER($BH$540),$B$294=1),$BH$540,HLOOKUP(INDIRECT(ADDRESS(2,COLUMN())),OFFSET($BN$2,0,0,ROW()-1,60),ROW()-1,FALSE))</f>
        <v>20.468</v>
      </c>
      <c r="BI240">
        <f ca="1">IF(AND(ISNUMBER($BI$540),$B$294=1),$BI$540,HLOOKUP(INDIRECT(ADDRESS(2,COLUMN())),OFFSET($BN$2,0,0,ROW()-1,60),ROW()-1,FALSE))</f>
        <v>11.672000000000001</v>
      </c>
      <c r="BJ240">
        <f ca="1">IF(AND(ISNUMBER($BJ$540),$B$294=1),$BJ$540,HLOOKUP(INDIRECT(ADDRESS(2,COLUMN())),OFFSET($BN$2,0,0,ROW()-1,60),ROW()-1,FALSE))</f>
        <v>17.001000000000001</v>
      </c>
      <c r="BK240" t="str">
        <f ca="1">IF(AND(ISNUMBER($BK$540),$B$294=1),$BK$540,HLOOKUP(INDIRECT(ADDRESS(2,COLUMN())),OFFSET($BN$2,0,0,ROW()-1,60),ROW()-1,FALSE))</f>
        <v/>
      </c>
      <c r="BL240">
        <f ca="1">IF(AND(ISNUMBER($BL$540),$B$294=1),$BL$540,HLOOKUP(INDIRECT(ADDRESS(2,COLUMN())),OFFSET($BN$2,0,0,ROW()-1,60),ROW()-1,FALSE))</f>
        <v>13.083</v>
      </c>
      <c r="BM240">
        <f ca="1">IF(AND(ISNUMBER($BM$540),$B$294=1),$BM$540,HLOOKUP(INDIRECT(ADDRESS(2,COLUMN())),OFFSET($BN$2,0,0,ROW()-1,60),ROW()-1,FALSE))</f>
        <v>13.025</v>
      </c>
      <c r="BN240" t="str">
        <f>""</f>
        <v/>
      </c>
      <c r="BO240">
        <f>3.272</f>
        <v>3.2719999999999998</v>
      </c>
      <c r="BP240">
        <f>4.864</f>
        <v>4.8639999999999999</v>
      </c>
      <c r="BQ240">
        <f>13.346</f>
        <v>13.346</v>
      </c>
      <c r="BR240">
        <f>4.918</f>
        <v>4.9180000000000001</v>
      </c>
      <c r="BS240">
        <f>49.49</f>
        <v>49.49</v>
      </c>
      <c r="BT240">
        <f>6.387</f>
        <v>6.3869999999999996</v>
      </c>
      <c r="BU240">
        <f>2.444</f>
        <v>2.444</v>
      </c>
      <c r="BV240">
        <f>3.345</f>
        <v>3.3450000000000002</v>
      </c>
      <c r="BW240">
        <f>5.036</f>
        <v>5.0359999999999996</v>
      </c>
      <c r="BX240">
        <f>5.184</f>
        <v>5.1840000000000002</v>
      </c>
      <c r="BY240">
        <f>4.939</f>
        <v>4.9390000000000001</v>
      </c>
      <c r="BZ240">
        <f>11.381</f>
        <v>11.381</v>
      </c>
      <c r="CA240">
        <f>8.832</f>
        <v>8.8320000000000007</v>
      </c>
      <c r="CB240">
        <f>11.6</f>
        <v>11.6</v>
      </c>
      <c r="CC240">
        <f>18.699</f>
        <v>18.699000000000002</v>
      </c>
      <c r="CD240">
        <f>13.344</f>
        <v>13.343999999999999</v>
      </c>
      <c r="CE240">
        <f>10.184</f>
        <v>10.183999999999999</v>
      </c>
      <c r="CF240">
        <f>31.689</f>
        <v>31.689</v>
      </c>
      <c r="CG240">
        <f>10.122</f>
        <v>10.122</v>
      </c>
      <c r="CH240">
        <f>12.17</f>
        <v>12.17</v>
      </c>
      <c r="CI240">
        <f>13.783</f>
        <v>13.782999999999999</v>
      </c>
      <c r="CJ240">
        <f>9.086</f>
        <v>9.0860000000000003</v>
      </c>
      <c r="CK240">
        <f>6.527</f>
        <v>6.5270000000000001</v>
      </c>
      <c r="CL240">
        <f>12.215</f>
        <v>12.215</v>
      </c>
      <c r="CM240">
        <f>11.188</f>
        <v>11.188000000000001</v>
      </c>
      <c r="CN240">
        <f>11.088</f>
        <v>11.087999999999999</v>
      </c>
      <c r="CO240">
        <f>9.239</f>
        <v>9.2390000000000008</v>
      </c>
      <c r="CP240">
        <f>30.81</f>
        <v>30.81</v>
      </c>
      <c r="CQ240">
        <f>14.206</f>
        <v>14.206</v>
      </c>
      <c r="CR240">
        <f>20.969</f>
        <v>20.969000000000001</v>
      </c>
      <c r="CS240">
        <f>35.843</f>
        <v>35.843000000000004</v>
      </c>
      <c r="CT240">
        <f>14.338</f>
        <v>14.337999999999999</v>
      </c>
      <c r="CU240">
        <f>23.699</f>
        <v>23.699000000000002</v>
      </c>
      <c r="CV240">
        <f>42.069</f>
        <v>42.069000000000003</v>
      </c>
      <c r="CW240">
        <f>13.372</f>
        <v>13.372</v>
      </c>
      <c r="CX240">
        <f>7.757</f>
        <v>7.7569999999999997</v>
      </c>
      <c r="CY240">
        <f>13.757</f>
        <v>13.757</v>
      </c>
      <c r="CZ240">
        <f>13.667</f>
        <v>13.667</v>
      </c>
      <c r="DA240">
        <f>4.033</f>
        <v>4.0330000000000004</v>
      </c>
      <c r="DB240">
        <f>6.595</f>
        <v>6.5949999999999998</v>
      </c>
      <c r="DC240">
        <f>3.14</f>
        <v>3.14</v>
      </c>
      <c r="DD240">
        <f>3.468</f>
        <v>3.468</v>
      </c>
      <c r="DE240">
        <f>16.839</f>
        <v>16.838999999999999</v>
      </c>
      <c r="DF240">
        <f>17.004</f>
        <v>17.004000000000001</v>
      </c>
      <c r="DG240">
        <f>16.69</f>
        <v>16.690000000000001</v>
      </c>
      <c r="DH240">
        <f>7.524</f>
        <v>7.524</v>
      </c>
      <c r="DI240">
        <f>4.928</f>
        <v>4.9279999999999999</v>
      </c>
      <c r="DJ240">
        <f>24.144</f>
        <v>24.143999999999998</v>
      </c>
      <c r="DK240">
        <f>1.212</f>
        <v>1.212</v>
      </c>
      <c r="DL240">
        <f>0.646</f>
        <v>0.64600000000000002</v>
      </c>
      <c r="DM240">
        <f>44.21</f>
        <v>44.21</v>
      </c>
      <c r="DN240">
        <f>55.342</f>
        <v>55.341999999999999</v>
      </c>
      <c r="DO240">
        <f>24.482</f>
        <v>24.481999999999999</v>
      </c>
      <c r="DP240">
        <f>20.468</f>
        <v>20.468</v>
      </c>
      <c r="DQ240">
        <f>11.672</f>
        <v>11.672000000000001</v>
      </c>
      <c r="DR240">
        <f>17.001</f>
        <v>17.001000000000001</v>
      </c>
      <c r="DS240" t="str">
        <f>""</f>
        <v/>
      </c>
      <c r="DT240">
        <f>13.083</f>
        <v>13.083</v>
      </c>
      <c r="DU240">
        <f>13.025</f>
        <v>13.025</v>
      </c>
    </row>
    <row r="241" spans="1:125">
      <c r="A241" t="str">
        <f>"    Kilroy Realty Corp"</f>
        <v xml:space="preserve">    Kilroy Realty Corp</v>
      </c>
      <c r="B241" t="str">
        <f>"KRC US Equity"</f>
        <v>KRC US Equity</v>
      </c>
      <c r="C241" t="str">
        <f t="shared" si="63"/>
        <v>RR253</v>
      </c>
      <c r="D241" t="str">
        <f t="shared" si="64"/>
        <v>CASH_AND_MARKETABLE_SECURITIES</v>
      </c>
      <c r="E241" t="str">
        <f t="shared" si="65"/>
        <v>动态</v>
      </c>
      <c r="F241" t="str">
        <f ca="1">IF(AND(ISNUMBER($F$541),$B$294=1),$F$541,HLOOKUP(INDIRECT(ADDRESS(2,COLUMN())),OFFSET($BN$2,0,0,ROW()-1,60),ROW()-1,FALSE))</f>
        <v/>
      </c>
      <c r="G241">
        <f ca="1">IF(AND(ISNUMBER($G$541),$B$294=1),$G$541,HLOOKUP(INDIRECT(ADDRESS(2,COLUMN())),OFFSET($BN$2,0,0,ROW()-1,60),ROW()-1,FALSE))</f>
        <v>57.649000000000001</v>
      </c>
      <c r="H241">
        <f ca="1">IF(AND(ISNUMBER($H$541),$B$294=1),$H$541,HLOOKUP(INDIRECT(ADDRESS(2,COLUMN())),OFFSET($BN$2,0,0,ROW()-1,60),ROW()-1,FALSE))</f>
        <v>64.953999999999994</v>
      </c>
      <c r="I241">
        <f ca="1">IF(AND(ISNUMBER($I$541),$B$294=1),$I$541,HLOOKUP(INDIRECT(ADDRESS(2,COLUMN())),OFFSET($BN$2,0,0,ROW()-1,60),ROW()-1,FALSE))</f>
        <v>387.61599999999999</v>
      </c>
      <c r="J241">
        <f ca="1">IF(AND(ISNUMBER($J$541),$B$294=1),$J$541,HLOOKUP(INDIRECT(ADDRESS(2,COLUMN())),OFFSET($BN$2,0,0,ROW()-1,60),ROW()-1,FALSE))</f>
        <v>478.39100000000002</v>
      </c>
      <c r="K241">
        <f ca="1">IF(AND(ISNUMBER($K$541),$B$294=1),$K$541,HLOOKUP(INDIRECT(ADDRESS(2,COLUMN())),OFFSET($BN$2,0,0,ROW()-1,60),ROW()-1,FALSE))</f>
        <v>193.41800000000001</v>
      </c>
      <c r="L241">
        <f ca="1">IF(AND(ISNUMBER($L$541),$B$294=1),$L$541,HLOOKUP(INDIRECT(ADDRESS(2,COLUMN())),OFFSET($BN$2,0,0,ROW()-1,60),ROW()-1,FALSE))</f>
        <v>250.523</v>
      </c>
      <c r="M241">
        <f ca="1">IF(AND(ISNUMBER($M$541),$B$294=1),$M$541,HLOOKUP(INDIRECT(ADDRESS(2,COLUMN())),OFFSET($BN$2,0,0,ROW()-1,60),ROW()-1,FALSE))</f>
        <v>26.332000000000001</v>
      </c>
      <c r="N241">
        <f ca="1">IF(AND(ISNUMBER($N$541),$B$294=1),$N$541,HLOOKUP(INDIRECT(ADDRESS(2,COLUMN())),OFFSET($BN$2,0,0,ROW()-1,60),ROW()-1,FALSE))</f>
        <v>38.645000000000003</v>
      </c>
      <c r="O241">
        <f ca="1">IF(AND(ISNUMBER($O$541),$B$294=1),$O$541,HLOOKUP(INDIRECT(ADDRESS(2,COLUMN())),OFFSET($BN$2,0,0,ROW()-1,60),ROW()-1,FALSE))</f>
        <v>56.508000000000003</v>
      </c>
      <c r="P241">
        <f ca="1">IF(AND(ISNUMBER($P$541),$B$294=1),$P$541,HLOOKUP(INDIRECT(ADDRESS(2,COLUMN())),OFFSET($BN$2,0,0,ROW()-1,60),ROW()-1,FALSE))</f>
        <v>567.94000000000005</v>
      </c>
      <c r="Q241">
        <f ca="1">IF(AND(ISNUMBER($Q$541),$B$294=1),$Q$541,HLOOKUP(INDIRECT(ADDRESS(2,COLUMN())),OFFSET($BN$2,0,0,ROW()-1,60),ROW()-1,FALSE))</f>
        <v>28.141999999999999</v>
      </c>
      <c r="R241">
        <f ca="1">IF(AND(ISNUMBER($R$541),$B$294=1),$R$541,HLOOKUP(INDIRECT(ADDRESS(2,COLUMN())),OFFSET($BN$2,0,0,ROW()-1,60),ROW()-1,FALSE))</f>
        <v>50.180999999999997</v>
      </c>
      <c r="S241">
        <f ca="1">IF(AND(ISNUMBER($S$541),$B$294=1),$S$541,HLOOKUP(INDIRECT(ADDRESS(2,COLUMN())),OFFSET($BN$2,0,0,ROW()-1,60),ROW()-1,FALSE))</f>
        <v>23.780999999999999</v>
      </c>
      <c r="T241">
        <f ca="1">IF(AND(ISNUMBER($T$541),$B$294=1),$T$541,HLOOKUP(INDIRECT(ADDRESS(2,COLUMN())),OFFSET($BN$2,0,0,ROW()-1,60),ROW()-1,FALSE))</f>
        <v>200.43100000000001</v>
      </c>
      <c r="U241">
        <f ca="1">IF(AND(ISNUMBER($U$541),$B$294=1),$U$541,HLOOKUP(INDIRECT(ADDRESS(2,COLUMN())),OFFSET($BN$2,0,0,ROW()-1,60),ROW()-1,FALSE))</f>
        <v>24.571000000000002</v>
      </c>
      <c r="V241">
        <f ca="1">IF(AND(ISNUMBER($V$541),$B$294=1),$V$541,HLOOKUP(INDIRECT(ADDRESS(2,COLUMN())),OFFSET($BN$2,0,0,ROW()-1,60),ROW()-1,FALSE))</f>
        <v>95.534000000000006</v>
      </c>
      <c r="W241">
        <f ca="1">IF(AND(ISNUMBER($W$541),$B$294=1),$W$541,HLOOKUP(INDIRECT(ADDRESS(2,COLUMN())),OFFSET($BN$2,0,0,ROW()-1,60),ROW()-1,FALSE))</f>
        <v>35.377000000000002</v>
      </c>
      <c r="X241">
        <f ca="1">IF(AND(ISNUMBER($X$541),$B$294=1),$X$541,HLOOKUP(INDIRECT(ADDRESS(2,COLUMN())),OFFSET($BN$2,0,0,ROW()-1,60),ROW()-1,FALSE))</f>
        <v>197.15</v>
      </c>
      <c r="Y241">
        <f ca="1">IF(AND(ISNUMBER($Y$541),$B$294=1),$Y$541,HLOOKUP(INDIRECT(ADDRESS(2,COLUMN())),OFFSET($BN$2,0,0,ROW()-1,60),ROW()-1,FALSE))</f>
        <v>107.82299999999999</v>
      </c>
      <c r="Z241">
        <f ca="1">IF(AND(ISNUMBER($Z$541),$B$294=1),$Z$541,HLOOKUP(INDIRECT(ADDRESS(2,COLUMN())),OFFSET($BN$2,0,0,ROW()-1,60),ROW()-1,FALSE))</f>
        <v>135.67599999999999</v>
      </c>
      <c r="AA241">
        <f ca="1">IF(AND(ISNUMBER($AA$541),$B$294=1),$AA$541,HLOOKUP(INDIRECT(ADDRESS(2,COLUMN())),OFFSET($BN$2,0,0,ROW()-1,60),ROW()-1,FALSE))</f>
        <v>16.7</v>
      </c>
      <c r="AB241">
        <f ca="1">IF(AND(ISNUMBER($AB$541),$B$294=1),$AB$541,HLOOKUP(INDIRECT(ADDRESS(2,COLUMN())),OFFSET($BN$2,0,0,ROW()-1,60),ROW()-1,FALSE))</f>
        <v>16.113</v>
      </c>
      <c r="AC241">
        <f ca="1">IF(AND(ISNUMBER($AC$541),$B$294=1),$AC$541,HLOOKUP(INDIRECT(ADDRESS(2,COLUMN())),OFFSET($BN$2,0,0,ROW()-1,60),ROW()-1,FALSE))</f>
        <v>18.111000000000001</v>
      </c>
      <c r="AD241">
        <f ca="1">IF(AND(ISNUMBER($AD$541),$B$294=1),$AD$541,HLOOKUP(INDIRECT(ADDRESS(2,COLUMN())),OFFSET($BN$2,0,0,ROW()-1,60),ROW()-1,FALSE))</f>
        <v>374.36799999999999</v>
      </c>
      <c r="AE241">
        <f ca="1">IF(AND(ISNUMBER($AE$541),$B$294=1),$AE$541,HLOOKUP(INDIRECT(ADDRESS(2,COLUMN())),OFFSET($BN$2,0,0,ROW()-1,60),ROW()-1,FALSE))</f>
        <v>4.7770000000000001</v>
      </c>
      <c r="AF241">
        <f ca="1">IF(AND(ISNUMBER($AF$541),$B$294=1),$AF$541,HLOOKUP(INDIRECT(ADDRESS(2,COLUMN())),OFFSET($BN$2,0,0,ROW()-1,60),ROW()-1,FALSE))</f>
        <v>15.481</v>
      </c>
      <c r="AG241">
        <f ca="1">IF(AND(ISNUMBER($AG$541),$B$294=1),$AG$541,HLOOKUP(INDIRECT(ADDRESS(2,COLUMN())),OFFSET($BN$2,0,0,ROW()-1,60),ROW()-1,FALSE))</f>
        <v>25.411999999999999</v>
      </c>
      <c r="AH241">
        <f ca="1">IF(AND(ISNUMBER($AH$541),$B$294=1),$AH$541,HLOOKUP(INDIRECT(ADDRESS(2,COLUMN())),OFFSET($BN$2,0,0,ROW()-1,60),ROW()-1,FALSE))</f>
        <v>6.7080000000000002</v>
      </c>
      <c r="AI241">
        <f ca="1">IF(AND(ISNUMBER($AI$541),$B$294=1),$AI$541,HLOOKUP(INDIRECT(ADDRESS(2,COLUMN())),OFFSET($BN$2,0,0,ROW()-1,60),ROW()-1,FALSE))</f>
        <v>14.84</v>
      </c>
      <c r="AJ241">
        <f ca="1">IF(AND(ISNUMBER($AJ$541),$B$294=1),$AJ$541,HLOOKUP(INDIRECT(ADDRESS(2,COLUMN())),OFFSET($BN$2,0,0,ROW()-1,60),ROW()-1,FALSE))</f>
        <v>8.3130000000000006</v>
      </c>
      <c r="AK241">
        <f ca="1">IF(AND(ISNUMBER($AK$541),$B$294=1),$AK$541,HLOOKUP(INDIRECT(ADDRESS(2,COLUMN())),OFFSET($BN$2,0,0,ROW()-1,60),ROW()-1,FALSE))</f>
        <v>29.428000000000001</v>
      </c>
      <c r="AL241">
        <f ca="1">IF(AND(ISNUMBER($AL$541),$B$294=1),$AL$541,HLOOKUP(INDIRECT(ADDRESS(2,COLUMN())),OFFSET($BN$2,0,0,ROW()-1,60),ROW()-1,FALSE))</f>
        <v>10.736000000000001</v>
      </c>
      <c r="AM241">
        <f ca="1">IF(AND(ISNUMBER($AM$541),$B$294=1),$AM$541,HLOOKUP(INDIRECT(ADDRESS(2,COLUMN())),OFFSET($BN$2,0,0,ROW()-1,60),ROW()-1,FALSE))</f>
        <v>9.8829999999999991</v>
      </c>
      <c r="AN241">
        <f ca="1">IF(AND(ISNUMBER($AN$541),$B$294=1),$AN$541,HLOOKUP(INDIRECT(ADDRESS(2,COLUMN())),OFFSET($BN$2,0,0,ROW()-1,60),ROW()-1,FALSE))</f>
        <v>9.2650000000000006</v>
      </c>
      <c r="AO241">
        <f ca="1">IF(AND(ISNUMBER($AO$541),$B$294=1),$AO$541,HLOOKUP(INDIRECT(ADDRESS(2,COLUMN())),OFFSET($BN$2,0,0,ROW()-1,60),ROW()-1,FALSE))</f>
        <v>13.348000000000001</v>
      </c>
      <c r="AP241">
        <f ca="1">IF(AND(ISNUMBER($AP$541),$B$294=1),$AP$541,HLOOKUP(INDIRECT(ADDRESS(2,COLUMN())),OFFSET($BN$2,0,0,ROW()-1,60),ROW()-1,FALSE))</f>
        <v>16.256</v>
      </c>
      <c r="AQ241">
        <f ca="1">IF(AND(ISNUMBER($AQ$541),$B$294=1),$AQ$541,HLOOKUP(INDIRECT(ADDRESS(2,COLUMN())),OFFSET($BN$2,0,0,ROW()-1,60),ROW()-1,FALSE))</f>
        <v>9.5530000000000008</v>
      </c>
      <c r="AR241">
        <f ca="1">IF(AND(ISNUMBER($AR$541),$B$294=1),$AR$541,HLOOKUP(INDIRECT(ADDRESS(2,COLUMN())),OFFSET($BN$2,0,0,ROW()-1,60),ROW()-1,FALSE))</f>
        <v>10.055</v>
      </c>
      <c r="AS241">
        <f ca="1">IF(AND(ISNUMBER($AS$541),$B$294=1),$AS$541,HLOOKUP(INDIRECT(ADDRESS(2,COLUMN())),OFFSET($BN$2,0,0,ROW()-1,60),ROW()-1,FALSE))</f>
        <v>4.367</v>
      </c>
      <c r="AT241">
        <f ca="1">IF(AND(ISNUMBER($AT$541),$B$294=1),$AT$541,HLOOKUP(INDIRECT(ADDRESS(2,COLUMN())),OFFSET($BN$2,0,0,ROW()-1,60),ROW()-1,FALSE))</f>
        <v>4.8810000000000002</v>
      </c>
      <c r="AU241">
        <f ca="1">IF(AND(ISNUMBER($AU$541),$B$294=1),$AU$541,HLOOKUP(INDIRECT(ADDRESS(2,COLUMN())),OFFSET($BN$2,0,0,ROW()-1,60),ROW()-1,FALSE))</f>
        <v>11.731999999999999</v>
      </c>
      <c r="AV241">
        <f ca="1">IF(AND(ISNUMBER($AV$541),$B$294=1),$AV$541,HLOOKUP(INDIRECT(ADDRESS(2,COLUMN())),OFFSET($BN$2,0,0,ROW()-1,60),ROW()-1,FALSE))</f>
        <v>3.6549999999999998</v>
      </c>
      <c r="AW241">
        <f ca="1">IF(AND(ISNUMBER($AW$541),$B$294=1),$AW$541,HLOOKUP(INDIRECT(ADDRESS(2,COLUMN())),OFFSET($BN$2,0,0,ROW()-1,60),ROW()-1,FALSE))</f>
        <v>11.134</v>
      </c>
      <c r="AX241">
        <f ca="1">IF(AND(ISNUMBER($AX$541),$B$294=1),$AX$541,HLOOKUP(INDIRECT(ADDRESS(2,COLUMN())),OFFSET($BN$2,0,0,ROW()-1,60),ROW()-1,FALSE))</f>
        <v>5.1669999999999998</v>
      </c>
      <c r="AY241">
        <f ca="1">IF(AND(ISNUMBER($AY$541),$B$294=1),$AY$541,HLOOKUP(INDIRECT(ADDRESS(2,COLUMN())),OFFSET($BN$2,0,0,ROW()-1,60),ROW()-1,FALSE))</f>
        <v>11.948</v>
      </c>
      <c r="AZ241">
        <f ca="1">IF(AND(ISNUMBER($AZ$541),$B$294=1),$AZ$541,HLOOKUP(INDIRECT(ADDRESS(2,COLUMN())),OFFSET($BN$2,0,0,ROW()-1,60),ROW()-1,FALSE))</f>
        <v>7.75</v>
      </c>
      <c r="BA241">
        <f ca="1">IF(AND(ISNUMBER($BA$541),$B$294=1),$BA$541,HLOOKUP(INDIRECT(ADDRESS(2,COLUMN())),OFFSET($BN$2,0,0,ROW()-1,60),ROW()-1,FALSE))</f>
        <v>8.5830000000000002</v>
      </c>
      <c r="BB241">
        <f ca="1">IF(AND(ISNUMBER($BB$541),$B$294=1),$BB$541,HLOOKUP(INDIRECT(ADDRESS(2,COLUMN())),OFFSET($BN$2,0,0,ROW()-1,60),ROW()-1,FALSE))</f>
        <v>11.395</v>
      </c>
      <c r="BC241">
        <f ca="1">IF(AND(ISNUMBER($BC$541),$B$294=1),$BC$541,HLOOKUP(INDIRECT(ADDRESS(2,COLUMN())),OFFSET($BN$2,0,0,ROW()-1,60),ROW()-1,FALSE))</f>
        <v>3.8809999999999998</v>
      </c>
      <c r="BD241">
        <f ca="1">IF(AND(ISNUMBER($BD$541),$B$294=1),$BD$541,HLOOKUP(INDIRECT(ADDRESS(2,COLUMN())),OFFSET($BN$2,0,0,ROW()-1,60),ROW()-1,FALSE))</f>
        <v>8.7050000000000001</v>
      </c>
      <c r="BE241">
        <f ca="1">IF(AND(ISNUMBER($BE$541),$B$294=1),$BE$541,HLOOKUP(INDIRECT(ADDRESS(2,COLUMN())),OFFSET($BN$2,0,0,ROW()-1,60),ROW()-1,FALSE))</f>
        <v>7.7060000000000004</v>
      </c>
      <c r="BF241">
        <f ca="1">IF(AND(ISNUMBER($BF$541),$B$294=1),$BF$541,HLOOKUP(INDIRECT(ADDRESS(2,COLUMN())),OFFSET($BN$2,0,0,ROW()-1,60),ROW()-1,FALSE))</f>
        <v>11.04</v>
      </c>
      <c r="BG241">
        <f ca="1">IF(AND(ISNUMBER($BG$541),$B$294=1),$BG$541,HLOOKUP(INDIRECT(ADDRESS(2,COLUMN())),OFFSET($BN$2,0,0,ROW()-1,60),ROW()-1,FALSE))</f>
        <v>4.8529999999999998</v>
      </c>
      <c r="BH241">
        <f ca="1">IF(AND(ISNUMBER($BH$541),$B$294=1),$BH$541,HLOOKUP(INDIRECT(ADDRESS(2,COLUMN())),OFFSET($BN$2,0,0,ROW()-1,60),ROW()-1,FALSE))</f>
        <v>3.6520000000000001</v>
      </c>
      <c r="BI241">
        <f ca="1">IF(AND(ISNUMBER($BI$541),$B$294=1),$BI$541,HLOOKUP(INDIRECT(ADDRESS(2,COLUMN())),OFFSET($BN$2,0,0,ROW()-1,60),ROW()-1,FALSE))</f>
        <v>7.444</v>
      </c>
      <c r="BJ241">
        <f ca="1">IF(AND(ISNUMBER($BJ$541),$B$294=1),$BJ$541,HLOOKUP(INDIRECT(ADDRESS(2,COLUMN())),OFFSET($BN$2,0,0,ROW()-1,60),ROW()-1,FALSE))</f>
        <v>6.73</v>
      </c>
      <c r="BK241">
        <f ca="1">IF(AND(ISNUMBER($BK$541),$B$294=1),$BK$541,HLOOKUP(INDIRECT(ADDRESS(2,COLUMN())),OFFSET($BN$2,0,0,ROW()-1,60),ROW()-1,FALSE))</f>
        <v>9.8920001979999999</v>
      </c>
      <c r="BL241">
        <f ca="1">IF(AND(ISNUMBER($BL$541),$B$294=1),$BL$541,HLOOKUP(INDIRECT(ADDRESS(2,COLUMN())),OFFSET($BN$2,0,0,ROW()-1,60),ROW()-1,FALSE))</f>
        <v>16.077999999999999</v>
      </c>
      <c r="BM241">
        <f ca="1">IF(AND(ISNUMBER($BM$541),$B$294=1),$BM$541,HLOOKUP(INDIRECT(ADDRESS(2,COLUMN())),OFFSET($BN$2,0,0,ROW()-1,60),ROW()-1,FALSE))</f>
        <v>6.8650000000000002</v>
      </c>
      <c r="BN241" t="str">
        <f>""</f>
        <v/>
      </c>
      <c r="BO241">
        <f>57.649</f>
        <v>57.649000000000001</v>
      </c>
      <c r="BP241">
        <f>64.954</f>
        <v>64.953999999999994</v>
      </c>
      <c r="BQ241">
        <f>387.616</f>
        <v>387.61599999999999</v>
      </c>
      <c r="BR241">
        <f>478.391</f>
        <v>478.39100000000002</v>
      </c>
      <c r="BS241">
        <f>193.418</f>
        <v>193.41800000000001</v>
      </c>
      <c r="BT241">
        <f>250.523</f>
        <v>250.523</v>
      </c>
      <c r="BU241">
        <f>26.332</f>
        <v>26.332000000000001</v>
      </c>
      <c r="BV241">
        <f>38.645</f>
        <v>38.645000000000003</v>
      </c>
      <c r="BW241">
        <f>56.508</f>
        <v>56.508000000000003</v>
      </c>
      <c r="BX241">
        <f>567.94</f>
        <v>567.94000000000005</v>
      </c>
      <c r="BY241">
        <f>28.142</f>
        <v>28.141999999999999</v>
      </c>
      <c r="BZ241">
        <f>50.181</f>
        <v>50.180999999999997</v>
      </c>
      <c r="CA241">
        <f>23.781</f>
        <v>23.780999999999999</v>
      </c>
      <c r="CB241">
        <f>200.431</f>
        <v>200.43100000000001</v>
      </c>
      <c r="CC241">
        <f>24.571</f>
        <v>24.571000000000002</v>
      </c>
      <c r="CD241">
        <f>95.534</f>
        <v>95.534000000000006</v>
      </c>
      <c r="CE241">
        <f>35.377</f>
        <v>35.377000000000002</v>
      </c>
      <c r="CF241">
        <f>197.15</f>
        <v>197.15</v>
      </c>
      <c r="CG241">
        <f>107.823</f>
        <v>107.82299999999999</v>
      </c>
      <c r="CH241">
        <f>135.676</f>
        <v>135.67599999999999</v>
      </c>
      <c r="CI241">
        <f>16.7</f>
        <v>16.7</v>
      </c>
      <c r="CJ241">
        <f>16.113</f>
        <v>16.113</v>
      </c>
      <c r="CK241">
        <f>18.111</f>
        <v>18.111000000000001</v>
      </c>
      <c r="CL241">
        <f>374.368</f>
        <v>374.36799999999999</v>
      </c>
      <c r="CM241">
        <f>4.777</f>
        <v>4.7770000000000001</v>
      </c>
      <c r="CN241">
        <f>15.481</f>
        <v>15.481</v>
      </c>
      <c r="CO241">
        <f>25.412</f>
        <v>25.411999999999999</v>
      </c>
      <c r="CP241">
        <f>6.708</f>
        <v>6.7080000000000002</v>
      </c>
      <c r="CQ241">
        <f>14.84</f>
        <v>14.84</v>
      </c>
      <c r="CR241">
        <f>8.313</f>
        <v>8.3130000000000006</v>
      </c>
      <c r="CS241">
        <f>29.428</f>
        <v>29.428000000000001</v>
      </c>
      <c r="CT241">
        <f>10.736</f>
        <v>10.736000000000001</v>
      </c>
      <c r="CU241">
        <f>9.883</f>
        <v>9.8829999999999991</v>
      </c>
      <c r="CV241">
        <f>9.265</f>
        <v>9.2650000000000006</v>
      </c>
      <c r="CW241">
        <f>13.348</f>
        <v>13.348000000000001</v>
      </c>
      <c r="CX241">
        <f>16.256</f>
        <v>16.256</v>
      </c>
      <c r="CY241">
        <f>9.553</f>
        <v>9.5530000000000008</v>
      </c>
      <c r="CZ241">
        <f>10.055</f>
        <v>10.055</v>
      </c>
      <c r="DA241">
        <f>4.367</f>
        <v>4.367</v>
      </c>
      <c r="DB241">
        <f>4.881</f>
        <v>4.8810000000000002</v>
      </c>
      <c r="DC241">
        <f>11.732</f>
        <v>11.731999999999999</v>
      </c>
      <c r="DD241">
        <f>3.655</f>
        <v>3.6549999999999998</v>
      </c>
      <c r="DE241">
        <f>11.134</f>
        <v>11.134</v>
      </c>
      <c r="DF241">
        <f>5.167</f>
        <v>5.1669999999999998</v>
      </c>
      <c r="DG241">
        <f>11.948</f>
        <v>11.948</v>
      </c>
      <c r="DH241">
        <f>7.75</f>
        <v>7.75</v>
      </c>
      <c r="DI241">
        <f>8.583</f>
        <v>8.5830000000000002</v>
      </c>
      <c r="DJ241">
        <f>11.395</f>
        <v>11.395</v>
      </c>
      <c r="DK241">
        <f>3.881</f>
        <v>3.8809999999999998</v>
      </c>
      <c r="DL241">
        <f>8.705</f>
        <v>8.7050000000000001</v>
      </c>
      <c r="DM241">
        <f>7.706</f>
        <v>7.7060000000000004</v>
      </c>
      <c r="DN241">
        <f>11.04</f>
        <v>11.04</v>
      </c>
      <c r="DO241">
        <f>4.853</f>
        <v>4.8529999999999998</v>
      </c>
      <c r="DP241">
        <f>3.652</f>
        <v>3.6520000000000001</v>
      </c>
      <c r="DQ241">
        <f>7.444</f>
        <v>7.444</v>
      </c>
      <c r="DR241">
        <f>6.73</f>
        <v>6.73</v>
      </c>
      <c r="DS241">
        <f>9.892000198</f>
        <v>9.8920001979999999</v>
      </c>
      <c r="DT241">
        <f>16.078</f>
        <v>16.077999999999999</v>
      </c>
      <c r="DU241">
        <f>6.865</f>
        <v>6.8650000000000002</v>
      </c>
    </row>
    <row r="242" spans="1:125">
      <c r="A242" t="str">
        <f>"    Mack-Cali Realty Corp"</f>
        <v xml:space="preserve">    Mack-Cali Realty Corp</v>
      </c>
      <c r="B242" t="str">
        <f>"CLI US Equity"</f>
        <v>CLI US Equity</v>
      </c>
      <c r="C242" t="str">
        <f t="shared" si="63"/>
        <v>RR253</v>
      </c>
      <c r="D242" t="str">
        <f t="shared" si="64"/>
        <v>CASH_AND_MARKETABLE_SECURITIES</v>
      </c>
      <c r="E242" t="str">
        <f t="shared" si="65"/>
        <v>动态</v>
      </c>
      <c r="F242" t="str">
        <f ca="1">IF(AND(ISNUMBER($F$542),$B$294=1),$F$542,HLOOKUP(INDIRECT(ADDRESS(2,COLUMN())),OFFSET($BN$2,0,0,ROW()-1,60),ROW()-1,FALSE))</f>
        <v/>
      </c>
      <c r="G242">
        <f ca="1">IF(AND(ISNUMBER($G$542),$B$294=1),$G$542,HLOOKUP(INDIRECT(ADDRESS(2,COLUMN())),OFFSET($BN$2,0,0,ROW()-1,60),ROW()-1,FALSE))</f>
        <v>28.18</v>
      </c>
      <c r="H242">
        <f ca="1">IF(AND(ISNUMBER($H$542),$B$294=1),$H$542,HLOOKUP(INDIRECT(ADDRESS(2,COLUMN())),OFFSET($BN$2,0,0,ROW()-1,60),ROW()-1,FALSE))</f>
        <v>88.789000000000001</v>
      </c>
      <c r="I242">
        <f ca="1">IF(AND(ISNUMBER($I$542),$B$294=1),$I$542,HLOOKUP(INDIRECT(ADDRESS(2,COLUMN())),OFFSET($BN$2,0,0,ROW()-1,60),ROW()-1,FALSE))</f>
        <v>21.719000000000001</v>
      </c>
      <c r="J242">
        <f ca="1">IF(AND(ISNUMBER($J$542),$B$294=1),$J$542,HLOOKUP(INDIRECT(ADDRESS(2,COLUMN())),OFFSET($BN$2,0,0,ROW()-1,60),ROW()-1,FALSE))</f>
        <v>168.316</v>
      </c>
      <c r="K242">
        <f ca="1">IF(AND(ISNUMBER($K$542),$B$294=1),$K$542,HLOOKUP(INDIRECT(ADDRESS(2,COLUMN())),OFFSET($BN$2,0,0,ROW()-1,60),ROW()-1,FALSE))</f>
        <v>31.611000000000001</v>
      </c>
      <c r="L242">
        <f ca="1">IF(AND(ISNUMBER($L$542),$B$294=1),$L$542,HLOOKUP(INDIRECT(ADDRESS(2,COLUMN())),OFFSET($BN$2,0,0,ROW()-1,60),ROW()-1,FALSE))</f>
        <v>21.555</v>
      </c>
      <c r="M242">
        <f ca="1">IF(AND(ISNUMBER($M$542),$B$294=1),$M$542,HLOOKUP(INDIRECT(ADDRESS(2,COLUMN())),OFFSET($BN$2,0,0,ROW()-1,60),ROW()-1,FALSE))</f>
        <v>29.457000000000001</v>
      </c>
      <c r="N242">
        <f ca="1">IF(AND(ISNUMBER($N$542),$B$294=1),$N$542,HLOOKUP(INDIRECT(ADDRESS(2,COLUMN())),OFFSET($BN$2,0,0,ROW()-1,60),ROW()-1,FALSE))</f>
        <v>116.42100000000001</v>
      </c>
      <c r="O242">
        <f ca="1">IF(AND(ISNUMBER($O$542),$B$294=1),$O$542,HLOOKUP(INDIRECT(ADDRESS(2,COLUMN())),OFFSET($BN$2,0,0,ROW()-1,60),ROW()-1,FALSE))</f>
        <v>37.076999999999998</v>
      </c>
      <c r="P242">
        <f ca="1">IF(AND(ISNUMBER($P$542),$B$294=1),$P$542,HLOOKUP(INDIRECT(ADDRESS(2,COLUMN())),OFFSET($BN$2,0,0,ROW()-1,60),ROW()-1,FALSE))</f>
        <v>30.866</v>
      </c>
      <c r="Q242">
        <f ca="1">IF(AND(ISNUMBER($Q$542),$B$294=1),$Q$542,HLOOKUP(INDIRECT(ADDRESS(2,COLUMN())),OFFSET($BN$2,0,0,ROW()-1,60),ROW()-1,FALSE))</f>
        <v>19.812999999999999</v>
      </c>
      <c r="R242">
        <f ca="1">IF(AND(ISNUMBER($R$542),$B$294=1),$R$542,HLOOKUP(INDIRECT(ADDRESS(2,COLUMN())),OFFSET($BN$2,0,0,ROW()-1,60),ROW()-1,FALSE))</f>
        <v>19.315000000000001</v>
      </c>
      <c r="S242">
        <f ca="1">IF(AND(ISNUMBER($S$542),$B$294=1),$S$542,HLOOKUP(INDIRECT(ADDRESS(2,COLUMN())),OFFSET($BN$2,0,0,ROW()-1,60),ROW()-1,FALSE))</f>
        <v>29.548999999999999</v>
      </c>
      <c r="T242">
        <f ca="1">IF(AND(ISNUMBER($T$542),$B$294=1),$T$542,HLOOKUP(INDIRECT(ADDRESS(2,COLUMN())),OFFSET($BN$2,0,0,ROW()-1,60),ROW()-1,FALSE))</f>
        <v>105.52800000000001</v>
      </c>
      <c r="U242">
        <f ca="1">IF(AND(ISNUMBER($U$542),$B$294=1),$U$542,HLOOKUP(INDIRECT(ADDRESS(2,COLUMN())),OFFSET($BN$2,0,0,ROW()-1,60),ROW()-1,FALSE))</f>
        <v>80.942999999999998</v>
      </c>
      <c r="V242">
        <f ca="1">IF(AND(ISNUMBER($V$542),$B$294=1),$V$542,HLOOKUP(INDIRECT(ADDRESS(2,COLUMN())),OFFSET($BN$2,0,0,ROW()-1,60),ROW()-1,FALSE))</f>
        <v>58.734000000000002</v>
      </c>
      <c r="W242">
        <f ca="1">IF(AND(ISNUMBER($W$542),$B$294=1),$W$542,HLOOKUP(INDIRECT(ADDRESS(2,COLUMN())),OFFSET($BN$2,0,0,ROW()-1,60),ROW()-1,FALSE))</f>
        <v>221.70599999999999</v>
      </c>
      <c r="X242">
        <f ca="1">IF(AND(ISNUMBER($X$542),$B$294=1),$X$542,HLOOKUP(INDIRECT(ADDRESS(2,COLUMN())),OFFSET($BN$2,0,0,ROW()-1,60),ROW()-1,FALSE))</f>
        <v>308.04300000000001</v>
      </c>
      <c r="Y242">
        <f ca="1">IF(AND(ISNUMBER($Y$542),$B$294=1),$Y$542,HLOOKUP(INDIRECT(ADDRESS(2,COLUMN())),OFFSET($BN$2,0,0,ROW()-1,60),ROW()-1,FALSE))</f>
        <v>177.93899999999999</v>
      </c>
      <c r="Z242">
        <f ca="1">IF(AND(ISNUMBER($Z$542),$B$294=1),$Z$542,HLOOKUP(INDIRECT(ADDRESS(2,COLUMN())),OFFSET($BN$2,0,0,ROW()-1,60),ROW()-1,FALSE))</f>
        <v>24.184000000000001</v>
      </c>
      <c r="AA242">
        <f ca="1">IF(AND(ISNUMBER($AA$542),$B$294=1),$AA$542,HLOOKUP(INDIRECT(ADDRESS(2,COLUMN())),OFFSET($BN$2,0,0,ROW()-1,60),ROW()-1,FALSE))</f>
        <v>58.244999999999997</v>
      </c>
      <c r="AB242">
        <f ca="1">IF(AND(ISNUMBER($AB$542),$B$294=1),$AB$542,HLOOKUP(INDIRECT(ADDRESS(2,COLUMN())),OFFSET($BN$2,0,0,ROW()-1,60),ROW()-1,FALSE))</f>
        <v>21.542999999999999</v>
      </c>
      <c r="AC242">
        <f ca="1">IF(AND(ISNUMBER($AC$542),$B$294=1),$AC$542,HLOOKUP(INDIRECT(ADDRESS(2,COLUMN())),OFFSET($BN$2,0,0,ROW()-1,60),ROW()-1,FALSE))</f>
        <v>19.303000000000001</v>
      </c>
      <c r="AD242">
        <f ca="1">IF(AND(ISNUMBER($AD$542),$B$294=1),$AD$542,HLOOKUP(INDIRECT(ADDRESS(2,COLUMN())),OFFSET($BN$2,0,0,ROW()-1,60),ROW()-1,FALSE))</f>
        <v>20.524000000000001</v>
      </c>
      <c r="AE242">
        <f ca="1">IF(AND(ISNUMBER($AE$542),$B$294=1),$AE$542,HLOOKUP(INDIRECT(ADDRESS(2,COLUMN())),OFFSET($BN$2,0,0,ROW()-1,60),ROW()-1,FALSE))</f>
        <v>20.495999999999999</v>
      </c>
      <c r="AF242">
        <f ca="1">IF(AND(ISNUMBER($AF$542),$B$294=1),$AF$542,HLOOKUP(INDIRECT(ADDRESS(2,COLUMN())),OFFSET($BN$2,0,0,ROW()-1,60),ROW()-1,FALSE))</f>
        <v>15.853999999999999</v>
      </c>
      <c r="AG242">
        <f ca="1">IF(AND(ISNUMBER($AG$542),$B$294=1),$AG$542,HLOOKUP(INDIRECT(ADDRESS(2,COLUMN())),OFFSET($BN$2,0,0,ROW()-1,60),ROW()-1,FALSE))</f>
        <v>18.094000000000001</v>
      </c>
      <c r="AH242">
        <f ca="1">IF(AND(ISNUMBER($AH$542),$B$294=1),$AH$542,HLOOKUP(INDIRECT(ADDRESS(2,COLUMN())),OFFSET($BN$2,0,0,ROW()-1,60),ROW()-1,FALSE))</f>
        <v>10.728</v>
      </c>
      <c r="AI242">
        <f ca="1">IF(AND(ISNUMBER($AI$542),$B$294=1),$AI$542,HLOOKUP(INDIRECT(ADDRESS(2,COLUMN())),OFFSET($BN$2,0,0,ROW()-1,60),ROW()-1,FALSE))</f>
        <v>21.850999999999999</v>
      </c>
      <c r="AJ242">
        <f ca="1">IF(AND(ISNUMBER($AJ$542),$B$294=1),$AJ$542,HLOOKUP(INDIRECT(ADDRESS(2,COLUMN())),OFFSET($BN$2,0,0,ROW()-1,60),ROW()-1,FALSE))</f>
        <v>105.812</v>
      </c>
      <c r="AK242">
        <f ca="1">IF(AND(ISNUMBER($AK$542),$B$294=1),$AK$542,HLOOKUP(INDIRECT(ADDRESS(2,COLUMN())),OFFSET($BN$2,0,0,ROW()-1,60),ROW()-1,FALSE))</f>
        <v>140.99</v>
      </c>
      <c r="AL242">
        <f ca="1">IF(AND(ISNUMBER($AL$542),$B$294=1),$AL$542,HLOOKUP(INDIRECT(ADDRESS(2,COLUMN())),OFFSET($BN$2,0,0,ROW()-1,60),ROW()-1,FALSE))</f>
        <v>274.06599999999997</v>
      </c>
      <c r="AM242">
        <f ca="1">IF(AND(ISNUMBER($AM$542),$B$294=1),$AM$542,HLOOKUP(INDIRECT(ADDRESS(2,COLUMN())),OFFSET($BN$2,0,0,ROW()-1,60),ROW()-1,FALSE))</f>
        <v>291.05900000000003</v>
      </c>
      <c r="AN242">
        <f ca="1">IF(AND(ISNUMBER($AN$542),$B$294=1),$AN$542,HLOOKUP(INDIRECT(ADDRESS(2,COLUMN())),OFFSET($BN$2,0,0,ROW()-1,60),ROW()-1,FALSE))</f>
        <v>279.15600000000001</v>
      </c>
      <c r="AO242">
        <f ca="1">IF(AND(ISNUMBER($AO$542),$B$294=1),$AO$542,HLOOKUP(INDIRECT(ADDRESS(2,COLUMN())),OFFSET($BN$2,0,0,ROW()-1,60),ROW()-1,FALSE))</f>
        <v>33.203000000000003</v>
      </c>
      <c r="AP242">
        <f ca="1">IF(AND(ISNUMBER($AP$542),$B$294=1),$AP$542,HLOOKUP(INDIRECT(ADDRESS(2,COLUMN())),OFFSET($BN$2,0,0,ROW()-1,60),ROW()-1,FALSE))</f>
        <v>31.898</v>
      </c>
      <c r="AQ242">
        <f ca="1">IF(AND(ISNUMBER($AQ$542),$B$294=1),$AQ$542,HLOOKUP(INDIRECT(ADDRESS(2,COLUMN())),OFFSET($BN$2,0,0,ROW()-1,60),ROW()-1,FALSE))</f>
        <v>21.620999999999999</v>
      </c>
      <c r="AR242">
        <f ca="1">IF(AND(ISNUMBER($AR$542),$B$294=1),$AR$542,HLOOKUP(INDIRECT(ADDRESS(2,COLUMN())),OFFSET($BN$2,0,0,ROW()-1,60),ROW()-1,FALSE))</f>
        <v>7.68</v>
      </c>
      <c r="AS242">
        <f ca="1">IF(AND(ISNUMBER($AS$542),$B$294=1),$AS$542,HLOOKUP(INDIRECT(ADDRESS(2,COLUMN())),OFFSET($BN$2,0,0,ROW()-1,60),ROW()-1,FALSE))</f>
        <v>33.777000000000001</v>
      </c>
      <c r="AT242">
        <f ca="1">IF(AND(ISNUMBER($AT$542),$B$294=1),$AT$542,HLOOKUP(INDIRECT(ADDRESS(2,COLUMN())),OFFSET($BN$2,0,0,ROW()-1,60),ROW()-1,FALSE))</f>
        <v>30.591000000000001</v>
      </c>
      <c r="AU242">
        <f ca="1">IF(AND(ISNUMBER($AU$542),$B$294=1),$AU$542,HLOOKUP(INDIRECT(ADDRESS(2,COLUMN())),OFFSET($BN$2,0,0,ROW()-1,60),ROW()-1,FALSE))</f>
        <v>24.716000000000001</v>
      </c>
      <c r="AV242">
        <f ca="1">IF(AND(ISNUMBER($AV$542),$B$294=1),$AV$542,HLOOKUP(INDIRECT(ADDRESS(2,COLUMN())),OFFSET($BN$2,0,0,ROW()-1,60),ROW()-1,FALSE))</f>
        <v>29.981000000000002</v>
      </c>
      <c r="AW242">
        <f ca="1">IF(AND(ISNUMBER($AW$542),$B$294=1),$AW$542,HLOOKUP(INDIRECT(ADDRESS(2,COLUMN())),OFFSET($BN$2,0,0,ROW()-1,60),ROW()-1,FALSE))</f>
        <v>18.902999999999999</v>
      </c>
      <c r="AX242">
        <f ca="1">IF(AND(ISNUMBER($AX$542),$B$294=1),$AX$542,HLOOKUP(INDIRECT(ADDRESS(2,COLUMN())),OFFSET($BN$2,0,0,ROW()-1,60),ROW()-1,FALSE))</f>
        <v>150.17099999999999</v>
      </c>
      <c r="AY242">
        <f ca="1">IF(AND(ISNUMBER($AY$542),$B$294=1),$AY$542,HLOOKUP(INDIRECT(ADDRESS(2,COLUMN())),OFFSET($BN$2,0,0,ROW()-1,60),ROW()-1,FALSE))</f>
        <v>101.223</v>
      </c>
      <c r="AZ242">
        <f ca="1">IF(AND(ISNUMBER($AZ$542),$B$294=1),$AZ$542,HLOOKUP(INDIRECT(ADDRESS(2,COLUMN())),OFFSET($BN$2,0,0,ROW()-1,60),ROW()-1,FALSE))</f>
        <v>20.78</v>
      </c>
      <c r="BA242">
        <f ca="1">IF(AND(ISNUMBER($BA$542),$B$294=1),$BA$542,HLOOKUP(INDIRECT(ADDRESS(2,COLUMN())),OFFSET($BN$2,0,0,ROW()-1,60),ROW()-1,FALSE))</f>
        <v>20.417000000000002</v>
      </c>
      <c r="BB242">
        <f ca="1">IF(AND(ISNUMBER($BB$542),$B$294=1),$BB$542,HLOOKUP(INDIRECT(ADDRESS(2,COLUMN())),OFFSET($BN$2,0,0,ROW()-1,60),ROW()-1,FALSE))</f>
        <v>11.605</v>
      </c>
      <c r="BC242">
        <f ca="1">IF(AND(ISNUMBER($BC$542),$B$294=1),$BC$542,HLOOKUP(INDIRECT(ADDRESS(2,COLUMN())),OFFSET($BN$2,0,0,ROW()-1,60),ROW()-1,FALSE))</f>
        <v>60.396999999999998</v>
      </c>
      <c r="BD242">
        <f ca="1">IF(AND(ISNUMBER($BD$542),$B$294=1),$BD$542,HLOOKUP(INDIRECT(ADDRESS(2,COLUMN())),OFFSET($BN$2,0,0,ROW()-1,60),ROW()-1,FALSE))</f>
        <v>9.5709999999999997</v>
      </c>
      <c r="BE242">
        <f ca="1">IF(AND(ISNUMBER($BE$542),$B$294=1),$BE$542,HLOOKUP(INDIRECT(ADDRESS(2,COLUMN())),OFFSET($BN$2,0,0,ROW()-1,60),ROW()-1,FALSE))</f>
        <v>15.71</v>
      </c>
      <c r="BF242">
        <f ca="1">IF(AND(ISNUMBER($BF$542),$B$294=1),$BF$542,HLOOKUP(INDIRECT(ADDRESS(2,COLUMN())),OFFSET($BN$2,0,0,ROW()-1,60),ROW()-1,FALSE))</f>
        <v>13.087</v>
      </c>
      <c r="BG242">
        <f ca="1">IF(AND(ISNUMBER($BG$542),$B$294=1),$BG$542,HLOOKUP(INDIRECT(ADDRESS(2,COLUMN())),OFFSET($BN$2,0,0,ROW()-1,60),ROW()-1,FALSE))</f>
        <v>12.27</v>
      </c>
      <c r="BH242">
        <f ca="1">IF(AND(ISNUMBER($BH$542),$B$294=1),$BH$542,HLOOKUP(INDIRECT(ADDRESS(2,COLUMN())),OFFSET($BN$2,0,0,ROW()-1,60),ROW()-1,FALSE))</f>
        <v>11.561999999999999</v>
      </c>
      <c r="BI242">
        <f ca="1">IF(AND(ISNUMBER($BI$542),$B$294=1),$BI$542,HLOOKUP(INDIRECT(ADDRESS(2,COLUMN())),OFFSET($BN$2,0,0,ROW()-1,60),ROW()-1,FALSE))</f>
        <v>7.9329999999999998</v>
      </c>
      <c r="BJ242">
        <f ca="1">IF(AND(ISNUMBER($BJ$542),$B$294=1),$BJ$542,HLOOKUP(INDIRECT(ADDRESS(2,COLUMN())),OFFSET($BN$2,0,0,ROW()-1,60),ROW()-1,FALSE))</f>
        <v>10.975</v>
      </c>
      <c r="BK242">
        <f ca="1">IF(AND(ISNUMBER($BK$542),$B$294=1),$BK$542,HLOOKUP(INDIRECT(ADDRESS(2,COLUMN())),OFFSET($BN$2,0,0,ROW()-1,60),ROW()-1,FALSE))</f>
        <v>78.375</v>
      </c>
      <c r="BL242">
        <f ca="1">IF(AND(ISNUMBER($BL$542),$B$294=1),$BL$542,HLOOKUP(INDIRECT(ADDRESS(2,COLUMN())),OFFSET($BN$2,0,0,ROW()-1,60),ROW()-1,FALSE))</f>
        <v>35.293998999999999</v>
      </c>
      <c r="BM242">
        <f ca="1">IF(AND(ISNUMBER($BM$542),$B$294=1),$BM$542,HLOOKUP(INDIRECT(ADDRESS(2,COLUMN())),OFFSET($BN$2,0,0,ROW()-1,60),ROW()-1,FALSE))</f>
        <v>8.5850000000000009</v>
      </c>
      <c r="BN242" t="str">
        <f>""</f>
        <v/>
      </c>
      <c r="BO242">
        <f>28.18</f>
        <v>28.18</v>
      </c>
      <c r="BP242">
        <f>88.789</f>
        <v>88.789000000000001</v>
      </c>
      <c r="BQ242">
        <f>21.719</f>
        <v>21.719000000000001</v>
      </c>
      <c r="BR242">
        <f>168.316</f>
        <v>168.316</v>
      </c>
      <c r="BS242">
        <f>31.611</f>
        <v>31.611000000000001</v>
      </c>
      <c r="BT242">
        <f>21.555</f>
        <v>21.555</v>
      </c>
      <c r="BU242">
        <f>29.457</f>
        <v>29.457000000000001</v>
      </c>
      <c r="BV242">
        <f>116.421</f>
        <v>116.42100000000001</v>
      </c>
      <c r="BW242">
        <f>37.077</f>
        <v>37.076999999999998</v>
      </c>
      <c r="BX242">
        <f>30.866</f>
        <v>30.866</v>
      </c>
      <c r="BY242">
        <f>19.813</f>
        <v>19.812999999999999</v>
      </c>
      <c r="BZ242">
        <f>19.315</f>
        <v>19.315000000000001</v>
      </c>
      <c r="CA242">
        <f>29.549</f>
        <v>29.548999999999999</v>
      </c>
      <c r="CB242">
        <f>105.528</f>
        <v>105.52800000000001</v>
      </c>
      <c r="CC242">
        <f>80.943</f>
        <v>80.942999999999998</v>
      </c>
      <c r="CD242">
        <f>58.734</f>
        <v>58.734000000000002</v>
      </c>
      <c r="CE242">
        <f>221.706</f>
        <v>221.70599999999999</v>
      </c>
      <c r="CF242">
        <f>308.043</f>
        <v>308.04300000000001</v>
      </c>
      <c r="CG242">
        <f>177.939</f>
        <v>177.93899999999999</v>
      </c>
      <c r="CH242">
        <f>24.184</f>
        <v>24.184000000000001</v>
      </c>
      <c r="CI242">
        <f>58.245</f>
        <v>58.244999999999997</v>
      </c>
      <c r="CJ242">
        <f>21.543</f>
        <v>21.542999999999999</v>
      </c>
      <c r="CK242">
        <f>19.303</f>
        <v>19.303000000000001</v>
      </c>
      <c r="CL242">
        <f>20.524</f>
        <v>20.524000000000001</v>
      </c>
      <c r="CM242">
        <f>20.496</f>
        <v>20.495999999999999</v>
      </c>
      <c r="CN242">
        <f>15.854</f>
        <v>15.853999999999999</v>
      </c>
      <c r="CO242">
        <f>18.094</f>
        <v>18.094000000000001</v>
      </c>
      <c r="CP242">
        <f>10.728</f>
        <v>10.728</v>
      </c>
      <c r="CQ242">
        <f>21.851</f>
        <v>21.850999999999999</v>
      </c>
      <c r="CR242">
        <f>105.812</f>
        <v>105.812</v>
      </c>
      <c r="CS242">
        <f>140.99</f>
        <v>140.99</v>
      </c>
      <c r="CT242">
        <f>274.066</f>
        <v>274.06599999999997</v>
      </c>
      <c r="CU242">
        <f>291.059</f>
        <v>291.05900000000003</v>
      </c>
      <c r="CV242">
        <f>279.156</f>
        <v>279.15600000000001</v>
      </c>
      <c r="CW242">
        <f>33.203</f>
        <v>33.203000000000003</v>
      </c>
      <c r="CX242">
        <f>31.898</f>
        <v>31.898</v>
      </c>
      <c r="CY242">
        <f>21.621</f>
        <v>21.620999999999999</v>
      </c>
      <c r="CZ242">
        <f>7.68</f>
        <v>7.68</v>
      </c>
      <c r="DA242">
        <f>33.777</f>
        <v>33.777000000000001</v>
      </c>
      <c r="DB242">
        <f>30.591</f>
        <v>30.591000000000001</v>
      </c>
      <c r="DC242">
        <f>24.716</f>
        <v>24.716000000000001</v>
      </c>
      <c r="DD242">
        <f>29.981</f>
        <v>29.981000000000002</v>
      </c>
      <c r="DE242">
        <f>18.903</f>
        <v>18.902999999999999</v>
      </c>
      <c r="DF242">
        <f>150.171</f>
        <v>150.17099999999999</v>
      </c>
      <c r="DG242">
        <f>101.223</f>
        <v>101.223</v>
      </c>
      <c r="DH242">
        <f>20.78</f>
        <v>20.78</v>
      </c>
      <c r="DI242">
        <f>20.417</f>
        <v>20.417000000000002</v>
      </c>
      <c r="DJ242">
        <f>11.605</f>
        <v>11.605</v>
      </c>
      <c r="DK242">
        <f>60.397</f>
        <v>60.396999999999998</v>
      </c>
      <c r="DL242">
        <f>9.571</f>
        <v>9.5709999999999997</v>
      </c>
      <c r="DM242">
        <f>15.71</f>
        <v>15.71</v>
      </c>
      <c r="DN242">
        <f>13.087</f>
        <v>13.087</v>
      </c>
      <c r="DO242">
        <f>12.27</f>
        <v>12.27</v>
      </c>
      <c r="DP242">
        <f>11.562</f>
        <v>11.561999999999999</v>
      </c>
      <c r="DQ242">
        <f>7.933</f>
        <v>7.9329999999999998</v>
      </c>
      <c r="DR242">
        <f>10.975</f>
        <v>10.975</v>
      </c>
      <c r="DS242">
        <f>78.375</f>
        <v>78.375</v>
      </c>
      <c r="DT242">
        <f>35.293999</f>
        <v>35.293998999999999</v>
      </c>
      <c r="DU242">
        <f>8.585</f>
        <v>8.5850000000000009</v>
      </c>
    </row>
    <row r="243" spans="1:125">
      <c r="A243" t="str">
        <f>"    Piedmont Office Realty Trust I"</f>
        <v xml:space="preserve">    Piedmont Office Realty Trust I</v>
      </c>
      <c r="B243" t="str">
        <f>"PDM US Equity"</f>
        <v>PDM US Equity</v>
      </c>
      <c r="C243" t="str">
        <f t="shared" si="63"/>
        <v>RR253</v>
      </c>
      <c r="D243" t="str">
        <f t="shared" si="64"/>
        <v>CASH_AND_MARKETABLE_SECURITIES</v>
      </c>
      <c r="E243" t="str">
        <f t="shared" si="65"/>
        <v>动态</v>
      </c>
      <c r="F243" t="str">
        <f ca="1">IF(AND(ISNUMBER($F$543),$B$294=1),$F$543,HLOOKUP(INDIRECT(ADDRESS(2,COLUMN())),OFFSET($BN$2,0,0,ROW()-1,60),ROW()-1,FALSE))</f>
        <v/>
      </c>
      <c r="G243">
        <f ca="1">IF(AND(ISNUMBER($G$543),$B$294=1),$G$543,HLOOKUP(INDIRECT(ADDRESS(2,COLUMN())),OFFSET($BN$2,0,0,ROW()-1,60),ROW()-1,FALSE))</f>
        <v>7.3819999999999997</v>
      </c>
      <c r="H243">
        <f ca="1">IF(AND(ISNUMBER($H$543),$B$294=1),$H$543,HLOOKUP(INDIRECT(ADDRESS(2,COLUMN())),OFFSET($BN$2,0,0,ROW()-1,60),ROW()-1,FALSE))</f>
        <v>36.107999999999997</v>
      </c>
      <c r="I243">
        <f ca="1">IF(AND(ISNUMBER($I$543),$B$294=1),$I$543,HLOOKUP(INDIRECT(ADDRESS(2,COLUMN())),OFFSET($BN$2,0,0,ROW()-1,60),ROW()-1,FALSE))</f>
        <v>9.5960000000000001</v>
      </c>
      <c r="J243">
        <f ca="1">IF(AND(ISNUMBER($J$543),$B$294=1),$J$543,HLOOKUP(INDIRECT(ADDRESS(2,COLUMN())),OFFSET($BN$2,0,0,ROW()-1,60),ROW()-1,FALSE))</f>
        <v>6.8079999999999998</v>
      </c>
      <c r="K243">
        <f ca="1">IF(AND(ISNUMBER($K$543),$B$294=1),$K$543,HLOOKUP(INDIRECT(ADDRESS(2,COLUMN())),OFFSET($BN$2,0,0,ROW()-1,60),ROW()-1,FALSE))</f>
        <v>6.992</v>
      </c>
      <c r="L243">
        <f ca="1">IF(AND(ISNUMBER($L$543),$B$294=1),$L$543,HLOOKUP(INDIRECT(ADDRESS(2,COLUMN())),OFFSET($BN$2,0,0,ROW()-1,60),ROW()-1,FALSE))</f>
        <v>6.032</v>
      </c>
      <c r="M243">
        <f ca="1">IF(AND(ISNUMBER($M$543),$B$294=1),$M$543,HLOOKUP(INDIRECT(ADDRESS(2,COLUMN())),OFFSET($BN$2,0,0,ROW()-1,60),ROW()-1,FALSE))</f>
        <v>21.109000000000002</v>
      </c>
      <c r="N243">
        <f ca="1">IF(AND(ISNUMBER($N$543),$B$294=1),$N$543,HLOOKUP(INDIRECT(ADDRESS(2,COLUMN())),OFFSET($BN$2,0,0,ROW()-1,60),ROW()-1,FALSE))</f>
        <v>4.7320000000000002</v>
      </c>
      <c r="O243">
        <f ca="1">IF(AND(ISNUMBER($O$543),$B$294=1),$O$543,HLOOKUP(INDIRECT(ADDRESS(2,COLUMN())),OFFSET($BN$2,0,0,ROW()-1,60),ROW()-1,FALSE))</f>
        <v>5.4409999999999998</v>
      </c>
      <c r="P243">
        <f ca="1">IF(AND(ISNUMBER($P$543),$B$294=1),$P$543,HLOOKUP(INDIRECT(ADDRESS(2,COLUMN())),OFFSET($BN$2,0,0,ROW()-1,60),ROW()-1,FALSE))</f>
        <v>7.702</v>
      </c>
      <c r="Q243">
        <f ca="1">IF(AND(ISNUMBER($Q$543),$B$294=1),$Q$543,HLOOKUP(INDIRECT(ADDRESS(2,COLUMN())),OFFSET($BN$2,0,0,ROW()-1,60),ROW()-1,FALSE))</f>
        <v>8.9969999999999999</v>
      </c>
      <c r="R243">
        <f ca="1">IF(AND(ISNUMBER($R$543),$B$294=1),$R$543,HLOOKUP(INDIRECT(ADDRESS(2,COLUMN())),OFFSET($BN$2,0,0,ROW()-1,60),ROW()-1,FALSE))</f>
        <v>7.4790000000000001</v>
      </c>
      <c r="S243">
        <f ca="1">IF(AND(ISNUMBER($S$543),$B$294=1),$S$543,HLOOKUP(INDIRECT(ADDRESS(2,COLUMN())),OFFSET($BN$2,0,0,ROW()-1,60),ROW()-1,FALSE))</f>
        <v>12.305999999999999</v>
      </c>
      <c r="T243">
        <f ca="1">IF(AND(ISNUMBER($T$543),$B$294=1),$T$543,HLOOKUP(INDIRECT(ADDRESS(2,COLUMN())),OFFSET($BN$2,0,0,ROW()-1,60),ROW()-1,FALSE))</f>
        <v>8.8149999999999995</v>
      </c>
      <c r="U243">
        <f ca="1">IF(AND(ISNUMBER($U$543),$B$294=1),$U$543,HLOOKUP(INDIRECT(ADDRESS(2,COLUMN())),OFFSET($BN$2,0,0,ROW()-1,60),ROW()-1,FALSE))</f>
        <v>8.5630000000000006</v>
      </c>
      <c r="V243">
        <f ca="1">IF(AND(ISNUMBER($V$543),$B$294=1),$V$543,HLOOKUP(INDIRECT(ADDRESS(2,COLUMN())),OFFSET($BN$2,0,0,ROW()-1,60),ROW()-1,FALSE))</f>
        <v>9.2710000000000008</v>
      </c>
      <c r="W243">
        <f ca="1">IF(AND(ISNUMBER($W$543),$B$294=1),$W$543,HLOOKUP(INDIRECT(ADDRESS(2,COLUMN())),OFFSET($BN$2,0,0,ROW()-1,60),ROW()-1,FALSE))</f>
        <v>6.9729999999999999</v>
      </c>
      <c r="X243">
        <f ca="1">IF(AND(ISNUMBER($X$543),$B$294=1),$X$543,HLOOKUP(INDIRECT(ADDRESS(2,COLUMN())),OFFSET($BN$2,0,0,ROW()-1,60),ROW()-1,FALSE))</f>
        <v>15.972</v>
      </c>
      <c r="Y243">
        <f ca="1">IF(AND(ISNUMBER($Y$543),$B$294=1),$Y$543,HLOOKUP(INDIRECT(ADDRESS(2,COLUMN())),OFFSET($BN$2,0,0,ROW()-1,60),ROW()-1,FALSE))</f>
        <v>10.5</v>
      </c>
      <c r="Z243">
        <f ca="1">IF(AND(ISNUMBER($Z$543),$B$294=1),$Z$543,HLOOKUP(INDIRECT(ADDRESS(2,COLUMN())),OFFSET($BN$2,0,0,ROW()-1,60),ROW()-1,FALSE))</f>
        <v>17.574999999999999</v>
      </c>
      <c r="AA243">
        <f ca="1">IF(AND(ISNUMBER($AA$543),$B$294=1),$AA$543,HLOOKUP(INDIRECT(ADDRESS(2,COLUMN())),OFFSET($BN$2,0,0,ROW()-1,60),ROW()-1,FALSE))</f>
        <v>12.957000000000001</v>
      </c>
      <c r="AB243">
        <f ca="1">IF(AND(ISNUMBER($AB$543),$B$294=1),$AB$543,HLOOKUP(INDIRECT(ADDRESS(2,COLUMN())),OFFSET($BN$2,0,0,ROW()-1,60),ROW()-1,FALSE))</f>
        <v>20.763000000000002</v>
      </c>
      <c r="AC243">
        <f ca="1">IF(AND(ISNUMBER($AC$543),$B$294=1),$AC$543,HLOOKUP(INDIRECT(ADDRESS(2,COLUMN())),OFFSET($BN$2,0,0,ROW()-1,60),ROW()-1,FALSE))</f>
        <v>26.869</v>
      </c>
      <c r="AD243">
        <f ca="1">IF(AND(ISNUMBER($AD$543),$B$294=1),$AD$543,HLOOKUP(INDIRECT(ADDRESS(2,COLUMN())),OFFSET($BN$2,0,0,ROW()-1,60),ROW()-1,FALSE))</f>
        <v>28.678999999999998</v>
      </c>
      <c r="AE243">
        <f ca="1">IF(AND(ISNUMBER($AE$543),$B$294=1),$AE$543,HLOOKUP(INDIRECT(ADDRESS(2,COLUMN())),OFFSET($BN$2,0,0,ROW()-1,60),ROW()-1,FALSE))</f>
        <v>139.69</v>
      </c>
      <c r="AF243">
        <f ca="1">IF(AND(ISNUMBER($AF$543),$B$294=1),$AF$543,HLOOKUP(INDIRECT(ADDRESS(2,COLUMN())),OFFSET($BN$2,0,0,ROW()-1,60),ROW()-1,FALSE))</f>
        <v>16.128</v>
      </c>
      <c r="AG243">
        <f ca="1">IF(AND(ISNUMBER($AG$543),$B$294=1),$AG$543,HLOOKUP(INDIRECT(ADDRESS(2,COLUMN())),OFFSET($BN$2,0,0,ROW()-1,60),ROW()-1,FALSE))</f>
        <v>21.404</v>
      </c>
      <c r="AH243">
        <f ca="1">IF(AND(ISNUMBER($AH$543),$B$294=1),$AH$543,HLOOKUP(INDIRECT(ADDRESS(2,COLUMN())),OFFSET($BN$2,0,0,ROW()-1,60),ROW()-1,FALSE))</f>
        <v>42.151000000000003</v>
      </c>
      <c r="AI243">
        <f ca="1">IF(AND(ISNUMBER($AI$543),$B$294=1),$AI$543,HLOOKUP(INDIRECT(ADDRESS(2,COLUMN())),OFFSET($BN$2,0,0,ROW()-1,60),ROW()-1,FALSE))</f>
        <v>56.718000000000004</v>
      </c>
      <c r="AJ243">
        <f ca="1">IF(AND(ISNUMBER($AJ$543),$B$294=1),$AJ$543,HLOOKUP(INDIRECT(ADDRESS(2,COLUMN())),OFFSET($BN$2,0,0,ROW()-1,60),ROW()-1,FALSE))</f>
        <v>67.539000000000001</v>
      </c>
      <c r="AK243">
        <f ca="1">IF(AND(ISNUMBER($AK$543),$B$294=1),$AK$543,HLOOKUP(INDIRECT(ADDRESS(2,COLUMN())),OFFSET($BN$2,0,0,ROW()-1,60),ROW()-1,FALSE))</f>
        <v>81.066000000000003</v>
      </c>
      <c r="AL243">
        <f ca="1">IF(AND(ISNUMBER($AL$543),$B$294=1),$AL$543,HLOOKUP(INDIRECT(ADDRESS(2,COLUMN())),OFFSET($BN$2,0,0,ROW()-1,60),ROW()-1,FALSE))</f>
        <v>76.994</v>
      </c>
      <c r="AM243">
        <f ca="1">IF(AND(ISNUMBER($AM$543),$B$294=1),$AM$543,HLOOKUP(INDIRECT(ADDRESS(2,COLUMN())),OFFSET($BN$2,0,0,ROW()-1,60),ROW()-1,FALSE))</f>
        <v>10.004</v>
      </c>
      <c r="AN243">
        <f ca="1">IF(AND(ISNUMBER($AN$543),$B$294=1),$AN$543,HLOOKUP(INDIRECT(ADDRESS(2,COLUMN())),OFFSET($BN$2,0,0,ROW()-1,60),ROW()-1,FALSE))</f>
        <v>17.338999999999999</v>
      </c>
      <c r="AO243">
        <f ca="1">IF(AND(ISNUMBER($AO$543),$B$294=1),$AO$543,HLOOKUP(INDIRECT(ADDRESS(2,COLUMN())),OFFSET($BN$2,0,0,ROW()-1,60),ROW()-1,FALSE))</f>
        <v>17.529</v>
      </c>
      <c r="AP243">
        <f ca="1">IF(AND(ISNUMBER($AP$543),$B$294=1),$AP$543,HLOOKUP(INDIRECT(ADDRESS(2,COLUMN())),OFFSET($BN$2,0,0,ROW()-1,60),ROW()-1,FALSE))</f>
        <v>31.905000000000001</v>
      </c>
      <c r="AQ243">
        <f ca="1">IF(AND(ISNUMBER($AQ$543),$B$294=1),$AQ$543,HLOOKUP(INDIRECT(ADDRESS(2,COLUMN())),OFFSET($BN$2,0,0,ROW()-1,60),ROW()-1,FALSE))</f>
        <v>20.332999999999998</v>
      </c>
      <c r="AR243">
        <f ca="1">IF(AND(ISNUMBER($AR$543),$B$294=1),$AR$543,HLOOKUP(INDIRECT(ADDRESS(2,COLUMN())),OFFSET($BN$2,0,0,ROW()-1,60),ROW()-1,FALSE))</f>
        <v>47.976999999999997</v>
      </c>
      <c r="AS243">
        <f ca="1">IF(AND(ISNUMBER($AS$543),$B$294=1),$AS$543,HLOOKUP(INDIRECT(ADDRESS(2,COLUMN())),OFFSET($BN$2,0,0,ROW()-1,60),ROW()-1,FALSE))</f>
        <v>135.756</v>
      </c>
      <c r="AT243">
        <f ca="1">IF(AND(ISNUMBER($AT$543),$B$294=1),$AT$543,HLOOKUP(INDIRECT(ADDRESS(2,COLUMN())),OFFSET($BN$2,0,0,ROW()-1,60),ROW()-1,FALSE))</f>
        <v>56.664999999999999</v>
      </c>
      <c r="AU243">
        <f ca="1">IF(AND(ISNUMBER($AU$543),$B$294=1),$AU$543,HLOOKUP(INDIRECT(ADDRESS(2,COLUMN())),OFFSET($BN$2,0,0,ROW()-1,60),ROW()-1,FALSE))</f>
        <v>65.016000000000005</v>
      </c>
      <c r="AV243">
        <f ca="1">IF(AND(ISNUMBER($AV$543),$B$294=1),$AV$543,HLOOKUP(INDIRECT(ADDRESS(2,COLUMN())),OFFSET($BN$2,0,0,ROW()-1,60),ROW()-1,FALSE))</f>
        <v>58.847000000000001</v>
      </c>
      <c r="AW243">
        <f ca="1">IF(AND(ISNUMBER($AW$543),$B$294=1),$AW$543,HLOOKUP(INDIRECT(ADDRESS(2,COLUMN())),OFFSET($BN$2,0,0,ROW()-1,60),ROW()-1,FALSE))</f>
        <v>55.677</v>
      </c>
      <c r="AX243">
        <f ca="1">IF(AND(ISNUMBER($AX$543),$B$294=1),$AX$543,HLOOKUP(INDIRECT(ADDRESS(2,COLUMN())),OFFSET($BN$2,0,0,ROW()-1,60),ROW()-1,FALSE))</f>
        <v>55.055</v>
      </c>
      <c r="AY243">
        <f ca="1">IF(AND(ISNUMBER($AY$543),$B$294=1),$AY$543,HLOOKUP(INDIRECT(ADDRESS(2,COLUMN())),OFFSET($BN$2,0,0,ROW()-1,60),ROW()-1,FALSE))</f>
        <v>44.131</v>
      </c>
      <c r="AZ243">
        <f ca="1">IF(AND(ISNUMBER($AZ$543),$B$294=1),$AZ$543,HLOOKUP(INDIRECT(ADDRESS(2,COLUMN())),OFFSET($BN$2,0,0,ROW()-1,60),ROW()-1,FALSE))</f>
        <v>37.268000000000001</v>
      </c>
      <c r="BA243">
        <f ca="1">IF(AND(ISNUMBER($BA$543),$B$294=1),$BA$543,HLOOKUP(INDIRECT(ADDRESS(2,COLUMN())),OFFSET($BN$2,0,0,ROW()-1,60),ROW()-1,FALSE))</f>
        <v>44.404000000000003</v>
      </c>
      <c r="BB243">
        <f ca="1">IF(AND(ISNUMBER($BB$543),$B$294=1),$BB$543,HLOOKUP(INDIRECT(ADDRESS(2,COLUMN())),OFFSET($BN$2,0,0,ROW()-1,60),ROW()-1,FALSE))</f>
        <v>46.054000000000002</v>
      </c>
      <c r="BC243">
        <f ca="1">IF(AND(ISNUMBER($BC$543),$B$294=1),$BC$543,HLOOKUP(INDIRECT(ADDRESS(2,COLUMN())),OFFSET($BN$2,0,0,ROW()-1,60),ROW()-1,FALSE))</f>
        <v>48.972999999999999</v>
      </c>
      <c r="BD243">
        <f ca="1">IF(AND(ISNUMBER($BD$543),$B$294=1),$BD$543,HLOOKUP(INDIRECT(ADDRESS(2,COLUMN())),OFFSET($BN$2,0,0,ROW()-1,60),ROW()-1,FALSE))</f>
        <v>43.253</v>
      </c>
      <c r="BE243">
        <f ca="1">IF(AND(ISNUMBER($BE$543),$B$294=1),$BE$543,HLOOKUP(INDIRECT(ADDRESS(2,COLUMN())),OFFSET($BN$2,0,0,ROW()-1,60),ROW()-1,FALSE))</f>
        <v>61.985999999999997</v>
      </c>
      <c r="BF243">
        <f ca="1">IF(AND(ISNUMBER($BF$543),$B$294=1),$BF$543,HLOOKUP(INDIRECT(ADDRESS(2,COLUMN())),OFFSET($BN$2,0,0,ROW()-1,60),ROW()-1,FALSE))</f>
        <v>45.966999999999999</v>
      </c>
      <c r="BG243">
        <f ca="1">IF(AND(ISNUMBER($BG$543),$B$294=1),$BG$543,HLOOKUP(INDIRECT(ADDRESS(2,COLUMN())),OFFSET($BN$2,0,0,ROW()-1,60),ROW()-1,FALSE))</f>
        <v>39.668999999999997</v>
      </c>
      <c r="BH243">
        <f ca="1">IF(AND(ISNUMBER($BH$543),$B$294=1),$BH$543,HLOOKUP(INDIRECT(ADDRESS(2,COLUMN())),OFFSET($BN$2,0,0,ROW()-1,60),ROW()-1,FALSE))</f>
        <v>101.51300000000001</v>
      </c>
      <c r="BI243">
        <f ca="1">IF(AND(ISNUMBER($BI$543),$B$294=1),$BI$543,HLOOKUP(INDIRECT(ADDRESS(2,COLUMN())),OFFSET($BN$2,0,0,ROW()-1,60),ROW()-1,FALSE))</f>
        <v>82.658996579999993</v>
      </c>
      <c r="BJ243">
        <f ca="1">IF(AND(ISNUMBER($BJ$543),$B$294=1),$BJ$543,HLOOKUP(INDIRECT(ADDRESS(2,COLUMN())),OFFSET($BN$2,0,0,ROW()-1,60),ROW()-1,FALSE))</f>
        <v>54.724998470000003</v>
      </c>
      <c r="BK243">
        <f ca="1">IF(AND(ISNUMBER($BK$543),$B$294=1),$BK$543,HLOOKUP(INDIRECT(ADDRESS(2,COLUMN())),OFFSET($BN$2,0,0,ROW()-1,60),ROW()-1,FALSE))</f>
        <v>64.469001770000006</v>
      </c>
      <c r="BL243">
        <f ca="1">IF(AND(ISNUMBER($BL$543),$B$294=1),$BL$543,HLOOKUP(INDIRECT(ADDRESS(2,COLUMN())),OFFSET($BN$2,0,0,ROW()-1,60),ROW()-1,FALSE))</f>
        <v>180.6410065</v>
      </c>
      <c r="BM243">
        <f ca="1">IF(AND(ISNUMBER($BM$543),$B$294=1),$BM$543,HLOOKUP(INDIRECT(ADDRESS(2,COLUMN())),OFFSET($BN$2,0,0,ROW()-1,60),ROW()-1,FALSE))</f>
        <v>59.104999540000001</v>
      </c>
      <c r="BN243" t="str">
        <f>""</f>
        <v/>
      </c>
      <c r="BO243">
        <f>7.382</f>
        <v>7.3819999999999997</v>
      </c>
      <c r="BP243">
        <f>36.108</f>
        <v>36.107999999999997</v>
      </c>
      <c r="BQ243">
        <f>9.596</f>
        <v>9.5960000000000001</v>
      </c>
      <c r="BR243">
        <f>6.808</f>
        <v>6.8079999999999998</v>
      </c>
      <c r="BS243">
        <f>6.992</f>
        <v>6.992</v>
      </c>
      <c r="BT243">
        <f>6.032</f>
        <v>6.032</v>
      </c>
      <c r="BU243">
        <f>21.109</f>
        <v>21.109000000000002</v>
      </c>
      <c r="BV243">
        <f>4.732</f>
        <v>4.7320000000000002</v>
      </c>
      <c r="BW243">
        <f>5.441</f>
        <v>5.4409999999999998</v>
      </c>
      <c r="BX243">
        <f>7.702</f>
        <v>7.702</v>
      </c>
      <c r="BY243">
        <f>8.997</f>
        <v>8.9969999999999999</v>
      </c>
      <c r="BZ243">
        <f>7.479</f>
        <v>7.4790000000000001</v>
      </c>
      <c r="CA243">
        <f>12.306</f>
        <v>12.305999999999999</v>
      </c>
      <c r="CB243">
        <f>8.815</f>
        <v>8.8149999999999995</v>
      </c>
      <c r="CC243">
        <f>8.563</f>
        <v>8.5630000000000006</v>
      </c>
      <c r="CD243">
        <f>9.271</f>
        <v>9.2710000000000008</v>
      </c>
      <c r="CE243">
        <f>6.973</f>
        <v>6.9729999999999999</v>
      </c>
      <c r="CF243">
        <f>15.972</f>
        <v>15.972</v>
      </c>
      <c r="CG243">
        <f>10.5</f>
        <v>10.5</v>
      </c>
      <c r="CH243">
        <f>17.575</f>
        <v>17.574999999999999</v>
      </c>
      <c r="CI243">
        <f>12.957</f>
        <v>12.957000000000001</v>
      </c>
      <c r="CJ243">
        <f>20.763</f>
        <v>20.763000000000002</v>
      </c>
      <c r="CK243">
        <f>26.869</f>
        <v>26.869</v>
      </c>
      <c r="CL243">
        <f>28.679</f>
        <v>28.678999999999998</v>
      </c>
      <c r="CM243">
        <f>139.69</f>
        <v>139.69</v>
      </c>
      <c r="CN243">
        <f>16.128</f>
        <v>16.128</v>
      </c>
      <c r="CO243">
        <f>21.404</f>
        <v>21.404</v>
      </c>
      <c r="CP243">
        <f>42.151</f>
        <v>42.151000000000003</v>
      </c>
      <c r="CQ243">
        <f>56.718</f>
        <v>56.718000000000004</v>
      </c>
      <c r="CR243">
        <f>67.539</f>
        <v>67.539000000000001</v>
      </c>
      <c r="CS243">
        <f>81.066</f>
        <v>81.066000000000003</v>
      </c>
      <c r="CT243">
        <f>76.994</f>
        <v>76.994</v>
      </c>
      <c r="CU243">
        <f>10.004</f>
        <v>10.004</v>
      </c>
      <c r="CV243">
        <f>17.339</f>
        <v>17.338999999999999</v>
      </c>
      <c r="CW243">
        <f>17.529</f>
        <v>17.529</v>
      </c>
      <c r="CX243">
        <f>31.905</f>
        <v>31.905000000000001</v>
      </c>
      <c r="CY243">
        <f>20.333</f>
        <v>20.332999999999998</v>
      </c>
      <c r="CZ243">
        <f>47.977</f>
        <v>47.976999999999997</v>
      </c>
      <c r="DA243">
        <f>135.756</f>
        <v>135.756</v>
      </c>
      <c r="DB243">
        <f>56.665</f>
        <v>56.664999999999999</v>
      </c>
      <c r="DC243">
        <f>65.016</f>
        <v>65.016000000000005</v>
      </c>
      <c r="DD243">
        <f>58.847</f>
        <v>58.847000000000001</v>
      </c>
      <c r="DE243">
        <f>55.677</f>
        <v>55.677</v>
      </c>
      <c r="DF243">
        <f>55.055</f>
        <v>55.055</v>
      </c>
      <c r="DG243">
        <f>44.131</f>
        <v>44.131</v>
      </c>
      <c r="DH243">
        <f>37.268</f>
        <v>37.268000000000001</v>
      </c>
      <c r="DI243">
        <f>44.404</f>
        <v>44.404000000000003</v>
      </c>
      <c r="DJ243">
        <f>46.054</f>
        <v>46.054000000000002</v>
      </c>
      <c r="DK243">
        <f>48.973</f>
        <v>48.972999999999999</v>
      </c>
      <c r="DL243">
        <f>43.253</f>
        <v>43.253</v>
      </c>
      <c r="DM243">
        <f>61.986</f>
        <v>61.985999999999997</v>
      </c>
      <c r="DN243">
        <f>45.967</f>
        <v>45.966999999999999</v>
      </c>
      <c r="DO243">
        <f>39.669</f>
        <v>39.668999999999997</v>
      </c>
      <c r="DP243">
        <f>101.513</f>
        <v>101.51300000000001</v>
      </c>
      <c r="DQ243">
        <f>82.65899658</f>
        <v>82.658996579999993</v>
      </c>
      <c r="DR243">
        <f>54.72499847</f>
        <v>54.724998470000003</v>
      </c>
      <c r="DS243">
        <f>64.46900177</f>
        <v>64.469001770000006</v>
      </c>
      <c r="DT243">
        <f>180.6410065</f>
        <v>180.6410065</v>
      </c>
      <c r="DU243">
        <f>59.10499954</f>
        <v>59.104999540000001</v>
      </c>
    </row>
    <row r="244" spans="1:125">
      <c r="A244" t="str">
        <f>"    SL Green Realty Corp"</f>
        <v xml:space="preserve">    SL Green Realty Corp</v>
      </c>
      <c r="B244" t="str">
        <f>"SLG US Equity"</f>
        <v>SLG US Equity</v>
      </c>
      <c r="C244" t="str">
        <f t="shared" si="63"/>
        <v>RR253</v>
      </c>
      <c r="D244" t="str">
        <f t="shared" si="64"/>
        <v>CASH_AND_MARKETABLE_SECURITIES</v>
      </c>
      <c r="E244" t="str">
        <f t="shared" si="65"/>
        <v>动态</v>
      </c>
      <c r="F244" t="str">
        <f ca="1">IF(AND(ISNUMBER($F$544),$B$294=1),$F$544,HLOOKUP(INDIRECT(ADDRESS(2,COLUMN())),OFFSET($BN$2,0,0,ROW()-1,60),ROW()-1,FALSE))</f>
        <v/>
      </c>
      <c r="G244">
        <f ca="1">IF(AND(ISNUMBER($G$544),$B$294=1),$G$544,HLOOKUP(INDIRECT(ADDRESS(2,COLUMN())),OFFSET($BN$2,0,0,ROW()-1,60),ROW()-1,FALSE))</f>
        <v>127.88800000000001</v>
      </c>
      <c r="H244">
        <f ca="1">IF(AND(ISNUMBER($H$544),$B$294=1),$H$544,HLOOKUP(INDIRECT(ADDRESS(2,COLUMN())),OFFSET($BN$2,0,0,ROW()-1,60),ROW()-1,FALSE))</f>
        <v>241.489</v>
      </c>
      <c r="I244">
        <f ca="1">IF(AND(ISNUMBER($I$544),$B$294=1),$I$544,HLOOKUP(INDIRECT(ADDRESS(2,COLUMN())),OFFSET($BN$2,0,0,ROW()-1,60),ROW()-1,FALSE))</f>
        <v>270.96499999999997</v>
      </c>
      <c r="J244">
        <f ca="1">IF(AND(ISNUMBER($J$544),$B$294=1),$J$544,HLOOKUP(INDIRECT(ADDRESS(2,COLUMN())),OFFSET($BN$2,0,0,ROW()-1,60),ROW()-1,FALSE))</f>
        <v>468.03500000000003</v>
      </c>
      <c r="K244">
        <f ca="1">IF(AND(ISNUMBER($K$544),$B$294=1),$K$544,HLOOKUP(INDIRECT(ADDRESS(2,COLUMN())),OFFSET($BN$2,0,0,ROW()-1,60),ROW()-1,FALSE))</f>
        <v>279.44299999999998</v>
      </c>
      <c r="L244">
        <f ca="1">IF(AND(ISNUMBER($L$544),$B$294=1),$L$544,HLOOKUP(INDIRECT(ADDRESS(2,COLUMN())),OFFSET($BN$2,0,0,ROW()-1,60),ROW()-1,FALSE))</f>
        <v>405.89600000000002</v>
      </c>
      <c r="M244">
        <f ca="1">IF(AND(ISNUMBER($M$544),$B$294=1),$M$544,HLOOKUP(INDIRECT(ADDRESS(2,COLUMN())),OFFSET($BN$2,0,0,ROW()-1,60),ROW()-1,FALSE))</f>
        <v>276.226</v>
      </c>
      <c r="N244">
        <f ca="1">IF(AND(ISNUMBER($N$544),$B$294=1),$N$544,HLOOKUP(INDIRECT(ADDRESS(2,COLUMN())),OFFSET($BN$2,0,0,ROW()-1,60),ROW()-1,FALSE))</f>
        <v>316.20499999999998</v>
      </c>
      <c r="O244">
        <f ca="1">IF(AND(ISNUMBER($O$544),$B$294=1),$O$544,HLOOKUP(INDIRECT(ADDRESS(2,COLUMN())),OFFSET($BN$2,0,0,ROW()-1,60),ROW()-1,FALSE))</f>
        <v>255.399</v>
      </c>
      <c r="P244">
        <f ca="1">IF(AND(ISNUMBER($P$544),$B$294=1),$P$544,HLOOKUP(INDIRECT(ADDRESS(2,COLUMN())),OFFSET($BN$2,0,0,ROW()-1,60),ROW()-1,FALSE))</f>
        <v>244.36</v>
      </c>
      <c r="Q244">
        <f ca="1">IF(AND(ISNUMBER($Q$544),$B$294=1),$Q$544,HLOOKUP(INDIRECT(ADDRESS(2,COLUMN())),OFFSET($BN$2,0,0,ROW()-1,60),ROW()-1,FALSE))</f>
        <v>215.89599999999999</v>
      </c>
      <c r="R244">
        <f ca="1">IF(AND(ISNUMBER($R$544),$B$294=1),$R$544,HLOOKUP(INDIRECT(ADDRESS(2,COLUMN())),OFFSET($BN$2,0,0,ROW()-1,60),ROW()-1,FALSE))</f>
        <v>330.77</v>
      </c>
      <c r="S244">
        <f ca="1">IF(AND(ISNUMBER($S$544),$B$294=1),$S$544,HLOOKUP(INDIRECT(ADDRESS(2,COLUMN())),OFFSET($BN$2,0,0,ROW()-1,60),ROW()-1,FALSE))</f>
        <v>281.40899999999999</v>
      </c>
      <c r="T244">
        <f ca="1">IF(AND(ISNUMBER($T$544),$B$294=1),$T$544,HLOOKUP(INDIRECT(ADDRESS(2,COLUMN())),OFFSET($BN$2,0,0,ROW()-1,60),ROW()-1,FALSE))</f>
        <v>253.52</v>
      </c>
      <c r="U244">
        <f ca="1">IF(AND(ISNUMBER($U$544),$B$294=1),$U$544,HLOOKUP(INDIRECT(ADDRESS(2,COLUMN())),OFFSET($BN$2,0,0,ROW()-1,60),ROW()-1,FALSE))</f>
        <v>308.10300000000001</v>
      </c>
      <c r="V244">
        <f ca="1">IF(AND(ISNUMBER($V$544),$B$294=1),$V$544,HLOOKUP(INDIRECT(ADDRESS(2,COLUMN())),OFFSET($BN$2,0,0,ROW()-1,60),ROW()-1,FALSE))</f>
        <v>447.16199999999998</v>
      </c>
      <c r="W244">
        <f ca="1">IF(AND(ISNUMBER($W$544),$B$294=1),$W$544,HLOOKUP(INDIRECT(ADDRESS(2,COLUMN())),OFFSET($BN$2,0,0,ROW()-1,60),ROW()-1,FALSE))</f>
        <v>206.69200000000001</v>
      </c>
      <c r="X244">
        <f ca="1">IF(AND(ISNUMBER($X$544),$B$294=1),$X$544,HLOOKUP(INDIRECT(ADDRESS(2,COLUMN())),OFFSET($BN$2,0,0,ROW()-1,60),ROW()-1,FALSE))</f>
        <v>209.09800000000001</v>
      </c>
      <c r="Y244">
        <f ca="1">IF(AND(ISNUMBER($Y$544),$B$294=1),$Y$544,HLOOKUP(INDIRECT(ADDRESS(2,COLUMN())),OFFSET($BN$2,0,0,ROW()-1,60),ROW()-1,FALSE))</f>
        <v>198.96899999999999</v>
      </c>
      <c r="Z244">
        <f ca="1">IF(AND(ISNUMBER($Z$544),$B$294=1),$Z$544,HLOOKUP(INDIRECT(ADDRESS(2,COLUMN())),OFFSET($BN$2,0,0,ROW()-1,60),ROW()-1,FALSE))</f>
        <v>220.10400000000001</v>
      </c>
      <c r="AA244">
        <f ca="1">IF(AND(ISNUMBER($AA$544),$B$294=1),$AA$544,HLOOKUP(INDIRECT(ADDRESS(2,COLUMN())),OFFSET($BN$2,0,0,ROW()-1,60),ROW()-1,FALSE))</f>
        <v>189.98400000000001</v>
      </c>
      <c r="AB244">
        <f ca="1">IF(AND(ISNUMBER($AB$544),$B$294=1),$AB$544,HLOOKUP(INDIRECT(ADDRESS(2,COLUMN())),OFFSET($BN$2,0,0,ROW()-1,60),ROW()-1,FALSE))</f>
        <v>162.363</v>
      </c>
      <c r="AC244">
        <f ca="1">IF(AND(ISNUMBER($AC$544),$B$294=1),$AC$544,HLOOKUP(INDIRECT(ADDRESS(2,COLUMN())),OFFSET($BN$2,0,0,ROW()-1,60),ROW()-1,FALSE))</f>
        <v>256.79899999999998</v>
      </c>
      <c r="AD244">
        <f ca="1">IF(AND(ISNUMBER($AD$544),$B$294=1),$AD$544,HLOOKUP(INDIRECT(ADDRESS(2,COLUMN())),OFFSET($BN$2,0,0,ROW()-1,60),ROW()-1,FALSE))</f>
        <v>133.66499999999999</v>
      </c>
      <c r="AE244">
        <f ca="1">IF(AND(ISNUMBER($AE$544),$B$294=1),$AE$544,HLOOKUP(INDIRECT(ADDRESS(2,COLUMN())),OFFSET($BN$2,0,0,ROW()-1,60),ROW()-1,FALSE))</f>
        <v>138.19200000000001</v>
      </c>
      <c r="AF244">
        <f ca="1">IF(AND(ISNUMBER($AF$544),$B$294=1),$AF$544,HLOOKUP(INDIRECT(ADDRESS(2,COLUMN())),OFFSET($BN$2,0,0,ROW()-1,60),ROW()-1,FALSE))</f>
        <v>394.505</v>
      </c>
      <c r="AG244">
        <f ca="1">IF(AND(ISNUMBER($AG$544),$B$294=1),$AG$544,HLOOKUP(INDIRECT(ADDRESS(2,COLUMN())),OFFSET($BN$2,0,0,ROW()-1,60),ROW()-1,FALSE))</f>
        <v>390.22899999999998</v>
      </c>
      <c r="AH244">
        <f ca="1">IF(AND(ISNUMBER($AH$544),$B$294=1),$AH$544,HLOOKUP(INDIRECT(ADDRESS(2,COLUMN())),OFFSET($BN$2,0,0,ROW()-1,60),ROW()-1,FALSE))</f>
        <v>234.00899999999999</v>
      </c>
      <c r="AI244">
        <f ca="1">IF(AND(ISNUMBER($AI$544),$B$294=1),$AI$544,HLOOKUP(INDIRECT(ADDRESS(2,COLUMN())),OFFSET($BN$2,0,0,ROW()-1,60),ROW()-1,FALSE))</f>
        <v>332.83</v>
      </c>
      <c r="AJ244">
        <f ca="1">IF(AND(ISNUMBER($AJ$544),$B$294=1),$AJ$544,HLOOKUP(INDIRECT(ADDRESS(2,COLUMN())),OFFSET($BN$2,0,0,ROW()-1,60),ROW()-1,FALSE))</f>
        <v>270.803</v>
      </c>
      <c r="AK244">
        <f ca="1">IF(AND(ISNUMBER($AK$544),$B$294=1),$AK$544,HLOOKUP(INDIRECT(ADDRESS(2,COLUMN())),OFFSET($BN$2,0,0,ROW()-1,60),ROW()-1,FALSE))</f>
        <v>339.577</v>
      </c>
      <c r="AL244">
        <f ca="1">IF(AND(ISNUMBER($AL$544),$B$294=1),$AL$544,HLOOKUP(INDIRECT(ADDRESS(2,COLUMN())),OFFSET($BN$2,0,0,ROW()-1,60),ROW()-1,FALSE))</f>
        <v>167.654</v>
      </c>
      <c r="AM244">
        <f ca="1">IF(AND(ISNUMBER($AM$544),$B$294=1),$AM$544,HLOOKUP(INDIRECT(ADDRESS(2,COLUMN())),OFFSET($BN$2,0,0,ROW()-1,60),ROW()-1,FALSE))</f>
        <v>343.71499999999997</v>
      </c>
      <c r="AN244">
        <f ca="1">IF(AND(ISNUMBER($AN$544),$B$294=1),$AN$544,HLOOKUP(INDIRECT(ADDRESS(2,COLUMN())),OFFSET($BN$2,0,0,ROW()-1,60),ROW()-1,FALSE))</f>
        <v>634.072</v>
      </c>
      <c r="AO244">
        <f ca="1">IF(AND(ISNUMBER($AO$544),$B$294=1),$AO$544,HLOOKUP(INDIRECT(ADDRESS(2,COLUMN())),OFFSET($BN$2,0,0,ROW()-1,60),ROW()-1,FALSE))</f>
        <v>676.76800000000003</v>
      </c>
      <c r="AP244">
        <f ca="1">IF(AND(ISNUMBER($AP$544),$B$294=1),$AP$544,HLOOKUP(INDIRECT(ADDRESS(2,COLUMN())),OFFSET($BN$2,0,0,ROW()-1,60),ROW()-1,FALSE))</f>
        <v>433.654</v>
      </c>
      <c r="AQ244">
        <f ca="1">IF(AND(ISNUMBER($AQ$544),$B$294=1),$AQ$544,HLOOKUP(INDIRECT(ADDRESS(2,COLUMN())),OFFSET($BN$2,0,0,ROW()-1,60),ROW()-1,FALSE))</f>
        <v>726.88900000000001</v>
      </c>
      <c r="AR244">
        <f ca="1">IF(AND(ISNUMBER($AR$544),$B$294=1),$AR$544,HLOOKUP(INDIRECT(ADDRESS(2,COLUMN())),OFFSET($BN$2,0,0,ROW()-1,60),ROW()-1,FALSE))</f>
        <v>711.14700000000005</v>
      </c>
      <c r="AS244">
        <f ca="1">IF(AND(ISNUMBER($AS$544),$B$294=1),$AS$544,HLOOKUP(INDIRECT(ADDRESS(2,COLUMN())),OFFSET($BN$2,0,0,ROW()-1,60),ROW()-1,FALSE))</f>
        <v>53.567</v>
      </c>
      <c r="AT244">
        <f ca="1">IF(AND(ISNUMBER($AT$544),$B$294=1),$AT$544,HLOOKUP(INDIRECT(ADDRESS(2,COLUMN())),OFFSET($BN$2,0,0,ROW()-1,60),ROW()-1,FALSE))</f>
        <v>46.792999999999999</v>
      </c>
      <c r="AU244">
        <f ca="1">IF(AND(ISNUMBER($AU$544),$B$294=1),$AU$544,HLOOKUP(INDIRECT(ADDRESS(2,COLUMN())),OFFSET($BN$2,0,0,ROW()-1,60),ROW()-1,FALSE))</f>
        <v>45.963999999999999</v>
      </c>
      <c r="AV244">
        <f ca="1">IF(AND(ISNUMBER($AV$544),$B$294=1),$AV$544,HLOOKUP(INDIRECT(ADDRESS(2,COLUMN())),OFFSET($BN$2,0,0,ROW()-1,60),ROW()-1,FALSE))</f>
        <v>98.099000000000004</v>
      </c>
      <c r="AW244">
        <f ca="1">IF(AND(ISNUMBER($AW$544),$B$294=1),$AW$544,HLOOKUP(INDIRECT(ADDRESS(2,COLUMN())),OFFSET($BN$2,0,0,ROW()-1,60),ROW()-1,FALSE))</f>
        <v>80.3</v>
      </c>
      <c r="AX244">
        <f ca="1">IF(AND(ISNUMBER($AX$544),$B$294=1),$AX$544,HLOOKUP(INDIRECT(ADDRESS(2,COLUMN())),OFFSET($BN$2,0,0,ROW()-1,60),ROW()-1,FALSE))</f>
        <v>499.72800000000001</v>
      </c>
      <c r="AY244">
        <f ca="1">IF(AND(ISNUMBER($AY$544),$B$294=1),$AY$544,HLOOKUP(INDIRECT(ADDRESS(2,COLUMN())),OFFSET($BN$2,0,0,ROW()-1,60),ROW()-1,FALSE))</f>
        <v>117.178</v>
      </c>
      <c r="AZ244">
        <f ca="1">IF(AND(ISNUMBER($AZ$544),$B$294=1),$AZ$544,HLOOKUP(INDIRECT(ADDRESS(2,COLUMN())),OFFSET($BN$2,0,0,ROW()-1,60),ROW()-1,FALSE))</f>
        <v>176.44399999999999</v>
      </c>
      <c r="BA244">
        <f ca="1">IF(AND(ISNUMBER($BA$544),$B$294=1),$BA$544,HLOOKUP(INDIRECT(ADDRESS(2,COLUMN())),OFFSET($BN$2,0,0,ROW()-1,60),ROW()-1,FALSE))</f>
        <v>14.183999999999999</v>
      </c>
      <c r="BB244">
        <f ca="1">IF(AND(ISNUMBER($BB$544),$B$294=1),$BB$544,HLOOKUP(INDIRECT(ADDRESS(2,COLUMN())),OFFSET($BN$2,0,0,ROW()-1,60),ROW()-1,FALSE))</f>
        <v>20.535</v>
      </c>
      <c r="BC244">
        <f ca="1">IF(AND(ISNUMBER($BC$544),$B$294=1),$BC$544,HLOOKUP(INDIRECT(ADDRESS(2,COLUMN())),OFFSET($BN$2,0,0,ROW()-1,60),ROW()-1,FALSE))</f>
        <v>24.103999999999999</v>
      </c>
      <c r="BD244">
        <f ca="1">IF(AND(ISNUMBER($BD$544),$B$294=1),$BD$544,HLOOKUP(INDIRECT(ADDRESS(2,COLUMN())),OFFSET($BN$2,0,0,ROW()-1,60),ROW()-1,FALSE))</f>
        <v>14.193</v>
      </c>
      <c r="BE244">
        <f ca="1">IF(AND(ISNUMBER($BE$544),$B$294=1),$BE$544,HLOOKUP(INDIRECT(ADDRESS(2,COLUMN())),OFFSET($BN$2,0,0,ROW()-1,60),ROW()-1,FALSE))</f>
        <v>1.978</v>
      </c>
      <c r="BF244">
        <f ca="1">IF(AND(ISNUMBER($BF$544),$B$294=1),$BF$544,HLOOKUP(INDIRECT(ADDRESS(2,COLUMN())),OFFSET($BN$2,0,0,ROW()-1,60),ROW()-1,FALSE))</f>
        <v>16.789000000000001</v>
      </c>
      <c r="BG244">
        <f ca="1">IF(AND(ISNUMBER($BG$544),$B$294=1),$BG$544,HLOOKUP(INDIRECT(ADDRESS(2,COLUMN())),OFFSET($BN$2,0,0,ROW()-1,60),ROW()-1,FALSE))</f>
        <v>35.795000000000002</v>
      </c>
      <c r="BH244">
        <f ca="1">IF(AND(ISNUMBER($BH$544),$B$294=1),$BH$544,HLOOKUP(INDIRECT(ADDRESS(2,COLUMN())),OFFSET($BN$2,0,0,ROW()-1,60),ROW()-1,FALSE))</f>
        <v>23.298999999999999</v>
      </c>
      <c r="BI244">
        <f ca="1">IF(AND(ISNUMBER($BI$544),$B$294=1),$BI$544,HLOOKUP(INDIRECT(ADDRESS(2,COLUMN())),OFFSET($BN$2,0,0,ROW()-1,60),ROW()-1,FALSE))</f>
        <v>65.045000000000002</v>
      </c>
      <c r="BJ244">
        <f ca="1">IF(AND(ISNUMBER($BJ$544),$B$294=1),$BJ$544,HLOOKUP(INDIRECT(ADDRESS(2,COLUMN())),OFFSET($BN$2,0,0,ROW()-1,60),ROW()-1,FALSE))</f>
        <v>22.393000000000001</v>
      </c>
      <c r="BK244">
        <f ca="1">IF(AND(ISNUMBER($BK$544),$B$294=1),$BK$544,HLOOKUP(INDIRECT(ADDRESS(2,COLUMN())),OFFSET($BN$2,0,0,ROW()-1,60),ROW()-1,FALSE))</f>
        <v>38.546001429999997</v>
      </c>
      <c r="BL244">
        <f ca="1">IF(AND(ISNUMBER($BL$544),$B$294=1),$BL$544,HLOOKUP(INDIRECT(ADDRESS(2,COLUMN())),OFFSET($BN$2,0,0,ROW()-1,60),ROW()-1,FALSE))</f>
        <v>14.170999999999999</v>
      </c>
      <c r="BM244">
        <f ca="1">IF(AND(ISNUMBER($BM$544),$B$294=1),$BM$544,HLOOKUP(INDIRECT(ADDRESS(2,COLUMN())),OFFSET($BN$2,0,0,ROW()-1,60),ROW()-1,FALSE))</f>
        <v>16.809999999999999</v>
      </c>
      <c r="BN244" t="str">
        <f>""</f>
        <v/>
      </c>
      <c r="BO244">
        <f>127.888</f>
        <v>127.88800000000001</v>
      </c>
      <c r="BP244">
        <f>241.489</f>
        <v>241.489</v>
      </c>
      <c r="BQ244">
        <f>270.965</f>
        <v>270.96499999999997</v>
      </c>
      <c r="BR244">
        <f>468.035</f>
        <v>468.03500000000003</v>
      </c>
      <c r="BS244">
        <f>279.443</f>
        <v>279.44299999999998</v>
      </c>
      <c r="BT244">
        <f>405.896</f>
        <v>405.89600000000002</v>
      </c>
      <c r="BU244">
        <f>276.226</f>
        <v>276.226</v>
      </c>
      <c r="BV244">
        <f>316.205</f>
        <v>316.20499999999998</v>
      </c>
      <c r="BW244">
        <f>255.399</f>
        <v>255.399</v>
      </c>
      <c r="BX244">
        <f>244.36</f>
        <v>244.36</v>
      </c>
      <c r="BY244">
        <f>215.896</f>
        <v>215.89599999999999</v>
      </c>
      <c r="BZ244">
        <f>330.77</f>
        <v>330.77</v>
      </c>
      <c r="CA244">
        <f>281.409</f>
        <v>281.40899999999999</v>
      </c>
      <c r="CB244">
        <f>253.52</f>
        <v>253.52</v>
      </c>
      <c r="CC244">
        <f>308.103</f>
        <v>308.10300000000001</v>
      </c>
      <c r="CD244">
        <f>447.162</f>
        <v>447.16199999999998</v>
      </c>
      <c r="CE244">
        <f>206.692</f>
        <v>206.69200000000001</v>
      </c>
      <c r="CF244">
        <f>209.098</f>
        <v>209.09800000000001</v>
      </c>
      <c r="CG244">
        <f>198.969</f>
        <v>198.96899999999999</v>
      </c>
      <c r="CH244">
        <f>220.104</f>
        <v>220.10400000000001</v>
      </c>
      <c r="CI244">
        <f>189.984</f>
        <v>189.98400000000001</v>
      </c>
      <c r="CJ244">
        <f>162.363</f>
        <v>162.363</v>
      </c>
      <c r="CK244">
        <f>256.799</f>
        <v>256.79899999999998</v>
      </c>
      <c r="CL244">
        <f>133.665</f>
        <v>133.66499999999999</v>
      </c>
      <c r="CM244">
        <f>138.192</f>
        <v>138.19200000000001</v>
      </c>
      <c r="CN244">
        <f>394.505</f>
        <v>394.505</v>
      </c>
      <c r="CO244">
        <f>390.229</f>
        <v>390.22899999999998</v>
      </c>
      <c r="CP244">
        <f>234.009</f>
        <v>234.00899999999999</v>
      </c>
      <c r="CQ244">
        <f>332.83</f>
        <v>332.83</v>
      </c>
      <c r="CR244">
        <f>270.803</f>
        <v>270.803</v>
      </c>
      <c r="CS244">
        <f>339.577</f>
        <v>339.577</v>
      </c>
      <c r="CT244">
        <f>167.654</f>
        <v>167.654</v>
      </c>
      <c r="CU244">
        <f>343.715</f>
        <v>343.71499999999997</v>
      </c>
      <c r="CV244">
        <f>634.072</f>
        <v>634.072</v>
      </c>
      <c r="CW244">
        <f>676.768</f>
        <v>676.76800000000003</v>
      </c>
      <c r="CX244">
        <f>433.654</f>
        <v>433.654</v>
      </c>
      <c r="CY244">
        <f>726.889</f>
        <v>726.88900000000001</v>
      </c>
      <c r="CZ244">
        <f>711.147</f>
        <v>711.14700000000005</v>
      </c>
      <c r="DA244">
        <f>53.567</f>
        <v>53.567</v>
      </c>
      <c r="DB244">
        <f>46.793</f>
        <v>46.792999999999999</v>
      </c>
      <c r="DC244">
        <f>45.964</f>
        <v>45.963999999999999</v>
      </c>
      <c r="DD244">
        <f>98.099</f>
        <v>98.099000000000004</v>
      </c>
      <c r="DE244">
        <f>80.3</f>
        <v>80.3</v>
      </c>
      <c r="DF244">
        <f>499.728</f>
        <v>499.72800000000001</v>
      </c>
      <c r="DG244">
        <f>117.178</f>
        <v>117.178</v>
      </c>
      <c r="DH244">
        <f>176.444</f>
        <v>176.44399999999999</v>
      </c>
      <c r="DI244">
        <f>14.184</f>
        <v>14.183999999999999</v>
      </c>
      <c r="DJ244">
        <f>20.535</f>
        <v>20.535</v>
      </c>
      <c r="DK244">
        <f>24.104</f>
        <v>24.103999999999999</v>
      </c>
      <c r="DL244">
        <f>14.193</f>
        <v>14.193</v>
      </c>
      <c r="DM244">
        <f>1.978</f>
        <v>1.978</v>
      </c>
      <c r="DN244">
        <f>16.789</f>
        <v>16.789000000000001</v>
      </c>
      <c r="DO244">
        <f>35.795</f>
        <v>35.795000000000002</v>
      </c>
      <c r="DP244">
        <f>23.299</f>
        <v>23.298999999999999</v>
      </c>
      <c r="DQ244">
        <f>65.045</f>
        <v>65.045000000000002</v>
      </c>
      <c r="DR244">
        <f>22.393</f>
        <v>22.393000000000001</v>
      </c>
      <c r="DS244">
        <f>38.54600143</f>
        <v>38.546001429999997</v>
      </c>
      <c r="DT244">
        <f>14.171</f>
        <v>14.170999999999999</v>
      </c>
      <c r="DU244">
        <f>16.81</f>
        <v>16.809999999999999</v>
      </c>
    </row>
    <row r="245" spans="1:125">
      <c r="A245" t="str">
        <f>"    Vornado Realty Trust"</f>
        <v xml:space="preserve">    Vornado Realty Trust</v>
      </c>
      <c r="B245" t="str">
        <f>"VNO US Equity"</f>
        <v>VNO US Equity</v>
      </c>
      <c r="C245" t="str">
        <f t="shared" si="63"/>
        <v>RR253</v>
      </c>
      <c r="D245" t="str">
        <f t="shared" si="64"/>
        <v>CASH_AND_MARKETABLE_SECURITIES</v>
      </c>
      <c r="E245" t="str">
        <f t="shared" si="65"/>
        <v>动态</v>
      </c>
      <c r="F245" t="str">
        <f ca="1">IF(AND(ISNUMBER($F$545),$B$294=1),$F$545,HLOOKUP(INDIRECT(ADDRESS(2,COLUMN())),OFFSET($BN$2,0,0,ROW()-1,60),ROW()-1,FALSE))</f>
        <v/>
      </c>
      <c r="G245">
        <f ca="1">IF(AND(ISNUMBER($G$545),$B$294=1),$G$545,HLOOKUP(INDIRECT(ADDRESS(2,COLUMN())),OFFSET($BN$2,0,0,ROW()-1,60),ROW()-1,FALSE))</f>
        <v>1817.655</v>
      </c>
      <c r="H245">
        <f ca="1">IF(AND(ISNUMBER($H$545),$B$294=1),$H$545,HLOOKUP(INDIRECT(ADDRESS(2,COLUMN())),OFFSET($BN$2,0,0,ROW()-1,60),ROW()-1,FALSE))</f>
        <v>1282.23</v>
      </c>
      <c r="I245">
        <f ca="1">IF(AND(ISNUMBER($I$545),$B$294=1),$I$545,HLOOKUP(INDIRECT(ADDRESS(2,COLUMN())),OFFSET($BN$2,0,0,ROW()-1,60),ROW()-1,FALSE))</f>
        <v>1471.3030000000001</v>
      </c>
      <c r="J245">
        <f ca="1">IF(AND(ISNUMBER($J$545),$B$294=1),$J$545,HLOOKUP(INDIRECT(ADDRESS(2,COLUMN())),OFFSET($BN$2,0,0,ROW()-1,60),ROW()-1,FALSE))</f>
        <v>1484.8140000000001</v>
      </c>
      <c r="K245">
        <f ca="1">IF(AND(ISNUMBER($K$545),$B$294=1),$K$545,HLOOKUP(INDIRECT(ADDRESS(2,COLUMN())),OFFSET($BN$2,0,0,ROW()-1,60),ROW()-1,FALSE))</f>
        <v>1501.027</v>
      </c>
      <c r="L245">
        <f ca="1">IF(AND(ISNUMBER($L$545),$B$294=1),$L$545,HLOOKUP(INDIRECT(ADDRESS(2,COLUMN())),OFFSET($BN$2,0,0,ROW()-1,60),ROW()-1,FALSE))</f>
        <v>1352.6969999999999</v>
      </c>
      <c r="M245">
        <f ca="1">IF(AND(ISNUMBER($M$545),$B$294=1),$M$545,HLOOKUP(INDIRECT(ADDRESS(2,COLUMN())),OFFSET($BN$2,0,0,ROW()-1,60),ROW()-1,FALSE))</f>
        <v>1644.067</v>
      </c>
      <c r="N245">
        <f ca="1">IF(AND(ISNUMBER($N$545),$B$294=1),$N$545,HLOOKUP(INDIRECT(ADDRESS(2,COLUMN())),OFFSET($BN$2,0,0,ROW()-1,60),ROW()-1,FALSE))</f>
        <v>1673.566</v>
      </c>
      <c r="O245">
        <f ca="1">IF(AND(ISNUMBER($O$545),$B$294=1),$O$545,HLOOKUP(INDIRECT(ADDRESS(2,COLUMN())),OFFSET($BN$2,0,0,ROW()-1,60),ROW()-1,FALSE))</f>
        <v>1835.7070000000001</v>
      </c>
      <c r="P245">
        <f ca="1">IF(AND(ISNUMBER($P$545),$B$294=1),$P$545,HLOOKUP(INDIRECT(ADDRESS(2,COLUMN())),OFFSET($BN$2,0,0,ROW()-1,60),ROW()-1,FALSE))</f>
        <v>788.13699999999994</v>
      </c>
      <c r="Q245">
        <f ca="1">IF(AND(ISNUMBER($Q$545),$B$294=1),$Q$545,HLOOKUP(INDIRECT(ADDRESS(2,COLUMN())),OFFSET($BN$2,0,0,ROW()-1,60),ROW()-1,FALSE))</f>
        <v>516.33699999999999</v>
      </c>
      <c r="R245">
        <f ca="1">IF(AND(ISNUMBER($R$545),$B$294=1),$R$545,HLOOKUP(INDIRECT(ADDRESS(2,COLUMN())),OFFSET($BN$2,0,0,ROW()-1,60),ROW()-1,FALSE))</f>
        <v>1067.568</v>
      </c>
      <c r="S245">
        <f ca="1">IF(AND(ISNUMBER($S$545),$B$294=1),$S$545,HLOOKUP(INDIRECT(ADDRESS(2,COLUMN())),OFFSET($BN$2,0,0,ROW()-1,60),ROW()-1,FALSE))</f>
        <v>1198.4770000000001</v>
      </c>
      <c r="T245">
        <f ca="1">IF(AND(ISNUMBER($T$545),$B$294=1),$T$545,HLOOKUP(INDIRECT(ADDRESS(2,COLUMN())),OFFSET($BN$2,0,0,ROW()-1,60),ROW()-1,FALSE))</f>
        <v>1683.1420000000001</v>
      </c>
      <c r="U245">
        <f ca="1">IF(AND(ISNUMBER($U$545),$B$294=1),$U$545,HLOOKUP(INDIRECT(ADDRESS(2,COLUMN())),OFFSET($BN$2,0,0,ROW()-1,60),ROW()-1,FALSE))</f>
        <v>1371.2260000000001</v>
      </c>
      <c r="V245">
        <f ca="1">IF(AND(ISNUMBER($V$545),$B$294=1),$V$545,HLOOKUP(INDIRECT(ADDRESS(2,COLUMN())),OFFSET($BN$2,0,0,ROW()-1,60),ROW()-1,FALSE))</f>
        <v>1156.7270000000001</v>
      </c>
      <c r="W245">
        <f ca="1">IF(AND(ISNUMBER($W$545),$B$294=1),$W$545,HLOOKUP(INDIRECT(ADDRESS(2,COLUMN())),OFFSET($BN$2,0,0,ROW()-1,60),ROW()-1,FALSE))</f>
        <v>583.29</v>
      </c>
      <c r="X245">
        <f ca="1">IF(AND(ISNUMBER($X$545),$B$294=1),$X$545,HLOOKUP(INDIRECT(ADDRESS(2,COLUMN())),OFFSET($BN$2,0,0,ROW()-1,60),ROW()-1,FALSE))</f>
        <v>872.32299999999998</v>
      </c>
      <c r="Y245">
        <f ca="1">IF(AND(ISNUMBER($Y$545),$B$294=1),$Y$545,HLOOKUP(INDIRECT(ADDRESS(2,COLUMN())),OFFSET($BN$2,0,0,ROW()-1,60),ROW()-1,FALSE))</f>
        <v>781.65499999999997</v>
      </c>
      <c r="Z245">
        <f ca="1">IF(AND(ISNUMBER($Z$545),$B$294=1),$Z$545,HLOOKUP(INDIRECT(ADDRESS(2,COLUMN())),OFFSET($BN$2,0,0,ROW()-1,60),ROW()-1,FALSE))</f>
        <v>585.82299999999998</v>
      </c>
      <c r="AA245">
        <f ca="1">IF(AND(ISNUMBER($AA$545),$B$294=1),$AA$545,HLOOKUP(INDIRECT(ADDRESS(2,COLUMN())),OFFSET($BN$2,0,0,ROW()-1,60),ROW()-1,FALSE))</f>
        <v>960.31899999999996</v>
      </c>
      <c r="AB245">
        <f ca="1">IF(AND(ISNUMBER($AB$545),$B$294=1),$AB$545,HLOOKUP(INDIRECT(ADDRESS(2,COLUMN())),OFFSET($BN$2,0,0,ROW()-1,60),ROW()-1,FALSE))</f>
        <v>465.88400000000001</v>
      </c>
      <c r="AC245">
        <f ca="1">IF(AND(ISNUMBER($AC$545),$B$294=1),$AC$545,HLOOKUP(INDIRECT(ADDRESS(2,COLUMN())),OFFSET($BN$2,0,0,ROW()-1,60),ROW()-1,FALSE))</f>
        <v>471.363</v>
      </c>
      <c r="AD245">
        <f ca="1">IF(AND(ISNUMBER($AD$545),$B$294=1),$AD$545,HLOOKUP(INDIRECT(ADDRESS(2,COLUMN())),OFFSET($BN$2,0,0,ROW()-1,60),ROW()-1,FALSE))</f>
        <v>614.35900000000004</v>
      </c>
      <c r="AE245">
        <f ca="1">IF(AND(ISNUMBER($AE$545),$B$294=1),$AE$545,HLOOKUP(INDIRECT(ADDRESS(2,COLUMN())),OFFSET($BN$2,0,0,ROW()-1,60),ROW()-1,FALSE))</f>
        <v>606.553</v>
      </c>
      <c r="AF245">
        <f ca="1">IF(AND(ISNUMBER($AF$545),$B$294=1),$AF$545,HLOOKUP(INDIRECT(ADDRESS(2,COLUMN())),OFFSET($BN$2,0,0,ROW()-1,60),ROW()-1,FALSE))</f>
        <v>585.18299999999999</v>
      </c>
      <c r="AG245">
        <f ca="1">IF(AND(ISNUMBER($AG$545),$B$294=1),$AG$545,HLOOKUP(INDIRECT(ADDRESS(2,COLUMN())),OFFSET($BN$2,0,0,ROW()-1,60),ROW()-1,FALSE))</f>
        <v>591.51499999999999</v>
      </c>
      <c r="AH245">
        <f ca="1">IF(AND(ISNUMBER($AH$545),$B$294=1),$AH$545,HLOOKUP(INDIRECT(ADDRESS(2,COLUMN())),OFFSET($BN$2,0,0,ROW()-1,60),ROW()-1,FALSE))</f>
        <v>618.36099999999999</v>
      </c>
      <c r="AI245">
        <f ca="1">IF(AND(ISNUMBER($AI$545),$B$294=1),$AI$545,HLOOKUP(INDIRECT(ADDRESS(2,COLUMN())),OFFSET($BN$2,0,0,ROW()-1,60),ROW()-1,FALSE))</f>
        <v>690.78899999999999</v>
      </c>
      <c r="AJ245">
        <f ca="1">IF(AND(ISNUMBER($AJ$545),$B$294=1),$AJ$545,HLOOKUP(INDIRECT(ADDRESS(2,COLUMN())),OFFSET($BN$2,0,0,ROW()-1,60),ROW()-1,FALSE))</f>
        <v>846.25400000000002</v>
      </c>
      <c r="AK245">
        <f ca="1">IF(AND(ISNUMBER($AK$545),$B$294=1),$AK$545,HLOOKUP(INDIRECT(ADDRESS(2,COLUMN())),OFFSET($BN$2,0,0,ROW()-1,60),ROW()-1,FALSE))</f>
        <v>652.12099999999998</v>
      </c>
      <c r="AL245">
        <f ca="1">IF(AND(ISNUMBER($AL$545),$B$294=1),$AL$545,HLOOKUP(INDIRECT(ADDRESS(2,COLUMN())),OFFSET($BN$2,0,0,ROW()-1,60),ROW()-1,FALSE))</f>
        <v>788.94</v>
      </c>
      <c r="AM245">
        <f ca="1">IF(AND(ISNUMBER($AM$545),$B$294=1),$AM$545,HLOOKUP(INDIRECT(ADDRESS(2,COLUMN())),OFFSET($BN$2,0,0,ROW()-1,60),ROW()-1,FALSE))</f>
        <v>829.42899999999997</v>
      </c>
      <c r="AN245">
        <f ca="1">IF(AND(ISNUMBER($AN$545),$B$294=1),$AN$545,HLOOKUP(INDIRECT(ADDRESS(2,COLUMN())),OFFSET($BN$2,0,0,ROW()-1,60),ROW()-1,FALSE))</f>
        <v>2560.011</v>
      </c>
      <c r="AO245">
        <f ca="1">IF(AND(ISNUMBER($AO$545),$B$294=1),$AO$545,HLOOKUP(INDIRECT(ADDRESS(2,COLUMN())),OFFSET($BN$2,0,0,ROW()-1,60),ROW()-1,FALSE))</f>
        <v>2068.498</v>
      </c>
      <c r="AP245">
        <f ca="1">IF(AND(ISNUMBER($AP$545),$B$294=1),$AP$545,HLOOKUP(INDIRECT(ADDRESS(2,COLUMN())),OFFSET($BN$2,0,0,ROW()-1,60),ROW()-1,FALSE))</f>
        <v>1625.45</v>
      </c>
      <c r="AQ245">
        <f ca="1">IF(AND(ISNUMBER($AQ$545),$B$294=1),$AQ$545,HLOOKUP(INDIRECT(ADDRESS(2,COLUMN())),OFFSET($BN$2,0,0,ROW()-1,60),ROW()-1,FALSE))</f>
        <v>1526.8530000000001</v>
      </c>
      <c r="AR245">
        <f ca="1">IF(AND(ISNUMBER($AR$545),$B$294=1),$AR$545,HLOOKUP(INDIRECT(ADDRESS(2,COLUMN())),OFFSET($BN$2,0,0,ROW()-1,60),ROW()-1,FALSE))</f>
        <v>1529.0119999999999</v>
      </c>
      <c r="AS245">
        <f ca="1">IF(AND(ISNUMBER($AS$545),$B$294=1),$AS$545,HLOOKUP(INDIRECT(ADDRESS(2,COLUMN())),OFFSET($BN$2,0,0,ROW()-1,60),ROW()-1,FALSE))</f>
        <v>1712.0319999999999</v>
      </c>
      <c r="AT245">
        <f ca="1">IF(AND(ISNUMBER($AT$545),$B$294=1),$AT$545,HLOOKUP(INDIRECT(ADDRESS(2,COLUMN())),OFFSET($BN$2,0,0,ROW()-1,60),ROW()-1,FALSE))</f>
        <v>1541.0740000000001</v>
      </c>
      <c r="AU245">
        <f ca="1">IF(AND(ISNUMBER($AU$545),$B$294=1),$AU$545,HLOOKUP(INDIRECT(ADDRESS(2,COLUMN())),OFFSET($BN$2,0,0,ROW()-1,60),ROW()-1,FALSE))</f>
        <v>1154.595</v>
      </c>
      <c r="AV245">
        <f ca="1">IF(AND(ISNUMBER($AV$545),$B$294=1),$AV$545,HLOOKUP(INDIRECT(ADDRESS(2,COLUMN())),OFFSET($BN$2,0,0,ROW()-1,60),ROW()-1,FALSE))</f>
        <v>834.274</v>
      </c>
      <c r="AW245">
        <f ca="1">IF(AND(ISNUMBER($AW$545),$B$294=1),$AW$545,HLOOKUP(INDIRECT(ADDRESS(2,COLUMN())),OFFSET($BN$2,0,0,ROW()-1,60),ROW()-1,FALSE))</f>
        <v>743.50599999999997</v>
      </c>
      <c r="AX245">
        <f ca="1">IF(AND(ISNUMBER($AX$545),$B$294=1),$AX$545,HLOOKUP(INDIRECT(ADDRESS(2,COLUMN())),OFFSET($BN$2,0,0,ROW()-1,60),ROW()-1,FALSE))</f>
        <v>2884.674</v>
      </c>
      <c r="AY245">
        <f ca="1">IF(AND(ISNUMBER($AY$545),$B$294=1),$AY$545,HLOOKUP(INDIRECT(ADDRESS(2,COLUMN())),OFFSET($BN$2,0,0,ROW()-1,60),ROW()-1,FALSE))</f>
        <v>2233.317</v>
      </c>
      <c r="AZ245">
        <f ca="1">IF(AND(ISNUMBER($AZ$545),$B$294=1),$AZ$545,HLOOKUP(INDIRECT(ADDRESS(2,COLUMN())),OFFSET($BN$2,0,0,ROW()-1,60),ROW()-1,FALSE))</f>
        <v>386.88200000000001</v>
      </c>
      <c r="BA245">
        <f ca="1">IF(AND(ISNUMBER($BA$545),$B$294=1),$BA$545,HLOOKUP(INDIRECT(ADDRESS(2,COLUMN())),OFFSET($BN$2,0,0,ROW()-1,60),ROW()-1,FALSE))</f>
        <v>494.39</v>
      </c>
      <c r="BB245">
        <f ca="1">IF(AND(ISNUMBER($BB$545),$B$294=1),$BB$545,HLOOKUP(INDIRECT(ADDRESS(2,COLUMN())),OFFSET($BN$2,0,0,ROW()-1,60),ROW()-1,FALSE))</f>
        <v>579.92999999999995</v>
      </c>
      <c r="BC245">
        <f ca="1">IF(AND(ISNUMBER($BC$545),$B$294=1),$BC$545,HLOOKUP(INDIRECT(ADDRESS(2,COLUMN())),OFFSET($BN$2,0,0,ROW()-1,60),ROW()-1,FALSE))</f>
        <v>294.50400000000002</v>
      </c>
      <c r="BD245">
        <f ca="1">IF(AND(ISNUMBER($BD$545),$B$294=1),$BD$545,HLOOKUP(INDIRECT(ADDRESS(2,COLUMN())),OFFSET($BN$2,0,0,ROW()-1,60),ROW()-1,FALSE))</f>
        <v>394.46100000000001</v>
      </c>
      <c r="BE245">
        <f ca="1">IF(AND(ISNUMBER($BE$545),$B$294=1),$BE$545,HLOOKUP(INDIRECT(ADDRESS(2,COLUMN())),OFFSET($BN$2,0,0,ROW()-1,60),ROW()-1,FALSE))</f>
        <v>842.09799999999996</v>
      </c>
      <c r="BF245">
        <f ca="1">IF(AND(ISNUMBER($BF$545),$B$294=1),$BF$545,HLOOKUP(INDIRECT(ADDRESS(2,COLUMN())),OFFSET($BN$2,0,0,ROW()-1,60),ROW()-1,FALSE))</f>
        <v>974.33</v>
      </c>
      <c r="BG245">
        <f ca="1">IF(AND(ISNUMBER($BG$545),$B$294=1),$BG$545,HLOOKUP(INDIRECT(ADDRESS(2,COLUMN())),OFFSET($BN$2,0,0,ROW()-1,60),ROW()-1,FALSE))</f>
        <v>599.28200000000004</v>
      </c>
      <c r="BH245">
        <f ca="1">IF(AND(ISNUMBER($BH$545),$B$294=1),$BH$545,HLOOKUP(INDIRECT(ADDRESS(2,COLUMN())),OFFSET($BN$2,0,0,ROW()-1,60),ROW()-1,FALSE))</f>
        <v>212.074005</v>
      </c>
      <c r="BI245">
        <f ca="1">IF(AND(ISNUMBER($BI$545),$B$294=1),$BI$545,HLOOKUP(INDIRECT(ADDRESS(2,COLUMN())),OFFSET($BN$2,0,0,ROW()-1,60),ROW()-1,FALSE))</f>
        <v>225.435013</v>
      </c>
      <c r="BJ245">
        <f ca="1">IF(AND(ISNUMBER($BJ$545),$B$294=1),$BJ$545,HLOOKUP(INDIRECT(ADDRESS(2,COLUMN())),OFFSET($BN$2,0,0,ROW()-1,60),ROW()-1,FALSE))</f>
        <v>291.01797499999998</v>
      </c>
      <c r="BK245">
        <f ca="1">IF(AND(ISNUMBER($BK$545),$B$294=1),$BK$545,HLOOKUP(INDIRECT(ADDRESS(2,COLUMN())),OFFSET($BN$2,0,0,ROW()-1,60),ROW()-1,FALSE))</f>
        <v>320.54199199999999</v>
      </c>
      <c r="BL245">
        <f ca="1">IF(AND(ISNUMBER($BL$545),$B$294=1),$BL$545,HLOOKUP(INDIRECT(ADDRESS(2,COLUMN())),OFFSET($BN$2,0,0,ROW()-1,60),ROW()-1,FALSE))</f>
        <v>123.858002</v>
      </c>
      <c r="BM245">
        <f ca="1">IF(AND(ISNUMBER($BM$545),$B$294=1),$BM$545,HLOOKUP(INDIRECT(ADDRESS(2,COLUMN())),OFFSET($BN$2,0,0,ROW()-1,60),ROW()-1,FALSE))</f>
        <v>173.19900000000001</v>
      </c>
      <c r="BN245" t="str">
        <f>""</f>
        <v/>
      </c>
      <c r="BO245">
        <f>1817.655</f>
        <v>1817.655</v>
      </c>
      <c r="BP245">
        <f>1282.23</f>
        <v>1282.23</v>
      </c>
      <c r="BQ245">
        <f>1471.303</f>
        <v>1471.3030000000001</v>
      </c>
      <c r="BR245">
        <f>1484.814</f>
        <v>1484.8140000000001</v>
      </c>
      <c r="BS245">
        <f>1501.027</f>
        <v>1501.027</v>
      </c>
      <c r="BT245">
        <f>1352.697</f>
        <v>1352.6969999999999</v>
      </c>
      <c r="BU245">
        <f>1644.067</f>
        <v>1644.067</v>
      </c>
      <c r="BV245">
        <f>1673.566</f>
        <v>1673.566</v>
      </c>
      <c r="BW245">
        <f>1835.707</f>
        <v>1835.7070000000001</v>
      </c>
      <c r="BX245">
        <f>788.137</f>
        <v>788.13699999999994</v>
      </c>
      <c r="BY245">
        <f>516.337</f>
        <v>516.33699999999999</v>
      </c>
      <c r="BZ245">
        <f>1067.568</f>
        <v>1067.568</v>
      </c>
      <c r="CA245">
        <f>1198.477</f>
        <v>1198.4770000000001</v>
      </c>
      <c r="CB245">
        <f>1683.142</f>
        <v>1683.1420000000001</v>
      </c>
      <c r="CC245">
        <f>1371.226</f>
        <v>1371.2260000000001</v>
      </c>
      <c r="CD245">
        <f>1156.727</f>
        <v>1156.7270000000001</v>
      </c>
      <c r="CE245">
        <f>583.29</f>
        <v>583.29</v>
      </c>
      <c r="CF245">
        <f>872.323</f>
        <v>872.32299999999998</v>
      </c>
      <c r="CG245">
        <f>781.655</f>
        <v>781.65499999999997</v>
      </c>
      <c r="CH245">
        <f>585.823</f>
        <v>585.82299999999998</v>
      </c>
      <c r="CI245">
        <f>960.319</f>
        <v>960.31899999999996</v>
      </c>
      <c r="CJ245">
        <f>465.884</f>
        <v>465.88400000000001</v>
      </c>
      <c r="CK245">
        <f>471.363</f>
        <v>471.363</v>
      </c>
      <c r="CL245">
        <f>614.359</f>
        <v>614.35900000000004</v>
      </c>
      <c r="CM245">
        <f>606.553</f>
        <v>606.553</v>
      </c>
      <c r="CN245">
        <f>585.183</f>
        <v>585.18299999999999</v>
      </c>
      <c r="CO245">
        <f>591.515</f>
        <v>591.51499999999999</v>
      </c>
      <c r="CP245">
        <f>618.361</f>
        <v>618.36099999999999</v>
      </c>
      <c r="CQ245">
        <f>690.789</f>
        <v>690.78899999999999</v>
      </c>
      <c r="CR245">
        <f>846.254</f>
        <v>846.25400000000002</v>
      </c>
      <c r="CS245">
        <f>652.121</f>
        <v>652.12099999999998</v>
      </c>
      <c r="CT245">
        <f>788.94</f>
        <v>788.94</v>
      </c>
      <c r="CU245">
        <f>829.429</f>
        <v>829.42899999999997</v>
      </c>
      <c r="CV245">
        <f>2560.011</f>
        <v>2560.011</v>
      </c>
      <c r="CW245">
        <f>2068.498</f>
        <v>2068.498</v>
      </c>
      <c r="CX245">
        <f>1625.45</f>
        <v>1625.45</v>
      </c>
      <c r="CY245">
        <f>1526.853</f>
        <v>1526.8530000000001</v>
      </c>
      <c r="CZ245">
        <f>1529.012</f>
        <v>1529.0119999999999</v>
      </c>
      <c r="DA245">
        <f>1712.032</f>
        <v>1712.0319999999999</v>
      </c>
      <c r="DB245">
        <f>1541.074</f>
        <v>1541.0740000000001</v>
      </c>
      <c r="DC245">
        <f>1154.595</f>
        <v>1154.595</v>
      </c>
      <c r="DD245">
        <f>834.274</f>
        <v>834.274</v>
      </c>
      <c r="DE245">
        <f>743.506</f>
        <v>743.50599999999997</v>
      </c>
      <c r="DF245">
        <f>2884.674</f>
        <v>2884.674</v>
      </c>
      <c r="DG245">
        <f>2233.317</f>
        <v>2233.317</v>
      </c>
      <c r="DH245">
        <f>386.882</f>
        <v>386.88200000000001</v>
      </c>
      <c r="DI245">
        <f>494.39</f>
        <v>494.39</v>
      </c>
      <c r="DJ245">
        <f>579.93</f>
        <v>579.92999999999995</v>
      </c>
      <c r="DK245">
        <f>294.504</f>
        <v>294.50400000000002</v>
      </c>
      <c r="DL245">
        <f>394.461</f>
        <v>394.46100000000001</v>
      </c>
      <c r="DM245">
        <f>842.098</f>
        <v>842.09799999999996</v>
      </c>
      <c r="DN245">
        <f>974.33</f>
        <v>974.33</v>
      </c>
      <c r="DO245">
        <f>599.282</f>
        <v>599.28200000000004</v>
      </c>
      <c r="DP245">
        <f>212.074005</f>
        <v>212.074005</v>
      </c>
      <c r="DQ245">
        <f>225.435013</f>
        <v>225.435013</v>
      </c>
      <c r="DR245">
        <f>291.017975</f>
        <v>291.01797499999998</v>
      </c>
      <c r="DS245">
        <f>320.541992</f>
        <v>320.54199199999999</v>
      </c>
      <c r="DT245">
        <f>123.858002</f>
        <v>123.858002</v>
      </c>
      <c r="DU245">
        <f>173.199</f>
        <v>173.19900000000001</v>
      </c>
    </row>
    <row r="246" spans="1:125">
      <c r="A246" t="str">
        <f>"自由现金流减去资本支出"</f>
        <v>自由现金流减去资本支出</v>
      </c>
      <c r="B246" t="str">
        <f>""</f>
        <v/>
      </c>
      <c r="E246" t="str">
        <f>"Median"</f>
        <v>Median</v>
      </c>
      <c r="F246" t="str">
        <f ca="1">IF(ISERROR(IF(MEDIAN($F$247:$F$256) = 0, "", MEDIAN($F$247:$F$256))), "", (IF(MEDIAN($F$247:$F$256) = 0, "", MEDIAN($F$247:$F$256))))</f>
        <v/>
      </c>
      <c r="G246">
        <f ca="1">IF(ISERROR(IF(MEDIAN($G$247:$G$256) = 0, "", MEDIAN($G$247:$G$256))), "", (IF(MEDIAN($G$247:$G$256) = 0, "", MEDIAN($G$247:$G$256))))</f>
        <v>-7.5194999999999999</v>
      </c>
      <c r="H246">
        <f ca="1">IF(ISERROR(IF(MEDIAN($H$247:$H$256) = 0, "", MEDIAN($H$247:$H$256))), "", (IF(MEDIAN($H$247:$H$256) = 0, "", MEDIAN($H$247:$H$256))))</f>
        <v>-10.436</v>
      </c>
      <c r="I246">
        <f ca="1">IF(ISERROR(IF(MEDIAN($I$247:$I$256) = 0, "", MEDIAN($I$247:$I$256))), "", (IF(MEDIAN($I$247:$I$256) = 0, "", MEDIAN($I$247:$I$256))))</f>
        <v>2.455000000000001</v>
      </c>
      <c r="J246">
        <f ca="1">IF(ISERROR(IF(MEDIAN($J$247:$J$256) = 0, "", MEDIAN($J$247:$J$256))), "", (IF(MEDIAN($J$247:$J$256) = 0, "", MEDIAN($J$247:$J$256))))</f>
        <v>4.5809999999999995</v>
      </c>
      <c r="K246">
        <f ca="1">IF(ISERROR(IF(MEDIAN($K$247:$K$256) = 0, "", MEDIAN($K$247:$K$256))), "", (IF(MEDIAN($K$247:$K$256) = 0, "", MEDIAN($K$247:$K$256))))</f>
        <v>-3.379999999999999</v>
      </c>
      <c r="L246">
        <f ca="1">IF(ISERROR(IF(MEDIAN($L$247:$L$256) = 0, "", MEDIAN($L$247:$L$256))), "", (IF(MEDIAN($L$247:$L$256) = 0, "", MEDIAN($L$247:$L$256))))</f>
        <v>-19.6035</v>
      </c>
      <c r="M246">
        <f ca="1">IF(ISERROR(IF(MEDIAN($M$247:$M$256) = 0, "", MEDIAN($M$247:$M$256))), "", (IF(MEDIAN($M$247:$M$256) = 0, "", MEDIAN($M$247:$M$256))))</f>
        <v>-8.5094999999999992</v>
      </c>
      <c r="N246">
        <f ca="1">IF(ISERROR(IF(MEDIAN($N$247:$N$256) = 0, "", MEDIAN($N$247:$N$256))), "", (IF(MEDIAN($N$247:$N$256) = 0, "", MEDIAN($N$247:$N$256))))</f>
        <v>0.13100000000000023</v>
      </c>
      <c r="O246">
        <f ca="1">IF(ISERROR(IF(MEDIAN($O$247:$O$256) = 0, "", MEDIAN($O$247:$O$256))), "", (IF(MEDIAN($O$247:$O$256) = 0, "", MEDIAN($O$247:$O$256))))</f>
        <v>-40.243499999999997</v>
      </c>
      <c r="P246">
        <f ca="1">IF(ISERROR(IF(MEDIAN($P$247:$P$256) = 0, "", MEDIAN($P$247:$P$256))), "", (IF(MEDIAN($P$247:$P$256) = 0, "", MEDIAN($P$247:$P$256))))</f>
        <v>-35.673000000000002</v>
      </c>
      <c r="Q246">
        <f ca="1">IF(ISERROR(IF(MEDIAN($Q$247:$Q$256) = 0, "", MEDIAN($Q$247:$Q$256))), "", (IF(MEDIAN($Q$247:$Q$256) = 0, "", MEDIAN($Q$247:$Q$256))))</f>
        <v>13.055999999999999</v>
      </c>
      <c r="R246">
        <f ca="1">IF(ISERROR(IF(MEDIAN($R$247:$R$256) = 0, "", MEDIAN($R$247:$R$256))), "", (IF(MEDIAN($R$247:$R$256) = 0, "", MEDIAN($R$247:$R$256))))</f>
        <v>-5.3175000000000008</v>
      </c>
      <c r="S246">
        <f ca="1">IF(ISERROR(IF(MEDIAN($S$247:$S$256) = 0, "", MEDIAN($S$247:$S$256))), "", (IF(MEDIAN($S$247:$S$256) = 0, "", MEDIAN($S$247:$S$256))))</f>
        <v>-72.06</v>
      </c>
      <c r="T246">
        <f ca="1">IF(ISERROR(IF(MEDIAN($T$247:$T$256) = 0, "", MEDIAN($T$247:$T$256))), "", (IF(MEDIAN($T$247:$T$256) = 0, "", MEDIAN($T$247:$T$256))))</f>
        <v>-17.413499999999999</v>
      </c>
      <c r="U246">
        <f ca="1">IF(ISERROR(IF(MEDIAN($U$247:$U$256) = 0, "", MEDIAN($U$247:$U$256))), "", (IF(MEDIAN($U$247:$U$256) = 0, "", MEDIAN($U$247:$U$256))))</f>
        <v>-20.771999999999998</v>
      </c>
      <c r="V246">
        <f ca="1">IF(ISERROR(IF(MEDIAN($V$247:$V$256) = 0, "", MEDIAN($V$247:$V$256))), "", (IF(MEDIAN($V$247:$V$256) = 0, "", MEDIAN($V$247:$V$256))))</f>
        <v>5.117</v>
      </c>
      <c r="W246">
        <f ca="1">IF(ISERROR(IF(MEDIAN($W$247:$W$256) = 0, "", MEDIAN($W$247:$W$256))), "", (IF(MEDIAN($W$247:$W$256) = 0, "", MEDIAN($W$247:$W$256))))</f>
        <v>-43.770499999999998</v>
      </c>
      <c r="X246">
        <f ca="1">IF(ISERROR(IF(MEDIAN($X$247:$X$256) = 0, "", MEDIAN($X$247:$X$256))), "", (IF(MEDIAN($X$247:$X$256) = 0, "", MEDIAN($X$247:$X$256))))</f>
        <v>18.006</v>
      </c>
      <c r="Y246">
        <f ca="1">IF(ISERROR(IF(MEDIAN($Y$247:$Y$256) = 0, "", MEDIAN($Y$247:$Y$256))), "", (IF(MEDIAN($Y$247:$Y$256) = 0, "", MEDIAN($Y$247:$Y$256))))</f>
        <v>-38.872</v>
      </c>
      <c r="Z246">
        <f ca="1">IF(ISERROR(IF(MEDIAN($Z$247:$Z$256) = 0, "", MEDIAN($Z$247:$Z$256))), "", (IF(MEDIAN($Z$247:$Z$256) = 0, "", MEDIAN($Z$247:$Z$256))))</f>
        <v>-24.5535</v>
      </c>
      <c r="AA246">
        <f ca="1">IF(ISERROR(IF(MEDIAN($AA$247:$AA$256) = 0, "", MEDIAN($AA$247:$AA$256))), "", (IF(MEDIAN($AA$247:$AA$256) = 0, "", MEDIAN($AA$247:$AA$256))))</f>
        <v>-93.506499999999988</v>
      </c>
      <c r="AB246">
        <f ca="1">IF(ISERROR(IF(MEDIAN($AB$247:$AB$256) = 0, "", MEDIAN($AB$247:$AB$256))), "", (IF(MEDIAN($AB$247:$AB$256) = 0, "", MEDIAN($AB$247:$AB$256))))</f>
        <v>-35.818999999999996</v>
      </c>
      <c r="AC246">
        <f ca="1">IF(ISERROR(IF(MEDIAN($AC$247:$AC$256) = 0, "", MEDIAN($AC$247:$AC$256))), "", (IF(MEDIAN($AC$247:$AC$256) = 0, "", MEDIAN($AC$247:$AC$256))))</f>
        <v>16.285</v>
      </c>
      <c r="AD246">
        <f ca="1">IF(ISERROR(IF(MEDIAN($AD$247:$AD$256) = 0, "", MEDIAN($AD$247:$AD$256))), "", (IF(MEDIAN($AD$247:$AD$256) = 0, "", MEDIAN($AD$247:$AD$256))))</f>
        <v>5.3814999999999991</v>
      </c>
      <c r="AE246">
        <f ca="1">IF(ISERROR(IF(MEDIAN($AE$247:$AE$256) = 0, "", MEDIAN($AE$247:$AE$256))), "", (IF(MEDIAN($AE$247:$AE$256) = 0, "", MEDIAN($AE$247:$AE$256))))</f>
        <v>-5.6720000000000006</v>
      </c>
      <c r="AF246">
        <f ca="1">IF(ISERROR(IF(MEDIAN($AF$247:$AF$256) = 0, "", MEDIAN($AF$247:$AF$256))), "", (IF(MEDIAN($AF$247:$AF$256) = 0, "", MEDIAN($AF$247:$AF$256))))</f>
        <v>15.836</v>
      </c>
      <c r="AG246">
        <f ca="1">IF(ISERROR(IF(MEDIAN($AG$247:$AG$256) = 0, "", MEDIAN($AG$247:$AG$256))), "", (IF(MEDIAN($AG$247:$AG$256) = 0, "", MEDIAN($AG$247:$AG$256))))</f>
        <v>2.3949999999999996</v>
      </c>
      <c r="AH246">
        <f ca="1">IF(ISERROR(IF(MEDIAN($AH$247:$AH$256) = 0, "", MEDIAN($AH$247:$AH$256))), "", (IF(MEDIAN($AH$247:$AH$256) = 0, "", MEDIAN($AH$247:$AH$256))))</f>
        <v>25.9465</v>
      </c>
      <c r="AI246">
        <f ca="1">IF(ISERROR(IF(MEDIAN($AI$247:$AI$256) = 0, "", MEDIAN($AI$247:$AI$256))), "", (IF(MEDIAN($AI$247:$AI$256) = 0, "", MEDIAN($AI$247:$AI$256))))</f>
        <v>-30.762499999999999</v>
      </c>
      <c r="AJ246">
        <f ca="1">IF(ISERROR(IF(MEDIAN($AJ$247:$AJ$256) = 0, "", MEDIAN($AJ$247:$AJ$256))), "", (IF(MEDIAN($AJ$247:$AJ$256) = 0, "", MEDIAN($AJ$247:$AJ$256))))</f>
        <v>-23.820999999999998</v>
      </c>
      <c r="AK246">
        <f ca="1">IF(ISERROR(IF(MEDIAN($AK$247:$AK$256) = 0, "", MEDIAN($AK$247:$AK$256))), "", (IF(MEDIAN($AK$247:$AK$256) = 0, "", MEDIAN($AK$247:$AK$256))))</f>
        <v>48.731000000000002</v>
      </c>
      <c r="AL246">
        <f ca="1">IF(ISERROR(IF(MEDIAN($AL$247:$AL$256) = 0, "", MEDIAN($AL$247:$AL$256))), "", (IF(MEDIAN($AL$247:$AL$256) = 0, "", MEDIAN($AL$247:$AL$256))))</f>
        <v>26.057000000000002</v>
      </c>
      <c r="AM246">
        <f ca="1">IF(ISERROR(IF(MEDIAN($AM$247:$AM$256) = 0, "", MEDIAN($AM$247:$AM$256))), "", (IF(MEDIAN($AM$247:$AM$256) = 0, "", MEDIAN($AM$247:$AM$256))))</f>
        <v>33.302500000000002</v>
      </c>
      <c r="AN246">
        <f ca="1">IF(ISERROR(IF(MEDIAN($AN$247:$AN$256) = 0, "", MEDIAN($AN$247:$AN$256))), "", (IF(MEDIAN($AN$247:$AN$256) = 0, "", MEDIAN($AN$247:$AN$256))))</f>
        <v>21.485500000000002</v>
      </c>
      <c r="AO246">
        <f ca="1">IF(ISERROR(IF(MEDIAN($AO$247:$AO$256) = 0, "", MEDIAN($AO$247:$AO$256))), "", (IF(MEDIAN($AO$247:$AO$256) = 0, "", MEDIAN($AO$247:$AO$256))))</f>
        <v>40.328000000000003</v>
      </c>
      <c r="AP246">
        <f ca="1">IF(ISERROR(IF(MEDIAN($AP$247:$AP$256) = 0, "", MEDIAN($AP$247:$AP$256))), "", (IF(MEDIAN($AP$247:$AP$256) = 0, "", MEDIAN($AP$247:$AP$256))))</f>
        <v>29.234000000000002</v>
      </c>
      <c r="AQ246">
        <f ca="1">IF(ISERROR(IF(MEDIAN($AQ$247:$AQ$256) = 0, "", MEDIAN($AQ$247:$AQ$256))), "", (IF(MEDIAN($AQ$247:$AQ$256) = 0, "", MEDIAN($AQ$247:$AQ$256))))</f>
        <v>37.850999999999999</v>
      </c>
      <c r="AR246">
        <f ca="1">IF(ISERROR(IF(MEDIAN($AR$247:$AR$256) = 0, "", MEDIAN($AR$247:$AR$256))), "", (IF(MEDIAN($AR$247:$AR$256) = 0, "", MEDIAN($AR$247:$AR$256))))</f>
        <v>26.683</v>
      </c>
      <c r="AS246">
        <f ca="1">IF(ISERROR(IF(MEDIAN($AS$247:$AS$256) = 0, "", MEDIAN($AS$247:$AS$256))), "", (IF(MEDIAN($AS$247:$AS$256) = 0, "", MEDIAN($AS$247:$AS$256))))</f>
        <v>3.585</v>
      </c>
      <c r="AT246">
        <f ca="1">IF(ISERROR(IF(MEDIAN($AT$247:$AT$256) = 0, "", MEDIAN($AT$247:$AT$256))), "", (IF(MEDIAN($AT$247:$AT$256) = 0, "", MEDIAN($AT$247:$AT$256))))</f>
        <v>11.305</v>
      </c>
      <c r="AU246">
        <f ca="1">IF(ISERROR(IF(MEDIAN($AU$247:$AU$256) = 0, "", MEDIAN($AU$247:$AU$256))), "", (IF(MEDIAN($AU$247:$AU$256) = 0, "", MEDIAN($AU$247:$AU$256))))</f>
        <v>-34.488999999999997</v>
      </c>
      <c r="AV246">
        <f ca="1">IF(ISERROR(IF(MEDIAN($AV$247:$AV$256) = 0, "", MEDIAN($AV$247:$AV$256))), "", (IF(MEDIAN($AV$247:$AV$256) = 0, "", MEDIAN($AV$247:$AV$256))))</f>
        <v>-15.199</v>
      </c>
      <c r="AW246">
        <f ca="1">IF(ISERROR(IF(MEDIAN($AW$247:$AW$256) = 0, "", MEDIAN($AW$247:$AW$256))), "", (IF(MEDIAN($AW$247:$AW$256) = 0, "", MEDIAN($AW$247:$AW$256))))</f>
        <v>-26.788</v>
      </c>
      <c r="AX246">
        <f ca="1">IF(ISERROR(IF(MEDIAN($AX$247:$AX$256) = 0, "", MEDIAN($AX$247:$AX$256))), "", (IF(MEDIAN($AX$247:$AX$256) = 0, "", MEDIAN($AX$247:$AX$256))))</f>
        <v>-94.665000000000006</v>
      </c>
      <c r="AY246">
        <f ca="1">IF(ISERROR(IF(MEDIAN($AY$247:$AY$256) = 0, "", MEDIAN($AY$247:$AY$256))), "", (IF(MEDIAN($AY$247:$AY$256) = 0, "", MEDIAN($AY$247:$AY$256))))</f>
        <v>-36.642000000000003</v>
      </c>
      <c r="AZ246">
        <f ca="1">IF(ISERROR(IF(MEDIAN($AZ$247:$AZ$256) = 0, "", MEDIAN($AZ$247:$AZ$256))), "", (IF(MEDIAN($AZ$247:$AZ$256) = 0, "", MEDIAN($AZ$247:$AZ$256))))</f>
        <v>-21.739000000000001</v>
      </c>
      <c r="BA246">
        <f ca="1">IF(ISERROR(IF(MEDIAN($BA$247:$BA$256) = 0, "", MEDIAN($BA$247:$BA$256))), "", (IF(MEDIAN($BA$247:$BA$256) = 0, "", MEDIAN($BA$247:$BA$256))))</f>
        <v>-11.057</v>
      </c>
      <c r="BB246">
        <f ca="1">IF(ISERROR(IF(MEDIAN($BB$247:$BB$256) = 0, "", MEDIAN($BB$247:$BB$256))), "", (IF(MEDIAN($BB$247:$BB$256) = 0, "", MEDIAN($BB$247:$BB$256))))</f>
        <v>-13.476000000000001</v>
      </c>
      <c r="BC246">
        <f ca="1">IF(ISERROR(IF(MEDIAN($BC$247:$BC$256) = 0, "", MEDIAN($BC$247:$BC$256))), "", (IF(MEDIAN($BC$247:$BC$256) = 0, "", MEDIAN($BC$247:$BC$256))))</f>
        <v>-5.952</v>
      </c>
      <c r="BD246">
        <f ca="1">IF(ISERROR(IF(MEDIAN($BD$247:$BD$256) = 0, "", MEDIAN($BD$247:$BD$256))), "", (IF(MEDIAN($BD$247:$BD$256) = 0, "", MEDIAN($BD$247:$BD$256))))</f>
        <v>-1.0669999999999999</v>
      </c>
      <c r="BE246">
        <f ca="1">IF(ISERROR(IF(MEDIAN($BE$247:$BE$256) = 0, "", MEDIAN($BE$247:$BE$256))), "", (IF(MEDIAN($BE$247:$BE$256) = 0, "", MEDIAN($BE$247:$BE$256))))</f>
        <v>-16.715</v>
      </c>
      <c r="BF246">
        <f ca="1">IF(ISERROR(IF(MEDIAN($BF$247:$BF$256) = 0, "", MEDIAN($BF$247:$BF$256))), "", (IF(MEDIAN($BF$247:$BF$256) = 0, "", MEDIAN($BF$247:$BF$256))))</f>
        <v>-3.8119999999999998</v>
      </c>
      <c r="BG246">
        <f ca="1">IF(ISERROR(IF(MEDIAN($BG$247:$BG$256) = 0, "", MEDIAN($BG$247:$BG$256))), "", (IF(MEDIAN($BG$247:$BG$256) = 0, "", MEDIAN($BG$247:$BG$256))))</f>
        <v>-3.6419999999999999</v>
      </c>
      <c r="BH246">
        <f ca="1">IF(ISERROR(IF(MEDIAN($BH$247:$BH$256) = 0, "", MEDIAN($BH$247:$BH$256))), "", (IF(MEDIAN($BH$247:$BH$256) = 0, "", MEDIAN($BH$247:$BH$256))))</f>
        <v>22.629000000000001</v>
      </c>
      <c r="BI246">
        <f ca="1">IF(ISERROR(IF(MEDIAN($BI$247:$BI$256) = 0, "", MEDIAN($BI$247:$BI$256))), "", (IF(MEDIAN($BI$247:$BI$256) = 0, "", MEDIAN($BI$247:$BI$256))))</f>
        <v>12.366998000000001</v>
      </c>
      <c r="BJ246">
        <f ca="1">IF(ISERROR(IF(MEDIAN($BJ$247:$BJ$256) = 0, "", MEDIAN($BJ$247:$BJ$256))), "", (IF(MEDIAN($BJ$247:$BJ$256) = 0, "", MEDIAN($BJ$247:$BJ$256))))</f>
        <v>14.689</v>
      </c>
      <c r="BK246">
        <f ca="1">IF(ISERROR(IF(MEDIAN($BK$247:$BK$256) = 0, "", MEDIAN($BK$247:$BK$256))), "", (IF(MEDIAN($BK$247:$BK$256) = 0, "", MEDIAN($BK$247:$BK$256))))</f>
        <v>-38.656998000000002</v>
      </c>
      <c r="BL246">
        <f ca="1">IF(ISERROR(IF(MEDIAN($BL$247:$BL$256) = 0, "", MEDIAN($BL$247:$BL$256))), "", (IF(MEDIAN($BL$247:$BL$256) = 0, "", MEDIAN($BL$247:$BL$256))))</f>
        <v>11.773</v>
      </c>
      <c r="BM246">
        <f ca="1">IF(ISERROR(IF(MEDIAN($BM$247:$BM$256) = 0, "", MEDIAN($BM$247:$BM$256))), "", (IF(MEDIAN($BM$247:$BM$256) = 0, "", MEDIAN($BM$247:$BM$256))))</f>
        <v>21.855</v>
      </c>
      <c r="BN246" t="str">
        <f>""</f>
        <v/>
      </c>
      <c r="BO246">
        <f>-7.5195</f>
        <v>-7.5194999999999999</v>
      </c>
      <c r="BP246">
        <f>-10.436</f>
        <v>-10.436</v>
      </c>
      <c r="BQ246">
        <f>2.455</f>
        <v>2.4550000000000001</v>
      </c>
      <c r="BR246">
        <f>4.581</f>
        <v>4.5810000000000004</v>
      </c>
      <c r="BS246">
        <f>-3.38</f>
        <v>-3.38</v>
      </c>
      <c r="BT246">
        <f>-19.6035</f>
        <v>-19.6035</v>
      </c>
      <c r="BU246">
        <f>-8.5095</f>
        <v>-8.5094999999999992</v>
      </c>
      <c r="BV246">
        <f>0.131</f>
        <v>0.13100000000000001</v>
      </c>
      <c r="BW246">
        <f>-40.2435</f>
        <v>-40.243499999999997</v>
      </c>
      <c r="BX246">
        <f>-35.673</f>
        <v>-35.673000000000002</v>
      </c>
      <c r="BY246">
        <f>13.056</f>
        <v>13.055999999999999</v>
      </c>
      <c r="BZ246">
        <f>-5.3175</f>
        <v>-5.3174999999999999</v>
      </c>
      <c r="CA246">
        <f>-72.06</f>
        <v>-72.06</v>
      </c>
      <c r="CB246">
        <f>-17.4135</f>
        <v>-17.413499999999999</v>
      </c>
      <c r="CC246">
        <f>-20.772</f>
        <v>-20.771999999999998</v>
      </c>
      <c r="CD246">
        <f>5.117</f>
        <v>5.117</v>
      </c>
      <c r="CE246">
        <f>-43.7705</f>
        <v>-43.770499999999998</v>
      </c>
      <c r="CF246">
        <f>18.006</f>
        <v>18.006</v>
      </c>
      <c r="CG246">
        <f>-38.872</f>
        <v>-38.872</v>
      </c>
      <c r="CH246">
        <f>-24.5535</f>
        <v>-24.5535</v>
      </c>
      <c r="CI246">
        <f>-93.5065</f>
        <v>-93.506500000000003</v>
      </c>
      <c r="CJ246">
        <f>-35.819</f>
        <v>-35.819000000000003</v>
      </c>
      <c r="CK246">
        <f>16.285</f>
        <v>16.285</v>
      </c>
      <c r="CL246">
        <f>5.3815</f>
        <v>5.3815</v>
      </c>
      <c r="CM246">
        <f>-5.672</f>
        <v>-5.6719999999999997</v>
      </c>
      <c r="CN246">
        <f>15.836</f>
        <v>15.836</v>
      </c>
      <c r="CO246">
        <f>2.395</f>
        <v>2.395</v>
      </c>
      <c r="CP246">
        <f>25.9465</f>
        <v>25.9465</v>
      </c>
      <c r="CQ246">
        <f>-30.7625</f>
        <v>-30.762499999999999</v>
      </c>
      <c r="CR246">
        <f>-23.821</f>
        <v>-23.821000000000002</v>
      </c>
      <c r="CS246">
        <f>48.731</f>
        <v>48.731000000000002</v>
      </c>
      <c r="CT246">
        <f>26.057</f>
        <v>26.056999999999999</v>
      </c>
      <c r="CU246">
        <f>33.3025</f>
        <v>33.302500000000002</v>
      </c>
      <c r="CV246">
        <f>21.4855</f>
        <v>21.485499999999998</v>
      </c>
      <c r="CW246">
        <f>40.328</f>
        <v>40.328000000000003</v>
      </c>
      <c r="CX246">
        <f>29.234</f>
        <v>29.234000000000002</v>
      </c>
      <c r="CY246">
        <f>37.851</f>
        <v>37.850999999999999</v>
      </c>
      <c r="CZ246">
        <f>26.683</f>
        <v>26.683</v>
      </c>
      <c r="DA246">
        <f>3.585</f>
        <v>3.585</v>
      </c>
      <c r="DB246">
        <f>11.305</f>
        <v>11.305</v>
      </c>
      <c r="DC246">
        <f>-34.489</f>
        <v>-34.488999999999997</v>
      </c>
      <c r="DD246">
        <f>-15.199</f>
        <v>-15.199</v>
      </c>
      <c r="DE246">
        <f>-26.788</f>
        <v>-26.788</v>
      </c>
      <c r="DF246">
        <f>-94.665</f>
        <v>-94.665000000000006</v>
      </c>
      <c r="DG246">
        <f>-36.642</f>
        <v>-36.642000000000003</v>
      </c>
      <c r="DH246">
        <f>-21.739</f>
        <v>-21.739000000000001</v>
      </c>
      <c r="DI246">
        <f>-11.057</f>
        <v>-11.057</v>
      </c>
      <c r="DJ246">
        <f>-13.476</f>
        <v>-13.476000000000001</v>
      </c>
      <c r="DK246">
        <f>-5.952</f>
        <v>-5.952</v>
      </c>
      <c r="DL246">
        <f>-1.067</f>
        <v>-1.0669999999999999</v>
      </c>
      <c r="DM246">
        <f>-16.715</f>
        <v>-16.715</v>
      </c>
      <c r="DN246">
        <f>-3.812</f>
        <v>-3.8119999999999998</v>
      </c>
      <c r="DO246">
        <f>-3.642</f>
        <v>-3.6419999999999999</v>
      </c>
      <c r="DP246">
        <f>22.629</f>
        <v>22.629000000000001</v>
      </c>
      <c r="DQ246">
        <f>12.366998</f>
        <v>12.366998000000001</v>
      </c>
      <c r="DR246">
        <f>14.689</f>
        <v>14.689</v>
      </c>
      <c r="DS246">
        <f>-38.656998</f>
        <v>-38.656998000000002</v>
      </c>
      <c r="DT246">
        <f>11.773</f>
        <v>11.773</v>
      </c>
      <c r="DU246">
        <f>21.855</f>
        <v>21.855</v>
      </c>
    </row>
    <row r="247" spans="1:125">
      <c r="A247" t="str">
        <f>"    Boston Properties Inc"</f>
        <v xml:space="preserve">    Boston Properties Inc</v>
      </c>
      <c r="B247" t="str">
        <f>"BXP US Equity"</f>
        <v>BXP US Equity</v>
      </c>
      <c r="C247" t="str">
        <f t="shared" ref="C247:C256" si="66">"RR008"</f>
        <v>RR008</v>
      </c>
      <c r="D247" t="str">
        <f t="shared" ref="D247:D256" si="67">"CF_FREE_CASH_FLOW"</f>
        <v>CF_FREE_CASH_FLOW</v>
      </c>
      <c r="E247" t="str">
        <f t="shared" ref="E247:E256" si="68">"动态"</f>
        <v>动态</v>
      </c>
      <c r="F247" t="str">
        <f ca="1">IF(AND(ISNUMBER($F$546),$B$294=1),$F$546,HLOOKUP(INDIRECT(ADDRESS(2,COLUMN())),OFFSET($BN$2,0,0,ROW()-1,60),ROW()-1,FALSE))</f>
        <v/>
      </c>
      <c r="G247">
        <f ca="1">IF(AND(ISNUMBER($G$546),$B$294=1),$G$546,HLOOKUP(INDIRECT(ADDRESS(2,COLUMN())),OFFSET($BN$2,0,0,ROW()-1,60),ROW()-1,FALSE))</f>
        <v>45.942999999999998</v>
      </c>
      <c r="H247">
        <f ca="1">IF(AND(ISNUMBER($H$546),$B$294=1),$H$546,HLOOKUP(INDIRECT(ADDRESS(2,COLUMN())),OFFSET($BN$2,0,0,ROW()-1,60),ROW()-1,FALSE))</f>
        <v>-40.905000000000001</v>
      </c>
      <c r="I247">
        <f ca="1">IF(AND(ISNUMBER($I$546),$B$294=1),$I$546,HLOOKUP(INDIRECT(ADDRESS(2,COLUMN())),OFFSET($BN$2,0,0,ROW()-1,60),ROW()-1,FALSE))</f>
        <v>-147.27799999999999</v>
      </c>
      <c r="J247">
        <f ca="1">IF(AND(ISNUMBER($J$546),$B$294=1),$J$546,HLOOKUP(INDIRECT(ADDRESS(2,COLUMN())),OFFSET($BN$2,0,0,ROW()-1,60),ROW()-1,FALSE))</f>
        <v>-2.4849999999999999</v>
      </c>
      <c r="K247">
        <f ca="1">IF(AND(ISNUMBER($K$546),$B$294=1),$K$546,HLOOKUP(INDIRECT(ADDRESS(2,COLUMN())),OFFSET($BN$2,0,0,ROW()-1,60),ROW()-1,FALSE))</f>
        <v>21.120999999999999</v>
      </c>
      <c r="L247">
        <f ca="1">IF(AND(ISNUMBER($L$546),$B$294=1),$L$546,HLOOKUP(INDIRECT(ADDRESS(2,COLUMN())),OFFSET($BN$2,0,0,ROW()-1,60),ROW()-1,FALSE))</f>
        <v>-41.500999999999998</v>
      </c>
      <c r="M247">
        <f ca="1">IF(AND(ISNUMBER($M$546),$B$294=1),$M$546,HLOOKUP(INDIRECT(ADDRESS(2,COLUMN())),OFFSET($BN$2,0,0,ROW()-1,60),ROW()-1,FALSE))</f>
        <v>-47.006</v>
      </c>
      <c r="N247">
        <f ca="1">IF(AND(ISNUMBER($N$546),$B$294=1),$N$546,HLOOKUP(INDIRECT(ADDRESS(2,COLUMN())),OFFSET($BN$2,0,0,ROW()-1,60),ROW()-1,FALSE))</f>
        <v>144.97200000000001</v>
      </c>
      <c r="O247">
        <f ca="1">IF(AND(ISNUMBER($O$546),$B$294=1),$O$546,HLOOKUP(INDIRECT(ADDRESS(2,COLUMN())),OFFSET($BN$2,0,0,ROW()-1,60),ROW()-1,FALSE))</f>
        <v>-18.777999999999999</v>
      </c>
      <c r="P247">
        <f ca="1">IF(AND(ISNUMBER($P$546),$B$294=1),$P$546,HLOOKUP(INDIRECT(ADDRESS(2,COLUMN())),OFFSET($BN$2,0,0,ROW()-1,60),ROW()-1,FALSE))</f>
        <v>-2.871</v>
      </c>
      <c r="Q247">
        <f ca="1">IF(AND(ISNUMBER($Q$546),$B$294=1),$Q$546,HLOOKUP(INDIRECT(ADDRESS(2,COLUMN())),OFFSET($BN$2,0,0,ROW()-1,60),ROW()-1,FALSE))</f>
        <v>93.977000000000004</v>
      </c>
      <c r="R247">
        <f ca="1">IF(AND(ISNUMBER($R$546),$B$294=1),$R$546,HLOOKUP(INDIRECT(ADDRESS(2,COLUMN())),OFFSET($BN$2,0,0,ROW()-1,60),ROW()-1,FALSE))</f>
        <v>95.091999999999999</v>
      </c>
      <c r="S247">
        <f ca="1">IF(AND(ISNUMBER($S$546),$B$294=1),$S$546,HLOOKUP(INDIRECT(ADDRESS(2,COLUMN())),OFFSET($BN$2,0,0,ROW()-1,60),ROW()-1,FALSE))</f>
        <v>69.995000000000005</v>
      </c>
      <c r="T247">
        <f ca="1">IF(AND(ISNUMBER($T$546),$B$294=1),$T$546,HLOOKUP(INDIRECT(ADDRESS(2,COLUMN())),OFFSET($BN$2,0,0,ROW()-1,60),ROW()-1,FALSE))</f>
        <v>15.294</v>
      </c>
      <c r="U247">
        <f ca="1">IF(AND(ISNUMBER($U$546),$B$294=1),$U$546,HLOOKUP(INDIRECT(ADDRESS(2,COLUMN())),OFFSET($BN$2,0,0,ROW()-1,60),ROW()-1,FALSE))</f>
        <v>33.046999999999997</v>
      </c>
      <c r="V247">
        <f ca="1">IF(AND(ISNUMBER($V$546),$B$294=1),$V$546,HLOOKUP(INDIRECT(ADDRESS(2,COLUMN())),OFFSET($BN$2,0,0,ROW()-1,60),ROW()-1,FALSE))</f>
        <v>-21.876999999999999</v>
      </c>
      <c r="W247">
        <f ca="1">IF(AND(ISNUMBER($W$546),$B$294=1),$W$546,HLOOKUP(INDIRECT(ADDRESS(2,COLUMN())),OFFSET($BN$2,0,0,ROW()-1,60),ROW()-1,FALSE))</f>
        <v>-2.117</v>
      </c>
      <c r="X247">
        <f ca="1">IF(AND(ISNUMBER($X$546),$B$294=1),$X$546,HLOOKUP(INDIRECT(ADDRESS(2,COLUMN())),OFFSET($BN$2,0,0,ROW()-1,60),ROW()-1,FALSE))</f>
        <v>68.013999999999996</v>
      </c>
      <c r="Y247">
        <f ca="1">IF(AND(ISNUMBER($Y$546),$B$294=1),$Y$546,HLOOKUP(INDIRECT(ADDRESS(2,COLUMN())),OFFSET($BN$2,0,0,ROW()-1,60),ROW()-1,FALSE))</f>
        <v>-192.23699999999999</v>
      </c>
      <c r="Z247">
        <f ca="1">IF(AND(ISNUMBER($Z$546),$B$294=1),$Z$546,HLOOKUP(INDIRECT(ADDRESS(2,COLUMN())),OFFSET($BN$2,0,0,ROW()-1,60),ROW()-1,FALSE))</f>
        <v>-194.715</v>
      </c>
      <c r="AA247">
        <f ca="1">IF(AND(ISNUMBER($AA$546),$B$294=1),$AA$546,HLOOKUP(INDIRECT(ADDRESS(2,COLUMN())),OFFSET($BN$2,0,0,ROW()-1,60),ROW()-1,FALSE))</f>
        <v>-87.831999999999994</v>
      </c>
      <c r="AB247">
        <f ca="1">IF(AND(ISNUMBER($AB$546),$B$294=1),$AB$546,HLOOKUP(INDIRECT(ADDRESS(2,COLUMN())),OFFSET($BN$2,0,0,ROW()-1,60),ROW()-1,FALSE))</f>
        <v>-66.090999999999994</v>
      </c>
      <c r="AC247">
        <f ca="1">IF(AND(ISNUMBER($AC$546),$B$294=1),$AC$546,HLOOKUP(INDIRECT(ADDRESS(2,COLUMN())),OFFSET($BN$2,0,0,ROW()-1,60),ROW()-1,FALSE))</f>
        <v>52.097999999999999</v>
      </c>
      <c r="AD247">
        <f ca="1">IF(AND(ISNUMBER($AD$546),$B$294=1),$AD$546,HLOOKUP(INDIRECT(ADDRESS(2,COLUMN())),OFFSET($BN$2,0,0,ROW()-1,60),ROW()-1,FALSE))</f>
        <v>-589.28</v>
      </c>
      <c r="AE247">
        <f ca="1">IF(AND(ISNUMBER($AE$546),$B$294=1),$AE$546,HLOOKUP(INDIRECT(ADDRESS(2,COLUMN())),OFFSET($BN$2,0,0,ROW()-1,60),ROW()-1,FALSE))</f>
        <v>11.525</v>
      </c>
      <c r="AF247">
        <f ca="1">IF(AND(ISNUMBER($AF$546),$B$294=1),$AF$546,HLOOKUP(INDIRECT(ADDRESS(2,COLUMN())),OFFSET($BN$2,0,0,ROW()-1,60),ROW()-1,FALSE))</f>
        <v>46.31</v>
      </c>
      <c r="AG247">
        <f ca="1">IF(AND(ISNUMBER($AG$546),$B$294=1),$AG$546,HLOOKUP(INDIRECT(ADDRESS(2,COLUMN())),OFFSET($BN$2,0,0,ROW()-1,60),ROW()-1,FALSE))</f>
        <v>52.63</v>
      </c>
      <c r="AH247">
        <f ca="1">IF(AND(ISNUMBER($AH$546),$B$294=1),$AH$546,HLOOKUP(INDIRECT(ADDRESS(2,COLUMN())),OFFSET($BN$2,0,0,ROW()-1,60),ROW()-1,FALSE))</f>
        <v>44.281999999999996</v>
      </c>
      <c r="AI247">
        <f ca="1">IF(AND(ISNUMBER($AI$546),$B$294=1),$AI$546,HLOOKUP(INDIRECT(ADDRESS(2,COLUMN())),OFFSET($BN$2,0,0,ROW()-1,60),ROW()-1,FALSE))</f>
        <v>-363.762</v>
      </c>
      <c r="AJ247">
        <f ca="1">IF(AND(ISNUMBER($AJ$546),$B$294=1),$AJ$546,HLOOKUP(INDIRECT(ADDRESS(2,COLUMN())),OFFSET($BN$2,0,0,ROW()-1,60),ROW()-1,FALSE))</f>
        <v>-69.474999999999994</v>
      </c>
      <c r="AK247">
        <f ca="1">IF(AND(ISNUMBER($AK$546),$B$294=1),$AK$546,HLOOKUP(INDIRECT(ADDRESS(2,COLUMN())),OFFSET($BN$2,0,0,ROW()-1,60),ROW()-1,FALSE))</f>
        <v>17.923999999999999</v>
      </c>
      <c r="AL247">
        <f ca="1">IF(AND(ISNUMBER($AL$546),$B$294=1),$AL$546,HLOOKUP(INDIRECT(ADDRESS(2,COLUMN())),OFFSET($BN$2,0,0,ROW()-1,60),ROW()-1,FALSE))</f>
        <v>-59.313000000000002</v>
      </c>
      <c r="AM247">
        <f ca="1">IF(AND(ISNUMBER($AM$546),$B$294=1),$AM$546,HLOOKUP(INDIRECT(ADDRESS(2,COLUMN())),OFFSET($BN$2,0,0,ROW()-1,60),ROW()-1,FALSE))</f>
        <v>50.819000000000003</v>
      </c>
      <c r="AN247">
        <f ca="1">IF(AND(ISNUMBER($AN$546),$B$294=1),$AN$546,HLOOKUP(INDIRECT(ADDRESS(2,COLUMN())),OFFSET($BN$2,0,0,ROW()-1,60),ROW()-1,FALSE))</f>
        <v>3.2789999999999999</v>
      </c>
      <c r="AO247">
        <f ca="1">IF(AND(ISNUMBER($AO$546),$B$294=1),$AO$546,HLOOKUP(INDIRECT(ADDRESS(2,COLUMN())),OFFSET($BN$2,0,0,ROW()-1,60),ROW()-1,FALSE))</f>
        <v>101.666</v>
      </c>
      <c r="AP247">
        <f ca="1">IF(AND(ISNUMBER($AP$546),$B$294=1),$AP$546,HLOOKUP(INDIRECT(ADDRESS(2,COLUMN())),OFFSET($BN$2,0,0,ROW()-1,60),ROW()-1,FALSE))</f>
        <v>18.768000000000001</v>
      </c>
      <c r="AQ247">
        <f ca="1">IF(AND(ISNUMBER($AQ$546),$B$294=1),$AQ$546,HLOOKUP(INDIRECT(ADDRESS(2,COLUMN())),OFFSET($BN$2,0,0,ROW()-1,60),ROW()-1,FALSE))</f>
        <v>87.117000000000004</v>
      </c>
      <c r="AR247">
        <f ca="1">IF(AND(ISNUMBER($AR$546),$B$294=1),$AR$546,HLOOKUP(INDIRECT(ADDRESS(2,COLUMN())),OFFSET($BN$2,0,0,ROW()-1,60),ROW()-1,FALSE))</f>
        <v>-121.876</v>
      </c>
      <c r="AS247">
        <f ca="1">IF(AND(ISNUMBER($AS$546),$B$294=1),$AS$546,HLOOKUP(INDIRECT(ADDRESS(2,COLUMN())),OFFSET($BN$2,0,0,ROW()-1,60),ROW()-1,FALSE))</f>
        <v>7.4370000000000003</v>
      </c>
      <c r="AT247">
        <f ca="1">IF(AND(ISNUMBER($AT$546),$B$294=1),$AT$546,HLOOKUP(INDIRECT(ADDRESS(2,COLUMN())),OFFSET($BN$2,0,0,ROW()-1,60),ROW()-1,FALSE))</f>
        <v>11.305</v>
      </c>
      <c r="AU247">
        <f ca="1">IF(AND(ISNUMBER($AU$546),$B$294=1),$AU$546,HLOOKUP(INDIRECT(ADDRESS(2,COLUMN())),OFFSET($BN$2,0,0,ROW()-1,60),ROW()-1,FALSE))</f>
        <v>-242.23699999999999</v>
      </c>
      <c r="AV247">
        <f ca="1">IF(AND(ISNUMBER($AV$546),$B$294=1),$AV$546,HLOOKUP(INDIRECT(ADDRESS(2,COLUMN())),OFFSET($BN$2,0,0,ROW()-1,60),ROW()-1,FALSE))</f>
        <v>49.252000000000002</v>
      </c>
      <c r="AW247">
        <f ca="1">IF(AND(ISNUMBER($AW$546),$B$294=1),$AW$546,HLOOKUP(INDIRECT(ADDRESS(2,COLUMN())),OFFSET($BN$2,0,0,ROW()-1,60),ROW()-1,FALSE))</f>
        <v>70.415000000000006</v>
      </c>
      <c r="AX247">
        <f ca="1">IF(AND(ISNUMBER($AX$546),$B$294=1),$AX$546,HLOOKUP(INDIRECT(ADDRESS(2,COLUMN())),OFFSET($BN$2,0,0,ROW()-1,60),ROW()-1,FALSE))</f>
        <v>-380.64499999999998</v>
      </c>
      <c r="AY247">
        <f ca="1">IF(AND(ISNUMBER($AY$546),$B$294=1),$AY$546,HLOOKUP(INDIRECT(ADDRESS(2,COLUMN())),OFFSET($BN$2,0,0,ROW()-1,60),ROW()-1,FALSE))</f>
        <v>-96.31</v>
      </c>
      <c r="AZ247">
        <f ca="1">IF(AND(ISNUMBER($AZ$546),$B$294=1),$AZ$546,HLOOKUP(INDIRECT(ADDRESS(2,COLUMN())),OFFSET($BN$2,0,0,ROW()-1,60),ROW()-1,FALSE))</f>
        <v>-31.456</v>
      </c>
      <c r="BA247">
        <f ca="1">IF(AND(ISNUMBER($BA$546),$B$294=1),$BA$546,HLOOKUP(INDIRECT(ADDRESS(2,COLUMN())),OFFSET($BN$2,0,0,ROW()-1,60),ROW()-1,FALSE))</f>
        <v>23.513999999999999</v>
      </c>
      <c r="BB247">
        <f ca="1">IF(AND(ISNUMBER($BB$546),$B$294=1),$BB$546,HLOOKUP(INDIRECT(ADDRESS(2,COLUMN())),OFFSET($BN$2,0,0,ROW()-1,60),ROW()-1,FALSE))</f>
        <v>11.055999999999999</v>
      </c>
      <c r="BC247">
        <f ca="1">IF(AND(ISNUMBER($BC$546),$B$294=1),$BC$546,HLOOKUP(INDIRECT(ADDRESS(2,COLUMN())),OFFSET($BN$2,0,0,ROW()-1,60),ROW()-1,FALSE))</f>
        <v>18.23</v>
      </c>
      <c r="BD247">
        <f ca="1">IF(AND(ISNUMBER($BD$546),$B$294=1),$BD$546,HLOOKUP(INDIRECT(ADDRESS(2,COLUMN())),OFFSET($BN$2,0,0,ROW()-1,60),ROW()-1,FALSE))</f>
        <v>8.86</v>
      </c>
      <c r="BE247">
        <f ca="1">IF(AND(ISNUMBER($BE$546),$B$294=1),$BE$546,HLOOKUP(INDIRECT(ADDRESS(2,COLUMN())),OFFSET($BN$2,0,0,ROW()-1,60),ROW()-1,FALSE))</f>
        <v>33.613</v>
      </c>
      <c r="BF247">
        <f ca="1">IF(AND(ISNUMBER($BF$546),$B$294=1),$BF$546,HLOOKUP(INDIRECT(ADDRESS(2,COLUMN())),OFFSET($BN$2,0,0,ROW()-1,60),ROW()-1,FALSE))</f>
        <v>16.789000000000001</v>
      </c>
      <c r="BG247">
        <f ca="1">IF(AND(ISNUMBER($BG$546),$B$294=1),$BG$546,HLOOKUP(INDIRECT(ADDRESS(2,COLUMN())),OFFSET($BN$2,0,0,ROW()-1,60),ROW()-1,FALSE))</f>
        <v>65.667000000000002</v>
      </c>
      <c r="BH247">
        <f ca="1">IF(AND(ISNUMBER($BH$546),$B$294=1),$BH$546,HLOOKUP(INDIRECT(ADDRESS(2,COLUMN())),OFFSET($BN$2,0,0,ROW()-1,60),ROW()-1,FALSE))</f>
        <v>32.512999999999998</v>
      </c>
      <c r="BI247">
        <f ca="1">IF(AND(ISNUMBER($BI$546),$B$294=1),$BI$546,HLOOKUP(INDIRECT(ADDRESS(2,COLUMN())),OFFSET($BN$2,0,0,ROW()-1,60),ROW()-1,FALSE))</f>
        <v>37.531998000000002</v>
      </c>
      <c r="BJ247">
        <f ca="1">IF(AND(ISNUMBER($BJ$546),$B$294=1),$BJ$546,HLOOKUP(INDIRECT(ADDRESS(2,COLUMN())),OFFSET($BN$2,0,0,ROW()-1,60),ROW()-1,FALSE))</f>
        <v>16.110001</v>
      </c>
      <c r="BK247">
        <f ca="1">IF(AND(ISNUMBER($BK$546),$B$294=1),$BK$546,HLOOKUP(INDIRECT(ADDRESS(2,COLUMN())),OFFSET($BN$2,0,0,ROW()-1,60),ROW()-1,FALSE))</f>
        <v>-38.656998000000002</v>
      </c>
      <c r="BL247">
        <f ca="1">IF(AND(ISNUMBER($BL$546),$B$294=1),$BL$546,HLOOKUP(INDIRECT(ADDRESS(2,COLUMN())),OFFSET($BN$2,0,0,ROW()-1,60),ROW()-1,FALSE))</f>
        <v>-5.6090020000000003</v>
      </c>
      <c r="BM247">
        <f ca="1">IF(AND(ISNUMBER($BM$546),$B$294=1),$BM$546,HLOOKUP(INDIRECT(ADDRESS(2,COLUMN())),OFFSET($BN$2,0,0,ROW()-1,60),ROW()-1,FALSE))</f>
        <v>58.281999999999996</v>
      </c>
      <c r="BN247" t="str">
        <f>""</f>
        <v/>
      </c>
      <c r="BO247">
        <f>45.943</f>
        <v>45.942999999999998</v>
      </c>
      <c r="BP247">
        <f>-40.905</f>
        <v>-40.905000000000001</v>
      </c>
      <c r="BQ247">
        <f>-147.278</f>
        <v>-147.27799999999999</v>
      </c>
      <c r="BR247">
        <f>-2.485</f>
        <v>-2.4849999999999999</v>
      </c>
      <c r="BS247">
        <f>21.121</f>
        <v>21.120999999999999</v>
      </c>
      <c r="BT247">
        <f>-41.501</f>
        <v>-41.500999999999998</v>
      </c>
      <c r="BU247">
        <f>-47.006</f>
        <v>-47.006</v>
      </c>
      <c r="BV247">
        <f>144.972</f>
        <v>144.97200000000001</v>
      </c>
      <c r="BW247">
        <f>-18.778</f>
        <v>-18.777999999999999</v>
      </c>
      <c r="BX247">
        <f>-2.871</f>
        <v>-2.871</v>
      </c>
      <c r="BY247">
        <f>93.977</f>
        <v>93.977000000000004</v>
      </c>
      <c r="BZ247">
        <f>95.092</f>
        <v>95.091999999999999</v>
      </c>
      <c r="CA247">
        <f>69.995</f>
        <v>69.995000000000005</v>
      </c>
      <c r="CB247">
        <f>15.294</f>
        <v>15.294</v>
      </c>
      <c r="CC247">
        <f>33.047</f>
        <v>33.046999999999997</v>
      </c>
      <c r="CD247">
        <f>-21.877</f>
        <v>-21.876999999999999</v>
      </c>
      <c r="CE247">
        <f>-2.117</f>
        <v>-2.117</v>
      </c>
      <c r="CF247">
        <f>68.014</f>
        <v>68.013999999999996</v>
      </c>
      <c r="CG247">
        <f>-192.237</f>
        <v>-192.23699999999999</v>
      </c>
      <c r="CH247">
        <f>-194.715</f>
        <v>-194.715</v>
      </c>
      <c r="CI247">
        <f>-87.832</f>
        <v>-87.831999999999994</v>
      </c>
      <c r="CJ247">
        <f>-66.091</f>
        <v>-66.090999999999994</v>
      </c>
      <c r="CK247">
        <f>52.098</f>
        <v>52.097999999999999</v>
      </c>
      <c r="CL247">
        <f>-589.28</f>
        <v>-589.28</v>
      </c>
      <c r="CM247">
        <f>11.525</f>
        <v>11.525</v>
      </c>
      <c r="CN247">
        <f>46.31</f>
        <v>46.31</v>
      </c>
      <c r="CO247">
        <f>52.63</f>
        <v>52.63</v>
      </c>
      <c r="CP247">
        <f>44.282</f>
        <v>44.281999999999996</v>
      </c>
      <c r="CQ247">
        <f>-363.762</f>
        <v>-363.762</v>
      </c>
      <c r="CR247">
        <f>-69.475</f>
        <v>-69.474999999999994</v>
      </c>
      <c r="CS247">
        <f>17.924</f>
        <v>17.923999999999999</v>
      </c>
      <c r="CT247">
        <f>-59.313</f>
        <v>-59.313000000000002</v>
      </c>
      <c r="CU247">
        <f>50.819</f>
        <v>50.819000000000003</v>
      </c>
      <c r="CV247">
        <f>3.279</f>
        <v>3.2789999999999999</v>
      </c>
      <c r="CW247">
        <f>101.666</f>
        <v>101.666</v>
      </c>
      <c r="CX247">
        <f>18.768</f>
        <v>18.768000000000001</v>
      </c>
      <c r="CY247">
        <f>87.117</f>
        <v>87.117000000000004</v>
      </c>
      <c r="CZ247">
        <f>-121.876</f>
        <v>-121.876</v>
      </c>
      <c r="DA247">
        <f>7.437</f>
        <v>7.4370000000000003</v>
      </c>
      <c r="DB247">
        <f>11.305</f>
        <v>11.305</v>
      </c>
      <c r="DC247">
        <f>-242.237</f>
        <v>-242.23699999999999</v>
      </c>
      <c r="DD247">
        <f>49.252</f>
        <v>49.252000000000002</v>
      </c>
      <c r="DE247">
        <f>70.415</f>
        <v>70.415000000000006</v>
      </c>
      <c r="DF247">
        <f>-380.645</f>
        <v>-380.64499999999998</v>
      </c>
      <c r="DG247">
        <f>-96.31</f>
        <v>-96.31</v>
      </c>
      <c r="DH247">
        <f>-31.456</f>
        <v>-31.456</v>
      </c>
      <c r="DI247">
        <f>23.514</f>
        <v>23.513999999999999</v>
      </c>
      <c r="DJ247">
        <f>11.056</f>
        <v>11.055999999999999</v>
      </c>
      <c r="DK247">
        <f>18.23</f>
        <v>18.23</v>
      </c>
      <c r="DL247">
        <f>8.86</f>
        <v>8.86</v>
      </c>
      <c r="DM247">
        <f>33.613</f>
        <v>33.613</v>
      </c>
      <c r="DN247">
        <f>16.789</f>
        <v>16.789000000000001</v>
      </c>
      <c r="DO247">
        <f>65.667</f>
        <v>65.667000000000002</v>
      </c>
      <c r="DP247">
        <f>32.513</f>
        <v>32.512999999999998</v>
      </c>
      <c r="DQ247">
        <f>37.531998</f>
        <v>37.531998000000002</v>
      </c>
      <c r="DR247">
        <f>16.110001</f>
        <v>16.110001</v>
      </c>
      <c r="DS247">
        <f>-38.656998</f>
        <v>-38.656998000000002</v>
      </c>
      <c r="DT247">
        <f>-5.609002</f>
        <v>-5.6090020000000003</v>
      </c>
      <c r="DU247">
        <f>58.282</f>
        <v>58.281999999999996</v>
      </c>
    </row>
    <row r="248" spans="1:125">
      <c r="A248" t="str">
        <f>"    Brandywine Realty Trust"</f>
        <v xml:space="preserve">    Brandywine Realty Trust</v>
      </c>
      <c r="B248" t="str">
        <f>"BDN US Equity"</f>
        <v>BDN US Equity</v>
      </c>
      <c r="C248" t="str">
        <f t="shared" si="66"/>
        <v>RR008</v>
      </c>
      <c r="D248" t="str">
        <f t="shared" si="67"/>
        <v>CF_FREE_CASH_FLOW</v>
      </c>
      <c r="E248" t="str">
        <f t="shared" si="68"/>
        <v>动态</v>
      </c>
      <c r="F248" t="str">
        <f ca="1">IF(AND(ISNUMBER($F$547),$B$294=1),$F$547,HLOOKUP(INDIRECT(ADDRESS(2,COLUMN())),OFFSET($BN$2,0,0,ROW()-1,60),ROW()-1,FALSE))</f>
        <v/>
      </c>
      <c r="G248" t="str">
        <f ca="1">IF(AND(ISNUMBER($G$547),$B$294=1),$G$547,HLOOKUP(INDIRECT(ADDRESS(2,COLUMN())),OFFSET($BN$2,0,0,ROW()-1,60),ROW()-1,FALSE))</f>
        <v/>
      </c>
      <c r="H248">
        <f ca="1">IF(AND(ISNUMBER($H$547),$B$294=1),$H$547,HLOOKUP(INDIRECT(ADDRESS(2,COLUMN())),OFFSET($BN$2,0,0,ROW()-1,60),ROW()-1,FALSE))</f>
        <v>-40.881</v>
      </c>
      <c r="I248">
        <f ca="1">IF(AND(ISNUMBER($I$547),$B$294=1),$I$547,HLOOKUP(INDIRECT(ADDRESS(2,COLUMN())),OFFSET($BN$2,0,0,ROW()-1,60),ROW()-1,FALSE))</f>
        <v>11.313000000000001</v>
      </c>
      <c r="J248">
        <f ca="1">IF(AND(ISNUMBER($J$547),$B$294=1),$J$547,HLOOKUP(INDIRECT(ADDRESS(2,COLUMN())),OFFSET($BN$2,0,0,ROW()-1,60),ROW()-1,FALSE))</f>
        <v>2.19</v>
      </c>
      <c r="K248">
        <f ca="1">IF(AND(ISNUMBER($K$547),$B$294=1),$K$547,HLOOKUP(INDIRECT(ADDRESS(2,COLUMN())),OFFSET($BN$2,0,0,ROW()-1,60),ROW()-1,FALSE))</f>
        <v>39.055999999999997</v>
      </c>
      <c r="L248">
        <f ca="1">IF(AND(ISNUMBER($L$547),$B$294=1),$L$547,HLOOKUP(INDIRECT(ADDRESS(2,COLUMN())),OFFSET($BN$2,0,0,ROW()-1,60),ROW()-1,FALSE))</f>
        <v>-30.648</v>
      </c>
      <c r="M248">
        <f ca="1">IF(AND(ISNUMBER($M$547),$B$294=1),$M$547,HLOOKUP(INDIRECT(ADDRESS(2,COLUMN())),OFFSET($BN$2,0,0,ROW()-1,60),ROW()-1,FALSE))</f>
        <v>-21.411999999999999</v>
      </c>
      <c r="N248">
        <f ca="1">IF(AND(ISNUMBER($N$547),$B$294=1),$N$547,HLOOKUP(INDIRECT(ADDRESS(2,COLUMN())),OFFSET($BN$2,0,0,ROW()-1,60),ROW()-1,FALSE))</f>
        <v>-35.359000000000002</v>
      </c>
      <c r="O248">
        <f ca="1">IF(AND(ISNUMBER($O$547),$B$294=1),$O$547,HLOOKUP(INDIRECT(ADDRESS(2,COLUMN())),OFFSET($BN$2,0,0,ROW()-1,60),ROW()-1,FALSE))</f>
        <v>-55.02</v>
      </c>
      <c r="P248">
        <f ca="1">IF(AND(ISNUMBER($P$547),$B$294=1),$P$547,HLOOKUP(INDIRECT(ADDRESS(2,COLUMN())),OFFSET($BN$2,0,0,ROW()-1,60),ROW()-1,FALSE))</f>
        <v>-49.570999999999998</v>
      </c>
      <c r="Q248">
        <f ca="1">IF(AND(ISNUMBER($Q$547),$B$294=1),$Q$547,HLOOKUP(INDIRECT(ADDRESS(2,COLUMN())),OFFSET($BN$2,0,0,ROW()-1,60),ROW()-1,FALSE))</f>
        <v>-226.98400000000001</v>
      </c>
      <c r="R248">
        <f ca="1">IF(AND(ISNUMBER($R$547),$B$294=1),$R$547,HLOOKUP(INDIRECT(ADDRESS(2,COLUMN())),OFFSET($BN$2,0,0,ROW()-1,60),ROW()-1,FALSE))</f>
        <v>-12.755000000000001</v>
      </c>
      <c r="S248">
        <f ca="1">IF(AND(ISNUMBER($S$547),$B$294=1),$S$547,HLOOKUP(INDIRECT(ADDRESS(2,COLUMN())),OFFSET($BN$2,0,0,ROW()-1,60),ROW()-1,FALSE))</f>
        <v>-41.451999999999998</v>
      </c>
      <c r="T248">
        <f ca="1">IF(AND(ISNUMBER($T$547),$B$294=1),$T$547,HLOOKUP(INDIRECT(ADDRESS(2,COLUMN())),OFFSET($BN$2,0,0,ROW()-1,60),ROW()-1,FALSE))</f>
        <v>-19.113</v>
      </c>
      <c r="U248">
        <f ca="1">IF(AND(ISNUMBER($U$547),$B$294=1),$U$547,HLOOKUP(INDIRECT(ADDRESS(2,COLUMN())),OFFSET($BN$2,0,0,ROW()-1,60),ROW()-1,FALSE))</f>
        <v>-3.173</v>
      </c>
      <c r="V248">
        <f ca="1">IF(AND(ISNUMBER($V$547),$B$294=1),$V$547,HLOOKUP(INDIRECT(ADDRESS(2,COLUMN())),OFFSET($BN$2,0,0,ROW()-1,60),ROW()-1,FALSE))</f>
        <v>-2.6360000000000001</v>
      </c>
      <c r="W248">
        <f ca="1">IF(AND(ISNUMBER($W$547),$B$294=1),$W$547,HLOOKUP(INDIRECT(ADDRESS(2,COLUMN())),OFFSET($BN$2,0,0,ROW()-1,60),ROW()-1,FALSE))</f>
        <v>-148.63200000000001</v>
      </c>
      <c r="X248">
        <f ca="1">IF(AND(ISNUMBER($X$547),$B$294=1),$X$547,HLOOKUP(INDIRECT(ADDRESS(2,COLUMN())),OFFSET($BN$2,0,0,ROW()-1,60),ROW()-1,FALSE))</f>
        <v>25.501000000000001</v>
      </c>
      <c r="Y248">
        <f ca="1">IF(AND(ISNUMBER($Y$547),$B$294=1),$Y$547,HLOOKUP(INDIRECT(ADDRESS(2,COLUMN())),OFFSET($BN$2,0,0,ROW()-1,60),ROW()-1,FALSE))</f>
        <v>0.36</v>
      </c>
      <c r="Z248">
        <f ca="1">IF(AND(ISNUMBER($Z$547),$B$294=1),$Z$547,HLOOKUP(INDIRECT(ADDRESS(2,COLUMN())),OFFSET($BN$2,0,0,ROW()-1,60),ROW()-1,FALSE))</f>
        <v>23.539000000000001</v>
      </c>
      <c r="AA248">
        <f ca="1">IF(AND(ISNUMBER($AA$547),$B$294=1),$AA$547,HLOOKUP(INDIRECT(ADDRESS(2,COLUMN())),OFFSET($BN$2,0,0,ROW()-1,60),ROW()-1,FALSE))</f>
        <v>-153.63800000000001</v>
      </c>
      <c r="AB248">
        <f ca="1">IF(AND(ISNUMBER($AB$547),$B$294=1),$AB$547,HLOOKUP(INDIRECT(ADDRESS(2,COLUMN())),OFFSET($BN$2,0,0,ROW()-1,60),ROW()-1,FALSE))</f>
        <v>24.576000000000001</v>
      </c>
      <c r="AC248">
        <f ca="1">IF(AND(ISNUMBER($AC$547),$B$294=1),$AC$547,HLOOKUP(INDIRECT(ADDRESS(2,COLUMN())),OFFSET($BN$2,0,0,ROW()-1,60),ROW()-1,FALSE))</f>
        <v>-8.3879999999999999</v>
      </c>
      <c r="AD248">
        <f ca="1">IF(AND(ISNUMBER($AD$547),$B$294=1),$AD$547,HLOOKUP(INDIRECT(ADDRESS(2,COLUMN())),OFFSET($BN$2,0,0,ROW()-1,60),ROW()-1,FALSE))</f>
        <v>13.746</v>
      </c>
      <c r="AE248">
        <f ca="1">IF(AND(ISNUMBER($AE$547),$B$294=1),$AE$547,HLOOKUP(INDIRECT(ADDRESS(2,COLUMN())),OFFSET($BN$2,0,0,ROW()-1,60),ROW()-1,FALSE))</f>
        <v>-22.869</v>
      </c>
      <c r="AF248">
        <f ca="1">IF(AND(ISNUMBER($AF$547),$B$294=1),$AF$547,HLOOKUP(INDIRECT(ADDRESS(2,COLUMN())),OFFSET($BN$2,0,0,ROW()-1,60),ROW()-1,FALSE))</f>
        <v>31.247</v>
      </c>
      <c r="AG248">
        <f ca="1">IF(AND(ISNUMBER($AG$547),$B$294=1),$AG$547,HLOOKUP(INDIRECT(ADDRESS(2,COLUMN())),OFFSET($BN$2,0,0,ROW()-1,60),ROW()-1,FALSE))</f>
        <v>-1.671</v>
      </c>
      <c r="AH248">
        <f ca="1">IF(AND(ISNUMBER($AH$547),$B$294=1),$AH$547,HLOOKUP(INDIRECT(ADDRESS(2,COLUMN())),OFFSET($BN$2,0,0,ROW()-1,60),ROW()-1,FALSE))</f>
        <v>0.21199999999999999</v>
      </c>
      <c r="AI248">
        <f ca="1">IF(AND(ISNUMBER($AI$547),$B$294=1),$AI$547,HLOOKUP(INDIRECT(ADDRESS(2,COLUMN())),OFFSET($BN$2,0,0,ROW()-1,60),ROW()-1,FALSE))</f>
        <v>-0.55400000000000005</v>
      </c>
      <c r="AJ248">
        <f ca="1">IF(AND(ISNUMBER($AJ$547),$B$294=1),$AJ$547,HLOOKUP(INDIRECT(ADDRESS(2,COLUMN())),OFFSET($BN$2,0,0,ROW()-1,60),ROW()-1,FALSE))</f>
        <v>-63.682000000000002</v>
      </c>
      <c r="AK248">
        <f ca="1">IF(AND(ISNUMBER($AK$547),$B$294=1),$AK$547,HLOOKUP(INDIRECT(ADDRESS(2,COLUMN())),OFFSET($BN$2,0,0,ROW()-1,60),ROW()-1,FALSE))</f>
        <v>25.757999999999999</v>
      </c>
      <c r="AL248">
        <f ca="1">IF(AND(ISNUMBER($AL$547),$B$294=1),$AL$547,HLOOKUP(INDIRECT(ADDRESS(2,COLUMN())),OFFSET($BN$2,0,0,ROW()-1,60),ROW()-1,FALSE))</f>
        <v>-12.194000000000001</v>
      </c>
      <c r="AM248">
        <f ca="1">IF(AND(ISNUMBER($AM$547),$B$294=1),$AM$547,HLOOKUP(INDIRECT(ADDRESS(2,COLUMN())),OFFSET($BN$2,0,0,ROW()-1,60),ROW()-1,FALSE))</f>
        <v>8.343</v>
      </c>
      <c r="AN248">
        <f ca="1">IF(AND(ISNUMBER($AN$547),$B$294=1),$AN$547,HLOOKUP(INDIRECT(ADDRESS(2,COLUMN())),OFFSET($BN$2,0,0,ROW()-1,60),ROW()-1,FALSE))</f>
        <v>-10.313000000000001</v>
      </c>
      <c r="AO248">
        <f ca="1">IF(AND(ISNUMBER($AO$547),$B$294=1),$AO$547,HLOOKUP(INDIRECT(ADDRESS(2,COLUMN())),OFFSET($BN$2,0,0,ROW()-1,60),ROW()-1,FALSE))</f>
        <v>-23.106000000000002</v>
      </c>
      <c r="AP248">
        <f ca="1">IF(AND(ISNUMBER($AP$547),$B$294=1),$AP$547,HLOOKUP(INDIRECT(ADDRESS(2,COLUMN())),OFFSET($BN$2,0,0,ROW()-1,60),ROW()-1,FALSE))</f>
        <v>33.393999999999998</v>
      </c>
      <c r="AQ248">
        <f ca="1">IF(AND(ISNUMBER($AQ$547),$B$294=1),$AQ$547,HLOOKUP(INDIRECT(ADDRESS(2,COLUMN())),OFFSET($BN$2,0,0,ROW()-1,60),ROW()-1,FALSE))</f>
        <v>37.850999999999999</v>
      </c>
      <c r="AR248">
        <f ca="1">IF(AND(ISNUMBER($AR$547),$B$294=1),$AR$547,HLOOKUP(INDIRECT(ADDRESS(2,COLUMN())),OFFSET($BN$2,0,0,ROW()-1,60),ROW()-1,FALSE))</f>
        <v>33.840000000000003</v>
      </c>
      <c r="AS248">
        <f ca="1">IF(AND(ISNUMBER($AS$547),$B$294=1),$AS$547,HLOOKUP(INDIRECT(ADDRESS(2,COLUMN())),OFFSET($BN$2,0,0,ROW()-1,60),ROW()-1,FALSE))</f>
        <v>-18.195</v>
      </c>
      <c r="AT248">
        <f ca="1">IF(AND(ISNUMBER($AT$547),$B$294=1),$AT$547,HLOOKUP(INDIRECT(ADDRESS(2,COLUMN())),OFFSET($BN$2,0,0,ROW()-1,60),ROW()-1,FALSE))</f>
        <v>33.787999999999997</v>
      </c>
      <c r="AU248">
        <f ca="1">IF(AND(ISNUMBER($AU$547),$B$294=1),$AU$547,HLOOKUP(INDIRECT(ADDRESS(2,COLUMN())),OFFSET($BN$2,0,0,ROW()-1,60),ROW()-1,FALSE))</f>
        <v>-101.872</v>
      </c>
      <c r="AV248">
        <f ca="1">IF(AND(ISNUMBER($AV$547),$B$294=1),$AV$547,HLOOKUP(INDIRECT(ADDRESS(2,COLUMN())),OFFSET($BN$2,0,0,ROW()-1,60),ROW()-1,FALSE))</f>
        <v>-59.988</v>
      </c>
      <c r="AW248">
        <f ca="1">IF(AND(ISNUMBER($AW$547),$B$294=1),$AW$547,HLOOKUP(INDIRECT(ADDRESS(2,COLUMN())),OFFSET($BN$2,0,0,ROW()-1,60),ROW()-1,FALSE))</f>
        <v>-15.978999999999999</v>
      </c>
      <c r="AX248">
        <f ca="1">IF(AND(ISNUMBER($AX$547),$B$294=1),$AX$547,HLOOKUP(INDIRECT(ADDRESS(2,COLUMN())),OFFSET($BN$2,0,0,ROW()-1,60),ROW()-1,FALSE))</f>
        <v>-17.494</v>
      </c>
      <c r="AY248">
        <f ca="1">IF(AND(ISNUMBER($AY$547),$B$294=1),$AY$547,HLOOKUP(INDIRECT(ADDRESS(2,COLUMN())),OFFSET($BN$2,0,0,ROW()-1,60),ROW()-1,FALSE))</f>
        <v>-95.331000000000003</v>
      </c>
      <c r="AZ248">
        <f ca="1">IF(AND(ISNUMBER($AZ$547),$B$294=1),$AZ$547,HLOOKUP(INDIRECT(ADDRESS(2,COLUMN())),OFFSET($BN$2,0,0,ROW()-1,60),ROW()-1,FALSE))</f>
        <v>-108.672</v>
      </c>
      <c r="BA248">
        <f ca="1">IF(AND(ISNUMBER($BA$547),$B$294=1),$BA$547,HLOOKUP(INDIRECT(ADDRESS(2,COLUMN())),OFFSET($BN$2,0,0,ROW()-1,60),ROW()-1,FALSE))</f>
        <v>-950.57100000000003</v>
      </c>
      <c r="BB248">
        <f ca="1">IF(AND(ISNUMBER($BB$547),$B$294=1),$BB$547,HLOOKUP(INDIRECT(ADDRESS(2,COLUMN())),OFFSET($BN$2,0,0,ROW()-1,60),ROW()-1,FALSE))</f>
        <v>-13.476000000000001</v>
      </c>
      <c r="BC248">
        <f ca="1">IF(AND(ISNUMBER($BC$547),$B$294=1),$BC$547,HLOOKUP(INDIRECT(ADDRESS(2,COLUMN())),OFFSET($BN$2,0,0,ROW()-1,60),ROW()-1,FALSE))</f>
        <v>-18.707000000000001</v>
      </c>
      <c r="BD248">
        <f ca="1">IF(AND(ISNUMBER($BD$547),$B$294=1),$BD$547,HLOOKUP(INDIRECT(ADDRESS(2,COLUMN())),OFFSET($BN$2,0,0,ROW()-1,60),ROW()-1,FALSE))</f>
        <v>-67.88</v>
      </c>
      <c r="BE248">
        <f ca="1">IF(AND(ISNUMBER($BE$547),$B$294=1),$BE$547,HLOOKUP(INDIRECT(ADDRESS(2,COLUMN())),OFFSET($BN$2,0,0,ROW()-1,60),ROW()-1,FALSE))</f>
        <v>-39.573999999999998</v>
      </c>
      <c r="BF248">
        <f ca="1">IF(AND(ISNUMBER($BF$547),$B$294=1),$BF$547,HLOOKUP(INDIRECT(ADDRESS(2,COLUMN())),OFFSET($BN$2,0,0,ROW()-1,60),ROW()-1,FALSE))</f>
        <v>-18.401</v>
      </c>
      <c r="BG248">
        <f ca="1">IF(AND(ISNUMBER($BG$547),$B$294=1),$BG$547,HLOOKUP(INDIRECT(ADDRESS(2,COLUMN())),OFFSET($BN$2,0,0,ROW()-1,60),ROW()-1,FALSE))</f>
        <v>-0.33400000000000002</v>
      </c>
      <c r="BH248">
        <f ca="1">IF(AND(ISNUMBER($BH$547),$B$294=1),$BH$547,HLOOKUP(INDIRECT(ADDRESS(2,COLUMN())),OFFSET($BN$2,0,0,ROW()-1,60),ROW()-1,FALSE))</f>
        <v>-622.31899999999996</v>
      </c>
      <c r="BI248">
        <f ca="1">IF(AND(ISNUMBER($BI$547),$B$294=1),$BI$547,HLOOKUP(INDIRECT(ADDRESS(2,COLUMN())),OFFSET($BN$2,0,0,ROW()-1,60),ROW()-1,FALSE))</f>
        <v>12.366998000000001</v>
      </c>
      <c r="BJ248">
        <f ca="1">IF(AND(ISNUMBER($BJ$547),$B$294=1),$BJ$547,HLOOKUP(INDIRECT(ADDRESS(2,COLUMN())),OFFSET($BN$2,0,0,ROW()-1,60),ROW()-1,FALSE))</f>
        <v>14.689</v>
      </c>
      <c r="BK248">
        <f ca="1">IF(AND(ISNUMBER($BK$547),$B$294=1),$BK$547,HLOOKUP(INDIRECT(ADDRESS(2,COLUMN())),OFFSET($BN$2,0,0,ROW()-1,60),ROW()-1,FALSE))</f>
        <v>-51.426000000000002</v>
      </c>
      <c r="BL248">
        <f ca="1">IF(AND(ISNUMBER($BL$547),$B$294=1),$BL$547,HLOOKUP(INDIRECT(ADDRESS(2,COLUMN())),OFFSET($BN$2,0,0,ROW()-1,60),ROW()-1,FALSE))</f>
        <v>11.773</v>
      </c>
      <c r="BM248">
        <f ca="1">IF(AND(ISNUMBER($BM$547),$B$294=1),$BM$547,HLOOKUP(INDIRECT(ADDRESS(2,COLUMN())),OFFSET($BN$2,0,0,ROW()-1,60),ROW()-1,FALSE))</f>
        <v>21.855</v>
      </c>
      <c r="BN248" t="str">
        <f>""</f>
        <v/>
      </c>
      <c r="BO248" t="str">
        <f>""</f>
        <v/>
      </c>
      <c r="BP248">
        <f>-40.881</f>
        <v>-40.881</v>
      </c>
      <c r="BQ248">
        <f>11.313</f>
        <v>11.313000000000001</v>
      </c>
      <c r="BR248">
        <f>2.19</f>
        <v>2.19</v>
      </c>
      <c r="BS248">
        <f>39.056</f>
        <v>39.055999999999997</v>
      </c>
      <c r="BT248">
        <f>-30.648</f>
        <v>-30.648</v>
      </c>
      <c r="BU248">
        <f>-21.412</f>
        <v>-21.411999999999999</v>
      </c>
      <c r="BV248">
        <f>-35.359</f>
        <v>-35.359000000000002</v>
      </c>
      <c r="BW248">
        <f>-55.02</f>
        <v>-55.02</v>
      </c>
      <c r="BX248">
        <f>-49.571</f>
        <v>-49.570999999999998</v>
      </c>
      <c r="BY248">
        <f>-226.984</f>
        <v>-226.98400000000001</v>
      </c>
      <c r="BZ248">
        <f>-12.755</f>
        <v>-12.755000000000001</v>
      </c>
      <c r="CA248">
        <f>-41.452</f>
        <v>-41.451999999999998</v>
      </c>
      <c r="CB248">
        <f>-19.113</f>
        <v>-19.113</v>
      </c>
      <c r="CC248">
        <f>-3.173</f>
        <v>-3.173</v>
      </c>
      <c r="CD248">
        <f>-2.636</f>
        <v>-2.6360000000000001</v>
      </c>
      <c r="CE248">
        <f>-148.632</f>
        <v>-148.63200000000001</v>
      </c>
      <c r="CF248">
        <f>25.501</f>
        <v>25.501000000000001</v>
      </c>
      <c r="CG248">
        <f>0.36</f>
        <v>0.36</v>
      </c>
      <c r="CH248">
        <f>23.539</f>
        <v>23.539000000000001</v>
      </c>
      <c r="CI248">
        <f>-153.638</f>
        <v>-153.63800000000001</v>
      </c>
      <c r="CJ248">
        <f>24.576</f>
        <v>24.576000000000001</v>
      </c>
      <c r="CK248">
        <f>-8.388</f>
        <v>-8.3879999999999999</v>
      </c>
      <c r="CL248">
        <f>13.746</f>
        <v>13.746</v>
      </c>
      <c r="CM248">
        <f>-22.869</f>
        <v>-22.869</v>
      </c>
      <c r="CN248">
        <f>31.247</f>
        <v>31.247</v>
      </c>
      <c r="CO248">
        <f>-1.671</f>
        <v>-1.671</v>
      </c>
      <c r="CP248">
        <f>0.212</f>
        <v>0.21199999999999999</v>
      </c>
      <c r="CQ248">
        <f>-0.554</f>
        <v>-0.55400000000000005</v>
      </c>
      <c r="CR248">
        <f>-63.682</f>
        <v>-63.682000000000002</v>
      </c>
      <c r="CS248">
        <f>25.758</f>
        <v>25.757999999999999</v>
      </c>
      <c r="CT248">
        <f>-12.194</f>
        <v>-12.194000000000001</v>
      </c>
      <c r="CU248">
        <f>8.343</f>
        <v>8.343</v>
      </c>
      <c r="CV248">
        <f>-10.313</f>
        <v>-10.313000000000001</v>
      </c>
      <c r="CW248">
        <f>-23.106</f>
        <v>-23.106000000000002</v>
      </c>
      <c r="CX248">
        <f>33.394</f>
        <v>33.393999999999998</v>
      </c>
      <c r="CY248">
        <f>37.851</f>
        <v>37.850999999999999</v>
      </c>
      <c r="CZ248">
        <f>33.84</f>
        <v>33.840000000000003</v>
      </c>
      <c r="DA248">
        <f>-18.195</f>
        <v>-18.195</v>
      </c>
      <c r="DB248">
        <f>33.788</f>
        <v>33.787999999999997</v>
      </c>
      <c r="DC248">
        <f>-101.872</f>
        <v>-101.872</v>
      </c>
      <c r="DD248">
        <f>-59.988</f>
        <v>-59.988</v>
      </c>
      <c r="DE248">
        <f>-15.979</f>
        <v>-15.978999999999999</v>
      </c>
      <c r="DF248">
        <f>-17.494</f>
        <v>-17.494</v>
      </c>
      <c r="DG248">
        <f>-95.331</f>
        <v>-95.331000000000003</v>
      </c>
      <c r="DH248">
        <f>-108.672</f>
        <v>-108.672</v>
      </c>
      <c r="DI248">
        <f>-950.571</f>
        <v>-950.57100000000003</v>
      </c>
      <c r="DJ248">
        <f>-13.476</f>
        <v>-13.476000000000001</v>
      </c>
      <c r="DK248">
        <f>-18.707</f>
        <v>-18.707000000000001</v>
      </c>
      <c r="DL248">
        <f>-67.88</f>
        <v>-67.88</v>
      </c>
      <c r="DM248">
        <f>-39.574</f>
        <v>-39.573999999999998</v>
      </c>
      <c r="DN248">
        <f>-18.401</f>
        <v>-18.401</v>
      </c>
      <c r="DO248">
        <f>-0.334</f>
        <v>-0.33400000000000002</v>
      </c>
      <c r="DP248">
        <f>-622.319</f>
        <v>-622.31899999999996</v>
      </c>
      <c r="DQ248">
        <f>12.366998</f>
        <v>12.366998000000001</v>
      </c>
      <c r="DR248">
        <f>14.689</f>
        <v>14.689</v>
      </c>
      <c r="DS248">
        <f>-51.426</f>
        <v>-51.426000000000002</v>
      </c>
      <c r="DT248">
        <f>11.773</f>
        <v>11.773</v>
      </c>
      <c r="DU248">
        <f>21.855</f>
        <v>21.855</v>
      </c>
    </row>
    <row r="249" spans="1:125">
      <c r="A249" t="str">
        <f>"    Columbia Property Trust Inc"</f>
        <v xml:space="preserve">    Columbia Property Trust Inc</v>
      </c>
      <c r="B249" t="str">
        <f>"CXP US Equity"</f>
        <v>CXP US Equity</v>
      </c>
      <c r="C249" t="str">
        <f t="shared" si="66"/>
        <v>RR008</v>
      </c>
      <c r="D249" t="str">
        <f t="shared" si="67"/>
        <v>CF_FREE_CASH_FLOW</v>
      </c>
      <c r="E249" t="str">
        <f t="shared" si="68"/>
        <v>动态</v>
      </c>
      <c r="F249" t="str">
        <f ca="1">IF(AND(ISNUMBER($F$548),$B$294=1),$F$548,HLOOKUP(INDIRECT(ADDRESS(2,COLUMN())),OFFSET($BN$2,0,0,ROW()-1,60),ROW()-1,FALSE))</f>
        <v/>
      </c>
      <c r="G249">
        <f ca="1">IF(AND(ISNUMBER($G$548),$B$294=1),$G$548,HLOOKUP(INDIRECT(ADDRESS(2,COLUMN())),OFFSET($BN$2,0,0,ROW()-1,60),ROW()-1,FALSE))</f>
        <v>-12.974</v>
      </c>
      <c r="H249">
        <f ca="1">IF(AND(ISNUMBER($H$548),$B$294=1),$H$548,HLOOKUP(INDIRECT(ADDRESS(2,COLUMN())),OFFSET($BN$2,0,0,ROW()-1,60),ROW()-1,FALSE))</f>
        <v>-12.78</v>
      </c>
      <c r="I249">
        <f ca="1">IF(AND(ISNUMBER($I$548),$B$294=1),$I$548,HLOOKUP(INDIRECT(ADDRESS(2,COLUMN())),OFFSET($BN$2,0,0,ROW()-1,60),ROW()-1,FALSE))</f>
        <v>12.743</v>
      </c>
      <c r="J249">
        <f ca="1">IF(AND(ISNUMBER($J$548),$B$294=1),$J$548,HLOOKUP(INDIRECT(ADDRESS(2,COLUMN())),OFFSET($BN$2,0,0,ROW()-1,60),ROW()-1,FALSE))</f>
        <v>-11.87</v>
      </c>
      <c r="K249">
        <f ca="1">IF(AND(ISNUMBER($K$548),$B$294=1),$K$548,HLOOKUP(INDIRECT(ADDRESS(2,COLUMN())),OFFSET($BN$2,0,0,ROW()-1,60),ROW()-1,FALSE))</f>
        <v>38.313000000000002</v>
      </c>
      <c r="L249">
        <f ca="1">IF(AND(ISNUMBER($L$548),$B$294=1),$L$548,HLOOKUP(INDIRECT(ADDRESS(2,COLUMN())),OFFSET($BN$2,0,0,ROW()-1,60),ROW()-1,FALSE))</f>
        <v>48.63</v>
      </c>
      <c r="M249">
        <f ca="1">IF(AND(ISNUMBER($M$548),$B$294=1),$M$548,HLOOKUP(INDIRECT(ADDRESS(2,COLUMN())),OFFSET($BN$2,0,0,ROW()-1,60),ROW()-1,FALSE))</f>
        <v>38.082000000000001</v>
      </c>
      <c r="N249">
        <f ca="1">IF(AND(ISNUMBER($N$548),$B$294=1),$N$548,HLOOKUP(INDIRECT(ADDRESS(2,COLUMN())),OFFSET($BN$2,0,0,ROW()-1,60),ROW()-1,FALSE))</f>
        <v>28.545000000000002</v>
      </c>
      <c r="O249">
        <f ca="1">IF(AND(ISNUMBER($O$548),$B$294=1),$O$548,HLOOKUP(INDIRECT(ADDRESS(2,COLUMN())),OFFSET($BN$2,0,0,ROW()-1,60),ROW()-1,FALSE))</f>
        <v>28.815999999999999</v>
      </c>
      <c r="P249">
        <f ca="1">IF(AND(ISNUMBER($P$548),$B$294=1),$P$548,HLOOKUP(INDIRECT(ADDRESS(2,COLUMN())),OFFSET($BN$2,0,0,ROW()-1,60),ROW()-1,FALSE))</f>
        <v>43.607999999999997</v>
      </c>
      <c r="Q249">
        <f ca="1">IF(AND(ISNUMBER($Q$548),$B$294=1),$Q$548,HLOOKUP(INDIRECT(ADDRESS(2,COLUMN())),OFFSET($BN$2,0,0,ROW()-1,60),ROW()-1,FALSE))</f>
        <v>40.009</v>
      </c>
      <c r="R249">
        <f ca="1">IF(AND(ISNUMBER($R$548),$B$294=1),$R$548,HLOOKUP(INDIRECT(ADDRESS(2,COLUMN())),OFFSET($BN$2,0,0,ROW()-1,60),ROW()-1,FALSE))</f>
        <v>27.276</v>
      </c>
      <c r="S249">
        <f ca="1">IF(AND(ISNUMBER($S$548),$B$294=1),$S$548,HLOOKUP(INDIRECT(ADDRESS(2,COLUMN())),OFFSET($BN$2,0,0,ROW()-1,60),ROW()-1,FALSE))</f>
        <v>53.39</v>
      </c>
      <c r="T249">
        <f ca="1">IF(AND(ISNUMBER($T$548),$B$294=1),$T$548,HLOOKUP(INDIRECT(ADDRESS(2,COLUMN())),OFFSET($BN$2,0,0,ROW()-1,60),ROW()-1,FALSE))</f>
        <v>35.396000000000001</v>
      </c>
      <c r="U249">
        <f ca="1">IF(AND(ISNUMBER($U$548),$B$294=1),$U$548,HLOOKUP(INDIRECT(ADDRESS(2,COLUMN())),OFFSET($BN$2,0,0,ROW()-1,60),ROW()-1,FALSE))</f>
        <v>49.097000000000001</v>
      </c>
      <c r="V249">
        <f ca="1">IF(AND(ISNUMBER($V$548),$B$294=1),$V$548,HLOOKUP(INDIRECT(ADDRESS(2,COLUMN())),OFFSET($BN$2,0,0,ROW()-1,60),ROW()-1,FALSE))</f>
        <v>45.018000000000001</v>
      </c>
      <c r="W249">
        <f ca="1">IF(AND(ISNUMBER($W$548),$B$294=1),$W$548,HLOOKUP(INDIRECT(ADDRESS(2,COLUMN())),OFFSET($BN$2,0,0,ROW()-1,60),ROW()-1,FALSE))</f>
        <v>45.161000000000001</v>
      </c>
      <c r="X249">
        <f ca="1">IF(AND(ISNUMBER($X$548),$B$294=1),$X$548,HLOOKUP(INDIRECT(ADDRESS(2,COLUMN())),OFFSET($BN$2,0,0,ROW()-1,60),ROW()-1,FALSE))</f>
        <v>48.485999999999997</v>
      </c>
      <c r="Y249">
        <f ca="1">IF(AND(ISNUMBER($Y$548),$B$294=1),$Y$548,HLOOKUP(INDIRECT(ADDRESS(2,COLUMN())),OFFSET($BN$2,0,0,ROW()-1,60),ROW()-1,FALSE))</f>
        <v>31.302</v>
      </c>
      <c r="Z249">
        <f ca="1">IF(AND(ISNUMBER($Z$548),$B$294=1),$Z$548,HLOOKUP(INDIRECT(ADDRESS(2,COLUMN())),OFFSET($BN$2,0,0,ROW()-1,60),ROW()-1,FALSE))</f>
        <v>48.524000000000001</v>
      </c>
      <c r="AA249">
        <f ca="1">IF(AND(ISNUMBER($AA$548),$B$294=1),$AA$548,HLOOKUP(INDIRECT(ADDRESS(2,COLUMN())),OFFSET($BN$2,0,0,ROW()-1,60),ROW()-1,FALSE))</f>
        <v>12.185</v>
      </c>
      <c r="AB249">
        <f ca="1">IF(AND(ISNUMBER($AB$548),$B$294=1),$AB$548,HLOOKUP(INDIRECT(ADDRESS(2,COLUMN())),OFFSET($BN$2,0,0,ROW()-1,60),ROW()-1,FALSE))</f>
        <v>61.957999999999998</v>
      </c>
      <c r="AC249">
        <f ca="1">IF(AND(ISNUMBER($AC$548),$B$294=1),$AC$548,HLOOKUP(INDIRECT(ADDRESS(2,COLUMN())),OFFSET($BN$2,0,0,ROW()-1,60),ROW()-1,FALSE))</f>
        <v>60.054000000000002</v>
      </c>
      <c r="AD249">
        <f ca="1">IF(AND(ISNUMBER($AD$548),$B$294=1),$AD$548,HLOOKUP(INDIRECT(ADDRESS(2,COLUMN())),OFFSET($BN$2,0,0,ROW()-1,60),ROW()-1,FALSE))</f>
        <v>73.593999999999994</v>
      </c>
      <c r="AE249">
        <f ca="1">IF(AND(ISNUMBER($AE$548),$B$294=1),$AE$548,HLOOKUP(INDIRECT(ADDRESS(2,COLUMN())),OFFSET($BN$2,0,0,ROW()-1,60),ROW()-1,FALSE))</f>
        <v>70.742000000000004</v>
      </c>
      <c r="AF249">
        <f ca="1">IF(AND(ISNUMBER($AF$548),$B$294=1),$AF$548,HLOOKUP(INDIRECT(ADDRESS(2,COLUMN())),OFFSET($BN$2,0,0,ROW()-1,60),ROW()-1,FALSE))</f>
        <v>77.388999999999996</v>
      </c>
      <c r="AG249">
        <f ca="1">IF(AND(ISNUMBER($AG$548),$B$294=1),$AG$548,HLOOKUP(INDIRECT(ADDRESS(2,COLUMN())),OFFSET($BN$2,0,0,ROW()-1,60),ROW()-1,FALSE))</f>
        <v>73.266999999999996</v>
      </c>
      <c r="AH249">
        <f ca="1">IF(AND(ISNUMBER($AH$548),$B$294=1),$AH$548,HLOOKUP(INDIRECT(ADDRESS(2,COLUMN())),OFFSET($BN$2,0,0,ROW()-1,60),ROW()-1,FALSE))</f>
        <v>57.76</v>
      </c>
      <c r="AI249">
        <f ca="1">IF(AND(ISNUMBER($AI$548),$B$294=1),$AI$548,HLOOKUP(INDIRECT(ADDRESS(2,COLUMN())),OFFSET($BN$2,0,0,ROW()-1,60),ROW()-1,FALSE))</f>
        <v>81.372</v>
      </c>
      <c r="AJ249">
        <f ca="1">IF(AND(ISNUMBER($AJ$548),$B$294=1),$AJ$548,HLOOKUP(INDIRECT(ADDRESS(2,COLUMN())),OFFSET($BN$2,0,0,ROW()-1,60),ROW()-1,FALSE))</f>
        <v>74.001000000000005</v>
      </c>
      <c r="AK249">
        <f ca="1">IF(AND(ISNUMBER($AK$548),$B$294=1),$AK$548,HLOOKUP(INDIRECT(ADDRESS(2,COLUMN())),OFFSET($BN$2,0,0,ROW()-1,60),ROW()-1,FALSE))</f>
        <v>58.643000000000001</v>
      </c>
      <c r="AL249">
        <f ca="1">IF(AND(ISNUMBER($AL$548),$B$294=1),$AL$548,HLOOKUP(INDIRECT(ADDRESS(2,COLUMN())),OFFSET($BN$2,0,0,ROW()-1,60),ROW()-1,FALSE))</f>
        <v>56.058999999999997</v>
      </c>
      <c r="AM249">
        <f ca="1">IF(AND(ISNUMBER($AM$548),$B$294=1),$AM$548,HLOOKUP(INDIRECT(ADDRESS(2,COLUMN())),OFFSET($BN$2,0,0,ROW()-1,60),ROW()-1,FALSE))</f>
        <v>80.683000000000007</v>
      </c>
      <c r="AN249">
        <f ca="1">IF(AND(ISNUMBER($AN$548),$B$294=1),$AN$548,HLOOKUP(INDIRECT(ADDRESS(2,COLUMN())),OFFSET($BN$2,0,0,ROW()-1,60),ROW()-1,FALSE))</f>
        <v>61.636000000000003</v>
      </c>
      <c r="AO249">
        <f ca="1">IF(AND(ISNUMBER($AO$548),$B$294=1),$AO$548,HLOOKUP(INDIRECT(ADDRESS(2,COLUMN())),OFFSET($BN$2,0,0,ROW()-1,60),ROW()-1,FALSE))</f>
        <v>53.566000000000003</v>
      </c>
      <c r="AP249">
        <f ca="1">IF(AND(ISNUMBER($AP$548),$B$294=1),$AP$548,HLOOKUP(INDIRECT(ADDRESS(2,COLUMN())),OFFSET($BN$2,0,0,ROW()-1,60),ROW()-1,FALSE))</f>
        <v>52.642000000000003</v>
      </c>
      <c r="AQ249" t="str">
        <f ca="1">IF(AND(ISNUMBER($AQ$548),$B$294=1),$AQ$548,HLOOKUP(INDIRECT(ADDRESS(2,COLUMN())),OFFSET($BN$2,0,0,ROW()-1,60),ROW()-1,FALSE))</f>
        <v/>
      </c>
      <c r="AR249" t="str">
        <f ca="1">IF(AND(ISNUMBER($AR$548),$B$294=1),$AR$548,HLOOKUP(INDIRECT(ADDRESS(2,COLUMN())),OFFSET($BN$2,0,0,ROW()-1,60),ROW()-1,FALSE))</f>
        <v/>
      </c>
      <c r="AS249" t="str">
        <f ca="1">IF(AND(ISNUMBER($AS$548),$B$294=1),$AS$548,HLOOKUP(INDIRECT(ADDRESS(2,COLUMN())),OFFSET($BN$2,0,0,ROW()-1,60),ROW()-1,FALSE))</f>
        <v/>
      </c>
      <c r="AT249" t="str">
        <f ca="1">IF(AND(ISNUMBER($AT$548),$B$294=1),$AT$548,HLOOKUP(INDIRECT(ADDRESS(2,COLUMN())),OFFSET($BN$2,0,0,ROW()-1,60),ROW()-1,FALSE))</f>
        <v/>
      </c>
      <c r="AU249" t="str">
        <f ca="1">IF(AND(ISNUMBER($AU$548),$B$294=1),$AU$548,HLOOKUP(INDIRECT(ADDRESS(2,COLUMN())),OFFSET($BN$2,0,0,ROW()-1,60),ROW()-1,FALSE))</f>
        <v/>
      </c>
      <c r="AV249" t="str">
        <f ca="1">IF(AND(ISNUMBER($AV$548),$B$294=1),$AV$548,HLOOKUP(INDIRECT(ADDRESS(2,COLUMN())),OFFSET($BN$2,0,0,ROW()-1,60),ROW()-1,FALSE))</f>
        <v/>
      </c>
      <c r="AW249" t="str">
        <f ca="1">IF(AND(ISNUMBER($AW$548),$B$294=1),$AW$548,HLOOKUP(INDIRECT(ADDRESS(2,COLUMN())),OFFSET($BN$2,0,0,ROW()-1,60),ROW()-1,FALSE))</f>
        <v/>
      </c>
      <c r="AX249" t="str">
        <f ca="1">IF(AND(ISNUMBER($AX$548),$B$294=1),$AX$548,HLOOKUP(INDIRECT(ADDRESS(2,COLUMN())),OFFSET($BN$2,0,0,ROW()-1,60),ROW()-1,FALSE))</f>
        <v/>
      </c>
      <c r="AY249" t="str">
        <f ca="1">IF(AND(ISNUMBER($AY$548),$B$294=1),$AY$548,HLOOKUP(INDIRECT(ADDRESS(2,COLUMN())),OFFSET($BN$2,0,0,ROW()-1,60),ROW()-1,FALSE))</f>
        <v/>
      </c>
      <c r="AZ249" t="str">
        <f ca="1">IF(AND(ISNUMBER($AZ$548),$B$294=1),$AZ$548,HLOOKUP(INDIRECT(ADDRESS(2,COLUMN())),OFFSET($BN$2,0,0,ROW()-1,60),ROW()-1,FALSE))</f>
        <v/>
      </c>
      <c r="BA249" t="str">
        <f ca="1">IF(AND(ISNUMBER($BA$548),$B$294=1),$BA$548,HLOOKUP(INDIRECT(ADDRESS(2,COLUMN())),OFFSET($BN$2,0,0,ROW()-1,60),ROW()-1,FALSE))</f>
        <v/>
      </c>
      <c r="BB249" t="str">
        <f ca="1">IF(AND(ISNUMBER($BB$548),$B$294=1),$BB$548,HLOOKUP(INDIRECT(ADDRESS(2,COLUMN())),OFFSET($BN$2,0,0,ROW()-1,60),ROW()-1,FALSE))</f>
        <v/>
      </c>
      <c r="BC249" t="str">
        <f ca="1">IF(AND(ISNUMBER($BC$548),$B$294=1),$BC$548,HLOOKUP(INDIRECT(ADDRESS(2,COLUMN())),OFFSET($BN$2,0,0,ROW()-1,60),ROW()-1,FALSE))</f>
        <v/>
      </c>
      <c r="BD249" t="str">
        <f ca="1">IF(AND(ISNUMBER($BD$548),$B$294=1),$BD$548,HLOOKUP(INDIRECT(ADDRESS(2,COLUMN())),OFFSET($BN$2,0,0,ROW()-1,60),ROW()-1,FALSE))</f>
        <v/>
      </c>
      <c r="BE249" t="str">
        <f ca="1">IF(AND(ISNUMBER($BE$548),$B$294=1),$BE$548,HLOOKUP(INDIRECT(ADDRESS(2,COLUMN())),OFFSET($BN$2,0,0,ROW()-1,60),ROW()-1,FALSE))</f>
        <v/>
      </c>
      <c r="BF249" t="str">
        <f ca="1">IF(AND(ISNUMBER($BF$548),$B$294=1),$BF$548,HLOOKUP(INDIRECT(ADDRESS(2,COLUMN())),OFFSET($BN$2,0,0,ROW()-1,60),ROW()-1,FALSE))</f>
        <v/>
      </c>
      <c r="BG249" t="str">
        <f ca="1">IF(AND(ISNUMBER($BG$548),$B$294=1),$BG$548,HLOOKUP(INDIRECT(ADDRESS(2,COLUMN())),OFFSET($BN$2,0,0,ROW()-1,60),ROW()-1,FALSE))</f>
        <v/>
      </c>
      <c r="BH249" t="str">
        <f ca="1">IF(AND(ISNUMBER($BH$548),$B$294=1),$BH$548,HLOOKUP(INDIRECT(ADDRESS(2,COLUMN())),OFFSET($BN$2,0,0,ROW()-1,60),ROW()-1,FALSE))</f>
        <v/>
      </c>
      <c r="BI249" t="str">
        <f ca="1">IF(AND(ISNUMBER($BI$548),$B$294=1),$BI$548,HLOOKUP(INDIRECT(ADDRESS(2,COLUMN())),OFFSET($BN$2,0,0,ROW()-1,60),ROW()-1,FALSE))</f>
        <v/>
      </c>
      <c r="BJ249" t="str">
        <f ca="1">IF(AND(ISNUMBER($BJ$548),$B$294=1),$BJ$548,HLOOKUP(INDIRECT(ADDRESS(2,COLUMN())),OFFSET($BN$2,0,0,ROW()-1,60),ROW()-1,FALSE))</f>
        <v/>
      </c>
      <c r="BK249" t="str">
        <f ca="1">IF(AND(ISNUMBER($BK$548),$B$294=1),$BK$548,HLOOKUP(INDIRECT(ADDRESS(2,COLUMN())),OFFSET($BN$2,0,0,ROW()-1,60),ROW()-1,FALSE))</f>
        <v/>
      </c>
      <c r="BL249" t="str">
        <f ca="1">IF(AND(ISNUMBER($BL$548),$B$294=1),$BL$548,HLOOKUP(INDIRECT(ADDRESS(2,COLUMN())),OFFSET($BN$2,0,0,ROW()-1,60),ROW()-1,FALSE))</f>
        <v/>
      </c>
      <c r="BM249" t="str">
        <f ca="1">IF(AND(ISNUMBER($BM$548),$B$294=1),$BM$548,HLOOKUP(INDIRECT(ADDRESS(2,COLUMN())),OFFSET($BN$2,0,0,ROW()-1,60),ROW()-1,FALSE))</f>
        <v/>
      </c>
      <c r="BN249" t="str">
        <f>""</f>
        <v/>
      </c>
      <c r="BO249">
        <f>-12.974</f>
        <v>-12.974</v>
      </c>
      <c r="BP249">
        <f>-12.78</f>
        <v>-12.78</v>
      </c>
      <c r="BQ249">
        <f>12.743</f>
        <v>12.743</v>
      </c>
      <c r="BR249">
        <f>-11.87</f>
        <v>-11.87</v>
      </c>
      <c r="BS249">
        <f>38.313</f>
        <v>38.313000000000002</v>
      </c>
      <c r="BT249">
        <f>48.63</f>
        <v>48.63</v>
      </c>
      <c r="BU249">
        <f>38.082</f>
        <v>38.082000000000001</v>
      </c>
      <c r="BV249">
        <f>28.545</f>
        <v>28.545000000000002</v>
      </c>
      <c r="BW249">
        <f>28.816</f>
        <v>28.815999999999999</v>
      </c>
      <c r="BX249">
        <f>43.608</f>
        <v>43.607999999999997</v>
      </c>
      <c r="BY249">
        <f>40.009</f>
        <v>40.009</v>
      </c>
      <c r="BZ249">
        <f>27.276</f>
        <v>27.276</v>
      </c>
      <c r="CA249">
        <f>53.39</f>
        <v>53.39</v>
      </c>
      <c r="CB249">
        <f>35.396</f>
        <v>35.396000000000001</v>
      </c>
      <c r="CC249">
        <f>49.097</f>
        <v>49.097000000000001</v>
      </c>
      <c r="CD249">
        <f>45.018</f>
        <v>45.018000000000001</v>
      </c>
      <c r="CE249">
        <f>45.161</f>
        <v>45.161000000000001</v>
      </c>
      <c r="CF249">
        <f>48.486</f>
        <v>48.485999999999997</v>
      </c>
      <c r="CG249">
        <f>31.302</f>
        <v>31.302</v>
      </c>
      <c r="CH249">
        <f>48.524</f>
        <v>48.524000000000001</v>
      </c>
      <c r="CI249">
        <f>12.185</f>
        <v>12.185</v>
      </c>
      <c r="CJ249">
        <f>61.958</f>
        <v>61.957999999999998</v>
      </c>
      <c r="CK249">
        <f>60.054</f>
        <v>60.054000000000002</v>
      </c>
      <c r="CL249">
        <f>73.594</f>
        <v>73.593999999999994</v>
      </c>
      <c r="CM249">
        <f>70.742</f>
        <v>70.742000000000004</v>
      </c>
      <c r="CN249">
        <f>77.389</f>
        <v>77.388999999999996</v>
      </c>
      <c r="CO249">
        <f>73.267</f>
        <v>73.266999999999996</v>
      </c>
      <c r="CP249">
        <f>57.76</f>
        <v>57.76</v>
      </c>
      <c r="CQ249">
        <f>81.372</f>
        <v>81.372</v>
      </c>
      <c r="CR249">
        <f>74.001</f>
        <v>74.001000000000005</v>
      </c>
      <c r="CS249">
        <f>58.643</f>
        <v>58.643000000000001</v>
      </c>
      <c r="CT249">
        <f>56.059</f>
        <v>56.058999999999997</v>
      </c>
      <c r="CU249">
        <f>80.683</f>
        <v>80.683000000000007</v>
      </c>
      <c r="CV249">
        <f>61.636</f>
        <v>61.636000000000003</v>
      </c>
      <c r="CW249">
        <f>53.566</f>
        <v>53.566000000000003</v>
      </c>
      <c r="CX249">
        <f>52.642</f>
        <v>52.642000000000003</v>
      </c>
      <c r="CY249" t="str">
        <f>""</f>
        <v/>
      </c>
      <c r="CZ249" t="str">
        <f>""</f>
        <v/>
      </c>
      <c r="DA249" t="str">
        <f>""</f>
        <v/>
      </c>
      <c r="DB249" t="str">
        <f>""</f>
        <v/>
      </c>
      <c r="DC249" t="str">
        <f>""</f>
        <v/>
      </c>
      <c r="DD249" t="str">
        <f>""</f>
        <v/>
      </c>
      <c r="DE249" t="str">
        <f>""</f>
        <v/>
      </c>
      <c r="DF249" t="str">
        <f>""</f>
        <v/>
      </c>
      <c r="DG249" t="str">
        <f>""</f>
        <v/>
      </c>
      <c r="DH249" t="str">
        <f>""</f>
        <v/>
      </c>
      <c r="DI249" t="str">
        <f>""</f>
        <v/>
      </c>
      <c r="DJ249" t="str">
        <f>""</f>
        <v/>
      </c>
      <c r="DK249" t="str">
        <f>""</f>
        <v/>
      </c>
      <c r="DL249" t="str">
        <f>""</f>
        <v/>
      </c>
      <c r="DM249" t="str">
        <f>""</f>
        <v/>
      </c>
      <c r="DN249" t="str">
        <f>""</f>
        <v/>
      </c>
      <c r="DO249" t="str">
        <f>""</f>
        <v/>
      </c>
      <c r="DP249" t="str">
        <f>""</f>
        <v/>
      </c>
      <c r="DQ249" t="str">
        <f>""</f>
        <v/>
      </c>
      <c r="DR249" t="str">
        <f>""</f>
        <v/>
      </c>
      <c r="DS249" t="str">
        <f>""</f>
        <v/>
      </c>
      <c r="DT249" t="str">
        <f>""</f>
        <v/>
      </c>
      <c r="DU249" t="str">
        <f>""</f>
        <v/>
      </c>
    </row>
    <row r="250" spans="1:125">
      <c r="A250" t="str">
        <f>"    Corporate Office Properties Tr"</f>
        <v xml:space="preserve">    Corporate Office Properties Tr</v>
      </c>
      <c r="B250" t="str">
        <f>"OFC US Equity"</f>
        <v>OFC US Equity</v>
      </c>
      <c r="C250" t="str">
        <f t="shared" si="66"/>
        <v>RR008</v>
      </c>
      <c r="D250" t="str">
        <f t="shared" si="67"/>
        <v>CF_FREE_CASH_FLOW</v>
      </c>
      <c r="E250" t="str">
        <f t="shared" si="68"/>
        <v>动态</v>
      </c>
      <c r="F250" t="str">
        <f ca="1">IF(AND(ISNUMBER($F$549),$B$294=1),$F$549,HLOOKUP(INDIRECT(ADDRESS(2,COLUMN())),OFFSET($BN$2,0,0,ROW()-1,60),ROW()-1,FALSE))</f>
        <v/>
      </c>
      <c r="G250">
        <f ca="1">IF(AND(ISNUMBER($G$549),$B$294=1),$G$549,HLOOKUP(INDIRECT(ADDRESS(2,COLUMN())),OFFSET($BN$2,0,0,ROW()-1,60),ROW()-1,FALSE))</f>
        <v>-48.091000000000001</v>
      </c>
      <c r="H250">
        <f ca="1">IF(AND(ISNUMBER($H$549),$B$294=1),$H$549,HLOOKUP(INDIRECT(ADDRESS(2,COLUMN())),OFFSET($BN$2,0,0,ROW()-1,60),ROW()-1,FALSE))</f>
        <v>15.63</v>
      </c>
      <c r="I250">
        <f ca="1">IF(AND(ISNUMBER($I$549),$B$294=1),$I$549,HLOOKUP(INDIRECT(ADDRESS(2,COLUMN())),OFFSET($BN$2,0,0,ROW()-1,60),ROW()-1,FALSE))</f>
        <v>-6.4029999999999996</v>
      </c>
      <c r="J250">
        <f ca="1">IF(AND(ISNUMBER($J$549),$B$294=1),$J$549,HLOOKUP(INDIRECT(ADDRESS(2,COLUMN())),OFFSET($BN$2,0,0,ROW()-1,60),ROW()-1,FALSE))</f>
        <v>12.723000000000001</v>
      </c>
      <c r="K250">
        <f ca="1">IF(AND(ISNUMBER($K$549),$B$294=1),$K$549,HLOOKUP(INDIRECT(ADDRESS(2,COLUMN())),OFFSET($BN$2,0,0,ROW()-1,60),ROW()-1,FALSE))</f>
        <v>9.8409999999999993</v>
      </c>
      <c r="L250">
        <f ca="1">IF(AND(ISNUMBER($L$549),$B$294=1),$L$549,HLOOKUP(INDIRECT(ADDRESS(2,COLUMN())),OFFSET($BN$2,0,0,ROW()-1,60),ROW()-1,FALSE))</f>
        <v>-17.63</v>
      </c>
      <c r="M250">
        <f ca="1">IF(AND(ISNUMBER($M$549),$B$294=1),$M$549,HLOOKUP(INDIRECT(ADDRESS(2,COLUMN())),OFFSET($BN$2,0,0,ROW()-1,60),ROW()-1,FALSE))</f>
        <v>31.788</v>
      </c>
      <c r="N250">
        <f ca="1">IF(AND(ISNUMBER($N$549),$B$294=1),$N$549,HLOOKUP(INDIRECT(ADDRESS(2,COLUMN())),OFFSET($BN$2,0,0,ROW()-1,60),ROW()-1,FALSE))</f>
        <v>-13.6</v>
      </c>
      <c r="O250">
        <f ca="1">IF(AND(ISNUMBER($O$549),$B$294=1),$O$549,HLOOKUP(INDIRECT(ADDRESS(2,COLUMN())),OFFSET($BN$2,0,0,ROW()-1,60),ROW()-1,FALSE))</f>
        <v>-25.466999999999999</v>
      </c>
      <c r="P250">
        <f ca="1">IF(AND(ISNUMBER($P$549),$B$294=1),$P$549,HLOOKUP(INDIRECT(ADDRESS(2,COLUMN())),OFFSET($BN$2,0,0,ROW()-1,60),ROW()-1,FALSE))</f>
        <v>-109.827</v>
      </c>
      <c r="Q250">
        <f ca="1">IF(AND(ISNUMBER($Q$549),$B$294=1),$Q$549,HLOOKUP(INDIRECT(ADDRESS(2,COLUMN())),OFFSET($BN$2,0,0,ROW()-1,60),ROW()-1,FALSE))</f>
        <v>-64.441000000000003</v>
      </c>
      <c r="R250">
        <f ca="1">IF(AND(ISNUMBER($R$549),$B$294=1),$R$549,HLOOKUP(INDIRECT(ADDRESS(2,COLUMN())),OFFSET($BN$2,0,0,ROW()-1,60),ROW()-1,FALSE))</f>
        <v>-86.028999999999996</v>
      </c>
      <c r="S250">
        <f ca="1">IF(AND(ISNUMBER($S$549),$B$294=1),$S$549,HLOOKUP(INDIRECT(ADDRESS(2,COLUMN())),OFFSET($BN$2,0,0,ROW()-1,60),ROW()-1,FALSE))</f>
        <v>-15.971</v>
      </c>
      <c r="T250">
        <f ca="1">IF(AND(ISNUMBER($T$549),$B$294=1),$T$549,HLOOKUP(INDIRECT(ADDRESS(2,COLUMN())),OFFSET($BN$2,0,0,ROW()-1,60),ROW()-1,FALSE))</f>
        <v>-15.714</v>
      </c>
      <c r="U250">
        <f ca="1">IF(AND(ISNUMBER($U$549),$B$294=1),$U$549,HLOOKUP(INDIRECT(ADDRESS(2,COLUMN())),OFFSET($BN$2,0,0,ROW()-1,60),ROW()-1,FALSE))</f>
        <v>-26.204000000000001</v>
      </c>
      <c r="V250">
        <f ca="1">IF(AND(ISNUMBER($V$549),$B$294=1),$V$549,HLOOKUP(INDIRECT(ADDRESS(2,COLUMN())),OFFSET($BN$2,0,0,ROW()-1,60),ROW()-1,FALSE))</f>
        <v>-4.5590000000000002</v>
      </c>
      <c r="W250">
        <f ca="1">IF(AND(ISNUMBER($W$549),$B$294=1),$W$549,HLOOKUP(INDIRECT(ADDRESS(2,COLUMN())),OFFSET($BN$2,0,0,ROW()-1,60),ROW()-1,FALSE))</f>
        <v>-5.5119999999999996</v>
      </c>
      <c r="X250">
        <f ca="1">IF(AND(ISNUMBER($X$549),$B$294=1),$X$549,HLOOKUP(INDIRECT(ADDRESS(2,COLUMN())),OFFSET($BN$2,0,0,ROW()-1,60),ROW()-1,FALSE))</f>
        <v>-22.725000000000001</v>
      </c>
      <c r="Y250">
        <f ca="1">IF(AND(ISNUMBER($Y$549),$B$294=1),$Y$549,HLOOKUP(INDIRECT(ADDRESS(2,COLUMN())),OFFSET($BN$2,0,0,ROW()-1,60),ROW()-1,FALSE))</f>
        <v>-49.098999999999997</v>
      </c>
      <c r="Z250">
        <f ca="1">IF(AND(ISNUMBER($Z$549),$B$294=1),$Z$549,HLOOKUP(INDIRECT(ADDRESS(2,COLUMN())),OFFSET($BN$2,0,0,ROW()-1,60),ROW()-1,FALSE))</f>
        <v>-11.64</v>
      </c>
      <c r="AA250">
        <f ca="1">IF(AND(ISNUMBER($AA$549),$B$294=1),$AA$549,HLOOKUP(INDIRECT(ADDRESS(2,COLUMN())),OFFSET($BN$2,0,0,ROW()-1,60),ROW()-1,FALSE))</f>
        <v>-33.076999999999998</v>
      </c>
      <c r="AB250">
        <f ca="1">IF(AND(ISNUMBER($AB$549),$B$294=1),$AB$549,HLOOKUP(INDIRECT(ADDRESS(2,COLUMN())),OFFSET($BN$2,0,0,ROW()-1,60),ROW()-1,FALSE))</f>
        <v>-67.826999999999998</v>
      </c>
      <c r="AC250">
        <f ca="1">IF(AND(ISNUMBER($AC$549),$B$294=1),$AC$549,HLOOKUP(INDIRECT(ADDRESS(2,COLUMN())),OFFSET($BN$2,0,0,ROW()-1,60),ROW()-1,FALSE))</f>
        <v>24.062000000000001</v>
      </c>
      <c r="AD250">
        <f ca="1">IF(AND(ISNUMBER($AD$549),$B$294=1),$AD$549,HLOOKUP(INDIRECT(ADDRESS(2,COLUMN())),OFFSET($BN$2,0,0,ROW()-1,60),ROW()-1,FALSE))</f>
        <v>-2.9830000000000001</v>
      </c>
      <c r="AE250">
        <f ca="1">IF(AND(ISNUMBER($AE$549),$B$294=1),$AE$549,HLOOKUP(INDIRECT(ADDRESS(2,COLUMN())),OFFSET($BN$2,0,0,ROW()-1,60),ROW()-1,FALSE))</f>
        <v>-30.672000000000001</v>
      </c>
      <c r="AF250">
        <f ca="1">IF(AND(ISNUMBER($AF$549),$B$294=1),$AF$549,HLOOKUP(INDIRECT(ADDRESS(2,COLUMN())),OFFSET($BN$2,0,0,ROW()-1,60),ROW()-1,FALSE))</f>
        <v>-103.42400000000001</v>
      </c>
      <c r="AG250">
        <f ca="1">IF(AND(ISNUMBER($AG$549),$B$294=1),$AG$549,HLOOKUP(INDIRECT(ADDRESS(2,COLUMN())),OFFSET($BN$2,0,0,ROW()-1,60),ROW()-1,FALSE))</f>
        <v>-6.819</v>
      </c>
      <c r="AH250">
        <f ca="1">IF(AND(ISNUMBER($AH$549),$B$294=1),$AH$549,HLOOKUP(INDIRECT(ADDRESS(2,COLUMN())),OFFSET($BN$2,0,0,ROW()-1,60),ROW()-1,FALSE))</f>
        <v>-26.565999999999999</v>
      </c>
      <c r="AI250">
        <f ca="1">IF(AND(ISNUMBER($AI$549),$B$294=1),$AI$549,HLOOKUP(INDIRECT(ADDRESS(2,COLUMN())),OFFSET($BN$2,0,0,ROW()-1,60),ROW()-1,FALSE))</f>
        <v>-60.655999999999999</v>
      </c>
      <c r="AJ250">
        <f ca="1">IF(AND(ISNUMBER($AJ$549),$B$294=1),$AJ$549,HLOOKUP(INDIRECT(ADDRESS(2,COLUMN())),OFFSET($BN$2,0,0,ROW()-1,60),ROW()-1,FALSE))</f>
        <v>-197.55099999999999</v>
      </c>
      <c r="AK250">
        <f ca="1">IF(AND(ISNUMBER($AK$549),$B$294=1),$AK$549,HLOOKUP(INDIRECT(ADDRESS(2,COLUMN())),OFFSET($BN$2,0,0,ROW()-1,60),ROW()-1,FALSE))</f>
        <v>-53.39</v>
      </c>
      <c r="AL250">
        <f ca="1">IF(AND(ISNUMBER($AL$549),$B$294=1),$AL$549,HLOOKUP(INDIRECT(ADDRESS(2,COLUMN())),OFFSET($BN$2,0,0,ROW()-1,60),ROW()-1,FALSE))</f>
        <v>-14.005000000000001</v>
      </c>
      <c r="AM250">
        <f ca="1">IF(AND(ISNUMBER($AM$549),$B$294=1),$AM$549,HLOOKUP(INDIRECT(ADDRESS(2,COLUMN())),OFFSET($BN$2,0,0,ROW()-1,60),ROW()-1,FALSE))</f>
        <v>-76.13</v>
      </c>
      <c r="AN250">
        <f ca="1">IF(AND(ISNUMBER($AN$549),$B$294=1),$AN$549,HLOOKUP(INDIRECT(ADDRESS(2,COLUMN())),OFFSET($BN$2,0,0,ROW()-1,60),ROW()-1,FALSE))</f>
        <v>-9.6859999999999999</v>
      </c>
      <c r="AO250">
        <f ca="1">IF(AND(ISNUMBER($AO$549),$B$294=1),$AO$549,HLOOKUP(INDIRECT(ADDRESS(2,COLUMN())),OFFSET($BN$2,0,0,ROW()-1,60),ROW()-1,FALSE))</f>
        <v>1.7070000000000001</v>
      </c>
      <c r="AP250">
        <f ca="1">IF(AND(ISNUMBER($AP$549),$B$294=1),$AP$549,HLOOKUP(INDIRECT(ADDRESS(2,COLUMN())),OFFSET($BN$2,0,0,ROW()-1,60),ROW()-1,FALSE))</f>
        <v>25.074000000000002</v>
      </c>
      <c r="AQ250">
        <f ca="1">IF(AND(ISNUMBER($AQ$549),$B$294=1),$AQ$549,HLOOKUP(INDIRECT(ADDRESS(2,COLUMN())),OFFSET($BN$2,0,0,ROW()-1,60),ROW()-1,FALSE))</f>
        <v>-8.3970000000000002</v>
      </c>
      <c r="AR250">
        <f ca="1">IF(AND(ISNUMBER($AR$549),$B$294=1),$AR$549,HLOOKUP(INDIRECT(ADDRESS(2,COLUMN())),OFFSET($BN$2,0,0,ROW()-1,60),ROW()-1,FALSE))</f>
        <v>-29.193000000000001</v>
      </c>
      <c r="AS250">
        <f ca="1">IF(AND(ISNUMBER($AS$549),$B$294=1),$AS$549,HLOOKUP(INDIRECT(ADDRESS(2,COLUMN())),OFFSET($BN$2,0,0,ROW()-1,60),ROW()-1,FALSE))</f>
        <v>-59.326000000000001</v>
      </c>
      <c r="AT250">
        <f ca="1">IF(AND(ISNUMBER($AT$549),$B$294=1),$AT$549,HLOOKUP(INDIRECT(ADDRESS(2,COLUMN())),OFFSET($BN$2,0,0,ROW()-1,60),ROW()-1,FALSE))</f>
        <v>-6.4119999999999999</v>
      </c>
      <c r="AU250">
        <f ca="1">IF(AND(ISNUMBER($AU$549),$B$294=1),$AU$549,HLOOKUP(INDIRECT(ADDRESS(2,COLUMN())),OFFSET($BN$2,0,0,ROW()-1,60),ROW()-1,FALSE))</f>
        <v>-9.5879999999999992</v>
      </c>
      <c r="AV250">
        <f ca="1">IF(AND(ISNUMBER($AV$549),$B$294=1),$AV$549,HLOOKUP(INDIRECT(ADDRESS(2,COLUMN())),OFFSET($BN$2,0,0,ROW()-1,60),ROW()-1,FALSE))</f>
        <v>-27.798999999999999</v>
      </c>
      <c r="AW250">
        <f ca="1">IF(AND(ISNUMBER($AW$549),$B$294=1),$AW$549,HLOOKUP(INDIRECT(ADDRESS(2,COLUMN())),OFFSET($BN$2,0,0,ROW()-1,60),ROW()-1,FALSE))</f>
        <v>-26.788</v>
      </c>
      <c r="AX250">
        <f ca="1">IF(AND(ISNUMBER($AX$549),$B$294=1),$AX$549,HLOOKUP(INDIRECT(ADDRESS(2,COLUMN())),OFFSET($BN$2,0,0,ROW()-1,60),ROW()-1,FALSE))</f>
        <v>-152.214</v>
      </c>
      <c r="AY250">
        <f ca="1">IF(AND(ISNUMBER($AY$549),$B$294=1),$AY$549,HLOOKUP(INDIRECT(ADDRESS(2,COLUMN())),OFFSET($BN$2,0,0,ROW()-1,60),ROW()-1,FALSE))</f>
        <v>-28.506</v>
      </c>
      <c r="AZ250">
        <f ca="1">IF(AND(ISNUMBER($AZ$549),$B$294=1),$AZ$549,HLOOKUP(INDIRECT(ADDRESS(2,COLUMN())),OFFSET($BN$2,0,0,ROW()-1,60),ROW()-1,FALSE))</f>
        <v>-21.739000000000001</v>
      </c>
      <c r="BA250">
        <f ca="1">IF(AND(ISNUMBER($BA$549),$B$294=1),$BA$549,HLOOKUP(INDIRECT(ADDRESS(2,COLUMN())),OFFSET($BN$2,0,0,ROW()-1,60),ROW()-1,FALSE))</f>
        <v>-117.935</v>
      </c>
      <c r="BB250">
        <f ca="1">IF(AND(ISNUMBER($BB$549),$B$294=1),$BB$549,HLOOKUP(INDIRECT(ADDRESS(2,COLUMN())),OFFSET($BN$2,0,0,ROW()-1,60),ROW()-1,FALSE))</f>
        <v>-8.8810000000000002</v>
      </c>
      <c r="BC250">
        <f ca="1">IF(AND(ISNUMBER($BC$549),$B$294=1),$BC$549,HLOOKUP(INDIRECT(ADDRESS(2,COLUMN())),OFFSET($BN$2,0,0,ROW()-1,60),ROW()-1,FALSE))</f>
        <v>-203.559</v>
      </c>
      <c r="BD250">
        <f ca="1">IF(AND(ISNUMBER($BD$549),$B$294=1),$BD$549,HLOOKUP(INDIRECT(ADDRESS(2,COLUMN())),OFFSET($BN$2,0,0,ROW()-1,60),ROW()-1,FALSE))</f>
        <v>-88.522000000000006</v>
      </c>
      <c r="BE250">
        <f ca="1">IF(AND(ISNUMBER($BE$549),$B$294=1),$BE$549,HLOOKUP(INDIRECT(ADDRESS(2,COLUMN())),OFFSET($BN$2,0,0,ROW()-1,60),ROW()-1,FALSE))</f>
        <v>-54.295000000000002</v>
      </c>
      <c r="BF250">
        <f ca="1">IF(AND(ISNUMBER($BF$549),$B$294=1),$BF$549,HLOOKUP(INDIRECT(ADDRESS(2,COLUMN())),OFFSET($BN$2,0,0,ROW()-1,60),ROW()-1,FALSE))</f>
        <v>-60.042999999999999</v>
      </c>
      <c r="BG250">
        <f ca="1">IF(AND(ISNUMBER($BG$549),$B$294=1),$BG$549,HLOOKUP(INDIRECT(ADDRESS(2,COLUMN())),OFFSET($BN$2,0,0,ROW()-1,60),ROW()-1,FALSE))</f>
        <v>-29.561</v>
      </c>
      <c r="BH250">
        <f ca="1">IF(AND(ISNUMBER($BH$549),$B$294=1),$BH$549,HLOOKUP(INDIRECT(ADDRESS(2,COLUMN())),OFFSET($BN$2,0,0,ROW()-1,60),ROW()-1,FALSE))</f>
        <v>-62.570999999999998</v>
      </c>
      <c r="BI250">
        <f ca="1">IF(AND(ISNUMBER($BI$549),$B$294=1),$BI$549,HLOOKUP(INDIRECT(ADDRESS(2,COLUMN())),OFFSET($BN$2,0,0,ROW()-1,60),ROW()-1,FALSE))</f>
        <v>-32.78</v>
      </c>
      <c r="BJ250">
        <f ca="1">IF(AND(ISNUMBER($BJ$549),$B$294=1),$BJ$549,HLOOKUP(INDIRECT(ADDRESS(2,COLUMN())),OFFSET($BN$2,0,0,ROW()-1,60),ROW()-1,FALSE))</f>
        <v>-42.576000000000001</v>
      </c>
      <c r="BK250">
        <f ca="1">IF(AND(ISNUMBER($BK$549),$B$294=1),$BK$549,HLOOKUP(INDIRECT(ADDRESS(2,COLUMN())),OFFSET($BN$2,0,0,ROW()-1,60),ROW()-1,FALSE))</f>
        <v>1.1960000989999999</v>
      </c>
      <c r="BL250">
        <f ca="1">IF(AND(ISNUMBER($BL$549),$B$294=1),$BL$549,HLOOKUP(INDIRECT(ADDRESS(2,COLUMN())),OFFSET($BN$2,0,0,ROW()-1,60),ROW()-1,FALSE))</f>
        <v>-58.661000000000001</v>
      </c>
      <c r="BM250">
        <f ca="1">IF(AND(ISNUMBER($BM$549),$B$294=1),$BM$549,HLOOKUP(INDIRECT(ADDRESS(2,COLUMN())),OFFSET($BN$2,0,0,ROW()-1,60),ROW()-1,FALSE))</f>
        <v>-60.375999999999998</v>
      </c>
      <c r="BN250" t="str">
        <f>""</f>
        <v/>
      </c>
      <c r="BO250">
        <f>-48.091</f>
        <v>-48.091000000000001</v>
      </c>
      <c r="BP250">
        <f>15.63</f>
        <v>15.63</v>
      </c>
      <c r="BQ250">
        <f>-6.403</f>
        <v>-6.4029999999999996</v>
      </c>
      <c r="BR250">
        <f>12.723</f>
        <v>12.723000000000001</v>
      </c>
      <c r="BS250">
        <f>9.841</f>
        <v>9.8409999999999993</v>
      </c>
      <c r="BT250">
        <f>-17.63</f>
        <v>-17.63</v>
      </c>
      <c r="BU250">
        <f>31.788</f>
        <v>31.788</v>
      </c>
      <c r="BV250">
        <f>-13.6</f>
        <v>-13.6</v>
      </c>
      <c r="BW250">
        <f>-25.467</f>
        <v>-25.466999999999999</v>
      </c>
      <c r="BX250">
        <f>-109.827</f>
        <v>-109.827</v>
      </c>
      <c r="BY250">
        <f>-64.441</f>
        <v>-64.441000000000003</v>
      </c>
      <c r="BZ250">
        <f>-86.029</f>
        <v>-86.028999999999996</v>
      </c>
      <c r="CA250">
        <f>-15.971</f>
        <v>-15.971</v>
      </c>
      <c r="CB250">
        <f>-15.714</f>
        <v>-15.714</v>
      </c>
      <c r="CC250">
        <f>-26.204</f>
        <v>-26.204000000000001</v>
      </c>
      <c r="CD250">
        <f>-4.559</f>
        <v>-4.5590000000000002</v>
      </c>
      <c r="CE250">
        <f>-5.512</f>
        <v>-5.5119999999999996</v>
      </c>
      <c r="CF250">
        <f>-22.725</f>
        <v>-22.725000000000001</v>
      </c>
      <c r="CG250">
        <f>-49.099</f>
        <v>-49.098999999999997</v>
      </c>
      <c r="CH250">
        <f>-11.64</f>
        <v>-11.64</v>
      </c>
      <c r="CI250">
        <f>-33.077</f>
        <v>-33.076999999999998</v>
      </c>
      <c r="CJ250">
        <f>-67.827</f>
        <v>-67.826999999999998</v>
      </c>
      <c r="CK250">
        <f>24.062</f>
        <v>24.062000000000001</v>
      </c>
      <c r="CL250">
        <f>-2.983</f>
        <v>-2.9830000000000001</v>
      </c>
      <c r="CM250">
        <f>-30.672</f>
        <v>-30.672000000000001</v>
      </c>
      <c r="CN250">
        <f>-103.424</f>
        <v>-103.42400000000001</v>
      </c>
      <c r="CO250">
        <f>-6.819</f>
        <v>-6.819</v>
      </c>
      <c r="CP250">
        <f>-26.566</f>
        <v>-26.565999999999999</v>
      </c>
      <c r="CQ250">
        <f>-60.656</f>
        <v>-60.655999999999999</v>
      </c>
      <c r="CR250">
        <f>-197.551</f>
        <v>-197.55099999999999</v>
      </c>
      <c r="CS250">
        <f>-53.39</f>
        <v>-53.39</v>
      </c>
      <c r="CT250">
        <f>-14.005</f>
        <v>-14.005000000000001</v>
      </c>
      <c r="CU250">
        <f>-76.13</f>
        <v>-76.13</v>
      </c>
      <c r="CV250">
        <f>-9.686</f>
        <v>-9.6859999999999999</v>
      </c>
      <c r="CW250">
        <f>1.707</f>
        <v>1.7070000000000001</v>
      </c>
      <c r="CX250">
        <f>25.074</f>
        <v>25.074000000000002</v>
      </c>
      <c r="CY250">
        <f>-8.397</f>
        <v>-8.3970000000000002</v>
      </c>
      <c r="CZ250">
        <f>-29.193</f>
        <v>-29.193000000000001</v>
      </c>
      <c r="DA250">
        <f>-59.326</f>
        <v>-59.326000000000001</v>
      </c>
      <c r="DB250">
        <f>-6.412</f>
        <v>-6.4119999999999999</v>
      </c>
      <c r="DC250">
        <f>-9.588</f>
        <v>-9.5879999999999992</v>
      </c>
      <c r="DD250">
        <f>-27.799</f>
        <v>-27.798999999999999</v>
      </c>
      <c r="DE250">
        <f>-26.788</f>
        <v>-26.788</v>
      </c>
      <c r="DF250">
        <f>-152.214</f>
        <v>-152.214</v>
      </c>
      <c r="DG250">
        <f>-28.506</f>
        <v>-28.506</v>
      </c>
      <c r="DH250">
        <f>-21.739</f>
        <v>-21.739000000000001</v>
      </c>
      <c r="DI250">
        <f>-117.935</f>
        <v>-117.935</v>
      </c>
      <c r="DJ250">
        <f>-8.881</f>
        <v>-8.8810000000000002</v>
      </c>
      <c r="DK250">
        <f>-203.559</f>
        <v>-203.559</v>
      </c>
      <c r="DL250">
        <f>-88.522</f>
        <v>-88.522000000000006</v>
      </c>
      <c r="DM250">
        <f>-54.295</f>
        <v>-54.295000000000002</v>
      </c>
      <c r="DN250">
        <f>-60.043</f>
        <v>-60.042999999999999</v>
      </c>
      <c r="DO250">
        <f>-29.561</f>
        <v>-29.561</v>
      </c>
      <c r="DP250">
        <f>-62.571</f>
        <v>-62.570999999999998</v>
      </c>
      <c r="DQ250">
        <f>-32.78</f>
        <v>-32.78</v>
      </c>
      <c r="DR250">
        <f>-42.576</f>
        <v>-42.576000000000001</v>
      </c>
      <c r="DS250">
        <f>1.196000099</f>
        <v>1.1960000989999999</v>
      </c>
      <c r="DT250">
        <f>-58.661</f>
        <v>-58.661000000000001</v>
      </c>
      <c r="DU250">
        <f>-60.376</f>
        <v>-60.375999999999998</v>
      </c>
    </row>
    <row r="251" spans="1:125">
      <c r="A251" t="str">
        <f>"    Highwoods Properties Inc"</f>
        <v xml:space="preserve">    Highwoods Properties Inc</v>
      </c>
      <c r="B251" t="str">
        <f>"HIW US Equity"</f>
        <v>HIW US Equity</v>
      </c>
      <c r="C251" t="str">
        <f t="shared" si="66"/>
        <v>RR008</v>
      </c>
      <c r="D251" t="str">
        <f t="shared" si="67"/>
        <v>CF_FREE_CASH_FLOW</v>
      </c>
      <c r="E251" t="str">
        <f t="shared" si="68"/>
        <v>动态</v>
      </c>
      <c r="F251" t="str">
        <f ca="1">IF(AND(ISNUMBER($F$550),$B$294=1),$F$550,HLOOKUP(INDIRECT(ADDRESS(2,COLUMN())),OFFSET($BN$2,0,0,ROW()-1,60),ROW()-1,FALSE))</f>
        <v/>
      </c>
      <c r="G251">
        <f ca="1">IF(AND(ISNUMBER($G$550),$B$294=1),$G$550,HLOOKUP(INDIRECT(ADDRESS(2,COLUMN())),OFFSET($BN$2,0,0,ROW()-1,60),ROW()-1,FALSE))</f>
        <v>-2.0649999999999999</v>
      </c>
      <c r="H251">
        <f ca="1">IF(AND(ISNUMBER($H$550),$B$294=1),$H$550,HLOOKUP(INDIRECT(ADDRESS(2,COLUMN())),OFFSET($BN$2,0,0,ROW()-1,60),ROW()-1,FALSE))</f>
        <v>38.460999999999999</v>
      </c>
      <c r="I251">
        <f ca="1">IF(AND(ISNUMBER($I$550),$B$294=1),$I$550,HLOOKUP(INDIRECT(ADDRESS(2,COLUMN())),OFFSET($BN$2,0,0,ROW()-1,60),ROW()-1,FALSE))</f>
        <v>22.161999999999999</v>
      </c>
      <c r="J251">
        <f ca="1">IF(AND(ISNUMBER($J$550),$B$294=1),$J$550,HLOOKUP(INDIRECT(ADDRESS(2,COLUMN())),OFFSET($BN$2,0,0,ROW()-1,60),ROW()-1,FALSE))</f>
        <v>-32.332000000000001</v>
      </c>
      <c r="K251">
        <f ca="1">IF(AND(ISNUMBER($K$550),$B$294=1),$K$550,HLOOKUP(INDIRECT(ADDRESS(2,COLUMN())),OFFSET($BN$2,0,0,ROW()-1,60),ROW()-1,FALSE))</f>
        <v>-38.281999999999996</v>
      </c>
      <c r="L251">
        <f ca="1">IF(AND(ISNUMBER($L$550),$B$294=1),$L$550,HLOOKUP(INDIRECT(ADDRESS(2,COLUMN())),OFFSET($BN$2,0,0,ROW()-1,60),ROW()-1,FALSE))</f>
        <v>-95.58</v>
      </c>
      <c r="M251">
        <f ca="1">IF(AND(ISNUMBER($M$550),$B$294=1),$M$550,HLOOKUP(INDIRECT(ADDRESS(2,COLUMN())),OFFSET($BN$2,0,0,ROW()-1,60),ROW()-1,FALSE))</f>
        <v>4.3929999999999998</v>
      </c>
      <c r="N251">
        <f ca="1">IF(AND(ISNUMBER($N$550),$B$294=1),$N$550,HLOOKUP(INDIRECT(ADDRESS(2,COLUMN())),OFFSET($BN$2,0,0,ROW()-1,60),ROW()-1,FALSE))</f>
        <v>-24.945</v>
      </c>
      <c r="O251">
        <f ca="1">IF(AND(ISNUMBER($O$550),$B$294=1),$O$550,HLOOKUP(INDIRECT(ADDRESS(2,COLUMN())),OFFSET($BN$2,0,0,ROW()-1,60),ROW()-1,FALSE))</f>
        <v>-17.827999999999999</v>
      </c>
      <c r="P251">
        <f ca="1">IF(AND(ISNUMBER($P$550),$B$294=1),$P$550,HLOOKUP(INDIRECT(ADDRESS(2,COLUMN())),OFFSET($BN$2,0,0,ROW()-1,60),ROW()-1,FALSE))</f>
        <v>-398.59699999999998</v>
      </c>
      <c r="Q251">
        <f ca="1">IF(AND(ISNUMBER($Q$550),$B$294=1),$Q$550,HLOOKUP(INDIRECT(ADDRESS(2,COLUMN())),OFFSET($BN$2,0,0,ROW()-1,60),ROW()-1,FALSE))</f>
        <v>8.8369999999999997</v>
      </c>
      <c r="R251">
        <f ca="1">IF(AND(ISNUMBER($R$550),$B$294=1),$R$550,HLOOKUP(INDIRECT(ADDRESS(2,COLUMN())),OFFSET($BN$2,0,0,ROW()-1,60),ROW()-1,FALSE))</f>
        <v>-20.215</v>
      </c>
      <c r="S251">
        <f ca="1">IF(AND(ISNUMBER($S$550),$B$294=1),$S$550,HLOOKUP(INDIRECT(ADDRESS(2,COLUMN())),OFFSET($BN$2,0,0,ROW()-1,60),ROW()-1,FALSE))</f>
        <v>-102.66800000000001</v>
      </c>
      <c r="T251">
        <f ca="1">IF(AND(ISNUMBER($T$550),$B$294=1),$T$550,HLOOKUP(INDIRECT(ADDRESS(2,COLUMN())),OFFSET($BN$2,0,0,ROW()-1,60),ROW()-1,FALSE))</f>
        <v>-102.65</v>
      </c>
      <c r="U251">
        <f ca="1">IF(AND(ISNUMBER($U$550),$B$294=1),$U$550,HLOOKUP(INDIRECT(ADDRESS(2,COLUMN())),OFFSET($BN$2,0,0,ROW()-1,60),ROW()-1,FALSE))</f>
        <v>-5.4279999999999999</v>
      </c>
      <c r="V251">
        <f ca="1">IF(AND(ISNUMBER($V$550),$B$294=1),$V$550,HLOOKUP(INDIRECT(ADDRESS(2,COLUMN())),OFFSET($BN$2,0,0,ROW()-1,60),ROW()-1,FALSE))</f>
        <v>-33.637</v>
      </c>
      <c r="W251">
        <f ca="1">IF(AND(ISNUMBER($W$550),$B$294=1),$W$550,HLOOKUP(INDIRECT(ADDRESS(2,COLUMN())),OFFSET($BN$2,0,0,ROW()-1,60),ROW()-1,FALSE))</f>
        <v>11.811</v>
      </c>
      <c r="X251">
        <f ca="1">IF(AND(ISNUMBER($X$550),$B$294=1),$X$550,HLOOKUP(INDIRECT(ADDRESS(2,COLUMN())),OFFSET($BN$2,0,0,ROW()-1,60),ROW()-1,FALSE))</f>
        <v>-173.233</v>
      </c>
      <c r="Y251">
        <f ca="1">IF(AND(ISNUMBER($Y$550),$B$294=1),$Y$550,HLOOKUP(INDIRECT(ADDRESS(2,COLUMN())),OFFSET($BN$2,0,0,ROW()-1,60),ROW()-1,FALSE))</f>
        <v>-109.541</v>
      </c>
      <c r="Z251">
        <f ca="1">IF(AND(ISNUMBER($Z$550),$B$294=1),$Z$550,HLOOKUP(INDIRECT(ADDRESS(2,COLUMN())),OFFSET($BN$2,0,0,ROW()-1,60),ROW()-1,FALSE))</f>
        <v>-82.302000000000007</v>
      </c>
      <c r="AA251">
        <f ca="1">IF(AND(ISNUMBER($AA$550),$B$294=1),$AA$550,HLOOKUP(INDIRECT(ADDRESS(2,COLUMN())),OFFSET($BN$2,0,0,ROW()-1,60),ROW()-1,FALSE))</f>
        <v>-99.180999999999997</v>
      </c>
      <c r="AB251">
        <f ca="1">IF(AND(ISNUMBER($AB$550),$B$294=1),$AB$550,HLOOKUP(INDIRECT(ADDRESS(2,COLUMN())),OFFSET($BN$2,0,0,ROW()-1,60),ROW()-1,FALSE))</f>
        <v>-144.34299999999999</v>
      </c>
      <c r="AC251">
        <f ca="1">IF(AND(ISNUMBER($AC$550),$B$294=1),$AC$550,HLOOKUP(INDIRECT(ADDRESS(2,COLUMN())),OFFSET($BN$2,0,0,ROW()-1,60),ROW()-1,FALSE))</f>
        <v>38.823</v>
      </c>
      <c r="AD251">
        <f ca="1">IF(AND(ISNUMBER($AD$550),$B$294=1),$AD$550,HLOOKUP(INDIRECT(ADDRESS(2,COLUMN())),OFFSET($BN$2,0,0,ROW()-1,60),ROW()-1,FALSE))</f>
        <v>-9.1039999999999992</v>
      </c>
      <c r="AE251">
        <f ca="1">IF(AND(ISNUMBER($AE$550),$B$294=1),$AE$550,HLOOKUP(INDIRECT(ADDRESS(2,COLUMN())),OFFSET($BN$2,0,0,ROW()-1,60),ROW()-1,FALSE))</f>
        <v>25.263000000000002</v>
      </c>
      <c r="AF251">
        <f ca="1">IF(AND(ISNUMBER($AF$550),$B$294=1),$AF$550,HLOOKUP(INDIRECT(ADDRESS(2,COLUMN())),OFFSET($BN$2,0,0,ROW()-1,60),ROW()-1,FALSE))</f>
        <v>-57.581000000000003</v>
      </c>
      <c r="AG251">
        <f ca="1">IF(AND(ISNUMBER($AG$550),$B$294=1),$AG$550,HLOOKUP(INDIRECT(ADDRESS(2,COLUMN())),OFFSET($BN$2,0,0,ROW()-1,60),ROW()-1,FALSE))</f>
        <v>31.498999999999999</v>
      </c>
      <c r="AH251">
        <f ca="1">IF(AND(ISNUMBER($AH$550),$B$294=1),$AH$550,HLOOKUP(INDIRECT(ADDRESS(2,COLUMN())),OFFSET($BN$2,0,0,ROW()-1,60),ROW()-1,FALSE))</f>
        <v>11.648999999999999</v>
      </c>
      <c r="AI251">
        <f ca="1">IF(AND(ISNUMBER($AI$550),$B$294=1),$AI$550,HLOOKUP(INDIRECT(ADDRESS(2,COLUMN())),OFFSET($BN$2,0,0,ROW()-1,60),ROW()-1,FALSE))</f>
        <v>11.536</v>
      </c>
      <c r="AJ251">
        <f ca="1">IF(AND(ISNUMBER($AJ$550),$B$294=1),$AJ$550,HLOOKUP(INDIRECT(ADDRESS(2,COLUMN())),OFFSET($BN$2,0,0,ROW()-1,60),ROW()-1,FALSE))</f>
        <v>14.529</v>
      </c>
      <c r="AK251">
        <f ca="1">IF(AND(ISNUMBER($AK$550),$B$294=1),$AK$550,HLOOKUP(INDIRECT(ADDRESS(2,COLUMN())),OFFSET($BN$2,0,0,ROW()-1,60),ROW()-1,FALSE))</f>
        <v>38.819000000000003</v>
      </c>
      <c r="AL251">
        <f ca="1">IF(AND(ISNUMBER($AL$550),$B$294=1),$AL$550,HLOOKUP(INDIRECT(ADDRESS(2,COLUMN())),OFFSET($BN$2,0,0,ROW()-1,60),ROW()-1,FALSE))</f>
        <v>22.936</v>
      </c>
      <c r="AM251">
        <f ca="1">IF(AND(ISNUMBER($AM$550),$B$294=1),$AM$550,HLOOKUP(INDIRECT(ADDRESS(2,COLUMN())),OFFSET($BN$2,0,0,ROW()-1,60),ROW()-1,FALSE))</f>
        <v>-15.516</v>
      </c>
      <c r="AN251">
        <f ca="1">IF(AND(ISNUMBER($AN$550),$B$294=1),$AN$550,HLOOKUP(INDIRECT(ADDRESS(2,COLUMN())),OFFSET($BN$2,0,0,ROW()-1,60),ROW()-1,FALSE))</f>
        <v>17.366</v>
      </c>
      <c r="AO251">
        <f ca="1">IF(AND(ISNUMBER($AO$550),$B$294=1),$AO$550,HLOOKUP(INDIRECT(ADDRESS(2,COLUMN())),OFFSET($BN$2,0,0,ROW()-1,60),ROW()-1,FALSE))</f>
        <v>27.09</v>
      </c>
      <c r="AP251">
        <f ca="1">IF(AND(ISNUMBER($AP$550),$B$294=1),$AP$550,HLOOKUP(INDIRECT(ADDRESS(2,COLUMN())),OFFSET($BN$2,0,0,ROW()-1,60),ROW()-1,FALSE))</f>
        <v>8.6980000000000004</v>
      </c>
      <c r="AQ251">
        <f ca="1">IF(AND(ISNUMBER($AQ$550),$B$294=1),$AQ$550,HLOOKUP(INDIRECT(ADDRESS(2,COLUMN())),OFFSET($BN$2,0,0,ROW()-1,60),ROW()-1,FALSE))</f>
        <v>-36.018999999999998</v>
      </c>
      <c r="AR251">
        <f ca="1">IF(AND(ISNUMBER($AR$550),$B$294=1),$AR$550,HLOOKUP(INDIRECT(ADDRESS(2,COLUMN())),OFFSET($BN$2,0,0,ROW()-1,60),ROW()-1,FALSE))</f>
        <v>-6.4480000000000004</v>
      </c>
      <c r="AS251">
        <f ca="1">IF(AND(ISNUMBER($AS$550),$B$294=1),$AS$550,HLOOKUP(INDIRECT(ADDRESS(2,COLUMN())),OFFSET($BN$2,0,0,ROW()-1,60),ROW()-1,FALSE))</f>
        <v>3.585</v>
      </c>
      <c r="AT251">
        <f ca="1">IF(AND(ISNUMBER($AT$550),$B$294=1),$AT$550,HLOOKUP(INDIRECT(ADDRESS(2,COLUMN())),OFFSET($BN$2,0,0,ROW()-1,60),ROW()-1,FALSE))</f>
        <v>-34.718000000000004</v>
      </c>
      <c r="AU251">
        <f ca="1">IF(AND(ISNUMBER($AU$550),$B$294=1),$AU$550,HLOOKUP(INDIRECT(ADDRESS(2,COLUMN())),OFFSET($BN$2,0,0,ROW()-1,60),ROW()-1,FALSE))</f>
        <v>-34.488999999999997</v>
      </c>
      <c r="AV251">
        <f ca="1">IF(AND(ISNUMBER($AV$550),$B$294=1),$AV$550,HLOOKUP(INDIRECT(ADDRESS(2,COLUMN())),OFFSET($BN$2,0,0,ROW()-1,60),ROW()-1,FALSE))</f>
        <v>-31.292999999999999</v>
      </c>
      <c r="AW251">
        <f ca="1">IF(AND(ISNUMBER($AW$550),$B$294=1),$AW$550,HLOOKUP(INDIRECT(ADDRESS(2,COLUMN())),OFFSET($BN$2,0,0,ROW()-1,60),ROW()-1,FALSE))</f>
        <v>-19.515000000000001</v>
      </c>
      <c r="AX251">
        <f ca="1">IF(AND(ISNUMBER($AX$550),$B$294=1),$AX$550,HLOOKUP(INDIRECT(ADDRESS(2,COLUMN())),OFFSET($BN$2,0,0,ROW()-1,60),ROW()-1,FALSE))</f>
        <v>-40.530999999999999</v>
      </c>
      <c r="AY251">
        <f ca="1">IF(AND(ISNUMBER($AY$550),$B$294=1),$AY$550,HLOOKUP(INDIRECT(ADDRESS(2,COLUMN())),OFFSET($BN$2,0,0,ROW()-1,60),ROW()-1,FALSE))</f>
        <v>-52.140999999999998</v>
      </c>
      <c r="AZ251">
        <f ca="1">IF(AND(ISNUMBER($AZ$550),$B$294=1),$AZ$550,HLOOKUP(INDIRECT(ADDRESS(2,COLUMN())),OFFSET($BN$2,0,0,ROW()-1,60),ROW()-1,FALSE))</f>
        <v>-18.404</v>
      </c>
      <c r="BA251">
        <f ca="1">IF(AND(ISNUMBER($BA$550),$B$294=1),$BA$550,HLOOKUP(INDIRECT(ADDRESS(2,COLUMN())),OFFSET($BN$2,0,0,ROW()-1,60),ROW()-1,FALSE))</f>
        <v>-11.057</v>
      </c>
      <c r="BB251">
        <f ca="1">IF(AND(ISNUMBER($BB$550),$B$294=1),$BB$550,HLOOKUP(INDIRECT(ADDRESS(2,COLUMN())),OFFSET($BN$2,0,0,ROW()-1,60),ROW()-1,FALSE))</f>
        <v>5.0970000000000004</v>
      </c>
      <c r="BC251">
        <f ca="1">IF(AND(ISNUMBER($BC$550),$B$294=1),$BC$550,HLOOKUP(INDIRECT(ADDRESS(2,COLUMN())),OFFSET($BN$2,0,0,ROW()-1,60),ROW()-1,FALSE))</f>
        <v>-13.465999999999999</v>
      </c>
      <c r="BD251">
        <f ca="1">IF(AND(ISNUMBER($BD$550),$B$294=1),$BD$550,HLOOKUP(INDIRECT(ADDRESS(2,COLUMN())),OFFSET($BN$2,0,0,ROW()-1,60),ROW()-1,FALSE))</f>
        <v>4.9400000000000004</v>
      </c>
      <c r="BE251">
        <f ca="1">IF(AND(ISNUMBER($BE$550),$B$294=1),$BE$550,HLOOKUP(INDIRECT(ADDRESS(2,COLUMN())),OFFSET($BN$2,0,0,ROW()-1,60),ROW()-1,FALSE))</f>
        <v>-1.292</v>
      </c>
      <c r="BF251">
        <f ca="1">IF(AND(ISNUMBER($BF$550),$B$294=1),$BF$550,HLOOKUP(INDIRECT(ADDRESS(2,COLUMN())),OFFSET($BN$2,0,0,ROW()-1,60),ROW()-1,FALSE))</f>
        <v>-3.8119999999999998</v>
      </c>
      <c r="BG251">
        <f ca="1">IF(AND(ISNUMBER($BG$550),$B$294=1),$BG$550,HLOOKUP(INDIRECT(ADDRESS(2,COLUMN())),OFFSET($BN$2,0,0,ROW()-1,60),ROW()-1,FALSE))</f>
        <v>3.2410000000000001</v>
      </c>
      <c r="BH251">
        <f ca="1">IF(AND(ISNUMBER($BH$550),$B$294=1),$BH$550,HLOOKUP(INDIRECT(ADDRESS(2,COLUMN())),OFFSET($BN$2,0,0,ROW()-1,60),ROW()-1,FALSE))</f>
        <v>22.629000000000001</v>
      </c>
      <c r="BI251">
        <f ca="1">IF(AND(ISNUMBER($BI$550),$B$294=1),$BI$550,HLOOKUP(INDIRECT(ADDRESS(2,COLUMN())),OFFSET($BN$2,0,0,ROW()-1,60),ROW()-1,FALSE))</f>
        <v>12.750999999999999</v>
      </c>
      <c r="BJ251">
        <f ca="1">IF(AND(ISNUMBER($BJ$550),$B$294=1),$BJ$550,HLOOKUP(INDIRECT(ADDRESS(2,COLUMN())),OFFSET($BN$2,0,0,ROW()-1,60),ROW()-1,FALSE))</f>
        <v>6.9660000000000002</v>
      </c>
      <c r="BK251">
        <f ca="1">IF(AND(ISNUMBER($BK$550),$B$294=1),$BK$550,HLOOKUP(INDIRECT(ADDRESS(2,COLUMN())),OFFSET($BN$2,0,0,ROW()-1,60),ROW()-1,FALSE))</f>
        <v>-15.411</v>
      </c>
      <c r="BL251">
        <f ca="1">IF(AND(ISNUMBER($BL$550),$B$294=1),$BL$550,HLOOKUP(INDIRECT(ADDRESS(2,COLUMN())),OFFSET($BN$2,0,0,ROW()-1,60),ROW()-1,FALSE))</f>
        <v>37.49</v>
      </c>
      <c r="BM251">
        <f ca="1">IF(AND(ISNUMBER($BM$550),$B$294=1),$BM$550,HLOOKUP(INDIRECT(ADDRESS(2,COLUMN())),OFFSET($BN$2,0,0,ROW()-1,60),ROW()-1,FALSE))</f>
        <v>13.260999999999999</v>
      </c>
      <c r="BN251" t="str">
        <f>""</f>
        <v/>
      </c>
      <c r="BO251">
        <f>-2.065</f>
        <v>-2.0649999999999999</v>
      </c>
      <c r="BP251">
        <f>38.461</f>
        <v>38.460999999999999</v>
      </c>
      <c r="BQ251">
        <f>22.162</f>
        <v>22.161999999999999</v>
      </c>
      <c r="BR251">
        <f>-32.332</f>
        <v>-32.332000000000001</v>
      </c>
      <c r="BS251">
        <f>-38.282</f>
        <v>-38.281999999999996</v>
      </c>
      <c r="BT251">
        <f>-95.58</f>
        <v>-95.58</v>
      </c>
      <c r="BU251">
        <f>4.393</f>
        <v>4.3929999999999998</v>
      </c>
      <c r="BV251">
        <f>-24.945</f>
        <v>-24.945</v>
      </c>
      <c r="BW251">
        <f>-17.828</f>
        <v>-17.827999999999999</v>
      </c>
      <c r="BX251">
        <f>-398.597</f>
        <v>-398.59699999999998</v>
      </c>
      <c r="BY251">
        <f>8.837</f>
        <v>8.8369999999999997</v>
      </c>
      <c r="BZ251">
        <f>-20.215</f>
        <v>-20.215</v>
      </c>
      <c r="CA251">
        <f>-102.668</f>
        <v>-102.66800000000001</v>
      </c>
      <c r="CB251">
        <f>-102.65</f>
        <v>-102.65</v>
      </c>
      <c r="CC251">
        <f>-5.428</f>
        <v>-5.4279999999999999</v>
      </c>
      <c r="CD251">
        <f>-33.637</f>
        <v>-33.637</v>
      </c>
      <c r="CE251">
        <f>11.811</f>
        <v>11.811</v>
      </c>
      <c r="CF251">
        <f>-173.233</f>
        <v>-173.233</v>
      </c>
      <c r="CG251">
        <f>-109.541</f>
        <v>-109.541</v>
      </c>
      <c r="CH251">
        <f>-82.302</f>
        <v>-82.302000000000007</v>
      </c>
      <c r="CI251">
        <f>-99.181</f>
        <v>-99.180999999999997</v>
      </c>
      <c r="CJ251">
        <f>-144.343</f>
        <v>-144.34299999999999</v>
      </c>
      <c r="CK251">
        <f>38.823</f>
        <v>38.823</v>
      </c>
      <c r="CL251">
        <f>-9.104</f>
        <v>-9.1039999999999992</v>
      </c>
      <c r="CM251">
        <f>25.263</f>
        <v>25.263000000000002</v>
      </c>
      <c r="CN251">
        <f>-57.581</f>
        <v>-57.581000000000003</v>
      </c>
      <c r="CO251">
        <f>31.499</f>
        <v>31.498999999999999</v>
      </c>
      <c r="CP251">
        <f>11.649</f>
        <v>11.648999999999999</v>
      </c>
      <c r="CQ251">
        <f>11.536</f>
        <v>11.536</v>
      </c>
      <c r="CR251">
        <f>14.529</f>
        <v>14.529</v>
      </c>
      <c r="CS251">
        <f>38.819</f>
        <v>38.819000000000003</v>
      </c>
      <c r="CT251">
        <f>22.936</f>
        <v>22.936</v>
      </c>
      <c r="CU251">
        <f>-15.516</f>
        <v>-15.516</v>
      </c>
      <c r="CV251">
        <f>17.366</f>
        <v>17.366</v>
      </c>
      <c r="CW251">
        <f>27.09</f>
        <v>27.09</v>
      </c>
      <c r="CX251">
        <f>8.698</f>
        <v>8.6980000000000004</v>
      </c>
      <c r="CY251">
        <f>-36.019</f>
        <v>-36.018999999999998</v>
      </c>
      <c r="CZ251">
        <f>-6.448</f>
        <v>-6.4480000000000004</v>
      </c>
      <c r="DA251">
        <f>3.585</f>
        <v>3.585</v>
      </c>
      <c r="DB251">
        <f>-34.718</f>
        <v>-34.718000000000004</v>
      </c>
      <c r="DC251">
        <f>-34.489</f>
        <v>-34.488999999999997</v>
      </c>
      <c r="DD251">
        <f>-31.293</f>
        <v>-31.292999999999999</v>
      </c>
      <c r="DE251">
        <f>-19.515</f>
        <v>-19.515000000000001</v>
      </c>
      <c r="DF251">
        <f>-40.531</f>
        <v>-40.530999999999999</v>
      </c>
      <c r="DG251">
        <f>-52.141</f>
        <v>-52.140999999999998</v>
      </c>
      <c r="DH251">
        <f>-18.404</f>
        <v>-18.404</v>
      </c>
      <c r="DI251">
        <f>-11.057</f>
        <v>-11.057</v>
      </c>
      <c r="DJ251">
        <f>5.097</f>
        <v>5.0970000000000004</v>
      </c>
      <c r="DK251">
        <f>-13.466</f>
        <v>-13.465999999999999</v>
      </c>
      <c r="DL251">
        <f>4.94</f>
        <v>4.9400000000000004</v>
      </c>
      <c r="DM251">
        <f>-1.292</f>
        <v>-1.292</v>
      </c>
      <c r="DN251">
        <f>-3.812</f>
        <v>-3.8119999999999998</v>
      </c>
      <c r="DO251">
        <f>3.241</f>
        <v>3.2410000000000001</v>
      </c>
      <c r="DP251">
        <f>22.629</f>
        <v>22.629000000000001</v>
      </c>
      <c r="DQ251">
        <f>12.751</f>
        <v>12.750999999999999</v>
      </c>
      <c r="DR251">
        <f>6.966</f>
        <v>6.9660000000000002</v>
      </c>
      <c r="DS251">
        <f>-15.411</f>
        <v>-15.411</v>
      </c>
      <c r="DT251">
        <f>37.49</f>
        <v>37.49</v>
      </c>
      <c r="DU251">
        <f>13.261</f>
        <v>13.260999999999999</v>
      </c>
    </row>
    <row r="252" spans="1:125">
      <c r="A252" t="str">
        <f>"    Kilroy Realty Corp"</f>
        <v xml:space="preserve">    Kilroy Realty Corp</v>
      </c>
      <c r="B252" t="str">
        <f>"KRC US Equity"</f>
        <v>KRC US Equity</v>
      </c>
      <c r="C252" t="str">
        <f t="shared" si="66"/>
        <v>RR008</v>
      </c>
      <c r="D252" t="str">
        <f t="shared" si="67"/>
        <v>CF_FREE_CASH_FLOW</v>
      </c>
      <c r="E252" t="str">
        <f t="shared" si="68"/>
        <v>动态</v>
      </c>
      <c r="F252" t="str">
        <f ca="1">IF(AND(ISNUMBER($F$551),$B$294=1),$F$551,HLOOKUP(INDIRECT(ADDRESS(2,COLUMN())),OFFSET($BN$2,0,0,ROW()-1,60),ROW()-1,FALSE))</f>
        <v/>
      </c>
      <c r="G252">
        <f ca="1">IF(AND(ISNUMBER($G$551),$B$294=1),$G$551,HLOOKUP(INDIRECT(ADDRESS(2,COLUMN())),OFFSET($BN$2,0,0,ROW()-1,60),ROW()-1,FALSE))</f>
        <v>-102.51</v>
      </c>
      <c r="H252">
        <f ca="1">IF(AND(ISNUMBER($H$551),$B$294=1),$H$551,HLOOKUP(INDIRECT(ADDRESS(2,COLUMN())),OFFSET($BN$2,0,0,ROW()-1,60),ROW()-1,FALSE))</f>
        <v>-32.805</v>
      </c>
      <c r="I252">
        <f ca="1">IF(AND(ISNUMBER($I$551),$B$294=1),$I$551,HLOOKUP(INDIRECT(ADDRESS(2,COLUMN())),OFFSET($BN$2,0,0,ROW()-1,60),ROW()-1,FALSE))</f>
        <v>-30.338999999999999</v>
      </c>
      <c r="J252">
        <f ca="1">IF(AND(ISNUMBER($J$551),$B$294=1),$J$551,HLOOKUP(INDIRECT(ADDRESS(2,COLUMN())),OFFSET($BN$2,0,0,ROW()-1,60),ROW()-1,FALSE))</f>
        <v>6.9720000000000004</v>
      </c>
      <c r="K252">
        <f ca="1">IF(AND(ISNUMBER($K$551),$B$294=1),$K$551,HLOOKUP(INDIRECT(ADDRESS(2,COLUMN())),OFFSET($BN$2,0,0,ROW()-1,60),ROW()-1,FALSE))</f>
        <v>-404.46899999999999</v>
      </c>
      <c r="L252">
        <f ca="1">IF(AND(ISNUMBER($L$551),$B$294=1),$L$551,HLOOKUP(INDIRECT(ADDRESS(2,COLUMN())),OFFSET($BN$2,0,0,ROW()-1,60),ROW()-1,FALSE))</f>
        <v>38.234000000000002</v>
      </c>
      <c r="M252">
        <f ca="1">IF(AND(ISNUMBER($M$551),$B$294=1),$M$551,HLOOKUP(INDIRECT(ADDRESS(2,COLUMN())),OFFSET($BN$2,0,0,ROW()-1,60),ROW()-1,FALSE))</f>
        <v>-134.01499999999999</v>
      </c>
      <c r="N252">
        <f ca="1">IF(AND(ISNUMBER($N$551),$B$294=1),$N$551,HLOOKUP(INDIRECT(ADDRESS(2,COLUMN())),OFFSET($BN$2,0,0,ROW()-1,60),ROW()-1,FALSE))</f>
        <v>-44.948999999999998</v>
      </c>
      <c r="O252">
        <f ca="1">IF(AND(ISNUMBER($O$551),$B$294=1),$O$551,HLOOKUP(INDIRECT(ADDRESS(2,COLUMN())),OFFSET($BN$2,0,0,ROW()-1,60),ROW()-1,FALSE))</f>
        <v>-62.921999999999997</v>
      </c>
      <c r="P252">
        <f ca="1">IF(AND(ISNUMBER($P$551),$B$294=1),$P$551,HLOOKUP(INDIRECT(ADDRESS(2,COLUMN())),OFFSET($BN$2,0,0,ROW()-1,60),ROW()-1,FALSE))</f>
        <v>-126.036</v>
      </c>
      <c r="Q252">
        <f ca="1">IF(AND(ISNUMBER($Q$551),$B$294=1),$Q$551,HLOOKUP(INDIRECT(ADDRESS(2,COLUMN())),OFFSET($BN$2,0,0,ROW()-1,60),ROW()-1,FALSE))</f>
        <v>-76.022000000000006</v>
      </c>
      <c r="R252">
        <f ca="1">IF(AND(ISNUMBER($R$551),$B$294=1),$R$551,HLOOKUP(INDIRECT(ADDRESS(2,COLUMN())),OFFSET($BN$2,0,0,ROW()-1,60),ROW()-1,FALSE))</f>
        <v>-109.611</v>
      </c>
      <c r="S252">
        <f ca="1">IF(AND(ISNUMBER($S$551),$B$294=1),$S$551,HLOOKUP(INDIRECT(ADDRESS(2,COLUMN())),OFFSET($BN$2,0,0,ROW()-1,60),ROW()-1,FALSE))</f>
        <v>-262.971</v>
      </c>
      <c r="T252">
        <f ca="1">IF(AND(ISNUMBER($T$551),$B$294=1),$T$551,HLOOKUP(INDIRECT(ADDRESS(2,COLUMN())),OFFSET($BN$2,0,0,ROW()-1,60),ROW()-1,FALSE))</f>
        <v>-68.527000000000001</v>
      </c>
      <c r="U252">
        <f ca="1">IF(AND(ISNUMBER($U$551),$B$294=1),$U$551,HLOOKUP(INDIRECT(ADDRESS(2,COLUMN())),OFFSET($BN$2,0,0,ROW()-1,60),ROW()-1,FALSE))</f>
        <v>-158.155</v>
      </c>
      <c r="V252">
        <f ca="1">IF(AND(ISNUMBER($V$551),$B$294=1),$V$551,HLOOKUP(INDIRECT(ADDRESS(2,COLUMN())),OFFSET($BN$2,0,0,ROW()-1,60),ROW()-1,FALSE))</f>
        <v>-166.68600000000001</v>
      </c>
      <c r="W252">
        <f ca="1">IF(AND(ISNUMBER($W$551),$B$294=1),$W$551,HLOOKUP(INDIRECT(ADDRESS(2,COLUMN())),OFFSET($BN$2,0,0,ROW()-1,60),ROW()-1,FALSE))</f>
        <v>-179.065</v>
      </c>
      <c r="X252">
        <f ca="1">IF(AND(ISNUMBER($X$551),$B$294=1),$X$551,HLOOKUP(INDIRECT(ADDRESS(2,COLUMN())),OFFSET($BN$2,0,0,ROW()-1,60),ROW()-1,FALSE))</f>
        <v>-179.04599999999999</v>
      </c>
      <c r="Y252">
        <f ca="1">IF(AND(ISNUMBER($Y$551),$B$294=1),$Y$551,HLOOKUP(INDIRECT(ADDRESS(2,COLUMN())),OFFSET($BN$2,0,0,ROW()-1,60),ROW()-1,FALSE))</f>
        <v>-28.645</v>
      </c>
      <c r="Z252">
        <f ca="1">IF(AND(ISNUMBER($Z$551),$B$294=1),$Z$551,HLOOKUP(INDIRECT(ADDRESS(2,COLUMN())),OFFSET($BN$2,0,0,ROW()-1,60),ROW()-1,FALSE))</f>
        <v>-128.13300000000001</v>
      </c>
      <c r="AA252">
        <f ca="1">IF(AND(ISNUMBER($AA$551),$B$294=1),$AA$551,HLOOKUP(INDIRECT(ADDRESS(2,COLUMN())),OFFSET($BN$2,0,0,ROW()-1,60),ROW()-1,FALSE))</f>
        <v>-253.41399999999999</v>
      </c>
      <c r="AB252">
        <f ca="1">IF(AND(ISNUMBER($AB$551),$B$294=1),$AB$551,HLOOKUP(INDIRECT(ADDRESS(2,COLUMN())),OFFSET($BN$2,0,0,ROW()-1,60),ROW()-1,FALSE))</f>
        <v>-185.25</v>
      </c>
      <c r="AC252">
        <f ca="1">IF(AND(ISNUMBER($AC$551),$B$294=1),$AC$551,HLOOKUP(INDIRECT(ADDRESS(2,COLUMN())),OFFSET($BN$2,0,0,ROW()-1,60),ROW()-1,FALSE))</f>
        <v>-194.66</v>
      </c>
      <c r="AD252">
        <f ca="1">IF(AND(ISNUMBER($AD$551),$B$294=1),$AD$551,HLOOKUP(INDIRECT(ADDRESS(2,COLUMN())),OFFSET($BN$2,0,0,ROW()-1,60),ROW()-1,FALSE))</f>
        <v>-144.422</v>
      </c>
      <c r="AE252">
        <f ca="1">IF(AND(ISNUMBER($AE$551),$B$294=1),$AE$551,HLOOKUP(INDIRECT(ADDRESS(2,COLUMN())),OFFSET($BN$2,0,0,ROW()-1,60),ROW()-1,FALSE))</f>
        <v>-128.84100000000001</v>
      </c>
      <c r="AF252">
        <f ca="1">IF(AND(ISNUMBER($AF$551),$B$294=1),$AF$551,HLOOKUP(INDIRECT(ADDRESS(2,COLUMN())),OFFSET($BN$2,0,0,ROW()-1,60),ROW()-1,FALSE))</f>
        <v>-64.793999999999997</v>
      </c>
      <c r="AG252">
        <f ca="1">IF(AND(ISNUMBER($AG$551),$B$294=1),$AG$551,HLOOKUP(INDIRECT(ADDRESS(2,COLUMN())),OFFSET($BN$2,0,0,ROW()-1,60),ROW()-1,FALSE))</f>
        <v>-350.76400000000001</v>
      </c>
      <c r="AH252">
        <f ca="1">IF(AND(ISNUMBER($AH$551),$B$294=1),$AH$551,HLOOKUP(INDIRECT(ADDRESS(2,COLUMN())),OFFSET($BN$2,0,0,ROW()-1,60),ROW()-1,FALSE))</f>
        <v>-11.901999999999999</v>
      </c>
      <c r="AI252">
        <f ca="1">IF(AND(ISNUMBER($AI$551),$B$294=1),$AI$551,HLOOKUP(INDIRECT(ADDRESS(2,COLUMN())),OFFSET($BN$2,0,0,ROW()-1,60),ROW()-1,FALSE))</f>
        <v>-226.59299999999999</v>
      </c>
      <c r="AJ252">
        <f ca="1">IF(AND(ISNUMBER($AJ$551),$B$294=1),$AJ$551,HLOOKUP(INDIRECT(ADDRESS(2,COLUMN())),OFFSET($BN$2,0,0,ROW()-1,60),ROW()-1,FALSE))</f>
        <v>-26.239000000000001</v>
      </c>
      <c r="AK252">
        <f ca="1">IF(AND(ISNUMBER($AK$551),$B$294=1),$AK$551,HLOOKUP(INDIRECT(ADDRESS(2,COLUMN())),OFFSET($BN$2,0,0,ROW()-1,60),ROW()-1,FALSE))</f>
        <v>-354.93099999999998</v>
      </c>
      <c r="AL252">
        <f ca="1">IF(AND(ISNUMBER($AL$551),$B$294=1),$AL$551,HLOOKUP(INDIRECT(ADDRESS(2,COLUMN())),OFFSET($BN$2,0,0,ROW()-1,60),ROW()-1,FALSE))</f>
        <v>-2.9609999999999999</v>
      </c>
      <c r="AM252">
        <f ca="1">IF(AND(ISNUMBER($AM$551),$B$294=1),$AM$551,HLOOKUP(INDIRECT(ADDRESS(2,COLUMN())),OFFSET($BN$2,0,0,ROW()-1,60),ROW()-1,FALSE))</f>
        <v>42.081000000000003</v>
      </c>
      <c r="AN252">
        <f ca="1">IF(AND(ISNUMBER($AN$551),$B$294=1),$AN$551,HLOOKUP(INDIRECT(ADDRESS(2,COLUMN())),OFFSET($BN$2,0,0,ROW()-1,60),ROW()-1,FALSE))</f>
        <v>25.605</v>
      </c>
      <c r="AO252">
        <f ca="1">IF(AND(ISNUMBER($AO$551),$B$294=1),$AO$551,HLOOKUP(INDIRECT(ADDRESS(2,COLUMN())),OFFSET($BN$2,0,0,ROW()-1,60),ROW()-1,FALSE))</f>
        <v>18.129000000000001</v>
      </c>
      <c r="AP252">
        <f ca="1">IF(AND(ISNUMBER($AP$551),$B$294=1),$AP$551,HLOOKUP(INDIRECT(ADDRESS(2,COLUMN())),OFFSET($BN$2,0,0,ROW()-1,60),ROW()-1,FALSE))</f>
        <v>14.09</v>
      </c>
      <c r="AQ252">
        <f ca="1">IF(AND(ISNUMBER($AQ$551),$B$294=1),$AQ$551,HLOOKUP(INDIRECT(ADDRESS(2,COLUMN())),OFFSET($BN$2,0,0,ROW()-1,60),ROW()-1,FALSE))</f>
        <v>9.8330000000000002</v>
      </c>
      <c r="AR252">
        <f ca="1">IF(AND(ISNUMBER($AR$551),$B$294=1),$AR$551,HLOOKUP(INDIRECT(ADDRESS(2,COLUMN())),OFFSET($BN$2,0,0,ROW()-1,60),ROW()-1,FALSE))</f>
        <v>26.683</v>
      </c>
      <c r="AS252">
        <f ca="1">IF(AND(ISNUMBER($AS$551),$B$294=1),$AS$551,HLOOKUP(INDIRECT(ADDRESS(2,COLUMN())),OFFSET($BN$2,0,0,ROW()-1,60),ROW()-1,FALSE))</f>
        <v>8.7859999999999996</v>
      </c>
      <c r="AT252">
        <f ca="1">IF(AND(ISNUMBER($AT$551),$B$294=1),$AT$551,HLOOKUP(INDIRECT(ADDRESS(2,COLUMN())),OFFSET($BN$2,0,0,ROW()-1,60),ROW()-1,FALSE))</f>
        <v>4.4249999999999998</v>
      </c>
      <c r="AU252">
        <f ca="1">IF(AND(ISNUMBER($AU$551),$B$294=1),$AU$551,HLOOKUP(INDIRECT(ADDRESS(2,COLUMN())),OFFSET($BN$2,0,0,ROW()-1,60),ROW()-1,FALSE))</f>
        <v>-100.89</v>
      </c>
      <c r="AV252">
        <f ca="1">IF(AND(ISNUMBER($AV$551),$B$294=1),$AV$551,HLOOKUP(INDIRECT(ADDRESS(2,COLUMN())),OFFSET($BN$2,0,0,ROW()-1,60),ROW()-1,FALSE))</f>
        <v>-15.199</v>
      </c>
      <c r="AW252">
        <f ca="1">IF(AND(ISNUMBER($AW$551),$B$294=1),$AW$551,HLOOKUP(INDIRECT(ADDRESS(2,COLUMN())),OFFSET($BN$2,0,0,ROW()-1,60),ROW()-1,FALSE))</f>
        <v>-28.655999999999999</v>
      </c>
      <c r="AX252">
        <f ca="1">IF(AND(ISNUMBER($AX$551),$B$294=1),$AX$551,HLOOKUP(INDIRECT(ADDRESS(2,COLUMN())),OFFSET($BN$2,0,0,ROW()-1,60),ROW()-1,FALSE))</f>
        <v>-94.665000000000006</v>
      </c>
      <c r="AY252">
        <f ca="1">IF(AND(ISNUMBER($AY$551),$B$294=1),$AY$551,HLOOKUP(INDIRECT(ADDRESS(2,COLUMN())),OFFSET($BN$2,0,0,ROW()-1,60),ROW()-1,FALSE))</f>
        <v>-17.242000000000001</v>
      </c>
      <c r="AZ252">
        <f ca="1">IF(AND(ISNUMBER($AZ$551),$B$294=1),$AZ$551,HLOOKUP(INDIRECT(ADDRESS(2,COLUMN())),OFFSET($BN$2,0,0,ROW()-1,60),ROW()-1,FALSE))</f>
        <v>-3.5859999999999999</v>
      </c>
      <c r="BA252">
        <f ca="1">IF(AND(ISNUMBER($BA$551),$B$294=1),$BA$551,HLOOKUP(INDIRECT(ADDRESS(2,COLUMN())),OFFSET($BN$2,0,0,ROW()-1,60),ROW()-1,FALSE))</f>
        <v>3.23</v>
      </c>
      <c r="BB252">
        <f ca="1">IF(AND(ISNUMBER($BB$551),$B$294=1),$BB$551,HLOOKUP(INDIRECT(ADDRESS(2,COLUMN())),OFFSET($BN$2,0,0,ROW()-1,60),ROW()-1,FALSE))</f>
        <v>-72.248000000000005</v>
      </c>
      <c r="BC252">
        <f ca="1">IF(AND(ISNUMBER($BC$551),$B$294=1),$BC$551,HLOOKUP(INDIRECT(ADDRESS(2,COLUMN())),OFFSET($BN$2,0,0,ROW()-1,60),ROW()-1,FALSE))</f>
        <v>-5.952</v>
      </c>
      <c r="BD252">
        <f ca="1">IF(AND(ISNUMBER($BD$551),$B$294=1),$BD$551,HLOOKUP(INDIRECT(ADDRESS(2,COLUMN())),OFFSET($BN$2,0,0,ROW()-1,60),ROW()-1,FALSE))</f>
        <v>-1.0669999999999999</v>
      </c>
      <c r="BE252">
        <f ca="1">IF(AND(ISNUMBER($BE$551),$B$294=1),$BE$551,HLOOKUP(INDIRECT(ADDRESS(2,COLUMN())),OFFSET($BN$2,0,0,ROW()-1,60),ROW()-1,FALSE))</f>
        <v>-16.715</v>
      </c>
      <c r="BF252">
        <f ca="1">IF(AND(ISNUMBER($BF$551),$B$294=1),$BF$551,HLOOKUP(INDIRECT(ADDRESS(2,COLUMN())),OFFSET($BN$2,0,0,ROW()-1,60),ROW()-1,FALSE))</f>
        <v>6.94</v>
      </c>
      <c r="BG252">
        <f ca="1">IF(AND(ISNUMBER($BG$551),$B$294=1),$BG$551,HLOOKUP(INDIRECT(ADDRESS(2,COLUMN())),OFFSET($BN$2,0,0,ROW()-1,60),ROW()-1,FALSE))</f>
        <v>-89.224000000000004</v>
      </c>
      <c r="BH252">
        <f ca="1">IF(AND(ISNUMBER($BH$551),$B$294=1),$BH$551,HLOOKUP(INDIRECT(ADDRESS(2,COLUMN())),OFFSET($BN$2,0,0,ROW()-1,60),ROW()-1,FALSE))</f>
        <v>26.193000000000001</v>
      </c>
      <c r="BI252">
        <f ca="1">IF(AND(ISNUMBER($BI$551),$B$294=1),$BI$551,HLOOKUP(INDIRECT(ADDRESS(2,COLUMN())),OFFSET($BN$2,0,0,ROW()-1,60),ROW()-1,FALSE))</f>
        <v>-0.31</v>
      </c>
      <c r="BJ252">
        <f ca="1">IF(AND(ISNUMBER($BJ$551),$B$294=1),$BJ$551,HLOOKUP(INDIRECT(ADDRESS(2,COLUMN())),OFFSET($BN$2,0,0,ROW()-1,60),ROW()-1,FALSE))</f>
        <v>9.3580000000000005</v>
      </c>
      <c r="BK252">
        <f ca="1">IF(AND(ISNUMBER($BK$551),$B$294=1),$BK$551,HLOOKUP(INDIRECT(ADDRESS(2,COLUMN())),OFFSET($BN$2,0,0,ROW()-1,60),ROW()-1,FALSE))</f>
        <v>-6.4370002749999999</v>
      </c>
      <c r="BL252">
        <f ca="1">IF(AND(ISNUMBER($BL$551),$B$294=1),$BL$551,HLOOKUP(INDIRECT(ADDRESS(2,COLUMN())),OFFSET($BN$2,0,0,ROW()-1,60),ROW()-1,FALSE))</f>
        <v>24.861000000000001</v>
      </c>
      <c r="BM252">
        <f ca="1">IF(AND(ISNUMBER($BM$551),$B$294=1),$BM$551,HLOOKUP(INDIRECT(ADDRESS(2,COLUMN())),OFFSET($BN$2,0,0,ROW()-1,60),ROW()-1,FALSE))</f>
        <v>-2.9569999999999999</v>
      </c>
      <c r="BN252" t="str">
        <f>""</f>
        <v/>
      </c>
      <c r="BO252">
        <f>-102.51</f>
        <v>-102.51</v>
      </c>
      <c r="BP252">
        <f>-32.805</f>
        <v>-32.805</v>
      </c>
      <c r="BQ252">
        <f>-30.339</f>
        <v>-30.338999999999999</v>
      </c>
      <c r="BR252">
        <f>6.972</f>
        <v>6.9720000000000004</v>
      </c>
      <c r="BS252">
        <f>-404.469</f>
        <v>-404.46899999999999</v>
      </c>
      <c r="BT252">
        <f>38.234</f>
        <v>38.234000000000002</v>
      </c>
      <c r="BU252">
        <f>-134.015</f>
        <v>-134.01499999999999</v>
      </c>
      <c r="BV252">
        <f>-44.949</f>
        <v>-44.948999999999998</v>
      </c>
      <c r="BW252">
        <f>-62.922</f>
        <v>-62.921999999999997</v>
      </c>
      <c r="BX252">
        <f>-126.036</f>
        <v>-126.036</v>
      </c>
      <c r="BY252">
        <f>-76.022</f>
        <v>-76.022000000000006</v>
      </c>
      <c r="BZ252">
        <f>-109.611</f>
        <v>-109.611</v>
      </c>
      <c r="CA252">
        <f>-262.971</f>
        <v>-262.971</v>
      </c>
      <c r="CB252">
        <f>-68.527</f>
        <v>-68.527000000000001</v>
      </c>
      <c r="CC252">
        <f>-158.155</f>
        <v>-158.155</v>
      </c>
      <c r="CD252">
        <f>-166.686</f>
        <v>-166.68600000000001</v>
      </c>
      <c r="CE252">
        <f>-179.065</f>
        <v>-179.065</v>
      </c>
      <c r="CF252">
        <f>-179.046</f>
        <v>-179.04599999999999</v>
      </c>
      <c r="CG252">
        <f>-28.645</f>
        <v>-28.645</v>
      </c>
      <c r="CH252">
        <f>-128.133</f>
        <v>-128.13300000000001</v>
      </c>
      <c r="CI252">
        <f>-253.414</f>
        <v>-253.41399999999999</v>
      </c>
      <c r="CJ252">
        <f>-185.25</f>
        <v>-185.25</v>
      </c>
      <c r="CK252">
        <f>-194.66</f>
        <v>-194.66</v>
      </c>
      <c r="CL252">
        <f>-144.422</f>
        <v>-144.422</v>
      </c>
      <c r="CM252">
        <f>-128.841</f>
        <v>-128.84100000000001</v>
      </c>
      <c r="CN252">
        <f>-64.794</f>
        <v>-64.793999999999997</v>
      </c>
      <c r="CO252">
        <f>-350.764</f>
        <v>-350.76400000000001</v>
      </c>
      <c r="CP252">
        <f>-11.902</f>
        <v>-11.901999999999999</v>
      </c>
      <c r="CQ252">
        <f>-226.593</f>
        <v>-226.59299999999999</v>
      </c>
      <c r="CR252">
        <f>-26.239</f>
        <v>-26.239000000000001</v>
      </c>
      <c r="CS252">
        <f>-354.931</f>
        <v>-354.93099999999998</v>
      </c>
      <c r="CT252">
        <f>-2.961</f>
        <v>-2.9609999999999999</v>
      </c>
      <c r="CU252">
        <f>42.081</f>
        <v>42.081000000000003</v>
      </c>
      <c r="CV252">
        <f>25.605</f>
        <v>25.605</v>
      </c>
      <c r="CW252">
        <f>18.129</f>
        <v>18.129000000000001</v>
      </c>
      <c r="CX252">
        <f>14.09</f>
        <v>14.09</v>
      </c>
      <c r="CY252">
        <f>9.833</f>
        <v>9.8330000000000002</v>
      </c>
      <c r="CZ252">
        <f>26.683</f>
        <v>26.683</v>
      </c>
      <c r="DA252">
        <f>8.786</f>
        <v>8.7859999999999996</v>
      </c>
      <c r="DB252">
        <f>4.425</f>
        <v>4.4249999999999998</v>
      </c>
      <c r="DC252">
        <f>-100.89</f>
        <v>-100.89</v>
      </c>
      <c r="DD252">
        <f>-15.199</f>
        <v>-15.199</v>
      </c>
      <c r="DE252">
        <f>-28.656</f>
        <v>-28.655999999999999</v>
      </c>
      <c r="DF252">
        <f>-94.665</f>
        <v>-94.665000000000006</v>
      </c>
      <c r="DG252">
        <f>-17.242</f>
        <v>-17.242000000000001</v>
      </c>
      <c r="DH252">
        <f>-3.586</f>
        <v>-3.5859999999999999</v>
      </c>
      <c r="DI252">
        <f>3.23</f>
        <v>3.23</v>
      </c>
      <c r="DJ252">
        <f>-72.248</f>
        <v>-72.248000000000005</v>
      </c>
      <c r="DK252">
        <f>-5.952</f>
        <v>-5.952</v>
      </c>
      <c r="DL252">
        <f>-1.067</f>
        <v>-1.0669999999999999</v>
      </c>
      <c r="DM252">
        <f>-16.715</f>
        <v>-16.715</v>
      </c>
      <c r="DN252">
        <f>6.94</f>
        <v>6.94</v>
      </c>
      <c r="DO252">
        <f>-89.224</f>
        <v>-89.224000000000004</v>
      </c>
      <c r="DP252">
        <f>26.193</f>
        <v>26.193000000000001</v>
      </c>
      <c r="DQ252">
        <f>-0.31</f>
        <v>-0.31</v>
      </c>
      <c r="DR252">
        <f>9.358</f>
        <v>9.3580000000000005</v>
      </c>
      <c r="DS252">
        <f>-6.437000275</f>
        <v>-6.4370002749999999</v>
      </c>
      <c r="DT252">
        <f>24.861</f>
        <v>24.861000000000001</v>
      </c>
      <c r="DU252">
        <f>-2.957</f>
        <v>-2.9569999999999999</v>
      </c>
    </row>
    <row r="253" spans="1:125">
      <c r="A253" t="str">
        <f>"    Mack-Cali Realty Corp"</f>
        <v xml:space="preserve">    Mack-Cali Realty Corp</v>
      </c>
      <c r="B253" t="str">
        <f>"CLI US Equity"</f>
        <v>CLI US Equity</v>
      </c>
      <c r="C253" t="str">
        <f t="shared" si="66"/>
        <v>RR008</v>
      </c>
      <c r="D253" t="str">
        <f t="shared" si="67"/>
        <v>CF_FREE_CASH_FLOW</v>
      </c>
      <c r="E253" t="str">
        <f t="shared" si="68"/>
        <v>动态</v>
      </c>
      <c r="F253" t="str">
        <f ca="1">IF(AND(ISNUMBER($F$552),$B$294=1),$F$552,HLOOKUP(INDIRECT(ADDRESS(2,COLUMN())),OFFSET($BN$2,0,0,ROW()-1,60),ROW()-1,FALSE))</f>
        <v/>
      </c>
      <c r="G253">
        <f ca="1">IF(AND(ISNUMBER($G$552),$B$294=1),$G$552,HLOOKUP(INDIRECT(ADDRESS(2,COLUMN())),OFFSET($BN$2,0,0,ROW()-1,60),ROW()-1,FALSE))</f>
        <v>-55.075000000000003</v>
      </c>
      <c r="H253">
        <f ca="1">IF(AND(ISNUMBER($H$552),$B$294=1),$H$552,HLOOKUP(INDIRECT(ADDRESS(2,COLUMN())),OFFSET($BN$2,0,0,ROW()-1,60),ROW()-1,FALSE))</f>
        <v>-30.672000000000001</v>
      </c>
      <c r="I253">
        <f ca="1">IF(AND(ISNUMBER($I$552),$B$294=1),$I$552,HLOOKUP(INDIRECT(ADDRESS(2,COLUMN())),OFFSET($BN$2,0,0,ROW()-1,60),ROW()-1,FALSE))</f>
        <v>-49.356999999999999</v>
      </c>
      <c r="J253">
        <f ca="1">IF(AND(ISNUMBER($J$552),$B$294=1),$J$552,HLOOKUP(INDIRECT(ADDRESS(2,COLUMN())),OFFSET($BN$2,0,0,ROW()-1,60),ROW()-1,FALSE))</f>
        <v>-26.669</v>
      </c>
      <c r="K253">
        <f ca="1">IF(AND(ISNUMBER($K$552),$B$294=1),$K$552,HLOOKUP(INDIRECT(ADDRESS(2,COLUMN())),OFFSET($BN$2,0,0,ROW()-1,60),ROW()-1,FALSE))</f>
        <v>-88.611000000000004</v>
      </c>
      <c r="L253">
        <f ca="1">IF(AND(ISNUMBER($L$552),$B$294=1),$L$552,HLOOKUP(INDIRECT(ADDRESS(2,COLUMN())),OFFSET($BN$2,0,0,ROW()-1,60),ROW()-1,FALSE))</f>
        <v>-75.63</v>
      </c>
      <c r="M253">
        <f ca="1">IF(AND(ISNUMBER($M$552),$B$294=1),$M$552,HLOOKUP(INDIRECT(ADDRESS(2,COLUMN())),OFFSET($BN$2,0,0,ROW()-1,60),ROW()-1,FALSE))</f>
        <v>-38.936</v>
      </c>
      <c r="N253">
        <f ca="1">IF(AND(ISNUMBER($N$552),$B$294=1),$N$552,HLOOKUP(INDIRECT(ADDRESS(2,COLUMN())),OFFSET($BN$2,0,0,ROW()-1,60),ROW()-1,FALSE))</f>
        <v>-25.253</v>
      </c>
      <c r="O253">
        <f ca="1">IF(AND(ISNUMBER($O$552),$B$294=1),$O$552,HLOOKUP(INDIRECT(ADDRESS(2,COLUMN())),OFFSET($BN$2,0,0,ROW()-1,60),ROW()-1,FALSE))</f>
        <v>-20.72</v>
      </c>
      <c r="P253">
        <f ca="1">IF(AND(ISNUMBER($P$552),$B$294=1),$P$552,HLOOKUP(INDIRECT(ADDRESS(2,COLUMN())),OFFSET($BN$2,0,0,ROW()-1,60),ROW()-1,FALSE))</f>
        <v>-21.774999999999999</v>
      </c>
      <c r="Q253">
        <f ca="1">IF(AND(ISNUMBER($Q$552),$B$294=1),$Q$552,HLOOKUP(INDIRECT(ADDRESS(2,COLUMN())),OFFSET($BN$2,0,0,ROW()-1,60),ROW()-1,FALSE))</f>
        <v>17.274999999999999</v>
      </c>
      <c r="R253">
        <f ca="1">IF(AND(ISNUMBER($R$552),$B$294=1),$R$552,HLOOKUP(INDIRECT(ADDRESS(2,COLUMN())),OFFSET($BN$2,0,0,ROW()-1,60),ROW()-1,FALSE))</f>
        <v>19.529</v>
      </c>
      <c r="S253">
        <f ca="1">IF(AND(ISNUMBER($S$552),$B$294=1),$S$552,HLOOKUP(INDIRECT(ADDRESS(2,COLUMN())),OFFSET($BN$2,0,0,ROW()-1,60),ROW()-1,FALSE))</f>
        <v>8.7910000000000004</v>
      </c>
      <c r="T253">
        <f ca="1">IF(AND(ISNUMBER($T$552),$B$294=1),$T$552,HLOOKUP(INDIRECT(ADDRESS(2,COLUMN())),OFFSET($BN$2,0,0,ROW()-1,60),ROW()-1,FALSE))</f>
        <v>-10.904</v>
      </c>
      <c r="U253">
        <f ca="1">IF(AND(ISNUMBER($U$552),$B$294=1),$U$552,HLOOKUP(INDIRECT(ADDRESS(2,COLUMN())),OFFSET($BN$2,0,0,ROW()-1,60),ROW()-1,FALSE))</f>
        <v>-15.34</v>
      </c>
      <c r="V253">
        <f ca="1">IF(AND(ISNUMBER($V$552),$B$294=1),$V$552,HLOOKUP(INDIRECT(ADDRESS(2,COLUMN())),OFFSET($BN$2,0,0,ROW()-1,60),ROW()-1,FALSE))</f>
        <v>12.87</v>
      </c>
      <c r="W253">
        <f ca="1">IF(AND(ISNUMBER($W$552),$B$294=1),$W$552,HLOOKUP(INDIRECT(ADDRESS(2,COLUMN())),OFFSET($BN$2,0,0,ROW()-1,60),ROW()-1,FALSE))</f>
        <v>59.475999999999999</v>
      </c>
      <c r="X253">
        <f ca="1">IF(AND(ISNUMBER($X$552),$B$294=1),$X$552,HLOOKUP(INDIRECT(ADDRESS(2,COLUMN())),OFFSET($BN$2,0,0,ROW()-1,60),ROW()-1,FALSE))</f>
        <v>10.510999999999999</v>
      </c>
      <c r="Y253">
        <f ca="1">IF(AND(ISNUMBER($Y$552),$B$294=1),$Y$552,HLOOKUP(INDIRECT(ADDRESS(2,COLUMN())),OFFSET($BN$2,0,0,ROW()-1,60),ROW()-1,FALSE))</f>
        <v>-59.442</v>
      </c>
      <c r="Z253">
        <f ca="1">IF(AND(ISNUMBER($Z$552),$B$294=1),$Z$552,HLOOKUP(INDIRECT(ADDRESS(2,COLUMN())),OFFSET($BN$2,0,0,ROW()-1,60),ROW()-1,FALSE))</f>
        <v>-37.466999999999999</v>
      </c>
      <c r="AA253">
        <f ca="1">IF(AND(ISNUMBER($AA$552),$B$294=1),$AA$552,HLOOKUP(INDIRECT(ADDRESS(2,COLUMN())),OFFSET($BN$2,0,0,ROW()-1,60),ROW()-1,FALSE))</f>
        <v>39.491999999999997</v>
      </c>
      <c r="AB253">
        <f ca="1">IF(AND(ISNUMBER($AB$552),$B$294=1),$AB$552,HLOOKUP(INDIRECT(ADDRESS(2,COLUMN())),OFFSET($BN$2,0,0,ROW()-1,60),ROW()-1,FALSE))</f>
        <v>-5.5469999999999997</v>
      </c>
      <c r="AC253">
        <f ca="1">IF(AND(ISNUMBER($AC$552),$B$294=1),$AC$552,HLOOKUP(INDIRECT(ADDRESS(2,COLUMN())),OFFSET($BN$2,0,0,ROW()-1,60),ROW()-1,FALSE))</f>
        <v>67.435000000000002</v>
      </c>
      <c r="AD253">
        <f ca="1">IF(AND(ISNUMBER($AD$552),$B$294=1),$AD$552,HLOOKUP(INDIRECT(ADDRESS(2,COLUMN())),OFFSET($BN$2,0,0,ROW()-1,60),ROW()-1,FALSE))</f>
        <v>35.780999999999999</v>
      </c>
      <c r="AE253">
        <f ca="1">IF(AND(ISNUMBER($AE$552),$B$294=1),$AE$552,HLOOKUP(INDIRECT(ADDRESS(2,COLUMN())),OFFSET($BN$2,0,0,ROW()-1,60),ROW()-1,FALSE))</f>
        <v>54.957000000000001</v>
      </c>
      <c r="AF253">
        <f ca="1">IF(AND(ISNUMBER($AF$552),$B$294=1),$AF$552,HLOOKUP(INDIRECT(ADDRESS(2,COLUMN())),OFFSET($BN$2,0,0,ROW()-1,60),ROW()-1,FALSE))</f>
        <v>24.867000000000001</v>
      </c>
      <c r="AG253">
        <f ca="1">IF(AND(ISNUMBER($AG$552),$B$294=1),$AG$552,HLOOKUP(INDIRECT(ADDRESS(2,COLUMN())),OFFSET($BN$2,0,0,ROW()-1,60),ROW()-1,FALSE))</f>
        <v>61.029000000000003</v>
      </c>
      <c r="AH253">
        <f ca="1">IF(AND(ISNUMBER($AH$552),$B$294=1),$AH$552,HLOOKUP(INDIRECT(ADDRESS(2,COLUMN())),OFFSET($BN$2,0,0,ROW()-1,60),ROW()-1,FALSE))</f>
        <v>19.483000000000001</v>
      </c>
      <c r="AI253">
        <f ca="1">IF(AND(ISNUMBER($AI$552),$B$294=1),$AI$552,HLOOKUP(INDIRECT(ADDRESS(2,COLUMN())),OFFSET($BN$2,0,0,ROW()-1,60),ROW()-1,FALSE))</f>
        <v>33.758000000000003</v>
      </c>
      <c r="AJ253">
        <f ca="1">IF(AND(ISNUMBER($AJ$552),$B$294=1),$AJ$552,HLOOKUP(INDIRECT(ADDRESS(2,COLUMN())),OFFSET($BN$2,0,0,ROW()-1,60),ROW()-1,FALSE))</f>
        <v>6.484</v>
      </c>
      <c r="AK253">
        <f ca="1">IF(AND(ISNUMBER($AK$552),$B$294=1),$AK$552,HLOOKUP(INDIRECT(ADDRESS(2,COLUMN())),OFFSET($BN$2,0,0,ROW()-1,60),ROW()-1,FALSE))</f>
        <v>61.116999999999997</v>
      </c>
      <c r="AL253">
        <f ca="1">IF(AND(ISNUMBER($AL$552),$B$294=1),$AL$552,HLOOKUP(INDIRECT(ADDRESS(2,COLUMN())),OFFSET($BN$2,0,0,ROW()-1,60),ROW()-1,FALSE))</f>
        <v>29.178000000000001</v>
      </c>
      <c r="AM253">
        <f ca="1">IF(AND(ISNUMBER($AM$552),$B$294=1),$AM$552,HLOOKUP(INDIRECT(ADDRESS(2,COLUMN())),OFFSET($BN$2,0,0,ROW()-1,60),ROW()-1,FALSE))</f>
        <v>59.353999999999999</v>
      </c>
      <c r="AN253">
        <f ca="1">IF(AND(ISNUMBER($AN$552),$B$294=1),$AN$552,HLOOKUP(INDIRECT(ADDRESS(2,COLUMN())),OFFSET($BN$2,0,0,ROW()-1,60),ROW()-1,FALSE))</f>
        <v>39.232999999999997</v>
      </c>
      <c r="AO253">
        <f ca="1">IF(AND(ISNUMBER($AO$552),$B$294=1),$AO$552,HLOOKUP(INDIRECT(ADDRESS(2,COLUMN())),OFFSET($BN$2,0,0,ROW()-1,60),ROW()-1,FALSE))</f>
        <v>82.093999999999994</v>
      </c>
      <c r="AP253">
        <f ca="1">IF(AND(ISNUMBER($AP$552),$B$294=1),$AP$552,HLOOKUP(INDIRECT(ADDRESS(2,COLUMN())),OFFSET($BN$2,0,0,ROW()-1,60),ROW()-1,FALSE))</f>
        <v>36.238</v>
      </c>
      <c r="AQ253">
        <f ca="1">IF(AND(ISNUMBER($AQ$552),$B$294=1),$AQ$552,HLOOKUP(INDIRECT(ADDRESS(2,COLUMN())),OFFSET($BN$2,0,0,ROW()-1,60),ROW()-1,FALSE))</f>
        <v>63.984000000000002</v>
      </c>
      <c r="AR253">
        <f ca="1">IF(AND(ISNUMBER($AR$552),$B$294=1),$AR$552,HLOOKUP(INDIRECT(ADDRESS(2,COLUMN())),OFFSET($BN$2,0,0,ROW()-1,60),ROW()-1,FALSE))</f>
        <v>30.024000000000001</v>
      </c>
      <c r="AS253">
        <f ca="1">IF(AND(ISNUMBER($AS$552),$B$294=1),$AS$552,HLOOKUP(INDIRECT(ADDRESS(2,COLUMN())),OFFSET($BN$2,0,0,ROW()-1,60),ROW()-1,FALSE))</f>
        <v>56.904000000000003</v>
      </c>
      <c r="AT253">
        <f ca="1">IF(AND(ISNUMBER($AT$552),$B$294=1),$AT$552,HLOOKUP(INDIRECT(ADDRESS(2,COLUMN())),OFFSET($BN$2,0,0,ROW()-1,60),ROW()-1,FALSE))</f>
        <v>33.343000000000004</v>
      </c>
      <c r="AU253">
        <f ca="1">IF(AND(ISNUMBER($AU$552),$B$294=1),$AU$552,HLOOKUP(INDIRECT(ADDRESS(2,COLUMN())),OFFSET($BN$2,0,0,ROW()-1,60),ROW()-1,FALSE))</f>
        <v>62.186999999999998</v>
      </c>
      <c r="AV253">
        <f ca="1">IF(AND(ISNUMBER($AV$552),$B$294=1),$AV$552,HLOOKUP(INDIRECT(ADDRESS(2,COLUMN())),OFFSET($BN$2,0,0,ROW()-1,60),ROW()-1,FALSE))</f>
        <v>19.623999999999999</v>
      </c>
      <c r="AW253">
        <f ca="1">IF(AND(ISNUMBER($AW$552),$B$294=1),$AW$552,HLOOKUP(INDIRECT(ADDRESS(2,COLUMN())),OFFSET($BN$2,0,0,ROW()-1,60),ROW()-1,FALSE))</f>
        <v>-224.72800000000001</v>
      </c>
      <c r="AX253">
        <f ca="1">IF(AND(ISNUMBER($AX$552),$B$294=1),$AX$552,HLOOKUP(INDIRECT(ADDRESS(2,COLUMN())),OFFSET($BN$2,0,0,ROW()-1,60),ROW()-1,FALSE))</f>
        <v>20.048999999999999</v>
      </c>
      <c r="AY253">
        <f ca="1">IF(AND(ISNUMBER($AY$552),$B$294=1),$AY$552,HLOOKUP(INDIRECT(ADDRESS(2,COLUMN())),OFFSET($BN$2,0,0,ROW()-1,60),ROW()-1,FALSE))</f>
        <v>53.274999999999999</v>
      </c>
      <c r="AZ253">
        <f ca="1">IF(AND(ISNUMBER($AZ$552),$B$294=1),$AZ$552,HLOOKUP(INDIRECT(ADDRESS(2,COLUMN())),OFFSET($BN$2,0,0,ROW()-1,60),ROW()-1,FALSE))</f>
        <v>-4.91</v>
      </c>
      <c r="BA253">
        <f ca="1">IF(AND(ISNUMBER($BA$552),$B$294=1),$BA$552,HLOOKUP(INDIRECT(ADDRESS(2,COLUMN())),OFFSET($BN$2,0,0,ROW()-1,60),ROW()-1,FALSE))</f>
        <v>-47.183</v>
      </c>
      <c r="BB253">
        <f ca="1">IF(AND(ISNUMBER($BB$552),$B$294=1),$BB$552,HLOOKUP(INDIRECT(ADDRESS(2,COLUMN())),OFFSET($BN$2,0,0,ROW()-1,60),ROW()-1,FALSE))</f>
        <v>16.940999999999999</v>
      </c>
      <c r="BC253">
        <f ca="1">IF(AND(ISNUMBER($BC$552),$B$294=1),$BC$552,HLOOKUP(INDIRECT(ADDRESS(2,COLUMN())),OFFSET($BN$2,0,0,ROW()-1,60),ROW()-1,FALSE))</f>
        <v>30.780999999999999</v>
      </c>
      <c r="BD253">
        <f ca="1">IF(AND(ISNUMBER($BD$552),$B$294=1),$BD$552,HLOOKUP(INDIRECT(ADDRESS(2,COLUMN())),OFFSET($BN$2,0,0,ROW()-1,60),ROW()-1,FALSE))</f>
        <v>14.015000000000001</v>
      </c>
      <c r="BE253">
        <f ca="1">IF(AND(ISNUMBER($BE$552),$B$294=1),$BE$552,HLOOKUP(INDIRECT(ADDRESS(2,COLUMN())),OFFSET($BN$2,0,0,ROW()-1,60),ROW()-1,FALSE))</f>
        <v>53.738999999999997</v>
      </c>
      <c r="BF253">
        <f ca="1">IF(AND(ISNUMBER($BF$552),$B$294=1),$BF$552,HLOOKUP(INDIRECT(ADDRESS(2,COLUMN())),OFFSET($BN$2,0,0,ROW()-1,60),ROW()-1,FALSE))</f>
        <v>-306.94099999999997</v>
      </c>
      <c r="BG253">
        <f ca="1">IF(AND(ISNUMBER($BG$552),$B$294=1),$BG$552,HLOOKUP(INDIRECT(ADDRESS(2,COLUMN())),OFFSET($BN$2,0,0,ROW()-1,60),ROW()-1,FALSE))</f>
        <v>-9.7620000000000005</v>
      </c>
      <c r="BH253">
        <f ca="1">IF(AND(ISNUMBER($BH$552),$B$294=1),$BH$552,HLOOKUP(INDIRECT(ADDRESS(2,COLUMN())),OFFSET($BN$2,0,0,ROW()-1,60),ROW()-1,FALSE))</f>
        <v>36.454000000000001</v>
      </c>
      <c r="BI253">
        <f ca="1">IF(AND(ISNUMBER($BI$552),$B$294=1),$BI$552,HLOOKUP(INDIRECT(ADDRESS(2,COLUMN())),OFFSET($BN$2,0,0,ROW()-1,60),ROW()-1,FALSE))</f>
        <v>-22.769997</v>
      </c>
      <c r="BJ253">
        <f ca="1">IF(AND(ISNUMBER($BJ$552),$B$294=1),$BJ$552,HLOOKUP(INDIRECT(ADDRESS(2,COLUMN())),OFFSET($BN$2,0,0,ROW()-1,60),ROW()-1,FALSE))</f>
        <v>34.484999000000002</v>
      </c>
      <c r="BK253">
        <f ca="1">IF(AND(ISNUMBER($BK$552),$B$294=1),$BK$552,HLOOKUP(INDIRECT(ADDRESS(2,COLUMN())),OFFSET($BN$2,0,0,ROW()-1,60),ROW()-1,FALSE))</f>
        <v>34.790000919999997</v>
      </c>
      <c r="BL253">
        <f ca="1">IF(AND(ISNUMBER($BL$552),$B$294=1),$BL$552,HLOOKUP(INDIRECT(ADDRESS(2,COLUMN())),OFFSET($BN$2,0,0,ROW()-1,60),ROW()-1,FALSE))</f>
        <v>4.2350000000000003</v>
      </c>
      <c r="BM253">
        <f ca="1">IF(AND(ISNUMBER($BM$552),$B$294=1),$BM$552,HLOOKUP(INDIRECT(ADDRESS(2,COLUMN())),OFFSET($BN$2,0,0,ROW()-1,60),ROW()-1,FALSE))</f>
        <v>47.094996999999999</v>
      </c>
      <c r="BN253" t="str">
        <f>""</f>
        <v/>
      </c>
      <c r="BO253">
        <f>-55.075</f>
        <v>-55.075000000000003</v>
      </c>
      <c r="BP253">
        <f>-30.672</f>
        <v>-30.672000000000001</v>
      </c>
      <c r="BQ253">
        <f>-49.357</f>
        <v>-49.356999999999999</v>
      </c>
      <c r="BR253">
        <f>-26.669</f>
        <v>-26.669</v>
      </c>
      <c r="BS253">
        <f>-88.611</f>
        <v>-88.611000000000004</v>
      </c>
      <c r="BT253">
        <f>-75.63</f>
        <v>-75.63</v>
      </c>
      <c r="BU253">
        <f>-38.936</f>
        <v>-38.936</v>
      </c>
      <c r="BV253">
        <f>-25.253</f>
        <v>-25.253</v>
      </c>
      <c r="BW253">
        <f>-20.72</f>
        <v>-20.72</v>
      </c>
      <c r="BX253">
        <f>-21.775</f>
        <v>-21.774999999999999</v>
      </c>
      <c r="BY253">
        <f>17.275</f>
        <v>17.274999999999999</v>
      </c>
      <c r="BZ253">
        <f>19.529</f>
        <v>19.529</v>
      </c>
      <c r="CA253">
        <f>8.791</f>
        <v>8.7910000000000004</v>
      </c>
      <c r="CB253">
        <f>-10.904</f>
        <v>-10.904</v>
      </c>
      <c r="CC253">
        <f>-15.34</f>
        <v>-15.34</v>
      </c>
      <c r="CD253">
        <f>12.87</f>
        <v>12.87</v>
      </c>
      <c r="CE253">
        <f>59.476</f>
        <v>59.475999999999999</v>
      </c>
      <c r="CF253">
        <f>10.511</f>
        <v>10.510999999999999</v>
      </c>
      <c r="CG253">
        <f>-59.442</f>
        <v>-59.442</v>
      </c>
      <c r="CH253">
        <f>-37.467</f>
        <v>-37.466999999999999</v>
      </c>
      <c r="CI253">
        <f>39.492</f>
        <v>39.491999999999997</v>
      </c>
      <c r="CJ253">
        <f>-5.547</f>
        <v>-5.5469999999999997</v>
      </c>
      <c r="CK253">
        <f>67.435</f>
        <v>67.435000000000002</v>
      </c>
      <c r="CL253">
        <f>35.781</f>
        <v>35.780999999999999</v>
      </c>
      <c r="CM253">
        <f>54.957</f>
        <v>54.957000000000001</v>
      </c>
      <c r="CN253">
        <f>24.867</f>
        <v>24.867000000000001</v>
      </c>
      <c r="CO253">
        <f>61.029</f>
        <v>61.029000000000003</v>
      </c>
      <c r="CP253">
        <f>19.483</f>
        <v>19.483000000000001</v>
      </c>
      <c r="CQ253">
        <f>33.758</f>
        <v>33.758000000000003</v>
      </c>
      <c r="CR253">
        <f>6.484</f>
        <v>6.484</v>
      </c>
      <c r="CS253">
        <f>61.117</f>
        <v>61.116999999999997</v>
      </c>
      <c r="CT253">
        <f>29.178</f>
        <v>29.178000000000001</v>
      </c>
      <c r="CU253">
        <f>59.354</f>
        <v>59.353999999999999</v>
      </c>
      <c r="CV253">
        <f>39.233</f>
        <v>39.232999999999997</v>
      </c>
      <c r="CW253">
        <f>82.094</f>
        <v>82.093999999999994</v>
      </c>
      <c r="CX253">
        <f>36.238</f>
        <v>36.238</v>
      </c>
      <c r="CY253">
        <f>63.984</f>
        <v>63.984000000000002</v>
      </c>
      <c r="CZ253">
        <f>30.024</f>
        <v>30.024000000000001</v>
      </c>
      <c r="DA253">
        <f>56.904</f>
        <v>56.904000000000003</v>
      </c>
      <c r="DB253">
        <f>33.343</f>
        <v>33.343000000000004</v>
      </c>
      <c r="DC253">
        <f>62.187</f>
        <v>62.186999999999998</v>
      </c>
      <c r="DD253">
        <f>19.624</f>
        <v>19.623999999999999</v>
      </c>
      <c r="DE253">
        <f>-224.728</f>
        <v>-224.72800000000001</v>
      </c>
      <c r="DF253">
        <f>20.049</f>
        <v>20.048999999999999</v>
      </c>
      <c r="DG253">
        <f>53.275</f>
        <v>53.274999999999999</v>
      </c>
      <c r="DH253">
        <f>-4.91</f>
        <v>-4.91</v>
      </c>
      <c r="DI253">
        <f>-47.183</f>
        <v>-47.183</v>
      </c>
      <c r="DJ253">
        <f>16.941</f>
        <v>16.940999999999999</v>
      </c>
      <c r="DK253">
        <f>30.781</f>
        <v>30.780999999999999</v>
      </c>
      <c r="DL253">
        <f>14.015</f>
        <v>14.015000000000001</v>
      </c>
      <c r="DM253">
        <f>53.739</f>
        <v>53.738999999999997</v>
      </c>
      <c r="DN253">
        <f>-306.941</f>
        <v>-306.94099999999997</v>
      </c>
      <c r="DO253">
        <f>-9.762</f>
        <v>-9.7620000000000005</v>
      </c>
      <c r="DP253">
        <f>36.454</f>
        <v>36.454000000000001</v>
      </c>
      <c r="DQ253">
        <f>-22.769997</f>
        <v>-22.769997</v>
      </c>
      <c r="DR253">
        <f>34.484999</f>
        <v>34.484999000000002</v>
      </c>
      <c r="DS253">
        <f>34.79000092</f>
        <v>34.790000919999997</v>
      </c>
      <c r="DT253">
        <f>4.235</f>
        <v>4.2350000000000003</v>
      </c>
      <c r="DU253">
        <f>47.094997</f>
        <v>47.094996999999999</v>
      </c>
    </row>
    <row r="254" spans="1:125">
      <c r="A254" t="str">
        <f>"    Piedmont Office Realty Trust I"</f>
        <v xml:space="preserve">    Piedmont Office Realty Trust I</v>
      </c>
      <c r="B254" t="str">
        <f>"PDM US Equity"</f>
        <v>PDM US Equity</v>
      </c>
      <c r="C254" t="str">
        <f t="shared" si="66"/>
        <v>RR008</v>
      </c>
      <c r="D254" t="str">
        <f t="shared" si="67"/>
        <v>CF_FREE_CASH_FLOW</v>
      </c>
      <c r="E254" t="str">
        <f t="shared" si="68"/>
        <v>动态</v>
      </c>
      <c r="F254" t="str">
        <f ca="1">IF(AND(ISNUMBER($F$553),$B$294=1),$F$553,HLOOKUP(INDIRECT(ADDRESS(2,COLUMN())),OFFSET($BN$2,0,0,ROW()-1,60),ROW()-1,FALSE))</f>
        <v/>
      </c>
      <c r="G254" t="str">
        <f ca="1">IF(AND(ISNUMBER($G$553),$B$294=1),$G$553,HLOOKUP(INDIRECT(ADDRESS(2,COLUMN())),OFFSET($BN$2,0,0,ROW()-1,60),ROW()-1,FALSE))</f>
        <v/>
      </c>
      <c r="H254">
        <f ca="1">IF(AND(ISNUMBER($H$553),$B$294=1),$H$553,HLOOKUP(INDIRECT(ADDRESS(2,COLUMN())),OFFSET($BN$2,0,0,ROW()-1,60),ROW()-1,FALSE))</f>
        <v>57.582999999999998</v>
      </c>
      <c r="I254">
        <f ca="1">IF(AND(ISNUMBER($I$553),$B$294=1),$I$553,HLOOKUP(INDIRECT(ADDRESS(2,COLUMN())),OFFSET($BN$2,0,0,ROW()-1,60),ROW()-1,FALSE))</f>
        <v>31.292000000000002</v>
      </c>
      <c r="J254">
        <f ca="1">IF(AND(ISNUMBER($J$553),$B$294=1),$J$553,HLOOKUP(INDIRECT(ADDRESS(2,COLUMN())),OFFSET($BN$2,0,0,ROW()-1,60),ROW()-1,FALSE))</f>
        <v>21.986000000000001</v>
      </c>
      <c r="K254">
        <f ca="1">IF(AND(ISNUMBER($K$553),$B$294=1),$K$553,HLOOKUP(INDIRECT(ADDRESS(2,COLUMN())),OFFSET($BN$2,0,0,ROW()-1,60),ROW()-1,FALSE))</f>
        <v>-240.83199999999999</v>
      </c>
      <c r="L254">
        <f ca="1">IF(AND(ISNUMBER($L$553),$B$294=1),$L$553,HLOOKUP(INDIRECT(ADDRESS(2,COLUMN())),OFFSET($BN$2,0,0,ROW()-1,60),ROW()-1,FALSE))</f>
        <v>-21.577000000000002</v>
      </c>
      <c r="M254">
        <f ca="1">IF(AND(ISNUMBER($M$553),$B$294=1),$M$553,HLOOKUP(INDIRECT(ADDRESS(2,COLUMN())),OFFSET($BN$2,0,0,ROW()-1,60),ROW()-1,FALSE))</f>
        <v>15.151</v>
      </c>
      <c r="N254">
        <f ca="1">IF(AND(ISNUMBER($N$553),$B$294=1),$N$553,HLOOKUP(INDIRECT(ADDRESS(2,COLUMN())),OFFSET($BN$2,0,0,ROW()-1,60),ROW()-1,FALSE))</f>
        <v>23.170999999999999</v>
      </c>
      <c r="O254">
        <f ca="1">IF(AND(ISNUMBER($O$553),$B$294=1),$O$553,HLOOKUP(INDIRECT(ADDRESS(2,COLUMN())),OFFSET($BN$2,0,0,ROW()-1,60),ROW()-1,FALSE))</f>
        <v>-258.76799999999997</v>
      </c>
      <c r="P254">
        <f ca="1">IF(AND(ISNUMBER($P$553),$B$294=1),$P$553,HLOOKUP(INDIRECT(ADDRESS(2,COLUMN())),OFFSET($BN$2,0,0,ROW()-1,60),ROW()-1,FALSE))</f>
        <v>-12.347</v>
      </c>
      <c r="Q254">
        <f ca="1">IF(AND(ISNUMBER($Q$553),$B$294=1),$Q$553,HLOOKUP(INDIRECT(ADDRESS(2,COLUMN())),OFFSET($BN$2,0,0,ROW()-1,60),ROW()-1,FALSE))</f>
        <v>26.266999999999999</v>
      </c>
      <c r="R254">
        <f ca="1">IF(AND(ISNUMBER($R$553),$B$294=1),$R$553,HLOOKUP(INDIRECT(ADDRESS(2,COLUMN())),OFFSET($BN$2,0,0,ROW()-1,60),ROW()-1,FALSE))</f>
        <v>-37.552</v>
      </c>
      <c r="S254">
        <f ca="1">IF(AND(ISNUMBER($S$553),$B$294=1),$S$553,HLOOKUP(INDIRECT(ADDRESS(2,COLUMN())),OFFSET($BN$2,0,0,ROW()-1,60),ROW()-1,FALSE))</f>
        <v>-110.532</v>
      </c>
      <c r="T254">
        <f ca="1">IF(AND(ISNUMBER($T$553),$B$294=1),$T$553,HLOOKUP(INDIRECT(ADDRESS(2,COLUMN())),OFFSET($BN$2,0,0,ROW()-1,60),ROW()-1,FALSE))</f>
        <v>-154.93299999999999</v>
      </c>
      <c r="U254">
        <f ca="1">IF(AND(ISNUMBER($U$553),$B$294=1),$U$553,HLOOKUP(INDIRECT(ADDRESS(2,COLUMN())),OFFSET($BN$2,0,0,ROW()-1,60),ROW()-1,FALSE))</f>
        <v>-31.687000000000001</v>
      </c>
      <c r="V254">
        <f ca="1">IF(AND(ISNUMBER($V$553),$B$294=1),$V$553,HLOOKUP(INDIRECT(ADDRESS(2,COLUMN())),OFFSET($BN$2,0,0,ROW()-1,60),ROW()-1,FALSE))</f>
        <v>42.466000000000001</v>
      </c>
      <c r="W254">
        <f ca="1">IF(AND(ISNUMBER($W$553),$B$294=1),$W$553,HLOOKUP(INDIRECT(ADDRESS(2,COLUMN())),OFFSET($BN$2,0,0,ROW()-1,60),ROW()-1,FALSE))</f>
        <v>-82.028999999999996</v>
      </c>
      <c r="X254">
        <f ca="1">IF(AND(ISNUMBER($X$553),$B$294=1),$X$553,HLOOKUP(INDIRECT(ADDRESS(2,COLUMN())),OFFSET($BN$2,0,0,ROW()-1,60),ROW()-1,FALSE))</f>
        <v>-38.003999999999998</v>
      </c>
      <c r="Y254">
        <f ca="1">IF(AND(ISNUMBER($Y$553),$B$294=1),$Y$553,HLOOKUP(INDIRECT(ADDRESS(2,COLUMN())),OFFSET($BN$2,0,0,ROW()-1,60),ROW()-1,FALSE))</f>
        <v>-5.4589999999999996</v>
      </c>
      <c r="Z254">
        <f ca="1">IF(AND(ISNUMBER($Z$553),$B$294=1),$Z$553,HLOOKUP(INDIRECT(ADDRESS(2,COLUMN())),OFFSET($BN$2,0,0,ROW()-1,60),ROW()-1,FALSE))</f>
        <v>-239.58799999999999</v>
      </c>
      <c r="AA254">
        <f ca="1">IF(AND(ISNUMBER($AA$553),$B$294=1),$AA$553,HLOOKUP(INDIRECT(ADDRESS(2,COLUMN())),OFFSET($BN$2,0,0,ROW()-1,60),ROW()-1,FALSE))</f>
        <v>44.271000000000001</v>
      </c>
      <c r="AB254">
        <f ca="1">IF(AND(ISNUMBER($AB$553),$B$294=1),$AB$553,HLOOKUP(INDIRECT(ADDRESS(2,COLUMN())),OFFSET($BN$2,0,0,ROW()-1,60),ROW()-1,FALSE))</f>
        <v>34.825000000000003</v>
      </c>
      <c r="AC254">
        <f ca="1">IF(AND(ISNUMBER($AC$553),$B$294=1),$AC$553,HLOOKUP(INDIRECT(ADDRESS(2,COLUMN())),OFFSET($BN$2,0,0,ROW()-1,60),ROW()-1,FALSE))</f>
        <v>8.5079999999999991</v>
      </c>
      <c r="AD254">
        <f ca="1">IF(AND(ISNUMBER($AD$553),$B$294=1),$AD$553,HLOOKUP(INDIRECT(ADDRESS(2,COLUMN())),OFFSET($BN$2,0,0,ROW()-1,60),ROW()-1,FALSE))</f>
        <v>24.834</v>
      </c>
      <c r="AE254">
        <f ca="1">IF(AND(ISNUMBER($AE$553),$B$294=1),$AE$553,HLOOKUP(INDIRECT(ADDRESS(2,COLUMN())),OFFSET($BN$2,0,0,ROW()-1,60),ROW()-1,FALSE))</f>
        <v>53.866999999999997</v>
      </c>
      <c r="AF254">
        <f ca="1">IF(AND(ISNUMBER($AF$553),$B$294=1),$AF$553,HLOOKUP(INDIRECT(ADDRESS(2,COLUMN())),OFFSET($BN$2,0,0,ROW()-1,60),ROW()-1,FALSE))</f>
        <v>-38.003999999999998</v>
      </c>
      <c r="AG254">
        <f ca="1">IF(AND(ISNUMBER($AG$553),$B$294=1),$AG$553,HLOOKUP(INDIRECT(ADDRESS(2,COLUMN())),OFFSET($BN$2,0,0,ROW()-1,60),ROW()-1,FALSE))</f>
        <v>6.4610000000000003</v>
      </c>
      <c r="AH254">
        <f ca="1">IF(AND(ISNUMBER($AH$553),$B$294=1),$AH$553,HLOOKUP(INDIRECT(ADDRESS(2,COLUMN())),OFFSET($BN$2,0,0,ROW()-1,60),ROW()-1,FALSE))</f>
        <v>32.409999999999997</v>
      </c>
      <c r="AI254">
        <f ca="1">IF(AND(ISNUMBER($AI$553),$B$294=1),$AI$553,HLOOKUP(INDIRECT(ADDRESS(2,COLUMN())),OFFSET($BN$2,0,0,ROW()-1,60),ROW()-1,FALSE))</f>
        <v>-0.86899999999999999</v>
      </c>
      <c r="AJ254">
        <f ca="1">IF(AND(ISNUMBER($AJ$553),$B$294=1),$AJ$553,HLOOKUP(INDIRECT(ADDRESS(2,COLUMN())),OFFSET($BN$2,0,0,ROW()-1,60),ROW()-1,FALSE))</f>
        <v>45.48</v>
      </c>
      <c r="AK254">
        <f ca="1">IF(AND(ISNUMBER($AK$553),$B$294=1),$AK$553,HLOOKUP(INDIRECT(ADDRESS(2,COLUMN())),OFFSET($BN$2,0,0,ROW()-1,60),ROW()-1,FALSE))</f>
        <v>62.463000000000001</v>
      </c>
      <c r="AL254">
        <f ca="1">IF(AND(ISNUMBER($AL$553),$B$294=1),$AL$553,HLOOKUP(INDIRECT(ADDRESS(2,COLUMN())),OFFSET($BN$2,0,0,ROW()-1,60),ROW()-1,FALSE))</f>
        <v>54.529000000000003</v>
      </c>
      <c r="AM254">
        <f ca="1">IF(AND(ISNUMBER($AM$553),$B$294=1),$AM$553,HLOOKUP(INDIRECT(ADDRESS(2,COLUMN())),OFFSET($BN$2,0,0,ROW()-1,60),ROW()-1,FALSE))</f>
        <v>54.768999999999998</v>
      </c>
      <c r="AN254">
        <f ca="1">IF(AND(ISNUMBER($AN$553),$B$294=1),$AN$553,HLOOKUP(INDIRECT(ADDRESS(2,COLUMN())),OFFSET($BN$2,0,0,ROW()-1,60),ROW()-1,FALSE))</f>
        <v>65.974999999999994</v>
      </c>
      <c r="AO254">
        <f ca="1">IF(AND(ISNUMBER($AO$553),$B$294=1),$AO$553,HLOOKUP(INDIRECT(ADDRESS(2,COLUMN())),OFFSET($BN$2,0,0,ROW()-1,60),ROW()-1,FALSE))</f>
        <v>59.043999999999997</v>
      </c>
      <c r="AP254">
        <f ca="1">IF(AND(ISNUMBER($AP$553),$B$294=1),$AP$553,HLOOKUP(INDIRECT(ADDRESS(2,COLUMN())),OFFSET($BN$2,0,0,ROW()-1,60),ROW()-1,FALSE))</f>
        <v>64.301000000000002</v>
      </c>
      <c r="AQ254">
        <f ca="1">IF(AND(ISNUMBER($AQ$553),$B$294=1),$AQ$553,HLOOKUP(INDIRECT(ADDRESS(2,COLUMN())),OFFSET($BN$2,0,0,ROW()-1,60),ROW()-1,FALSE))</f>
        <v>49.555</v>
      </c>
      <c r="AR254">
        <f ca="1">IF(AND(ISNUMBER($AR$553),$B$294=1),$AR$553,HLOOKUP(INDIRECT(ADDRESS(2,COLUMN())),OFFSET($BN$2,0,0,ROW()-1,60),ROW()-1,FALSE))</f>
        <v>75.912000000000006</v>
      </c>
      <c r="AS254">
        <f ca="1">IF(AND(ISNUMBER($AS$553),$B$294=1),$AS$553,HLOOKUP(INDIRECT(ADDRESS(2,COLUMN())),OFFSET($BN$2,0,0,ROW()-1,60),ROW()-1,FALSE))</f>
        <v>-18.885999999999999</v>
      </c>
      <c r="AT254">
        <f ca="1">IF(AND(ISNUMBER($AT$553),$B$294=1),$AT$553,HLOOKUP(INDIRECT(ADDRESS(2,COLUMN())),OFFSET($BN$2,0,0,ROW()-1,60),ROW()-1,FALSE))</f>
        <v>69.239999999999995</v>
      </c>
      <c r="AU254">
        <f ca="1">IF(AND(ISNUMBER($AU$553),$B$294=1),$AU$553,HLOOKUP(INDIRECT(ADDRESS(2,COLUMN())),OFFSET($BN$2,0,0,ROW()-1,60),ROW()-1,FALSE))</f>
        <v>-1.4510000000000001</v>
      </c>
      <c r="AV254">
        <f ca="1">IF(AND(ISNUMBER($AV$553),$B$294=1),$AV$553,HLOOKUP(INDIRECT(ADDRESS(2,COLUMN())),OFFSET($BN$2,0,0,ROW()-1,60),ROW()-1,FALSE))</f>
        <v>64.126000000000005</v>
      </c>
      <c r="AW254">
        <f ca="1">IF(AND(ISNUMBER($AW$553),$B$294=1),$AW$553,HLOOKUP(INDIRECT(ADDRESS(2,COLUMN())),OFFSET($BN$2,0,0,ROW()-1,60),ROW()-1,FALSE))</f>
        <v>35.14</v>
      </c>
      <c r="AX254">
        <f ca="1">IF(AND(ISNUMBER($AX$553),$B$294=1),$AX$553,HLOOKUP(INDIRECT(ADDRESS(2,COLUMN())),OFFSET($BN$2,0,0,ROW()-1,60),ROW()-1,FALSE))</f>
        <v>62.686999999999998</v>
      </c>
      <c r="AY254">
        <f ca="1">IF(AND(ISNUMBER($AY$553),$B$294=1),$AY$553,HLOOKUP(INDIRECT(ADDRESS(2,COLUMN())),OFFSET($BN$2,0,0,ROW()-1,60),ROW()-1,FALSE))</f>
        <v>-20.030999999999999</v>
      </c>
      <c r="AZ254">
        <f ca="1">IF(AND(ISNUMBER($AZ$553),$B$294=1),$AZ$553,HLOOKUP(INDIRECT(ADDRESS(2,COLUMN())),OFFSET($BN$2,0,0,ROW()-1,60),ROW()-1,FALSE))</f>
        <v>0.27</v>
      </c>
      <c r="BA254">
        <f ca="1">IF(AND(ISNUMBER($BA$553),$B$294=1),$BA$553,HLOOKUP(INDIRECT(ADDRESS(2,COLUMN())),OFFSET($BN$2,0,0,ROW()-1,60),ROW()-1,FALSE))</f>
        <v>59.036999999999999</v>
      </c>
      <c r="BB254">
        <f ca="1">IF(AND(ISNUMBER($BB$553),$B$294=1),$BB$553,HLOOKUP(INDIRECT(ADDRESS(2,COLUMN())),OFFSET($BN$2,0,0,ROW()-1,60),ROW()-1,FALSE))</f>
        <v>-28.138000000000002</v>
      </c>
      <c r="BC254">
        <f ca="1">IF(AND(ISNUMBER($BC$553),$B$294=1),$BC$553,HLOOKUP(INDIRECT(ADDRESS(2,COLUMN())),OFFSET($BN$2,0,0,ROW()-1,60),ROW()-1,FALSE))</f>
        <v>47.277999999999999</v>
      </c>
      <c r="BD254">
        <f ca="1">IF(AND(ISNUMBER($BD$553),$B$294=1),$BD$553,HLOOKUP(INDIRECT(ADDRESS(2,COLUMN())),OFFSET($BN$2,0,0,ROW()-1,60),ROW()-1,FALSE))</f>
        <v>61.89</v>
      </c>
      <c r="BE254">
        <f ca="1">IF(AND(ISNUMBER($BE$553),$B$294=1),$BE$553,HLOOKUP(INDIRECT(ADDRESS(2,COLUMN())),OFFSET($BN$2,0,0,ROW()-1,60),ROW()-1,FALSE))</f>
        <v>52.225000000000001</v>
      </c>
      <c r="BF254">
        <f ca="1">IF(AND(ISNUMBER($BF$553),$B$294=1),$BF$553,HLOOKUP(INDIRECT(ADDRESS(2,COLUMN())),OFFSET($BN$2,0,0,ROW()-1,60),ROW()-1,FALSE))</f>
        <v>55.594000000000001</v>
      </c>
      <c r="BG254">
        <f ca="1">IF(AND(ISNUMBER($BG$553),$B$294=1),$BG$553,HLOOKUP(INDIRECT(ADDRESS(2,COLUMN())),OFFSET($BN$2,0,0,ROW()-1,60),ROW()-1,FALSE))</f>
        <v>-3.6419999999999999</v>
      </c>
      <c r="BH254">
        <f ca="1">IF(AND(ISNUMBER($BH$553),$B$294=1),$BH$553,HLOOKUP(INDIRECT(ADDRESS(2,COLUMN())),OFFSET($BN$2,0,0,ROW()-1,60),ROW()-1,FALSE))</f>
        <v>85.81</v>
      </c>
      <c r="BI254">
        <f ca="1">IF(AND(ISNUMBER($BI$553),$B$294=1),$BI$553,HLOOKUP(INDIRECT(ADDRESS(2,COLUMN())),OFFSET($BN$2,0,0,ROW()-1,60),ROW()-1,FALSE))</f>
        <v>72.007001880000004</v>
      </c>
      <c r="BJ254">
        <f ca="1">IF(AND(ISNUMBER($BJ$553),$B$294=1),$BJ$553,HLOOKUP(INDIRECT(ADDRESS(2,COLUMN())),OFFSET($BN$2,0,0,ROW()-1,60),ROW()-1,FALSE))</f>
        <v>-55.576999149999999</v>
      </c>
      <c r="BK254">
        <f ca="1">IF(AND(ISNUMBER($BK$553),$B$294=1),$BK$553,HLOOKUP(INDIRECT(ADDRESS(2,COLUMN())),OFFSET($BN$2,0,0,ROW()-1,60),ROW()-1,FALSE))</f>
        <v>-561.08801270000004</v>
      </c>
      <c r="BL254">
        <f ca="1">IF(AND(ISNUMBER($BL$553),$B$294=1),$BL$553,HLOOKUP(INDIRECT(ADDRESS(2,COLUMN())),OFFSET($BN$2,0,0,ROW()-1,60),ROW()-1,FALSE))</f>
        <v>-200.4470139</v>
      </c>
      <c r="BM254">
        <f ca="1">IF(AND(ISNUMBER($BM$553),$B$294=1),$BM$553,HLOOKUP(INDIRECT(ADDRESS(2,COLUMN())),OFFSET($BN$2,0,0,ROW()-1,60),ROW()-1,FALSE))</f>
        <v>-590.85702509999999</v>
      </c>
      <c r="BN254" t="str">
        <f>""</f>
        <v/>
      </c>
      <c r="BO254" t="str">
        <f>""</f>
        <v/>
      </c>
      <c r="BP254">
        <f>57.583</f>
        <v>57.582999999999998</v>
      </c>
      <c r="BQ254">
        <f>31.292</f>
        <v>31.292000000000002</v>
      </c>
      <c r="BR254">
        <f>21.986</f>
        <v>21.986000000000001</v>
      </c>
      <c r="BS254">
        <f>-240.832</f>
        <v>-240.83199999999999</v>
      </c>
      <c r="BT254">
        <f>-21.577</f>
        <v>-21.577000000000002</v>
      </c>
      <c r="BU254">
        <f>15.151</f>
        <v>15.151</v>
      </c>
      <c r="BV254">
        <f>23.171</f>
        <v>23.170999999999999</v>
      </c>
      <c r="BW254">
        <f>-258.768</f>
        <v>-258.76799999999997</v>
      </c>
      <c r="BX254">
        <f>-12.347</f>
        <v>-12.347</v>
      </c>
      <c r="BY254">
        <f>26.267</f>
        <v>26.266999999999999</v>
      </c>
      <c r="BZ254">
        <f>-37.552</f>
        <v>-37.552</v>
      </c>
      <c r="CA254">
        <f>-110.532</f>
        <v>-110.532</v>
      </c>
      <c r="CB254">
        <f>-154.933</f>
        <v>-154.93299999999999</v>
      </c>
      <c r="CC254">
        <f>-31.687</f>
        <v>-31.687000000000001</v>
      </c>
      <c r="CD254">
        <f>42.466</f>
        <v>42.466000000000001</v>
      </c>
      <c r="CE254">
        <f>-82.029</f>
        <v>-82.028999999999996</v>
      </c>
      <c r="CF254">
        <f>-38.004</f>
        <v>-38.003999999999998</v>
      </c>
      <c r="CG254">
        <f>-5.459</f>
        <v>-5.4589999999999996</v>
      </c>
      <c r="CH254">
        <f>-239.588</f>
        <v>-239.58799999999999</v>
      </c>
      <c r="CI254">
        <f>44.271</f>
        <v>44.271000000000001</v>
      </c>
      <c r="CJ254">
        <f>34.825</f>
        <v>34.825000000000003</v>
      </c>
      <c r="CK254">
        <f>8.508</f>
        <v>8.5079999999999991</v>
      </c>
      <c r="CL254">
        <f>24.834</f>
        <v>24.834</v>
      </c>
      <c r="CM254">
        <f>53.867</f>
        <v>53.866999999999997</v>
      </c>
      <c r="CN254">
        <f>-38.004</f>
        <v>-38.003999999999998</v>
      </c>
      <c r="CO254">
        <f>6.461</f>
        <v>6.4610000000000003</v>
      </c>
      <c r="CP254">
        <f>32.41</f>
        <v>32.409999999999997</v>
      </c>
      <c r="CQ254">
        <f>-0.869</f>
        <v>-0.86899999999999999</v>
      </c>
      <c r="CR254">
        <f>45.48</f>
        <v>45.48</v>
      </c>
      <c r="CS254">
        <f>62.463</f>
        <v>62.463000000000001</v>
      </c>
      <c r="CT254">
        <f>54.529</f>
        <v>54.529000000000003</v>
      </c>
      <c r="CU254">
        <f>54.769</f>
        <v>54.768999999999998</v>
      </c>
      <c r="CV254">
        <f>65.975</f>
        <v>65.974999999999994</v>
      </c>
      <c r="CW254">
        <f>59.044</f>
        <v>59.043999999999997</v>
      </c>
      <c r="CX254">
        <f>64.301</f>
        <v>64.301000000000002</v>
      </c>
      <c r="CY254">
        <f>49.555</f>
        <v>49.555</v>
      </c>
      <c r="CZ254">
        <f>75.912</f>
        <v>75.912000000000006</v>
      </c>
      <c r="DA254">
        <f>-18.886</f>
        <v>-18.885999999999999</v>
      </c>
      <c r="DB254">
        <f>69.24</f>
        <v>69.239999999999995</v>
      </c>
      <c r="DC254">
        <f>-1.451</f>
        <v>-1.4510000000000001</v>
      </c>
      <c r="DD254">
        <f>64.126</f>
        <v>64.126000000000005</v>
      </c>
      <c r="DE254">
        <f>35.14</f>
        <v>35.14</v>
      </c>
      <c r="DF254">
        <f>62.687</f>
        <v>62.686999999999998</v>
      </c>
      <c r="DG254">
        <f>-20.031</f>
        <v>-20.030999999999999</v>
      </c>
      <c r="DH254">
        <f>0.27</f>
        <v>0.27</v>
      </c>
      <c r="DI254">
        <f>59.037</f>
        <v>59.036999999999999</v>
      </c>
      <c r="DJ254">
        <f>-28.138</f>
        <v>-28.138000000000002</v>
      </c>
      <c r="DK254">
        <f>47.278</f>
        <v>47.277999999999999</v>
      </c>
      <c r="DL254">
        <f>61.89</f>
        <v>61.89</v>
      </c>
      <c r="DM254">
        <f>52.225</f>
        <v>52.225000000000001</v>
      </c>
      <c r="DN254">
        <f>55.594</f>
        <v>55.594000000000001</v>
      </c>
      <c r="DO254">
        <f>-3.642</f>
        <v>-3.6419999999999999</v>
      </c>
      <c r="DP254">
        <f>85.81</f>
        <v>85.81</v>
      </c>
      <c r="DQ254">
        <f>72.00700188</f>
        <v>72.007001880000004</v>
      </c>
      <c r="DR254">
        <f>-55.57699915</f>
        <v>-55.576999149999999</v>
      </c>
      <c r="DS254">
        <f>-561.0880127</f>
        <v>-561.08801270000004</v>
      </c>
      <c r="DT254">
        <f>-200.4470139</f>
        <v>-200.4470139</v>
      </c>
      <c r="DU254">
        <f>-590.8570251</f>
        <v>-590.85702509999999</v>
      </c>
    </row>
    <row r="255" spans="1:125">
      <c r="A255" t="str">
        <f>"    SL Green Realty Corp"</f>
        <v xml:space="preserve">    SL Green Realty Corp</v>
      </c>
      <c r="B255" t="str">
        <f>"SLG US Equity"</f>
        <v>SLG US Equity</v>
      </c>
      <c r="C255" t="str">
        <f t="shared" si="66"/>
        <v>RR008</v>
      </c>
      <c r="D255" t="str">
        <f t="shared" si="67"/>
        <v>CF_FREE_CASH_FLOW</v>
      </c>
      <c r="E255" t="str">
        <f t="shared" si="68"/>
        <v>动态</v>
      </c>
      <c r="F255" t="str">
        <f ca="1">IF(AND(ISNUMBER($F$554),$B$294=1),$F$554,HLOOKUP(INDIRECT(ADDRESS(2,COLUMN())),OFFSET($BN$2,0,0,ROW()-1,60),ROW()-1,FALSE))</f>
        <v/>
      </c>
      <c r="G255">
        <f ca="1">IF(AND(ISNUMBER($G$554),$B$294=1),$G$554,HLOOKUP(INDIRECT(ADDRESS(2,COLUMN())),OFFSET($BN$2,0,0,ROW()-1,60),ROW()-1,FALSE))</f>
        <v>59.091000000000001</v>
      </c>
      <c r="H255">
        <f ca="1">IF(AND(ISNUMBER($H$554),$B$294=1),$H$554,HLOOKUP(INDIRECT(ADDRESS(2,COLUMN())),OFFSET($BN$2,0,0,ROW()-1,60),ROW()-1,FALSE))</f>
        <v>-8.0920000000000005</v>
      </c>
      <c r="I255">
        <f ca="1">IF(AND(ISNUMBER($I$554),$B$294=1),$I$554,HLOOKUP(INDIRECT(ADDRESS(2,COLUMN())),OFFSET($BN$2,0,0,ROW()-1,60),ROW()-1,FALSE))</f>
        <v>133.37200000000001</v>
      </c>
      <c r="J255">
        <f ca="1">IF(AND(ISNUMBER($J$554),$B$294=1),$J$554,HLOOKUP(INDIRECT(ADDRESS(2,COLUMN())),OFFSET($BN$2,0,0,ROW()-1,60),ROW()-1,FALSE))</f>
        <v>15.069000000000001</v>
      </c>
      <c r="K255">
        <f ca="1">IF(AND(ISNUMBER($K$554),$B$294=1),$K$554,HLOOKUP(INDIRECT(ADDRESS(2,COLUMN())),OFFSET($BN$2,0,0,ROW()-1,60),ROW()-1,FALSE))</f>
        <v>-16.600999999999999</v>
      </c>
      <c r="L255">
        <f ca="1">IF(AND(ISNUMBER($L$554),$B$294=1),$L$554,HLOOKUP(INDIRECT(ADDRESS(2,COLUMN())),OFFSET($BN$2,0,0,ROW()-1,60),ROW()-1,FALSE))</f>
        <v>23.073</v>
      </c>
      <c r="M255">
        <f ca="1">IF(AND(ISNUMBER($M$554),$B$294=1),$M$554,HLOOKUP(INDIRECT(ADDRESS(2,COLUMN())),OFFSET($BN$2,0,0,ROW()-1,60),ROW()-1,FALSE))</f>
        <v>164.67</v>
      </c>
      <c r="N255">
        <f ca="1">IF(AND(ISNUMBER($N$554),$B$294=1),$N$554,HLOOKUP(INDIRECT(ADDRESS(2,COLUMN())),OFFSET($BN$2,0,0,ROW()-1,60),ROW()-1,FALSE))</f>
        <v>13.862</v>
      </c>
      <c r="O255">
        <f ca="1">IF(AND(ISNUMBER($O$554),$B$294=1),$O$554,HLOOKUP(INDIRECT(ADDRESS(2,COLUMN())),OFFSET($BN$2,0,0,ROW()-1,60),ROW()-1,FALSE))</f>
        <v>-61.820999999999998</v>
      </c>
      <c r="P255">
        <f ca="1">IF(AND(ISNUMBER($P$554),$B$294=1),$P$554,HLOOKUP(INDIRECT(ADDRESS(2,COLUMN())),OFFSET($BN$2,0,0,ROW()-1,60),ROW()-1,FALSE))</f>
        <v>-2539.8310000000001</v>
      </c>
      <c r="Q255">
        <f ca="1">IF(AND(ISNUMBER($Q$554),$B$294=1),$Q$554,HLOOKUP(INDIRECT(ADDRESS(2,COLUMN())),OFFSET($BN$2,0,0,ROW()-1,60),ROW()-1,FALSE))</f>
        <v>30.831</v>
      </c>
      <c r="R255">
        <f ca="1">IF(AND(ISNUMBER($R$554),$B$294=1),$R$554,HLOOKUP(INDIRECT(ADDRESS(2,COLUMN())),OFFSET($BN$2,0,0,ROW()-1,60),ROW()-1,FALSE))</f>
        <v>37.552</v>
      </c>
      <c r="S255">
        <f ca="1">IF(AND(ISNUMBER($S$554),$B$294=1),$S$554,HLOOKUP(INDIRECT(ADDRESS(2,COLUMN())),OFFSET($BN$2,0,0,ROW()-1,60),ROW()-1,FALSE))</f>
        <v>-301.858</v>
      </c>
      <c r="T255">
        <f ca="1">IF(AND(ISNUMBER($T$554),$B$294=1),$T$554,HLOOKUP(INDIRECT(ADDRESS(2,COLUMN())),OFFSET($BN$2,0,0,ROW()-1,60),ROW()-1,FALSE))</f>
        <v>-550.87699999999995</v>
      </c>
      <c r="U255">
        <f ca="1">IF(AND(ISNUMBER($U$554),$B$294=1),$U$554,HLOOKUP(INDIRECT(ADDRESS(2,COLUMN())),OFFSET($BN$2,0,0,ROW()-1,60),ROW()-1,FALSE))</f>
        <v>-106.236</v>
      </c>
      <c r="V255">
        <f ca="1">IF(AND(ISNUMBER($V$554),$B$294=1),$V$554,HLOOKUP(INDIRECT(ADDRESS(2,COLUMN())),OFFSET($BN$2,0,0,ROW()-1,60),ROW()-1,FALSE))</f>
        <v>39.935000000000002</v>
      </c>
      <c r="W255">
        <f ca="1">IF(AND(ISNUMBER($W$554),$B$294=1),$W$554,HLOOKUP(INDIRECT(ADDRESS(2,COLUMN())),OFFSET($BN$2,0,0,ROW()-1,60),ROW()-1,FALSE))</f>
        <v>-548.45899999999995</v>
      </c>
      <c r="X255">
        <f ca="1">IF(AND(ISNUMBER($X$554),$B$294=1),$X$554,HLOOKUP(INDIRECT(ADDRESS(2,COLUMN())),OFFSET($BN$2,0,0,ROW()-1,60),ROW()-1,FALSE))</f>
        <v>47.872999999999998</v>
      </c>
      <c r="Y255">
        <f ca="1">IF(AND(ISNUMBER($Y$554),$B$294=1),$Y$554,HLOOKUP(INDIRECT(ADDRESS(2,COLUMN())),OFFSET($BN$2,0,0,ROW()-1,60),ROW()-1,FALSE))</f>
        <v>66.183999999999997</v>
      </c>
      <c r="Z255">
        <f ca="1">IF(AND(ISNUMBER($Z$554),$B$294=1),$Z$554,HLOOKUP(INDIRECT(ADDRESS(2,COLUMN())),OFFSET($BN$2,0,0,ROW()-1,60),ROW()-1,FALSE))</f>
        <v>29.439</v>
      </c>
      <c r="AA255">
        <f ca="1">IF(AND(ISNUMBER($AA$554),$B$294=1),$AA$554,HLOOKUP(INDIRECT(ADDRESS(2,COLUMN())),OFFSET($BN$2,0,0,ROW()-1,60),ROW()-1,FALSE))</f>
        <v>-103.414</v>
      </c>
      <c r="AB255">
        <f ca="1">IF(AND(ISNUMBER($AB$554),$B$294=1),$AB$554,HLOOKUP(INDIRECT(ADDRESS(2,COLUMN())),OFFSET($BN$2,0,0,ROW()-1,60),ROW()-1,FALSE))</f>
        <v>-115.431</v>
      </c>
      <c r="AC255">
        <f ca="1">IF(AND(ISNUMBER($AC$554),$B$294=1),$AC$554,HLOOKUP(INDIRECT(ADDRESS(2,COLUMN())),OFFSET($BN$2,0,0,ROW()-1,60),ROW()-1,FALSE))</f>
        <v>-5.83</v>
      </c>
      <c r="AD255">
        <f ca="1">IF(AND(ISNUMBER($AD$554),$B$294=1),$AD$554,HLOOKUP(INDIRECT(ADDRESS(2,COLUMN())),OFFSET($BN$2,0,0,ROW()-1,60),ROW()-1,FALSE))</f>
        <v>-121.288</v>
      </c>
      <c r="AE255">
        <f ca="1">IF(AND(ISNUMBER($AE$554),$B$294=1),$AE$554,HLOOKUP(INDIRECT(ADDRESS(2,COLUMN())),OFFSET($BN$2,0,0,ROW()-1,60),ROW()-1,FALSE))</f>
        <v>-87.234999999999999</v>
      </c>
      <c r="AF255">
        <f ca="1">IF(AND(ISNUMBER($AF$554),$B$294=1),$AF$554,HLOOKUP(INDIRECT(ADDRESS(2,COLUMN())),OFFSET($BN$2,0,0,ROW()-1,60),ROW()-1,FALSE))</f>
        <v>6.8049999999999997</v>
      </c>
      <c r="AG255">
        <f ca="1">IF(AND(ISNUMBER($AG$554),$B$294=1),$AG$554,HLOOKUP(INDIRECT(ADDRESS(2,COLUMN())),OFFSET($BN$2,0,0,ROW()-1,60),ROW()-1,FALSE))</f>
        <v>-257.82900000000001</v>
      </c>
      <c r="AH255">
        <f ca="1">IF(AND(ISNUMBER($AH$554),$B$294=1),$AH$554,HLOOKUP(INDIRECT(ADDRESS(2,COLUMN())),OFFSET($BN$2,0,0,ROW()-1,60),ROW()-1,FALSE))</f>
        <v>45.262999999999998</v>
      </c>
      <c r="AI255">
        <f ca="1">IF(AND(ISNUMBER($AI$554),$B$294=1),$AI$554,HLOOKUP(INDIRECT(ADDRESS(2,COLUMN())),OFFSET($BN$2,0,0,ROW()-1,60),ROW()-1,FALSE))</f>
        <v>-72.611000000000004</v>
      </c>
      <c r="AJ255">
        <f ca="1">IF(AND(ISNUMBER($AJ$554),$B$294=1),$AJ$554,HLOOKUP(INDIRECT(ADDRESS(2,COLUMN())),OFFSET($BN$2,0,0,ROW()-1,60),ROW()-1,FALSE))</f>
        <v>-103.15</v>
      </c>
      <c r="AK255">
        <f ca="1">IF(AND(ISNUMBER($AK$554),$B$294=1),$AK$554,HLOOKUP(INDIRECT(ADDRESS(2,COLUMN())),OFFSET($BN$2,0,0,ROW()-1,60),ROW()-1,FALSE))</f>
        <v>65.234999999999999</v>
      </c>
      <c r="AL255">
        <f ca="1">IF(AND(ISNUMBER($AL$554),$B$294=1),$AL$554,HLOOKUP(INDIRECT(ADDRESS(2,COLUMN())),OFFSET($BN$2,0,0,ROW()-1,60),ROW()-1,FALSE))</f>
        <v>52.825000000000003</v>
      </c>
      <c r="AM255">
        <f ca="1">IF(AND(ISNUMBER($AM$554),$B$294=1),$AM$554,HLOOKUP(INDIRECT(ADDRESS(2,COLUMN())),OFFSET($BN$2,0,0,ROW()-1,60),ROW()-1,FALSE))</f>
        <v>24.524000000000001</v>
      </c>
      <c r="AN255">
        <f ca="1">IF(AND(ISNUMBER($AN$554),$B$294=1),$AN$554,HLOOKUP(INDIRECT(ADDRESS(2,COLUMN())),OFFSET($BN$2,0,0,ROW()-1,60),ROW()-1,FALSE))</f>
        <v>37.970999999999997</v>
      </c>
      <c r="AO255">
        <f ca="1">IF(AND(ISNUMBER($AO$554),$B$294=1),$AO$554,HLOOKUP(INDIRECT(ADDRESS(2,COLUMN())),OFFSET($BN$2,0,0,ROW()-1,60),ROW()-1,FALSE))</f>
        <v>67.807000000000002</v>
      </c>
      <c r="AP255">
        <f ca="1">IF(AND(ISNUMBER($AP$554),$B$294=1),$AP$554,HLOOKUP(INDIRECT(ADDRESS(2,COLUMN())),OFFSET($BN$2,0,0,ROW()-1,60),ROW()-1,FALSE))</f>
        <v>37.878999999999998</v>
      </c>
      <c r="AQ255">
        <f ca="1">IF(AND(ISNUMBER($AQ$554),$B$294=1),$AQ$554,HLOOKUP(INDIRECT(ADDRESS(2,COLUMN())),OFFSET($BN$2,0,0,ROW()-1,60),ROW()-1,FALSE))</f>
        <v>42.531999999999996</v>
      </c>
      <c r="AR255">
        <f ca="1">IF(AND(ISNUMBER($AR$554),$B$294=1),$AR$554,HLOOKUP(INDIRECT(ADDRESS(2,COLUMN())),OFFSET($BN$2,0,0,ROW()-1,60),ROW()-1,FALSE))</f>
        <v>48.747</v>
      </c>
      <c r="AS255">
        <f ca="1">IF(AND(ISNUMBER($AS$554),$B$294=1),$AS$554,HLOOKUP(INDIRECT(ADDRESS(2,COLUMN())),OFFSET($BN$2,0,0,ROW()-1,60),ROW()-1,FALSE))</f>
        <v>40.83</v>
      </c>
      <c r="AT255">
        <f ca="1">IF(AND(ISNUMBER($AT$554),$B$294=1),$AT$554,HLOOKUP(INDIRECT(ADDRESS(2,COLUMN())),OFFSET($BN$2,0,0,ROW()-1,60),ROW()-1,FALSE))</f>
        <v>-36.223999999999997</v>
      </c>
      <c r="AU255">
        <f ca="1">IF(AND(ISNUMBER($AU$554),$B$294=1),$AU$554,HLOOKUP(INDIRECT(ADDRESS(2,COLUMN())),OFFSET($BN$2,0,0,ROW()-1,60),ROW()-1,FALSE))</f>
        <v>-782.58</v>
      </c>
      <c r="AV255">
        <f ca="1">IF(AND(ISNUMBER($AV$554),$B$294=1),$AV$554,HLOOKUP(INDIRECT(ADDRESS(2,COLUMN())),OFFSET($BN$2,0,0,ROW()-1,60),ROW()-1,FALSE))</f>
        <v>68.915999999999997</v>
      </c>
      <c r="AW255">
        <f ca="1">IF(AND(ISNUMBER($AW$554),$B$294=1),$AW$554,HLOOKUP(INDIRECT(ADDRESS(2,COLUMN())),OFFSET($BN$2,0,0,ROW()-1,60),ROW()-1,FALSE))</f>
        <v>-245.529</v>
      </c>
      <c r="AX255">
        <f ca="1">IF(AND(ISNUMBER($AX$554),$B$294=1),$AX$554,HLOOKUP(INDIRECT(ADDRESS(2,COLUMN())),OFFSET($BN$2,0,0,ROW()-1,60),ROW()-1,FALSE))</f>
        <v>-3589.6959999999999</v>
      </c>
      <c r="AY255">
        <f ca="1">IF(AND(ISNUMBER($AY$554),$B$294=1),$AY$554,HLOOKUP(INDIRECT(ADDRESS(2,COLUMN())),OFFSET($BN$2,0,0,ROW()-1,60),ROW()-1,FALSE))</f>
        <v>-36.642000000000003</v>
      </c>
      <c r="AZ255">
        <f ca="1">IF(AND(ISNUMBER($AZ$554),$B$294=1),$AZ$554,HLOOKUP(INDIRECT(ADDRESS(2,COLUMN())),OFFSET($BN$2,0,0,ROW()-1,60),ROW()-1,FALSE))</f>
        <v>-185.477</v>
      </c>
      <c r="BA255">
        <f ca="1">IF(AND(ISNUMBER($BA$554),$B$294=1),$BA$554,HLOOKUP(INDIRECT(ADDRESS(2,COLUMN())),OFFSET($BN$2,0,0,ROW()-1,60),ROW()-1,FALSE))</f>
        <v>45.215000000000003</v>
      </c>
      <c r="BB255">
        <f ca="1">IF(AND(ISNUMBER($BB$554),$B$294=1),$BB$554,HLOOKUP(INDIRECT(ADDRESS(2,COLUMN())),OFFSET($BN$2,0,0,ROW()-1,60),ROW()-1,FALSE))</f>
        <v>-222.59399999999999</v>
      </c>
      <c r="BC255">
        <f ca="1">IF(AND(ISNUMBER($BC$554),$B$294=1),$BC$554,HLOOKUP(INDIRECT(ADDRESS(2,COLUMN())),OFFSET($BN$2,0,0,ROW()-1,60),ROW()-1,FALSE))</f>
        <v>-7.9340000000000002</v>
      </c>
      <c r="BD255">
        <f ca="1">IF(AND(ISNUMBER($BD$554),$B$294=1),$BD$554,HLOOKUP(INDIRECT(ADDRESS(2,COLUMN())),OFFSET($BN$2,0,0,ROW()-1,60),ROW()-1,FALSE))</f>
        <v>-92.921000000000006</v>
      </c>
      <c r="BE255">
        <f ca="1">IF(AND(ISNUMBER($BE$554),$B$294=1),$BE$554,HLOOKUP(INDIRECT(ADDRESS(2,COLUMN())),OFFSET($BN$2,0,0,ROW()-1,60),ROW()-1,FALSE))</f>
        <v>-144.255</v>
      </c>
      <c r="BF255">
        <f ca="1">IF(AND(ISNUMBER($BF$554),$B$294=1),$BF$554,HLOOKUP(INDIRECT(ADDRESS(2,COLUMN())),OFFSET($BN$2,0,0,ROW()-1,60),ROW()-1,FALSE))</f>
        <v>-85.266999999999996</v>
      </c>
      <c r="BG255">
        <f ca="1">IF(AND(ISNUMBER($BG$554),$B$294=1),$BG$554,HLOOKUP(INDIRECT(ADDRESS(2,COLUMN())),OFFSET($BN$2,0,0,ROW()-1,60),ROW()-1,FALSE))</f>
        <v>-42.156999999999996</v>
      </c>
      <c r="BH255">
        <f ca="1">IF(AND(ISNUMBER($BH$554),$B$294=1),$BH$554,HLOOKUP(INDIRECT(ADDRESS(2,COLUMN())),OFFSET($BN$2,0,0,ROW()-1,60),ROW()-1,FALSE))</f>
        <v>-243.86099999999999</v>
      </c>
      <c r="BI255">
        <f ca="1">IF(AND(ISNUMBER($BI$554),$B$294=1),$BI$554,HLOOKUP(INDIRECT(ADDRESS(2,COLUMN())),OFFSET($BN$2,0,0,ROW()-1,60),ROW()-1,FALSE))</f>
        <v>2.7690000000000001</v>
      </c>
      <c r="BJ255">
        <f ca="1">IF(AND(ISNUMBER($BJ$554),$B$294=1),$BJ$554,HLOOKUP(INDIRECT(ADDRESS(2,COLUMN())),OFFSET($BN$2,0,0,ROW()-1,60),ROW()-1,FALSE))</f>
        <v>28.254999999999999</v>
      </c>
      <c r="BK255">
        <f ca="1">IF(AND(ISNUMBER($BK$554),$B$294=1),$BK$554,HLOOKUP(INDIRECT(ADDRESS(2,COLUMN())),OFFSET($BN$2,0,0,ROW()-1,60),ROW()-1,FALSE))</f>
        <v>-51.715999600000004</v>
      </c>
      <c r="BL255">
        <f ca="1">IF(AND(ISNUMBER($BL$554),$B$294=1),$BL$554,HLOOKUP(INDIRECT(ADDRESS(2,COLUMN())),OFFSET($BN$2,0,0,ROW()-1,60),ROW()-1,FALSE))</f>
        <v>13.471</v>
      </c>
      <c r="BM255">
        <f ca="1">IF(AND(ISNUMBER($BM$554),$B$294=1),$BM$554,HLOOKUP(INDIRECT(ADDRESS(2,COLUMN())),OFFSET($BN$2,0,0,ROW()-1,60),ROW()-1,FALSE))</f>
        <v>21.861000000000001</v>
      </c>
      <c r="BN255" t="str">
        <f>""</f>
        <v/>
      </c>
      <c r="BO255">
        <f>59.091</f>
        <v>59.091000000000001</v>
      </c>
      <c r="BP255">
        <f>-8.092</f>
        <v>-8.0920000000000005</v>
      </c>
      <c r="BQ255">
        <f>133.372</f>
        <v>133.37200000000001</v>
      </c>
      <c r="BR255">
        <f>15.069</f>
        <v>15.069000000000001</v>
      </c>
      <c r="BS255">
        <f>-16.601</f>
        <v>-16.600999999999999</v>
      </c>
      <c r="BT255">
        <f>23.073</f>
        <v>23.073</v>
      </c>
      <c r="BU255">
        <f>164.67</f>
        <v>164.67</v>
      </c>
      <c r="BV255">
        <f>13.862</f>
        <v>13.862</v>
      </c>
      <c r="BW255">
        <f>-61.821</f>
        <v>-61.820999999999998</v>
      </c>
      <c r="BX255">
        <f>-2539.831</f>
        <v>-2539.8310000000001</v>
      </c>
      <c r="BY255">
        <f>30.831</f>
        <v>30.831</v>
      </c>
      <c r="BZ255">
        <f>37.552</f>
        <v>37.552</v>
      </c>
      <c r="CA255">
        <f>-301.858</f>
        <v>-301.858</v>
      </c>
      <c r="CB255">
        <f>-550.877</f>
        <v>-550.87699999999995</v>
      </c>
      <c r="CC255">
        <f>-106.236</f>
        <v>-106.236</v>
      </c>
      <c r="CD255">
        <f>39.935</f>
        <v>39.935000000000002</v>
      </c>
      <c r="CE255">
        <f>-548.459</f>
        <v>-548.45899999999995</v>
      </c>
      <c r="CF255">
        <f>47.873</f>
        <v>47.872999999999998</v>
      </c>
      <c r="CG255">
        <f>66.184</f>
        <v>66.183999999999997</v>
      </c>
      <c r="CH255">
        <f>29.439</f>
        <v>29.439</v>
      </c>
      <c r="CI255">
        <f>-103.414</f>
        <v>-103.414</v>
      </c>
      <c r="CJ255">
        <f>-115.431</f>
        <v>-115.431</v>
      </c>
      <c r="CK255">
        <f>-5.83</f>
        <v>-5.83</v>
      </c>
      <c r="CL255">
        <f>-121.288</f>
        <v>-121.288</v>
      </c>
      <c r="CM255">
        <f>-87.235</f>
        <v>-87.234999999999999</v>
      </c>
      <c r="CN255">
        <f>6.805</f>
        <v>6.8049999999999997</v>
      </c>
      <c r="CO255">
        <f>-257.829</f>
        <v>-257.82900000000001</v>
      </c>
      <c r="CP255">
        <f>45.263</f>
        <v>45.262999999999998</v>
      </c>
      <c r="CQ255">
        <f>-72.611</f>
        <v>-72.611000000000004</v>
      </c>
      <c r="CR255">
        <f>-103.15</f>
        <v>-103.15</v>
      </c>
      <c r="CS255">
        <f>65.235</f>
        <v>65.234999999999999</v>
      </c>
      <c r="CT255">
        <f>52.825</f>
        <v>52.825000000000003</v>
      </c>
      <c r="CU255">
        <f>24.524</f>
        <v>24.524000000000001</v>
      </c>
      <c r="CV255">
        <f>37.971</f>
        <v>37.970999999999997</v>
      </c>
      <c r="CW255">
        <f>67.807</f>
        <v>67.807000000000002</v>
      </c>
      <c r="CX255">
        <f>37.879</f>
        <v>37.878999999999998</v>
      </c>
      <c r="CY255">
        <f>42.532</f>
        <v>42.531999999999996</v>
      </c>
      <c r="CZ255">
        <f>48.747</f>
        <v>48.747</v>
      </c>
      <c r="DA255">
        <f>40.83</f>
        <v>40.83</v>
      </c>
      <c r="DB255">
        <f>-36.224</f>
        <v>-36.223999999999997</v>
      </c>
      <c r="DC255">
        <f>-782.58</f>
        <v>-782.58</v>
      </c>
      <c r="DD255">
        <f>68.916</f>
        <v>68.915999999999997</v>
      </c>
      <c r="DE255">
        <f>-245.529</f>
        <v>-245.529</v>
      </c>
      <c r="DF255">
        <f>-3589.696</f>
        <v>-3589.6959999999999</v>
      </c>
      <c r="DG255">
        <f>-36.642</f>
        <v>-36.642000000000003</v>
      </c>
      <c r="DH255">
        <f>-185.477</f>
        <v>-185.477</v>
      </c>
      <c r="DI255">
        <f>45.215</f>
        <v>45.215000000000003</v>
      </c>
      <c r="DJ255">
        <f>-222.594</f>
        <v>-222.59399999999999</v>
      </c>
      <c r="DK255">
        <f>-7.934</f>
        <v>-7.9340000000000002</v>
      </c>
      <c r="DL255">
        <f>-92.921</f>
        <v>-92.921000000000006</v>
      </c>
      <c r="DM255">
        <f>-144.255</f>
        <v>-144.255</v>
      </c>
      <c r="DN255">
        <f>-85.267</f>
        <v>-85.266999999999996</v>
      </c>
      <c r="DO255">
        <f>-42.157</f>
        <v>-42.156999999999996</v>
      </c>
      <c r="DP255">
        <f>-243.861</f>
        <v>-243.86099999999999</v>
      </c>
      <c r="DQ255">
        <f>2.769</f>
        <v>2.7690000000000001</v>
      </c>
      <c r="DR255">
        <f>28.255</f>
        <v>28.254999999999999</v>
      </c>
      <c r="DS255">
        <f>-51.7159996</f>
        <v>-51.715999600000004</v>
      </c>
      <c r="DT255">
        <f>13.471</f>
        <v>13.471</v>
      </c>
      <c r="DU255">
        <f>21.861</f>
        <v>21.861000000000001</v>
      </c>
    </row>
    <row r="256" spans="1:125">
      <c r="A256" t="str">
        <f>"    Vornado Realty Trust"</f>
        <v xml:space="preserve">    Vornado Realty Trust</v>
      </c>
      <c r="B256" t="str">
        <f>"VNO US Equity"</f>
        <v>VNO US Equity</v>
      </c>
      <c r="C256" t="str">
        <f t="shared" si="66"/>
        <v>RR008</v>
      </c>
      <c r="D256" t="str">
        <f t="shared" si="67"/>
        <v>CF_FREE_CASH_FLOW</v>
      </c>
      <c r="E256" t="str">
        <f t="shared" si="68"/>
        <v>动态</v>
      </c>
      <c r="F256" t="str">
        <f ca="1">IF(AND(ISNUMBER($F$555),$B$294=1),$F$555,HLOOKUP(INDIRECT(ADDRESS(2,COLUMN())),OFFSET($BN$2,0,0,ROW()-1,60),ROW()-1,FALSE))</f>
        <v/>
      </c>
      <c r="G256">
        <f ca="1">IF(AND(ISNUMBER($G$555),$B$294=1),$G$555,HLOOKUP(INDIRECT(ADDRESS(2,COLUMN())),OFFSET($BN$2,0,0,ROW()-1,60),ROW()-1,FALSE))</f>
        <v>35.066000000000003</v>
      </c>
      <c r="H256">
        <f ca="1">IF(AND(ISNUMBER($H$555),$B$294=1),$H$555,HLOOKUP(INDIRECT(ADDRESS(2,COLUMN())),OFFSET($BN$2,0,0,ROW()-1,60),ROW()-1,FALSE))</f>
        <v>193.61699999999999</v>
      </c>
      <c r="I256">
        <f ca="1">IF(AND(ISNUMBER($I$555),$B$294=1),$I$555,HLOOKUP(INDIRECT(ADDRESS(2,COLUMN())),OFFSET($BN$2,0,0,ROW()-1,60),ROW()-1,FALSE))</f>
        <v>-160.83199999999999</v>
      </c>
      <c r="J256">
        <f ca="1">IF(AND(ISNUMBER($J$555),$B$294=1),$J$555,HLOOKUP(INDIRECT(ADDRESS(2,COLUMN())),OFFSET($BN$2,0,0,ROW()-1,60),ROW()-1,FALSE))</f>
        <v>134.524</v>
      </c>
      <c r="K256">
        <f ca="1">IF(AND(ISNUMBER($K$555),$B$294=1),$K$555,HLOOKUP(INDIRECT(ADDRESS(2,COLUMN())),OFFSET($BN$2,0,0,ROW()-1,60),ROW()-1,FALSE))</f>
        <v>106.259</v>
      </c>
      <c r="L256">
        <f ca="1">IF(AND(ISNUMBER($L$555),$B$294=1),$L$555,HLOOKUP(INDIRECT(ADDRESS(2,COLUMN())),OFFSET($BN$2,0,0,ROW()-1,60),ROW()-1,FALSE))</f>
        <v>9.827</v>
      </c>
      <c r="M256">
        <f ca="1">IF(AND(ISNUMBER($M$555),$B$294=1),$M$555,HLOOKUP(INDIRECT(ADDRESS(2,COLUMN())),OFFSET($BN$2,0,0,ROW()-1,60),ROW()-1,FALSE))</f>
        <v>-285.84199999999998</v>
      </c>
      <c r="N256">
        <f ca="1">IF(AND(ISNUMBER($N$555),$B$294=1),$N$555,HLOOKUP(INDIRECT(ADDRESS(2,COLUMN())),OFFSET($BN$2,0,0,ROW()-1,60),ROW()-1,FALSE))</f>
        <v>66.067999999999998</v>
      </c>
      <c r="O256">
        <f ca="1">IF(AND(ISNUMBER($O$555),$B$294=1),$O$555,HLOOKUP(INDIRECT(ADDRESS(2,COLUMN())),OFFSET($BN$2,0,0,ROW()-1,60),ROW()-1,FALSE))</f>
        <v>-105.82599999999999</v>
      </c>
      <c r="P256">
        <f ca="1">IF(AND(ISNUMBER($P$555),$B$294=1),$P$555,HLOOKUP(INDIRECT(ADDRESS(2,COLUMN())),OFFSET($BN$2,0,0,ROW()-1,60),ROW()-1,FALSE))</f>
        <v>42.411999999999999</v>
      </c>
      <c r="Q256">
        <f ca="1">IF(AND(ISNUMBER($Q$555),$B$294=1),$Q$555,HLOOKUP(INDIRECT(ADDRESS(2,COLUMN())),OFFSET($BN$2,0,0,ROW()-1,60),ROW()-1,FALSE))</f>
        <v>-537.00300000000004</v>
      </c>
      <c r="R256">
        <f ca="1">IF(AND(ISNUMBER($R$555),$B$294=1),$R$555,HLOOKUP(INDIRECT(ADDRESS(2,COLUMN())),OFFSET($BN$2,0,0,ROW()-1,60),ROW()-1,FALSE))</f>
        <v>2.12</v>
      </c>
      <c r="S256">
        <f ca="1">IF(AND(ISNUMBER($S$555),$B$294=1),$S$555,HLOOKUP(INDIRECT(ADDRESS(2,COLUMN())),OFFSET($BN$2,0,0,ROW()-1,60),ROW()-1,FALSE))</f>
        <v>-187.77500000000001</v>
      </c>
      <c r="T256">
        <f ca="1">IF(AND(ISNUMBER($T$555),$B$294=1),$T$555,HLOOKUP(INDIRECT(ADDRESS(2,COLUMN())),OFFSET($BN$2,0,0,ROW()-1,60),ROW()-1,FALSE))</f>
        <v>160.42599999999999</v>
      </c>
      <c r="U256">
        <f ca="1">IF(AND(ISNUMBER($U$555),$B$294=1),$U$555,HLOOKUP(INDIRECT(ADDRESS(2,COLUMN())),OFFSET($BN$2,0,0,ROW()-1,60),ROW()-1,FALSE))</f>
        <v>-37.463000000000001</v>
      </c>
      <c r="V256">
        <f ca="1">IF(AND(ISNUMBER($V$555),$B$294=1),$V$555,HLOOKUP(INDIRECT(ADDRESS(2,COLUMN())),OFFSET($BN$2,0,0,ROW()-1,60),ROW()-1,FALSE))</f>
        <v>165.375</v>
      </c>
      <c r="W256">
        <f ca="1">IF(AND(ISNUMBER($W$555),$B$294=1),$W$555,HLOOKUP(INDIRECT(ADDRESS(2,COLUMN())),OFFSET($BN$2,0,0,ROW()-1,60),ROW()-1,FALSE))</f>
        <v>-352.54599999999999</v>
      </c>
      <c r="X256">
        <f ca="1">IF(AND(ISNUMBER($X$555),$B$294=1),$X$555,HLOOKUP(INDIRECT(ADDRESS(2,COLUMN())),OFFSET($BN$2,0,0,ROW()-1,60),ROW()-1,FALSE))</f>
        <v>227.828</v>
      </c>
      <c r="Y256">
        <f ca="1">IF(AND(ISNUMBER($Y$555),$B$294=1),$Y$555,HLOOKUP(INDIRECT(ADDRESS(2,COLUMN())),OFFSET($BN$2,0,0,ROW()-1,60),ROW()-1,FALSE))</f>
        <v>-79.802999999999997</v>
      </c>
      <c r="Z256">
        <f ca="1">IF(AND(ISNUMBER($Z$555),$B$294=1),$Z$555,HLOOKUP(INDIRECT(ADDRESS(2,COLUMN())),OFFSET($BN$2,0,0,ROW()-1,60),ROW()-1,FALSE))</f>
        <v>322.13299999999998</v>
      </c>
      <c r="AA256">
        <f ca="1">IF(AND(ISNUMBER($AA$555),$B$294=1),$AA$555,HLOOKUP(INDIRECT(ADDRESS(2,COLUMN())),OFFSET($BN$2,0,0,ROW()-1,60),ROW()-1,FALSE))</f>
        <v>-477.24400000000003</v>
      </c>
      <c r="AB256">
        <f ca="1">IF(AND(ISNUMBER($AB$555),$B$294=1),$AB$555,HLOOKUP(INDIRECT(ADDRESS(2,COLUMN())),OFFSET($BN$2,0,0,ROW()-1,60),ROW()-1,FALSE))</f>
        <v>143.65700000000001</v>
      </c>
      <c r="AC256">
        <f ca="1">IF(AND(ISNUMBER($AC$555),$B$294=1),$AC$555,HLOOKUP(INDIRECT(ADDRESS(2,COLUMN())),OFFSET($BN$2,0,0,ROW()-1,60),ROW()-1,FALSE))</f>
        <v>-98.956000000000003</v>
      </c>
      <c r="AD256">
        <f ca="1">IF(AND(ISNUMBER($AD$555),$B$294=1),$AD$555,HLOOKUP(INDIRECT(ADDRESS(2,COLUMN())),OFFSET($BN$2,0,0,ROW()-1,60),ROW()-1,FALSE))</f>
        <v>221.38300000000001</v>
      </c>
      <c r="AE256">
        <f ca="1">IF(AND(ISNUMBER($AE$555),$B$294=1),$AE$555,HLOOKUP(INDIRECT(ADDRESS(2,COLUMN())),OFFSET($BN$2,0,0,ROW()-1,60),ROW()-1,FALSE))</f>
        <v>-63.47</v>
      </c>
      <c r="AF256">
        <f ca="1">IF(AND(ISNUMBER($AF$555),$B$294=1),$AF$555,HLOOKUP(INDIRECT(ADDRESS(2,COLUMN())),OFFSET($BN$2,0,0,ROW()-1,60),ROW()-1,FALSE))</f>
        <v>284.70299999999997</v>
      </c>
      <c r="AG256">
        <f ca="1">IF(AND(ISNUMBER($AG$555),$B$294=1),$AG$555,HLOOKUP(INDIRECT(ADDRESS(2,COLUMN())),OFFSET($BN$2,0,0,ROW()-1,60),ROW()-1,FALSE))</f>
        <v>-69.766000000000005</v>
      </c>
      <c r="AH256">
        <f ca="1">IF(AND(ISNUMBER($AH$555),$B$294=1),$AH$555,HLOOKUP(INDIRECT(ADDRESS(2,COLUMN())),OFFSET($BN$2,0,0,ROW()-1,60),ROW()-1,FALSE))</f>
        <v>154.827</v>
      </c>
      <c r="AI256">
        <f ca="1">IF(AND(ISNUMBER($AI$555),$B$294=1),$AI$555,HLOOKUP(INDIRECT(ADDRESS(2,COLUMN())),OFFSET($BN$2,0,0,ROW()-1,60),ROW()-1,FALSE))</f>
        <v>-77.433999999999997</v>
      </c>
      <c r="AJ256">
        <f ca="1">IF(AND(ISNUMBER($AJ$555),$B$294=1),$AJ$555,HLOOKUP(INDIRECT(ADDRESS(2,COLUMN())),OFFSET($BN$2,0,0,ROW()-1,60),ROW()-1,FALSE))</f>
        <v>-21.402999999999999</v>
      </c>
      <c r="AK256">
        <f ca="1">IF(AND(ISNUMBER($AK$555),$B$294=1),$AK$555,HLOOKUP(INDIRECT(ADDRESS(2,COLUMN())),OFFSET($BN$2,0,0,ROW()-1,60),ROW()-1,FALSE))</f>
        <v>174.738</v>
      </c>
      <c r="AL256">
        <f ca="1">IF(AND(ISNUMBER($AL$555),$B$294=1),$AL$555,HLOOKUP(INDIRECT(ADDRESS(2,COLUMN())),OFFSET($BN$2,0,0,ROW()-1,60),ROW()-1,FALSE))</f>
        <v>220.203</v>
      </c>
      <c r="AM256">
        <f ca="1">IF(AND(ISNUMBER($AM$555),$B$294=1),$AM$555,HLOOKUP(INDIRECT(ADDRESS(2,COLUMN())),OFFSET($BN$2,0,0,ROW()-1,60),ROW()-1,FALSE))</f>
        <v>-11.577999999999999</v>
      </c>
      <c r="AN256">
        <f ca="1">IF(AND(ISNUMBER($AN$555),$B$294=1),$AN$555,HLOOKUP(INDIRECT(ADDRESS(2,COLUMN())),OFFSET($BN$2,0,0,ROW()-1,60),ROW()-1,FALSE))</f>
        <v>-93.09</v>
      </c>
      <c r="AO256">
        <f ca="1">IF(AND(ISNUMBER($AO$555),$B$294=1),$AO$555,HLOOKUP(INDIRECT(ADDRESS(2,COLUMN())),OFFSET($BN$2,0,0,ROW()-1,60),ROW()-1,FALSE))</f>
        <v>26.722000000000001</v>
      </c>
      <c r="AP256">
        <f ca="1">IF(AND(ISNUMBER($AP$555),$B$294=1),$AP$555,HLOOKUP(INDIRECT(ADDRESS(2,COLUMN())),OFFSET($BN$2,0,0,ROW()-1,60),ROW()-1,FALSE))</f>
        <v>0.84299999999999997</v>
      </c>
      <c r="AQ256">
        <f ca="1">IF(AND(ISNUMBER($AQ$555),$B$294=1),$AQ$555,HLOOKUP(INDIRECT(ADDRESS(2,COLUMN())),OFFSET($BN$2,0,0,ROW()-1,60),ROW()-1,FALSE))</f>
        <v>-55.078000000000003</v>
      </c>
      <c r="AR256">
        <f ca="1">IF(AND(ISNUMBER($AR$555),$B$294=1),$AR$555,HLOOKUP(INDIRECT(ADDRESS(2,COLUMN())),OFFSET($BN$2,0,0,ROW()-1,60),ROW()-1,FALSE))</f>
        <v>-37.947000000000003</v>
      </c>
      <c r="AS256">
        <f ca="1">IF(AND(ISNUMBER($AS$555),$B$294=1),$AS$555,HLOOKUP(INDIRECT(ADDRESS(2,COLUMN())),OFFSET($BN$2,0,0,ROW()-1,60),ROW()-1,FALSE))</f>
        <v>-49.701000000000001</v>
      </c>
      <c r="AT256">
        <f ca="1">IF(AND(ISNUMBER($AT$555),$B$294=1),$AT$555,HLOOKUP(INDIRECT(ADDRESS(2,COLUMN())),OFFSET($BN$2,0,0,ROW()-1,60),ROW()-1,FALSE))</f>
        <v>59.174999999999997</v>
      </c>
      <c r="AU256">
        <f ca="1">IF(AND(ISNUMBER($AU$555),$B$294=1),$AU$555,HLOOKUP(INDIRECT(ADDRESS(2,COLUMN())),OFFSET($BN$2,0,0,ROW()-1,60),ROW()-1,FALSE))</f>
        <v>-9.6280000000000001</v>
      </c>
      <c r="AV256">
        <f ca="1">IF(AND(ISNUMBER($AV$555),$B$294=1),$AV$555,HLOOKUP(INDIRECT(ADDRESS(2,COLUMN())),OFFSET($BN$2,0,0,ROW()-1,60),ROW()-1,FALSE))</f>
        <v>-126.492</v>
      </c>
      <c r="AW256">
        <f ca="1">IF(AND(ISNUMBER($AW$555),$B$294=1),$AW$555,HLOOKUP(INDIRECT(ADDRESS(2,COLUMN())),OFFSET($BN$2,0,0,ROW()-1,60),ROW()-1,FALSE))</f>
        <v>-1632.768</v>
      </c>
      <c r="AX256">
        <f ca="1">IF(AND(ISNUMBER($AX$555),$B$294=1),$AX$555,HLOOKUP(INDIRECT(ADDRESS(2,COLUMN())),OFFSET($BN$2,0,0,ROW()-1,60),ROW()-1,FALSE))</f>
        <v>-1010.3920000000001</v>
      </c>
      <c r="AY256">
        <f ca="1">IF(AND(ISNUMBER($AY$555),$B$294=1),$AY$555,HLOOKUP(INDIRECT(ADDRESS(2,COLUMN())),OFFSET($BN$2,0,0,ROW()-1,60),ROW()-1,FALSE))</f>
        <v>-751.18</v>
      </c>
      <c r="AZ256">
        <f ca="1">IF(AND(ISNUMBER($AZ$555),$B$294=1),$AZ$555,HLOOKUP(INDIRECT(ADDRESS(2,COLUMN())),OFFSET($BN$2,0,0,ROW()-1,60),ROW()-1,FALSE))</f>
        <v>-166.39500000000001</v>
      </c>
      <c r="BA256">
        <f ca="1">IF(AND(ISNUMBER($BA$555),$B$294=1),$BA$555,HLOOKUP(INDIRECT(ADDRESS(2,COLUMN())),OFFSET($BN$2,0,0,ROW()-1,60),ROW()-1,FALSE))</f>
        <v>-31.321999999999999</v>
      </c>
      <c r="BB256">
        <f ca="1">IF(AND(ISNUMBER($BB$555),$B$294=1),$BB$555,HLOOKUP(INDIRECT(ADDRESS(2,COLUMN())),OFFSET($BN$2,0,0,ROW()-1,60),ROW()-1,FALSE))</f>
        <v>-57.468000000000004</v>
      </c>
      <c r="BC256">
        <f ca="1">IF(AND(ISNUMBER($BC$555),$B$294=1),$BC$555,HLOOKUP(INDIRECT(ADDRESS(2,COLUMN())),OFFSET($BN$2,0,0,ROW()-1,60),ROW()-1,FALSE))</f>
        <v>130.691</v>
      </c>
      <c r="BD256">
        <f ca="1">IF(AND(ISNUMBER($BD$555),$B$294=1),$BD$555,HLOOKUP(INDIRECT(ADDRESS(2,COLUMN())),OFFSET($BN$2,0,0,ROW()-1,60),ROW()-1,FALSE))</f>
        <v>-323.84100000000001</v>
      </c>
      <c r="BE256">
        <f ca="1">IF(AND(ISNUMBER($BE$555),$B$294=1),$BE$555,HLOOKUP(INDIRECT(ADDRESS(2,COLUMN())),OFFSET($BN$2,0,0,ROW()-1,60),ROW()-1,FALSE))</f>
        <v>-93.724000000000004</v>
      </c>
      <c r="BF256">
        <f ca="1">IF(AND(ISNUMBER($BF$555),$B$294=1),$BF$555,HLOOKUP(INDIRECT(ADDRESS(2,COLUMN())),OFFSET($BN$2,0,0,ROW()-1,60),ROW()-1,FALSE))</f>
        <v>91.74</v>
      </c>
      <c r="BG256">
        <f ca="1">IF(AND(ISNUMBER($BG$555),$B$294=1),$BG$555,HLOOKUP(INDIRECT(ADDRESS(2,COLUMN())),OFFSET($BN$2,0,0,ROW()-1,60),ROW()-1,FALSE))</f>
        <v>156.458</v>
      </c>
      <c r="BH256">
        <f ca="1">IF(AND(ISNUMBER($BH$555),$B$294=1),$BH$555,HLOOKUP(INDIRECT(ADDRESS(2,COLUMN())),OFFSET($BN$2,0,0,ROW()-1,60),ROW()-1,FALSE))</f>
        <v>8.0869999999999997</v>
      </c>
      <c r="BI256">
        <f ca="1">IF(AND(ISNUMBER($BI$555),$B$294=1),$BI$555,HLOOKUP(INDIRECT(ADDRESS(2,COLUMN())),OFFSET($BN$2,0,0,ROW()-1,60),ROW()-1,FALSE))</f>
        <v>69.610007999999993</v>
      </c>
      <c r="BJ256">
        <f ca="1">IF(AND(ISNUMBER($BJ$555),$B$294=1),$BJ$555,HLOOKUP(INDIRECT(ADDRESS(2,COLUMN())),OFFSET($BN$2,0,0,ROW()-1,60),ROW()-1,FALSE))</f>
        <v>45.086998000000001</v>
      </c>
      <c r="BK256">
        <f ca="1">IF(AND(ISNUMBER($BK$555),$B$294=1),$BK$555,HLOOKUP(INDIRECT(ADDRESS(2,COLUMN())),OFFSET($BN$2,0,0,ROW()-1,60),ROW()-1,FALSE))</f>
        <v>-145.251</v>
      </c>
      <c r="BL256">
        <f ca="1">IF(AND(ISNUMBER($BL$555),$B$294=1),$BL$555,HLOOKUP(INDIRECT(ADDRESS(2,COLUMN())),OFFSET($BN$2,0,0,ROW()-1,60),ROW()-1,FALSE))</f>
        <v>53.550997000000002</v>
      </c>
      <c r="BM256">
        <f ca="1">IF(AND(ISNUMBER($BM$555),$B$294=1),$BM$555,HLOOKUP(INDIRECT(ADDRESS(2,COLUMN())),OFFSET($BN$2,0,0,ROW()-1,60),ROW()-1,FALSE))</f>
        <v>70.625</v>
      </c>
      <c r="BN256" t="str">
        <f>""</f>
        <v/>
      </c>
      <c r="BO256">
        <f>35.066</f>
        <v>35.066000000000003</v>
      </c>
      <c r="BP256">
        <f>193.617</f>
        <v>193.61699999999999</v>
      </c>
      <c r="BQ256">
        <f>-160.832</f>
        <v>-160.83199999999999</v>
      </c>
      <c r="BR256">
        <f>134.524</f>
        <v>134.524</v>
      </c>
      <c r="BS256">
        <f>106.259</f>
        <v>106.259</v>
      </c>
      <c r="BT256">
        <f>9.827</f>
        <v>9.827</v>
      </c>
      <c r="BU256">
        <f>-285.842</f>
        <v>-285.84199999999998</v>
      </c>
      <c r="BV256">
        <f>66.068</f>
        <v>66.067999999999998</v>
      </c>
      <c r="BW256">
        <f>-105.826</f>
        <v>-105.82599999999999</v>
      </c>
      <c r="BX256">
        <f>42.412</f>
        <v>42.411999999999999</v>
      </c>
      <c r="BY256">
        <f>-537.003</f>
        <v>-537.00300000000004</v>
      </c>
      <c r="BZ256">
        <f>2.12</f>
        <v>2.12</v>
      </c>
      <c r="CA256">
        <f>-187.775</f>
        <v>-187.77500000000001</v>
      </c>
      <c r="CB256">
        <f>160.426</f>
        <v>160.42599999999999</v>
      </c>
      <c r="CC256">
        <f>-37.463</f>
        <v>-37.463000000000001</v>
      </c>
      <c r="CD256">
        <f>165.375</f>
        <v>165.375</v>
      </c>
      <c r="CE256">
        <f>-352.546</f>
        <v>-352.54599999999999</v>
      </c>
      <c r="CF256">
        <f>227.828</f>
        <v>227.828</v>
      </c>
      <c r="CG256">
        <f>-79.803</f>
        <v>-79.802999999999997</v>
      </c>
      <c r="CH256">
        <f>322.133</f>
        <v>322.13299999999998</v>
      </c>
      <c r="CI256">
        <f>-477.244</f>
        <v>-477.24400000000003</v>
      </c>
      <c r="CJ256">
        <f>143.657</f>
        <v>143.65700000000001</v>
      </c>
      <c r="CK256">
        <f>-98.956</f>
        <v>-98.956000000000003</v>
      </c>
      <c r="CL256">
        <f>221.383</f>
        <v>221.38300000000001</v>
      </c>
      <c r="CM256">
        <f>-63.47</f>
        <v>-63.47</v>
      </c>
      <c r="CN256">
        <f>284.703</f>
        <v>284.70299999999997</v>
      </c>
      <c r="CO256">
        <f>-69.766</f>
        <v>-69.766000000000005</v>
      </c>
      <c r="CP256">
        <f>154.827</f>
        <v>154.827</v>
      </c>
      <c r="CQ256">
        <f>-77.434</f>
        <v>-77.433999999999997</v>
      </c>
      <c r="CR256">
        <f>-21.403</f>
        <v>-21.402999999999999</v>
      </c>
      <c r="CS256">
        <f>174.738</f>
        <v>174.738</v>
      </c>
      <c r="CT256">
        <f>220.203</f>
        <v>220.203</v>
      </c>
      <c r="CU256">
        <f>-11.578</f>
        <v>-11.577999999999999</v>
      </c>
      <c r="CV256">
        <f>-93.09</f>
        <v>-93.09</v>
      </c>
      <c r="CW256">
        <f>26.722</f>
        <v>26.722000000000001</v>
      </c>
      <c r="CX256">
        <f>0.843</f>
        <v>0.84299999999999997</v>
      </c>
      <c r="CY256">
        <f>-55.078</f>
        <v>-55.078000000000003</v>
      </c>
      <c r="CZ256">
        <f>-37.947</f>
        <v>-37.947000000000003</v>
      </c>
      <c r="DA256">
        <f>-49.701</f>
        <v>-49.701000000000001</v>
      </c>
      <c r="DB256">
        <f>59.175</f>
        <v>59.174999999999997</v>
      </c>
      <c r="DC256">
        <f>-9.628</f>
        <v>-9.6280000000000001</v>
      </c>
      <c r="DD256">
        <f>-126.492</f>
        <v>-126.492</v>
      </c>
      <c r="DE256">
        <f>-1632.768</f>
        <v>-1632.768</v>
      </c>
      <c r="DF256">
        <f>-1010.392</f>
        <v>-1010.3920000000001</v>
      </c>
      <c r="DG256">
        <f>-751.18</f>
        <v>-751.18</v>
      </c>
      <c r="DH256">
        <f>-166.395</f>
        <v>-166.39500000000001</v>
      </c>
      <c r="DI256">
        <f>-31.322</f>
        <v>-31.321999999999999</v>
      </c>
      <c r="DJ256">
        <f>-57.468</f>
        <v>-57.468000000000004</v>
      </c>
      <c r="DK256">
        <f>130.691</f>
        <v>130.691</v>
      </c>
      <c r="DL256">
        <f>-323.841</f>
        <v>-323.84100000000001</v>
      </c>
      <c r="DM256">
        <f>-93.724</f>
        <v>-93.724000000000004</v>
      </c>
      <c r="DN256">
        <f>91.74</f>
        <v>91.74</v>
      </c>
      <c r="DO256">
        <f>156.458</f>
        <v>156.458</v>
      </c>
      <c r="DP256">
        <f>8.087</f>
        <v>8.0869999999999997</v>
      </c>
      <c r="DQ256">
        <f>69.610008</f>
        <v>69.610007999999993</v>
      </c>
      <c r="DR256">
        <f>45.086998</f>
        <v>45.086998000000001</v>
      </c>
      <c r="DS256">
        <f>-145.251</f>
        <v>-145.251</v>
      </c>
      <c r="DT256">
        <f>53.550997</f>
        <v>53.550997000000002</v>
      </c>
      <c r="DU256">
        <f>70.625</f>
        <v>70.625</v>
      </c>
    </row>
    <row r="257" spans="1:125">
      <c r="A257" t="str">
        <f>"总可用流动性"</f>
        <v>总可用流动性</v>
      </c>
      <c r="B257" t="str">
        <f>""</f>
        <v/>
      </c>
      <c r="E257" t="str">
        <f>"Median"</f>
        <v>Median</v>
      </c>
      <c r="F257" t="str">
        <f ca="1">IF(ISERROR(IF(MEDIAN($F$258:$F$267) = 0, "", MEDIAN($F$258:$F$267))), "", (IF(MEDIAN($F$258:$F$267) = 0, "", MEDIAN($F$258:$F$267))))</f>
        <v/>
      </c>
      <c r="G257">
        <f ca="1">IF(ISERROR(IF(MEDIAN($G$258:$G$267) = 0, "", MEDIAN($G$258:$G$267))), "", (IF(MEDIAN($G$258:$G$267) = 0, "", MEDIAN($G$258:$G$267))))</f>
        <v>798.13499999999999</v>
      </c>
      <c r="H257">
        <f ca="1">IF(ISERROR(IF(MEDIAN($H$258:$H$267) = 0, "", MEDIAN($H$258:$H$267))), "", (IF(MEDIAN($H$258:$H$267) = 0, "", MEDIAN($H$258:$H$267))))</f>
        <v>781.61699999999996</v>
      </c>
      <c r="I257">
        <f ca="1">IF(ISERROR(IF(MEDIAN($I$258:$I$267) = 0, "", MEDIAN($I$258:$I$267))), "", (IF(MEDIAN($I$258:$I$267) = 0, "", MEDIAN($I$258:$I$267))))</f>
        <v>881.69200000000001</v>
      </c>
      <c r="J257">
        <f ca="1">IF(ISERROR(IF(MEDIAN($J$258:$J$267) = 0, "", MEDIAN($J$258:$J$267))), "", (IF(MEDIAN($J$258:$J$267) = 0, "", MEDIAN($J$258:$J$267))))</f>
        <v>759.91699999999992</v>
      </c>
      <c r="K257">
        <f ca="1">IF(ISERROR(IF(MEDIAN($K$258:$K$267) = 0, "", MEDIAN($K$258:$K$267))), "", (IF(MEDIAN($K$258:$K$267) = 0, "", MEDIAN($K$258:$K$267))))</f>
        <v>485.96199999999999</v>
      </c>
      <c r="L257">
        <f ca="1">IF(ISERROR(IF(MEDIAN($L$258:$L$267) = 0, "", MEDIAN($L$258:$L$267))), "", (IF(MEDIAN($L$258:$L$267) = 0, "", MEDIAN($L$258:$L$267))))</f>
        <v>827.96450000000004</v>
      </c>
      <c r="M257">
        <f ca="1">IF(ISERROR(IF(MEDIAN($M$258:$M$267) = 0, "", MEDIAN($M$258:$M$267))), "", (IF(MEDIAN($M$258:$M$267) = 0, "", MEDIAN($M$258:$M$267))))</f>
        <v>705.57300000000009</v>
      </c>
      <c r="N257">
        <f ca="1">IF(ISERROR(IF(MEDIAN($N$258:$N$267) = 0, "", MEDIAN($N$258:$N$267))), "", (IF(MEDIAN($N$258:$N$267) = 0, "", MEDIAN($N$258:$N$267))))</f>
        <v>635.69200000000001</v>
      </c>
      <c r="O257">
        <f ca="1">IF(ISERROR(IF(MEDIAN($O$258:$O$267) = 0, "", MEDIAN($O$258:$O$267))), "", (IF(MEDIAN($O$258:$O$267) = 0, "", MEDIAN($O$258:$O$267))))</f>
        <v>392.79500000000002</v>
      </c>
      <c r="P257">
        <f ca="1">IF(ISERROR(IF(MEDIAN($P$258:$P$267) = 0, "", MEDIAN($P$258:$P$267))), "", (IF(MEDIAN($P$258:$P$267) = 0, "", MEDIAN($P$258:$P$267))))</f>
        <v>734.83749999999998</v>
      </c>
      <c r="Q257">
        <f ca="1">IF(ISERROR(IF(MEDIAN($Q$258:$Q$267) = 0, "", MEDIAN($Q$258:$Q$267))), "", (IF(MEDIAN($Q$258:$Q$267) = 0, "", MEDIAN($Q$258:$Q$267))))</f>
        <v>558.12349999999992</v>
      </c>
      <c r="R257">
        <f ca="1">IF(ISERROR(IF(MEDIAN($R$258:$R$267) = 0, "", MEDIAN($R$258:$R$267))), "", (IF(MEDIAN($R$258:$R$267) = 0, "", MEDIAN($R$258:$R$267))))</f>
        <v>540.08050000000003</v>
      </c>
      <c r="S257">
        <f ca="1">IF(ISERROR(IF(MEDIAN($S$258:$S$267) = 0, "", MEDIAN($S$258:$S$267))), "", (IF(MEDIAN($S$258:$S$267) = 0, "", MEDIAN($S$258:$S$267))))</f>
        <v>581.40899999999999</v>
      </c>
      <c r="T257">
        <f ca="1">IF(ISERROR(IF(MEDIAN($T$258:$T$267) = 0, "", MEDIAN($T$258:$T$267))), "", (IF(MEDIAN($T$258:$T$267) = 0, "", MEDIAN($T$258:$T$267))))</f>
        <v>784.89799999999991</v>
      </c>
      <c r="U257">
        <f ca="1">IF(ISERROR(IF(MEDIAN($U$258:$U$267) = 0, "", MEDIAN($U$258:$U$267))), "", (IF(MEDIAN($U$258:$U$267) = 0, "", MEDIAN($U$258:$U$267))))</f>
        <v>733.07249999999999</v>
      </c>
      <c r="V257">
        <f ca="1">IF(ISERROR(IF(MEDIAN($V$258:$V$267) = 0, "", MEDIAN($V$258:$V$267))), "", (IF(MEDIAN($V$258:$V$267) = 0, "", MEDIAN($V$258:$V$267))))</f>
        <v>660.81099999999992</v>
      </c>
      <c r="W257">
        <f ca="1">IF(ISERROR(IF(MEDIAN($W$258:$W$267) = 0, "", MEDIAN($W$258:$W$267))), "", (IF(MEDIAN($W$258:$W$267) = 0, "", MEDIAN($W$258:$W$267))))</f>
        <v>584.53549999999996</v>
      </c>
      <c r="X257">
        <f ca="1">IF(ISERROR(IF(MEDIAN($X$258:$X$267) = 0, "", MEDIAN($X$258:$X$267))), "", (IF(MEDIAN($X$258:$X$267) = 0, "", MEDIAN($X$258:$X$267))))</f>
        <v>738.04700000000003</v>
      </c>
      <c r="Y257">
        <f ca="1">IF(ISERROR(IF(MEDIAN($Y$258:$Y$267) = 0, "", MEDIAN($Y$258:$Y$267))), "", (IF(MEDIAN($Y$258:$Y$267) = 0, "", MEDIAN($Y$258:$Y$267))))</f>
        <v>669.58600000000001</v>
      </c>
      <c r="Z257">
        <f ca="1">IF(ISERROR(IF(MEDIAN($Z$258:$Z$267) = 0, "", MEDIAN($Z$258:$Z$267))), "", (IF(MEDIAN($Z$258:$Z$267) = 0, "", MEDIAN($Z$258:$Z$267))))</f>
        <v>683.26</v>
      </c>
      <c r="AA257">
        <f ca="1">IF(ISERROR(IF(MEDIAN($AA$258:$AA$267) = 0, "", MEDIAN($AA$258:$AA$267))), "", (IF(MEDIAN($AA$258:$AA$267) = 0, "", MEDIAN($AA$258:$AA$267))))</f>
        <v>501.65700000000004</v>
      </c>
      <c r="AB257">
        <f ca="1">IF(ISERROR(IF(MEDIAN($AB$258:$AB$267) = 0, "", MEDIAN($AB$258:$AB$267))), "", (IF(MEDIAN($AB$258:$AB$267) = 0, "", MEDIAN($AB$258:$AB$267))))</f>
        <v>622.21199999999999</v>
      </c>
      <c r="AC257">
        <f ca="1">IF(ISERROR(IF(MEDIAN($AC$258:$AC$267) = 0, "", MEDIAN($AC$258:$AC$267))), "", (IF(MEDIAN($AC$258:$AC$267) = 0, "", MEDIAN($AC$258:$AC$267))))</f>
        <v>681.3655</v>
      </c>
      <c r="AD257">
        <f ca="1">IF(ISERROR(IF(MEDIAN($AD$258:$AD$267) = 0, "", MEDIAN($AD$258:$AD$267))), "", (IF(MEDIAN($AD$258:$AD$267) = 0, "", MEDIAN($AD$258:$AD$267))))</f>
        <v>579.19499999999994</v>
      </c>
      <c r="AE257">
        <f ca="1">IF(ISERROR(IF(MEDIAN($AE$258:$AE$267) = 0, "", MEDIAN($AE$258:$AE$267))), "", (IF(MEDIAN($AE$258:$AE$267) = 0, "", MEDIAN($AE$258:$AE$267))))</f>
        <v>366.09299999999996</v>
      </c>
      <c r="AF257">
        <f ca="1">IF(ISERROR(IF(MEDIAN($AF$258:$AF$267) = 0, "", MEDIAN($AF$258:$AF$267))), "", (IF(MEDIAN($AF$258:$AF$267) = 0, "", MEDIAN($AF$258:$AF$267))))</f>
        <v>405.74200000000002</v>
      </c>
      <c r="AG257">
        <f ca="1">IF(ISERROR(IF(MEDIAN($AG$258:$AG$267) = 0, "", MEDIAN($AG$258:$AG$267))), "", (IF(MEDIAN($AG$258:$AG$267) = 0, "", MEDIAN($AG$258:$AG$267))))</f>
        <v>456.04349999999999</v>
      </c>
      <c r="AH257">
        <f ca="1">IF(ISERROR(IF(MEDIAN($AH$258:$AH$267) = 0, "", MEDIAN($AH$258:$AH$267))), "", (IF(MEDIAN($AH$258:$AH$267) = 0, "", MEDIAN($AH$258:$AH$267))))</f>
        <v>377.24549999999999</v>
      </c>
      <c r="AI257">
        <f ca="1">IF(ISERROR(IF(MEDIAN($AI$258:$AI$267) = 0, "", MEDIAN($AI$258:$AI$267))), "", (IF(MEDIAN($AI$258:$AI$267) = 0, "", MEDIAN($AI$258:$AI$267))))</f>
        <v>293.77049999999997</v>
      </c>
      <c r="AJ257">
        <f ca="1">IF(ISERROR(IF(MEDIAN($AJ$258:$AJ$267) = 0, "", MEDIAN($AJ$258:$AJ$267))), "", (IF(MEDIAN($AJ$258:$AJ$267) = 0, "", MEDIAN($AJ$258:$AJ$267))))</f>
        <v>532.29949999999997</v>
      </c>
      <c r="AK257">
        <f ca="1">IF(ISERROR(IF(MEDIAN($AK$258:$AK$267) = 0, "", MEDIAN($AK$258:$AK$267))), "", (IF(MEDIAN($AK$258:$AK$267) = 0, "", MEDIAN($AK$258:$AK$267))))</f>
        <v>526.79700000000003</v>
      </c>
      <c r="AL257">
        <f ca="1">IF(ISERROR(IF(MEDIAN($AL$258:$AL$267) = 0, "", MEDIAN($AL$258:$AL$267))), "", (IF(MEDIAN($AL$258:$AL$267) = 0, "", MEDIAN($AL$258:$AL$267))))</f>
        <v>417.24549999999999</v>
      </c>
      <c r="AM257">
        <f ca="1">IF(ISERROR(IF(MEDIAN($AM$258:$AM$267) = 0, "", MEDIAN($AM$258:$AM$267))), "", (IF(MEDIAN($AM$258:$AM$267) = 0, "", MEDIAN($AM$258:$AM$267))))</f>
        <v>291.52850000000001</v>
      </c>
      <c r="AN257">
        <f ca="1">IF(ISERROR(IF(MEDIAN($AN$258:$AN$267) = 0, "", MEDIAN($AN$258:$AN$267))), "", (IF(MEDIAN($AN$258:$AN$267) = 0, "", MEDIAN($AN$258:$AN$267))))</f>
        <v>559.29</v>
      </c>
      <c r="AO257">
        <f ca="1">IF(ISERROR(IF(MEDIAN($AO$258:$AO$267) = 0, "", MEDIAN($AO$258:$AO$267))), "", (IF(MEDIAN($AO$258:$AO$267) = 0, "", MEDIAN($AO$258:$AO$267))))</f>
        <v>348.084</v>
      </c>
      <c r="AP257">
        <f ca="1">IF(ISERROR(IF(MEDIAN($AP$258:$AP$267) = 0, "", MEDIAN($AP$258:$AP$267))), "", (IF(MEDIAN($AP$258:$AP$267) = 0, "", MEDIAN($AP$258:$AP$267))))</f>
        <v>315.36099999999999</v>
      </c>
      <c r="AQ257">
        <f ca="1">IF(ISERROR(IF(MEDIAN($AQ$258:$AQ$267) = 0, "", MEDIAN($AQ$258:$AQ$267))), "", (IF(MEDIAN($AQ$258:$AQ$267) = 0, "", MEDIAN($AQ$258:$AQ$267))))</f>
        <v>256.41300000000001</v>
      </c>
      <c r="AR257">
        <f ca="1">IF(ISERROR(IF(MEDIAN($AR$258:$AR$267) = 0, "", MEDIAN($AR$258:$AR$267))), "", (IF(MEDIAN($AR$258:$AR$267) = 0, "", MEDIAN($AR$258:$AR$267))))</f>
        <v>402.15199999999999</v>
      </c>
      <c r="AS257">
        <f ca="1">IF(ISERROR(IF(MEDIAN($AS$258:$AS$267) = 0, "", MEDIAN($AS$258:$AS$267))), "", (IF(MEDIAN($AS$258:$AS$267) = 0, "", MEDIAN($AS$258:$AS$267))))</f>
        <v>-114.854</v>
      </c>
      <c r="AT257">
        <f ca="1">IF(ISERROR(IF(MEDIAN($AT$258:$AT$267) = 0, "", MEDIAN($AT$258:$AT$267))), "", (IF(MEDIAN($AT$258:$AT$267) = 0, "", MEDIAN($AT$258:$AT$267))))</f>
        <v>185.381</v>
      </c>
      <c r="AU257">
        <f ca="1">IF(ISERROR(IF(MEDIAN($AU$258:$AU$267) = 0, "", MEDIAN($AU$258:$AU$267))), "", (IF(MEDIAN($AU$258:$AU$267) = 0, "", MEDIAN($AU$258:$AU$267))))</f>
        <v>114.203</v>
      </c>
      <c r="AV257">
        <f ca="1">IF(ISERROR(IF(MEDIAN($AV$258:$AV$267) = 0, "", MEDIAN($AV$258:$AV$267))), "", (IF(MEDIAN($AV$258:$AV$267) = 0, "", MEDIAN($AV$258:$AV$267))))</f>
        <v>491.48</v>
      </c>
      <c r="AW257">
        <f ca="1">IF(ISERROR(IF(MEDIAN($AW$258:$AW$267) = 0, "", MEDIAN($AW$258:$AW$267))), "", (IF(MEDIAN($AW$258:$AW$267) = 0, "", MEDIAN($AW$258:$AW$267))))</f>
        <v>252.786</v>
      </c>
      <c r="AX257">
        <f ca="1">IF(ISERROR(IF(MEDIAN($AX$258:$AX$267) = 0, "", MEDIAN($AX$258:$AX$267))), "", (IF(MEDIAN($AX$258:$AX$267) = 0, "", MEDIAN($AX$258:$AX$267))))</f>
        <v>195.96700000000001</v>
      </c>
      <c r="AY257">
        <f ca="1">IF(ISERROR(IF(MEDIAN($AY$258:$AY$267) = 0, "", MEDIAN($AY$258:$AY$267))), "", (IF(MEDIAN($AY$258:$AY$267) = 0, "", MEDIAN($AY$258:$AY$267))))</f>
        <v>450.35849999999999</v>
      </c>
      <c r="AZ257">
        <f ca="1">IF(ISERROR(IF(MEDIAN($AZ$258:$AZ$267) = 0, "", MEDIAN($AZ$258:$AZ$267))), "", (IF(MEDIAN($AZ$258:$AZ$267) = 0, "", MEDIAN($AZ$258:$AZ$267))))</f>
        <v>241.05600000000001</v>
      </c>
      <c r="BA257">
        <f ca="1">IF(ISERROR(IF(MEDIAN($BA$258:$BA$267) = 0, "", MEDIAN($BA$258:$BA$267))), "", (IF(MEDIAN($BA$258:$BA$267) = 0, "", MEDIAN($BA$258:$BA$267))))</f>
        <v>351.38299999999998</v>
      </c>
      <c r="BB257">
        <f ca="1">IF(ISERROR(IF(MEDIAN($BB$258:$BB$267) = 0, "", MEDIAN($BB$258:$BB$267))), "", (IF(MEDIAN($BB$258:$BB$267) = 0, "", MEDIAN($BB$258:$BB$267))))</f>
        <v>207.388665</v>
      </c>
      <c r="BC257">
        <f ca="1">IF(ISERROR(IF(MEDIAN($BC$258:$BC$267) = 0, "", MEDIAN($BC$258:$BC$267))), "", (IF(MEDIAN($BC$258:$BC$267) = 0, "", MEDIAN($BC$258:$BC$267))))</f>
        <v>-165.685</v>
      </c>
      <c r="BD257">
        <f ca="1">IF(ISERROR(IF(MEDIAN($BD$258:$BD$267) = 0, "", MEDIAN($BD$258:$BD$267))), "", (IF(MEDIAN($BD$258:$BD$267) = 0, "", MEDIAN($BD$258:$BD$267))))</f>
        <v>378.23899999999998</v>
      </c>
      <c r="BE257">
        <f ca="1">IF(ISERROR(IF(MEDIAN($BE$258:$BE$267) = 0, "", MEDIAN($BE$258:$BE$267))), "", (IF(MEDIAN($BE$258:$BE$267) = 0, "", MEDIAN($BE$258:$BE$267))))</f>
        <v>280.012</v>
      </c>
      <c r="BF257" t="str">
        <f ca="1">IF(ISERROR(IF(MEDIAN($BF$258:$BF$267) = 0, "", MEDIAN($BF$258:$BF$267))), "", (IF(MEDIAN($BF$258:$BF$267) = 0, "", MEDIAN($BF$258:$BF$267))))</f>
        <v/>
      </c>
      <c r="BG257">
        <f ca="1">IF(ISERROR(IF(MEDIAN($BG$258:$BG$267) = 0, "", MEDIAN($BG$258:$BG$267))), "", (IF(MEDIAN($BG$258:$BG$267) = 0, "", MEDIAN($BG$258:$BG$267))))</f>
        <v>122.184</v>
      </c>
      <c r="BH257">
        <f ca="1">IF(ISERROR(IF(MEDIAN($BH$258:$BH$267) = 0, "", MEDIAN($BH$258:$BH$267))), "", (IF(MEDIAN($BH$258:$BH$267) = 0, "", MEDIAN($BH$258:$BH$267))))</f>
        <v>299.52100000000002</v>
      </c>
      <c r="BI257">
        <f ca="1">IF(ISERROR(IF(MEDIAN($BI$258:$BI$267) = 0, "", MEDIAN($BI$258:$BI$267))), "", (IF(MEDIAN($BI$258:$BI$267) = 0, "", MEDIAN($BI$258:$BI$267))))</f>
        <v>80.143500000000003</v>
      </c>
      <c r="BJ257">
        <f ca="1">IF(ISERROR(IF(MEDIAN($BJ$258:$BJ$267) = 0, "", MEDIAN($BJ$258:$BJ$267))), "", (IF(MEDIAN($BJ$258:$BJ$267) = 0, "", MEDIAN($BJ$258:$BJ$267))))</f>
        <v>-2.1809999999999974</v>
      </c>
      <c r="BK257" t="str">
        <f ca="1">IF(ISERROR(IF(MEDIAN($BK$258:$BK$267) = 0, "", MEDIAN($BK$258:$BK$267))), "", (IF(MEDIAN($BK$258:$BK$267) = 0, "", MEDIAN($BK$258:$BK$267))))</f>
        <v/>
      </c>
      <c r="BL257">
        <f ca="1">IF(ISERROR(IF(MEDIAN($BL$258:$BL$267) = 0, "", MEDIAN($BL$258:$BL$267))), "", (IF(MEDIAN($BL$258:$BL$267) = 0, "", MEDIAN($BL$258:$BL$267))))</f>
        <v>179.56299999999999</v>
      </c>
      <c r="BM257">
        <f ca="1">IF(ISERROR(IF(MEDIAN($BM$258:$BM$267) = 0, "", MEDIAN($BM$258:$BM$267))), "", (IF(MEDIAN($BM$258:$BM$267) = 0, "", MEDIAN($BM$258:$BM$267))))</f>
        <v>145.53550000000001</v>
      </c>
      <c r="BN257" t="str">
        <f>""</f>
        <v/>
      </c>
      <c r="BO257">
        <f>798.135</f>
        <v>798.13499999999999</v>
      </c>
      <c r="BP257">
        <f>781.617</f>
        <v>781.61699999999996</v>
      </c>
      <c r="BQ257">
        <f>881.692</f>
        <v>881.69200000000001</v>
      </c>
      <c r="BR257">
        <f>759.917</f>
        <v>759.91700000000003</v>
      </c>
      <c r="BS257">
        <f>485.962</f>
        <v>485.96199999999999</v>
      </c>
      <c r="BT257">
        <f>827.9645</f>
        <v>827.96450000000004</v>
      </c>
      <c r="BU257">
        <f>705.573</f>
        <v>705.57299999999998</v>
      </c>
      <c r="BV257">
        <f>635.692</f>
        <v>635.69200000000001</v>
      </c>
      <c r="BW257">
        <f>392.795</f>
        <v>392.79500000000002</v>
      </c>
      <c r="BX257">
        <f>734.8375</f>
        <v>734.83749999999998</v>
      </c>
      <c r="BY257">
        <f>558.1235</f>
        <v>558.12350000000004</v>
      </c>
      <c r="BZ257">
        <f>540.0805</f>
        <v>540.08050000000003</v>
      </c>
      <c r="CA257">
        <f>581.409</f>
        <v>581.40899999999999</v>
      </c>
      <c r="CB257">
        <f>784.898</f>
        <v>784.89800000000002</v>
      </c>
      <c r="CC257">
        <f>733.0725</f>
        <v>733.07249999999999</v>
      </c>
      <c r="CD257">
        <f>660.811</f>
        <v>660.81100000000004</v>
      </c>
      <c r="CE257">
        <f>584.5355</f>
        <v>584.53549999999996</v>
      </c>
      <c r="CF257">
        <f>738.047</f>
        <v>738.04700000000003</v>
      </c>
      <c r="CG257">
        <f>669.586</f>
        <v>669.58600000000001</v>
      </c>
      <c r="CH257">
        <f>683.26</f>
        <v>683.26</v>
      </c>
      <c r="CI257">
        <f>501.657</f>
        <v>501.65699999999998</v>
      </c>
      <c r="CJ257">
        <f>622.212</f>
        <v>622.21199999999999</v>
      </c>
      <c r="CK257">
        <f>681.3655</f>
        <v>681.3655</v>
      </c>
      <c r="CL257">
        <f>579.195</f>
        <v>579.19500000000005</v>
      </c>
      <c r="CM257">
        <f>366.093</f>
        <v>366.09300000000002</v>
      </c>
      <c r="CN257">
        <f>405.742</f>
        <v>405.74200000000002</v>
      </c>
      <c r="CO257">
        <f>456.0435</f>
        <v>456.04349999999999</v>
      </c>
      <c r="CP257">
        <f>377.2455</f>
        <v>377.24549999999999</v>
      </c>
      <c r="CQ257">
        <f>293.7705</f>
        <v>293.77050000000003</v>
      </c>
      <c r="CR257">
        <f>532.2995</f>
        <v>532.29949999999997</v>
      </c>
      <c r="CS257">
        <f>526.797</f>
        <v>526.79700000000003</v>
      </c>
      <c r="CT257">
        <f>417.2455</f>
        <v>417.24549999999999</v>
      </c>
      <c r="CU257">
        <f>291.5285</f>
        <v>291.52850000000001</v>
      </c>
      <c r="CV257">
        <f>559.29</f>
        <v>559.29</v>
      </c>
      <c r="CW257">
        <f>348.084</f>
        <v>348.084</v>
      </c>
      <c r="CX257">
        <f>315.361</f>
        <v>315.36099999999999</v>
      </c>
      <c r="CY257">
        <f>256.413</f>
        <v>256.41300000000001</v>
      </c>
      <c r="CZ257">
        <f>402.152</f>
        <v>402.15199999999999</v>
      </c>
      <c r="DA257">
        <f>-114.854</f>
        <v>-114.854</v>
      </c>
      <c r="DB257">
        <f>185.381</f>
        <v>185.381</v>
      </c>
      <c r="DC257">
        <f>114.203</f>
        <v>114.203</v>
      </c>
      <c r="DD257">
        <f>491.48</f>
        <v>491.48</v>
      </c>
      <c r="DE257">
        <f>252.786</f>
        <v>252.786</v>
      </c>
      <c r="DF257">
        <f>195.967</f>
        <v>195.96700000000001</v>
      </c>
      <c r="DG257">
        <f>450.3585</f>
        <v>450.35849999999999</v>
      </c>
      <c r="DH257">
        <f>241.056</f>
        <v>241.05600000000001</v>
      </c>
      <c r="DI257">
        <f>351.383</f>
        <v>351.38299999999998</v>
      </c>
      <c r="DJ257">
        <f>207.388665</f>
        <v>207.388665</v>
      </c>
      <c r="DK257">
        <f>-165.685</f>
        <v>-165.685</v>
      </c>
      <c r="DL257">
        <f>378.239</f>
        <v>378.23899999999998</v>
      </c>
      <c r="DM257">
        <f>280.012</f>
        <v>280.012</v>
      </c>
      <c r="DN257" t="str">
        <f>""</f>
        <v/>
      </c>
      <c r="DO257">
        <f>122.184</f>
        <v>122.184</v>
      </c>
      <c r="DP257">
        <f>299.521</f>
        <v>299.52100000000002</v>
      </c>
      <c r="DQ257">
        <f>80.1435</f>
        <v>80.143500000000003</v>
      </c>
      <c r="DR257">
        <f>-2.181</f>
        <v>-2.181</v>
      </c>
      <c r="DS257" t="str">
        <f>""</f>
        <v/>
      </c>
      <c r="DT257">
        <f>179.563</f>
        <v>179.56299999999999</v>
      </c>
      <c r="DU257">
        <f>145.5355</f>
        <v>145.53550000000001</v>
      </c>
    </row>
    <row r="258" spans="1:125">
      <c r="A258" t="str">
        <f>"    Boston Properties Inc"</f>
        <v xml:space="preserve">    Boston Properties Inc</v>
      </c>
      <c r="B258" t="str">
        <f>"BXP US Equity"</f>
        <v>BXP US Equity</v>
      </c>
      <c r="E258" t="str">
        <f t="shared" ref="E258:E267" si="69">"Expression"</f>
        <v>Expression</v>
      </c>
      <c r="F258" t="str">
        <f ca="1">IF(AND($B$294=1,LEN($F$296) * LEN($F$297) * LEN($F$298)&gt;0),$F$296+$F$297-$F$298,HLOOKUP(INDIRECT(ADDRESS(2,COLUMN())),OFFSET($BN$2,0,0,ROW()-1,60),ROW()-1,FALSE))</f>
        <v/>
      </c>
      <c r="G258">
        <f ca="1">IF(AND($B$294=1,LEN($G$296) * LEN($G$297) * LEN($G$298)&gt;0),$G$296+$G$297-$G$298,HLOOKUP(INDIRECT(ADDRESS(2,COLUMN())),OFFSET($BN$2,0,0,ROW()-1,60),ROW()-1,FALSE))</f>
        <v>1882.249</v>
      </c>
      <c r="H258">
        <f ca="1">IF(AND($B$294=1,LEN($H$296) * LEN($H$297) * LEN($H$298)&gt;0),$H$296+$H$297-$H$298,HLOOKUP(INDIRECT(ADDRESS(2,COLUMN())),OFFSET($BN$2,0,0,ROW()-1,60),ROW()-1,FALSE))</f>
        <v>1990.8789999999999</v>
      </c>
      <c r="I258">
        <f ca="1">IF(AND($B$294=1,LEN($I$296) * LEN($I$297) * LEN($I$298)&gt;0),$I$296+$I$297-$I$298,HLOOKUP(INDIRECT(ADDRESS(2,COLUMN())),OFFSET($BN$2,0,0,ROW()-1,60),ROW()-1,FALSE))</f>
        <v>1988.35</v>
      </c>
      <c r="J258">
        <f ca="1">IF(AND($B$294=1,LEN($J$296) * LEN($J$297) * LEN($J$298)&gt;0),$J$296+$J$297-$J$298,HLOOKUP(INDIRECT(ADDRESS(2,COLUMN())),OFFSET($BN$2,0,0,ROW()-1,60),ROW()-1,FALSE))</f>
        <v>-442.88299999999998</v>
      </c>
      <c r="K258">
        <f ca="1">IF(AND($B$294=1,LEN($K$296) * LEN($K$297) * LEN($K$298)&gt;0),$K$296+$K$297-$K$298,HLOOKUP(INDIRECT(ADDRESS(2,COLUMN())),OFFSET($BN$2,0,0,ROW()-1,60),ROW()-1,FALSE))</f>
        <v>-298.19600000000003</v>
      </c>
      <c r="L258">
        <f ca="1">IF(AND($B$294=1,LEN($L$296) * LEN($L$297) * LEN($L$298)&gt;0),$L$296+$L$297-$L$298,HLOOKUP(INDIRECT(ADDRESS(2,COLUMN())),OFFSET($BN$2,0,0,ROW()-1,60),ROW()-1,FALSE))</f>
        <v>1399.8330000000001</v>
      </c>
      <c r="M258">
        <f ca="1">IF(AND($B$294=1,LEN($M$296) * LEN($M$297) * LEN($M$298)&gt;0),$M$296+$M$297-$M$298,HLOOKUP(INDIRECT(ADDRESS(2,COLUMN())),OFFSET($BN$2,0,0,ROW()-1,60),ROW()-1,FALSE))</f>
        <v>1790.92</v>
      </c>
      <c r="N258">
        <f ca="1">IF(AND($B$294=1,LEN($N$296) * LEN($N$297) * LEN($N$298)&gt;0),$N$296+$N$297-$N$298,HLOOKUP(INDIRECT(ADDRESS(2,COLUMN())),OFFSET($BN$2,0,0,ROW()-1,60),ROW()-1,FALSE))</f>
        <v>1990.259</v>
      </c>
      <c r="O258" t="str">
        <f ca="1">IF(AND($B$294=1,LEN($O$296) * LEN($O$297) * LEN($O$298)&gt;0),$O$296+$O$297-$O$298,HLOOKUP(INDIRECT(ADDRESS(2,COLUMN())),OFFSET($BN$2,0,0,ROW()-1,60),ROW()-1,FALSE))</f>
        <v/>
      </c>
      <c r="P258">
        <f ca="1">IF(AND($B$294=1,LEN($P$296) * LEN($P$297) * LEN($P$298)&gt;0),$P$296+$P$297-$P$298,HLOOKUP(INDIRECT(ADDRESS(2,COLUMN())),OFFSET($BN$2,0,0,ROW()-1,60),ROW()-1,FALSE))</f>
        <v>2338.1219999999998</v>
      </c>
      <c r="Q258">
        <f ca="1">IF(AND($B$294=1,LEN($Q$296) * LEN($Q$297) * LEN($Q$298)&gt;0),$Q$296+$Q$297-$Q$298,HLOOKUP(INDIRECT(ADDRESS(2,COLUMN())),OFFSET($BN$2,0,0,ROW()-1,60),ROW()-1,FALSE))</f>
        <v>2286.0349999999999</v>
      </c>
      <c r="R258">
        <f ca="1">IF(AND($B$294=1,LEN($R$296) * LEN($R$297) * LEN($R$298)&gt;0),$R$296+$R$297-$R$298,HLOOKUP(INDIRECT(ADDRESS(2,COLUMN())),OFFSET($BN$2,0,0,ROW()-1,60),ROW()-1,FALSE))</f>
        <v>1988.443</v>
      </c>
      <c r="S258">
        <f ca="1">IF(AND($B$294=1,LEN($S$296) * LEN($S$297) * LEN($S$298)&gt;0),$S$296+$S$297-$S$298,HLOOKUP(INDIRECT(ADDRESS(2,COLUMN())),OFFSET($BN$2,0,0,ROW()-1,60),ROW()-1,FALSE))</f>
        <v>2666.8380000000002</v>
      </c>
      <c r="T258">
        <f ca="1">IF(AND($B$294=1,LEN($T$296) * LEN($T$297) * LEN($T$298)&gt;0),$T$296+$T$297-$T$298,HLOOKUP(INDIRECT(ADDRESS(2,COLUMN())),OFFSET($BN$2,0,0,ROW()-1,60),ROW()-1,FALSE))</f>
        <v>1812.0550000000001</v>
      </c>
      <c r="U258">
        <f ca="1">IF(AND($B$294=1,LEN($U$296) * LEN($U$297) * LEN($U$298)&gt;0),$U$296+$U$297-$U$298,HLOOKUP(INDIRECT(ADDRESS(2,COLUMN())),OFFSET($BN$2,0,0,ROW()-1,60),ROW()-1,FALSE))</f>
        <v>1925.008</v>
      </c>
      <c r="V258">
        <f ca="1">IF(AND($B$294=1,LEN($V$296) * LEN($V$297) * LEN($V$298)&gt;0),$V$296+$V$297-$V$298,HLOOKUP(INDIRECT(ADDRESS(2,COLUMN())),OFFSET($BN$2,0,0,ROW()-1,60),ROW()-1,FALSE))</f>
        <v>2049.4789999999998</v>
      </c>
      <c r="W258">
        <f ca="1">IF(AND($B$294=1,LEN($W$296) * LEN($W$297) * LEN($W$298)&gt;0),$W$296+$W$297-$W$298,HLOOKUP(INDIRECT(ADDRESS(2,COLUMN())),OFFSET($BN$2,0,0,ROW()-1,60),ROW()-1,FALSE))</f>
        <v>2468.1619999999998</v>
      </c>
      <c r="X258">
        <f ca="1">IF(AND($B$294=1,LEN($X$296) * LEN($X$297) * LEN($X$298)&gt;0),$X$296+$X$297-$X$298,HLOOKUP(INDIRECT(ADDRESS(2,COLUMN())),OFFSET($BN$2,0,0,ROW()-1,60),ROW()-1,FALSE))</f>
        <v>2617.0100000000002</v>
      </c>
      <c r="Y258">
        <f ca="1">IF(AND($B$294=1,LEN($Y$296) * LEN($Y$297) * LEN($Y$298)&gt;0),$Y$296+$Y$297-$Y$298,HLOOKUP(INDIRECT(ADDRESS(2,COLUMN())),OFFSET($BN$2,0,0,ROW()-1,60),ROW()-1,FALSE))</f>
        <v>2322.692</v>
      </c>
      <c r="Z258">
        <f ca="1">IF(AND($B$294=1,LEN($Z$296) * LEN($Z$297) * LEN($Z$298)&gt;0),$Z$296+$Z$297-$Z$298,HLOOKUP(INDIRECT(ADDRESS(2,COLUMN())),OFFSET($BN$2,0,0,ROW()-1,60),ROW()-1,FALSE))</f>
        <v>1143.0630000000001</v>
      </c>
      <c r="AA258">
        <f ca="1">IF(AND($B$294=1,LEN($AA$296) * LEN($AA$297) * LEN($AA$298)&gt;0),$AA$296+$AA$297-$AA$298,HLOOKUP(INDIRECT(ADDRESS(2,COLUMN())),OFFSET($BN$2,0,0,ROW()-1,60),ROW()-1,FALSE))</f>
        <v>1249.136</v>
      </c>
      <c r="AB258">
        <f ca="1">IF(AND($B$294=1,LEN($AB$296) * LEN($AB$297) * LEN($AB$298)&gt;0),$AB$296+$AB$297-$AB$298,HLOOKUP(INDIRECT(ADDRESS(2,COLUMN())),OFFSET($BN$2,0,0,ROW()-1,60),ROW()-1,FALSE))</f>
        <v>1960.69</v>
      </c>
      <c r="AC258">
        <f ca="1">IF(AND($B$294=1,LEN($AC$296) * LEN($AC$297) * LEN($AC$298)&gt;0),$AC$296+$AC$297-$AC$298,HLOOKUP(INDIRECT(ADDRESS(2,COLUMN())),OFFSET($BN$2,0,0,ROW()-1,60),ROW()-1,FALSE))</f>
        <v>2404.5839999999998</v>
      </c>
      <c r="AD258">
        <f ca="1">IF(AND($B$294=1,LEN($AD$296) * LEN($AD$297) * LEN($AD$298)&gt;0),$AD$296+$AD$297-$AD$298,HLOOKUP(INDIRECT(ADDRESS(2,COLUMN())),OFFSET($BN$2,0,0,ROW()-1,60),ROW()-1,FALSE))</f>
        <v>1268.7940000000001</v>
      </c>
      <c r="AE258">
        <f ca="1">IF(AND($B$294=1,LEN($AE$296) * LEN($AE$297) * LEN($AE$298)&gt;0),$AE$296+$AE$297-$AE$298,HLOOKUP(INDIRECT(ADDRESS(2,COLUMN())),OFFSET($BN$2,0,0,ROW()-1,60),ROW()-1,FALSE))</f>
        <v>1744.462</v>
      </c>
      <c r="AF258">
        <f ca="1">IF(AND($B$294=1,LEN($AF$296) * LEN($AF$297) * LEN($AF$298)&gt;0),$AF$296+$AF$297-$AF$298,HLOOKUP(INDIRECT(ADDRESS(2,COLUMN())),OFFSET($BN$2,0,0,ROW()-1,60),ROW()-1,FALSE))</f>
        <v>1778.5260000000001</v>
      </c>
      <c r="AG258">
        <f ca="1">IF(AND($B$294=1,LEN($AG$296) * LEN($AG$297) * LEN($AG$298)&gt;0),$AG$296+$AG$297-$AG$298,HLOOKUP(INDIRECT(ADDRESS(2,COLUMN())),OFFSET($BN$2,0,0,ROW()-1,60),ROW()-1,FALSE))</f>
        <v>1069.8979999999999</v>
      </c>
      <c r="AH258">
        <f ca="1">IF(AND($B$294=1,LEN($AH$296) * LEN($AH$297) * LEN($AH$298)&gt;0),$AH$296+$AH$297-$AH$298,HLOOKUP(INDIRECT(ADDRESS(2,COLUMN())),OFFSET($BN$2,0,0,ROW()-1,60),ROW()-1,FALSE))</f>
        <v>1280.287</v>
      </c>
      <c r="AI258">
        <f ca="1">IF(AND($B$294=1,LEN($AI$296) * LEN($AI$297) * LEN($AI$298)&gt;0),$AI$296+$AI$297-$AI$298,HLOOKUP(INDIRECT(ADDRESS(2,COLUMN())),OFFSET($BN$2,0,0,ROW()-1,60),ROW()-1,FALSE))</f>
        <v>1015.801</v>
      </c>
      <c r="AJ258">
        <f ca="1">IF(AND($B$294=1,LEN($AJ$296) * LEN($AJ$297) * LEN($AJ$298)&gt;0),$AJ$296+$AJ$297-$AJ$298,HLOOKUP(INDIRECT(ADDRESS(2,COLUMN())),OFFSET($BN$2,0,0,ROW()-1,60),ROW()-1,FALSE))</f>
        <v>2011.67</v>
      </c>
      <c r="AK258">
        <f ca="1">IF(AND($B$294=1,LEN($AK$296) * LEN($AK$297) * LEN($AK$298)&gt;0),$AK$296+$AK$297-$AK$298,HLOOKUP(INDIRECT(ADDRESS(2,COLUMN())),OFFSET($BN$2,0,0,ROW()-1,60),ROW()-1,FALSE))</f>
        <v>2396.0619999999999</v>
      </c>
      <c r="AL258">
        <f ca="1">IF(AND($B$294=1,LEN($AL$296) * LEN($AL$297) * LEN($AL$298)&gt;0),$AL$296+$AL$297-$AL$298,HLOOKUP(INDIRECT(ADDRESS(2,COLUMN())),OFFSET($BN$2,0,0,ROW()-1,60),ROW()-1,FALSE))</f>
        <v>1895.5029999999999</v>
      </c>
      <c r="AM258">
        <f ca="1">IF(AND($B$294=1,LEN($AM$296) * LEN($AM$297) * LEN($AM$298)&gt;0),$AM$296+$AM$297-$AM$298,HLOOKUP(INDIRECT(ADDRESS(2,COLUMN())),OFFSET($BN$2,0,0,ROW()-1,60),ROW()-1,FALSE))</f>
        <v>2128.56</v>
      </c>
      <c r="AN258">
        <f ca="1">IF(AND($B$294=1,LEN($AN$296) * LEN($AN$297) * LEN($AN$298)&gt;0),$AN$296+$AN$297-$AN$298,HLOOKUP(INDIRECT(ADDRESS(2,COLUMN())),OFFSET($BN$2,0,0,ROW()-1,60),ROW()-1,FALSE))</f>
        <v>1588.4280000000001</v>
      </c>
      <c r="AO258">
        <f ca="1">IF(AND($B$294=1,LEN($AO$296) * LEN($AO$297) * LEN($AO$298)&gt;0),$AO$296+$AO$297-$AO$298,HLOOKUP(INDIRECT(ADDRESS(2,COLUMN())),OFFSET($BN$2,0,0,ROW()-1,60),ROW()-1,FALSE))</f>
        <v>1606.58187</v>
      </c>
      <c r="AP258">
        <f ca="1">IF(AND($B$294=1,LEN($AP$296) * LEN($AP$297) * LEN($AP$298)&gt;0),$AP$296+$AP$297-$AP$298,HLOOKUP(INDIRECT(ADDRESS(2,COLUMN())),OFFSET($BN$2,0,0,ROW()-1,60),ROW()-1,FALSE))</f>
        <v>754.49800000000005</v>
      </c>
      <c r="AQ258" t="str">
        <f ca="1">IF(AND($B$294=1,LEN($AQ$296) * LEN($AQ$297) * LEN($AQ$298)&gt;0),$AQ$296+$AQ$297-$AQ$298,HLOOKUP(INDIRECT(ADDRESS(2,COLUMN())),OFFSET($BN$2,0,0,ROW()-1,60),ROW()-1,FALSE))</f>
        <v/>
      </c>
      <c r="AR258">
        <f ca="1">IF(AND($B$294=1,LEN($AR$296) * LEN($AR$297) * LEN($AR$298)&gt;0),$AR$296+$AR$297-$AR$298,HLOOKUP(INDIRECT(ADDRESS(2,COLUMN())),OFFSET($BN$2,0,0,ROW()-1,60),ROW()-1,FALSE))</f>
        <v>667.55399999999997</v>
      </c>
      <c r="AS258" t="str">
        <f ca="1">IF(AND($B$294=1,LEN($AS$296) * LEN($AS$297) * LEN($AS$298)&gt;0),$AS$296+$AS$297-$AS$298,HLOOKUP(INDIRECT(ADDRESS(2,COLUMN())),OFFSET($BN$2,0,0,ROW()-1,60),ROW()-1,FALSE))</f>
        <v/>
      </c>
      <c r="AT258" t="str">
        <f ca="1">IF(AND($B$294=1,LEN($AT$296) * LEN($AT$297) * LEN($AT$298)&gt;0),$AT$296+$AT$297-$AT$298,HLOOKUP(INDIRECT(ADDRESS(2,COLUMN())),OFFSET($BN$2,0,0,ROW()-1,60),ROW()-1,FALSE))</f>
        <v/>
      </c>
      <c r="AU258">
        <f ca="1">IF(AND($B$294=1,LEN($AU$296) * LEN($AU$297) * LEN($AU$298)&gt;0),$AU$296+$AU$297-$AU$298,HLOOKUP(INDIRECT(ADDRESS(2,COLUMN())),OFFSET($BN$2,0,0,ROW()-1,60),ROW()-1,FALSE))</f>
        <v>1288.3150000000001</v>
      </c>
      <c r="AV258">
        <f ca="1">IF(AND($B$294=1,LEN($AV$296) * LEN($AV$297) * LEN($AV$298)&gt;0),$AV$296+$AV$297-$AV$298,HLOOKUP(INDIRECT(ADDRESS(2,COLUMN())),OFFSET($BN$2,0,0,ROW()-1,60),ROW()-1,FALSE))</f>
        <v>2460.5070000000001</v>
      </c>
      <c r="AW258">
        <f ca="1">IF(AND($B$294=1,LEN($AW$296) * LEN($AW$297) * LEN($AW$298)&gt;0),$AW$296+$AW$297-$AW$298,HLOOKUP(INDIRECT(ADDRESS(2,COLUMN())),OFFSET($BN$2,0,0,ROW()-1,60),ROW()-1,FALSE))</f>
        <v>2466.0855299999998</v>
      </c>
      <c r="AX258">
        <f ca="1">IF(AND($B$294=1,LEN($AX$296) * LEN($AX$297) * LEN($AX$298)&gt;0),$AX$296+$AX$297-$AX$298,HLOOKUP(INDIRECT(ADDRESS(2,COLUMN())),OFFSET($BN$2,0,0,ROW()-1,60),ROW()-1,FALSE))</f>
        <v>2586.1570000000002</v>
      </c>
      <c r="AY258">
        <f ca="1">IF(AND($B$294=1,LEN($AY$296) * LEN($AY$297) * LEN($AY$298)&gt;0),$AY$296+$AY$297-$AY$298,HLOOKUP(INDIRECT(ADDRESS(2,COLUMN())),OFFSET($BN$2,0,0,ROW()-1,60),ROW()-1,FALSE))</f>
        <v>1064.296</v>
      </c>
      <c r="AZ258">
        <f ca="1">IF(AND($B$294=1,LEN($AZ$296) * LEN($AZ$297) * LEN($AZ$298)&gt;0),$AZ$296+$AZ$297-$AZ$298,HLOOKUP(INDIRECT(ADDRESS(2,COLUMN())),OFFSET($BN$2,0,0,ROW()-1,60),ROW()-1,FALSE))</f>
        <v>1642.682</v>
      </c>
      <c r="BA258">
        <f ca="1">IF(AND($B$294=1,LEN($BA$296) * LEN($BA$297) * LEN($BA$298)&gt;0),$BA$296+$BA$297-$BA$298,HLOOKUP(INDIRECT(ADDRESS(2,COLUMN())),OFFSET($BN$2,0,0,ROW()-1,60),ROW()-1,FALSE))</f>
        <v>847.87099999999998</v>
      </c>
      <c r="BB258">
        <f ca="1">IF(AND($B$294=1,LEN($BB$296) * LEN($BB$297) * LEN($BB$298)&gt;0),$BB$296+$BB$297-$BB$298,HLOOKUP(INDIRECT(ADDRESS(2,COLUMN())),OFFSET($BN$2,0,0,ROW()-1,60),ROW()-1,FALSE))</f>
        <v>285.64132999999998</v>
      </c>
      <c r="BC258" t="str">
        <f ca="1">IF(AND($B$294=1,LEN($BC$296) * LEN($BC$297) * LEN($BC$298)&gt;0),$BC$296+$BC$297-$BC$298,HLOOKUP(INDIRECT(ADDRESS(2,COLUMN())),OFFSET($BN$2,0,0,ROW()-1,60),ROW()-1,FALSE))</f>
        <v/>
      </c>
      <c r="BD258">
        <f ca="1">IF(AND($B$294=1,LEN($BD$296) * LEN($BD$297) * LEN($BD$298)&gt;0),$BD$296+$BD$297-$BD$298,HLOOKUP(INDIRECT(ADDRESS(2,COLUMN())),OFFSET($BN$2,0,0,ROW()-1,60),ROW()-1,FALSE))</f>
        <v>723.79</v>
      </c>
      <c r="BE258" t="str">
        <f ca="1">IF(AND($B$294=1,LEN($BE$296) * LEN($BE$297) * LEN($BE$298)&gt;0),$BE$296+$BE$297-$BE$298,HLOOKUP(INDIRECT(ADDRESS(2,COLUMN())),OFFSET($BN$2,0,0,ROW()-1,60),ROW()-1,FALSE))</f>
        <v/>
      </c>
      <c r="BF258" t="str">
        <f ca="1">IF(AND($B$294=1,LEN($BF$296) * LEN($BF$297) * LEN($BF$298)&gt;0),$BF$296+$BF$297-$BF$298,HLOOKUP(INDIRECT(ADDRESS(2,COLUMN())),OFFSET($BN$2,0,0,ROW()-1,60),ROW()-1,FALSE))</f>
        <v/>
      </c>
      <c r="BG258" t="str">
        <f ca="1">IF(AND($B$294=1,LEN($BG$296) * LEN($BG$297) * LEN($BG$298)&gt;0),$BG$296+$BG$297-$BG$298,HLOOKUP(INDIRECT(ADDRESS(2,COLUMN())),OFFSET($BN$2,0,0,ROW()-1,60),ROW()-1,FALSE))</f>
        <v/>
      </c>
      <c r="BH258" t="str">
        <f ca="1">IF(AND($B$294=1,LEN($BH$296) * LEN($BH$297) * LEN($BH$298)&gt;0),$BH$296+$BH$297-$BH$298,HLOOKUP(INDIRECT(ADDRESS(2,COLUMN())),OFFSET($BN$2,0,0,ROW()-1,60),ROW()-1,FALSE))</f>
        <v/>
      </c>
      <c r="BI258" t="str">
        <f ca="1">IF(AND($B$294=1,LEN($BI$296) * LEN($BI$297) * LEN($BI$298)&gt;0),$BI$296+$BI$297-$BI$298,HLOOKUP(INDIRECT(ADDRESS(2,COLUMN())),OFFSET($BN$2,0,0,ROW()-1,60),ROW()-1,FALSE))</f>
        <v/>
      </c>
      <c r="BJ258" t="str">
        <f ca="1">IF(AND($B$294=1,LEN($BJ$296) * LEN($BJ$297) * LEN($BJ$298)&gt;0),$BJ$296+$BJ$297-$BJ$298,HLOOKUP(INDIRECT(ADDRESS(2,COLUMN())),OFFSET($BN$2,0,0,ROW()-1,60),ROW()-1,FALSE))</f>
        <v/>
      </c>
      <c r="BK258" t="str">
        <f ca="1">IF(AND($B$294=1,LEN($BK$296) * LEN($BK$297) * LEN($BK$298)&gt;0),$BK$296+$BK$297-$BK$298,HLOOKUP(INDIRECT(ADDRESS(2,COLUMN())),OFFSET($BN$2,0,0,ROW()-1,60),ROW()-1,FALSE))</f>
        <v/>
      </c>
      <c r="BL258" t="str">
        <f ca="1">IF(AND($B$294=1,LEN($BL$296) * LEN($BL$297) * LEN($BL$298)&gt;0),$BL$296+$BL$297-$BL$298,HLOOKUP(INDIRECT(ADDRESS(2,COLUMN())),OFFSET($BN$2,0,0,ROW()-1,60),ROW()-1,FALSE))</f>
        <v/>
      </c>
      <c r="BM258" t="str">
        <f ca="1">IF(AND($B$294=1,LEN($BM$296) * LEN($BM$297) * LEN($BM$298)&gt;0),$BM$296+$BM$297-$BM$298,HLOOKUP(INDIRECT(ADDRESS(2,COLUMN())),OFFSET($BN$2,0,0,ROW()-1,60),ROW()-1,FALSE))</f>
        <v/>
      </c>
      <c r="BN258" t="str">
        <f>""</f>
        <v/>
      </c>
      <c r="BO258">
        <f>1882.249</f>
        <v>1882.249</v>
      </c>
      <c r="BP258">
        <f>1990.879</f>
        <v>1990.8789999999999</v>
      </c>
      <c r="BQ258">
        <f>1988.35</f>
        <v>1988.35</v>
      </c>
      <c r="BR258">
        <f>-442.883</f>
        <v>-442.88299999999998</v>
      </c>
      <c r="BS258">
        <f>-298.196</f>
        <v>-298.19600000000003</v>
      </c>
      <c r="BT258">
        <f>1399.833</f>
        <v>1399.8330000000001</v>
      </c>
      <c r="BU258">
        <f>1790.92</f>
        <v>1790.92</v>
      </c>
      <c r="BV258">
        <f>1990.259</f>
        <v>1990.259</v>
      </c>
      <c r="BW258" t="str">
        <f>""</f>
        <v/>
      </c>
      <c r="BX258">
        <f>2338.122</f>
        <v>2338.1219999999998</v>
      </c>
      <c r="BY258">
        <f>2286.035</f>
        <v>2286.0349999999999</v>
      </c>
      <c r="BZ258">
        <f>1988.443</f>
        <v>1988.443</v>
      </c>
      <c r="CA258">
        <f>2666.838</f>
        <v>2666.8380000000002</v>
      </c>
      <c r="CB258">
        <f>1812.055</f>
        <v>1812.0550000000001</v>
      </c>
      <c r="CC258">
        <f>1925.008</f>
        <v>1925.008</v>
      </c>
      <c r="CD258">
        <f>2049.479</f>
        <v>2049.4789999999998</v>
      </c>
      <c r="CE258">
        <f>2468.162</f>
        <v>2468.1619999999998</v>
      </c>
      <c r="CF258">
        <f>2617.01</f>
        <v>2617.0100000000002</v>
      </c>
      <c r="CG258">
        <f>2322.692</f>
        <v>2322.692</v>
      </c>
      <c r="CH258">
        <f>1143.063</f>
        <v>1143.0630000000001</v>
      </c>
      <c r="CI258">
        <f>1249.136</f>
        <v>1249.136</v>
      </c>
      <c r="CJ258">
        <f>1960.69</f>
        <v>1960.69</v>
      </c>
      <c r="CK258">
        <f>2404.584</f>
        <v>2404.5839999999998</v>
      </c>
      <c r="CL258">
        <f>1268.794</f>
        <v>1268.7940000000001</v>
      </c>
      <c r="CM258">
        <f>1744.462</f>
        <v>1744.462</v>
      </c>
      <c r="CN258">
        <f>1778.526</f>
        <v>1778.5260000000001</v>
      </c>
      <c r="CO258">
        <f>1069.898</f>
        <v>1069.8979999999999</v>
      </c>
      <c r="CP258">
        <f>1280.287</f>
        <v>1280.287</v>
      </c>
      <c r="CQ258">
        <f>1015.801</f>
        <v>1015.801</v>
      </c>
      <c r="CR258">
        <f>2011.67</f>
        <v>2011.67</v>
      </c>
      <c r="CS258">
        <f>2396.062</f>
        <v>2396.0619999999999</v>
      </c>
      <c r="CT258">
        <f>1895.503</f>
        <v>1895.5029999999999</v>
      </c>
      <c r="CU258">
        <f>2128.56</f>
        <v>2128.56</v>
      </c>
      <c r="CV258">
        <f>1588.428</f>
        <v>1588.4280000000001</v>
      </c>
      <c r="CW258">
        <f>1606.58187</f>
        <v>1606.58187</v>
      </c>
      <c r="CX258">
        <f>754.498</f>
        <v>754.49800000000005</v>
      </c>
      <c r="CY258" t="str">
        <f>""</f>
        <v/>
      </c>
      <c r="CZ258">
        <f>667.554</f>
        <v>667.55399999999997</v>
      </c>
      <c r="DA258" t="str">
        <f>""</f>
        <v/>
      </c>
      <c r="DB258" t="str">
        <f>""</f>
        <v/>
      </c>
      <c r="DC258">
        <f>1288.315</f>
        <v>1288.3150000000001</v>
      </c>
      <c r="DD258">
        <f>2460.507</f>
        <v>2460.5070000000001</v>
      </c>
      <c r="DE258">
        <f>2466.08553</f>
        <v>2466.0855299999998</v>
      </c>
      <c r="DF258">
        <f>2586.157</f>
        <v>2586.1570000000002</v>
      </c>
      <c r="DG258">
        <f>1064.296</f>
        <v>1064.296</v>
      </c>
      <c r="DH258">
        <f>1642.682</f>
        <v>1642.682</v>
      </c>
      <c r="DI258">
        <f>847.871</f>
        <v>847.87099999999998</v>
      </c>
      <c r="DJ258">
        <f>285.64133</f>
        <v>285.64132999999998</v>
      </c>
      <c r="DK258" t="str">
        <f>""</f>
        <v/>
      </c>
      <c r="DL258">
        <f>723.79</f>
        <v>723.79</v>
      </c>
      <c r="DM258" t="str">
        <f>""</f>
        <v/>
      </c>
      <c r="DN258" t="str">
        <f>""</f>
        <v/>
      </c>
      <c r="DO258" t="str">
        <f>""</f>
        <v/>
      </c>
      <c r="DP258" t="str">
        <f>""</f>
        <v/>
      </c>
      <c r="DQ258" t="str">
        <f>""</f>
        <v/>
      </c>
      <c r="DR258" t="str">
        <f>""</f>
        <v/>
      </c>
      <c r="DS258" t="str">
        <f>""</f>
        <v/>
      </c>
      <c r="DT258" t="str">
        <f>""</f>
        <v/>
      </c>
      <c r="DU258" t="str">
        <f>""</f>
        <v/>
      </c>
    </row>
    <row r="259" spans="1:125">
      <c r="A259" t="str">
        <f>"    Brandywine Realty Trust"</f>
        <v xml:space="preserve">    Brandywine Realty Trust</v>
      </c>
      <c r="B259" t="str">
        <f>"BDN US Equity"</f>
        <v>BDN US Equity</v>
      </c>
      <c r="E259" t="str">
        <f t="shared" si="69"/>
        <v>Expression</v>
      </c>
      <c r="F259" t="str">
        <f ca="1">IF(AND($B$294=1,LEN($F$299) * LEN($F$300) * LEN($F$301)&gt;0),$F$299+$F$300-$F$301,HLOOKUP(INDIRECT(ADDRESS(2,COLUMN())),OFFSET($BN$2,0,0,ROW()-1,60),ROW()-1,FALSE))</f>
        <v/>
      </c>
      <c r="G259">
        <f ca="1">IF(AND($B$294=1,LEN($G$299) * LEN($G$300) * LEN($G$301)&gt;0),$G$299+$G$300-$G$301,HLOOKUP(INDIRECT(ADDRESS(2,COLUMN())),OFFSET($BN$2,0,0,ROW()-1,60),ROW()-1,FALSE))</f>
        <v>792.20500000000004</v>
      </c>
      <c r="H259">
        <f ca="1">IF(AND($B$294=1,LEN($H$299) * LEN($H$300) * LEN($H$301)&gt;0),$H$299+$H$300-$H$301,HLOOKUP(INDIRECT(ADDRESS(2,COLUMN())),OFFSET($BN$2,0,0,ROW()-1,60),ROW()-1,FALSE))</f>
        <v>432.55200000000002</v>
      </c>
      <c r="I259">
        <f ca="1">IF(AND($B$294=1,LEN($I$299) * LEN($I$300) * LEN($I$301)&gt;0),$I$299+$I$300-$I$301,HLOOKUP(INDIRECT(ADDRESS(2,COLUMN())),OFFSET($BN$2,0,0,ROW()-1,60),ROW()-1,FALSE))</f>
        <v>422.97500000000002</v>
      </c>
      <c r="J259">
        <f ca="1">IF(AND($B$294=1,LEN($J$299) * LEN($J$300) * LEN($J$301)&gt;0),$J$299+$J$300-$J$301,HLOOKUP(INDIRECT(ADDRESS(2,COLUMN())),OFFSET($BN$2,0,0,ROW()-1,60),ROW()-1,FALSE))</f>
        <v>518.50099999999998</v>
      </c>
      <c r="K259">
        <f ca="1">IF(AND($B$294=1,LEN($K$299) * LEN($K$300) * LEN($K$301)&gt;0),$K$299+$K$300-$K$301,HLOOKUP(INDIRECT(ADDRESS(2,COLUMN())),OFFSET($BN$2,0,0,ROW()-1,60),ROW()-1,FALSE))</f>
        <v>475.84100000000001</v>
      </c>
      <c r="L259">
        <f ca="1">IF(AND($B$294=1,LEN($L$299) * LEN($L$300) * LEN($L$301)&gt;0),$L$299+$L$300-$L$301,HLOOKUP(INDIRECT(ADDRESS(2,COLUMN())),OFFSET($BN$2,0,0,ROW()-1,60),ROW()-1,FALSE))</f>
        <v>803.601</v>
      </c>
      <c r="M259">
        <f ca="1">IF(AND($B$294=1,LEN($M$299) * LEN($M$300) * LEN($M$301)&gt;0),$M$299+$M$300-$M$301,HLOOKUP(INDIRECT(ADDRESS(2,COLUMN())),OFFSET($BN$2,0,0,ROW()-1,60),ROW()-1,FALSE))</f>
        <v>848.65300000000002</v>
      </c>
      <c r="N259">
        <f ca="1">IF(AND($B$294=1,LEN($N$299) * LEN($N$300) * LEN($N$301)&gt;0),$N$299+$N$300-$N$301,HLOOKUP(INDIRECT(ADDRESS(2,COLUMN())),OFFSET($BN$2,0,0,ROW()-1,60),ROW()-1,FALSE))</f>
        <v>769.89</v>
      </c>
      <c r="O259">
        <f ca="1">IF(AND($B$294=1,LEN($O$299) * LEN($O$300) * LEN($O$301)&gt;0),$O$299+$O$300-$O$301,HLOOKUP(INDIRECT(ADDRESS(2,COLUMN())),OFFSET($BN$2,0,0,ROW()-1,60),ROW()-1,FALSE))</f>
        <v>392.79500000000002</v>
      </c>
      <c r="P259">
        <f ca="1">IF(AND($B$294=1,LEN($P$299) * LEN($P$300) * LEN($P$301)&gt;0),$P$299+$P$300-$P$301,HLOOKUP(INDIRECT(ADDRESS(2,COLUMN())),OFFSET($BN$2,0,0,ROW()-1,60),ROW()-1,FALSE))</f>
        <v>545.34100000000001</v>
      </c>
      <c r="Q259">
        <f ca="1">IF(AND($B$294=1,LEN($Q$299) * LEN($Q$300) * LEN($Q$301)&gt;0),$Q$299+$Q$300-$Q$301,HLOOKUP(INDIRECT(ADDRESS(2,COLUMN())),OFFSET($BN$2,0,0,ROW()-1,60),ROW()-1,FALSE))</f>
        <v>616.52599999999995</v>
      </c>
      <c r="R259">
        <f ca="1">IF(AND($B$294=1,LEN($R$299) * LEN($R$300) * LEN($R$301)&gt;0),$R$299+$R$300-$R$301,HLOOKUP(INDIRECT(ADDRESS(2,COLUMN())),OFFSET($BN$2,0,0,ROW()-1,60),ROW()-1,FALSE))</f>
        <v>796.37800000000004</v>
      </c>
      <c r="S259" t="str">
        <f ca="1">IF(AND($B$294=1,LEN($S$299) * LEN($S$300) * LEN($S$301)&gt;0),$S$299+$S$300-$S$301,HLOOKUP(INDIRECT(ADDRESS(2,COLUMN())),OFFSET($BN$2,0,0,ROW()-1,60),ROW()-1,FALSE))</f>
        <v/>
      </c>
      <c r="T259">
        <f ca="1">IF(AND($B$294=1,LEN($T$299) * LEN($T$300) * LEN($T$301)&gt;0),$T$299+$T$300-$T$301,HLOOKUP(INDIRECT(ADDRESS(2,COLUMN())),OFFSET($BN$2,0,0,ROW()-1,60),ROW()-1,FALSE))</f>
        <v>1007.162</v>
      </c>
      <c r="U259">
        <f ca="1">IF(AND($B$294=1,LEN($U$299) * LEN($U$300) * LEN($U$301)&gt;0),$U$299+$U$300-$U$301,HLOOKUP(INDIRECT(ADDRESS(2,COLUMN())),OFFSET($BN$2,0,0,ROW()-1,60),ROW()-1,FALSE))</f>
        <v>607.76599999999996</v>
      </c>
      <c r="V259">
        <f ca="1">IF(AND($B$294=1,LEN($V$299) * LEN($V$300) * LEN($V$301)&gt;0),$V$299+$V$300-$V$301,HLOOKUP(INDIRECT(ADDRESS(2,COLUMN())),OFFSET($BN$2,0,0,ROW()-1,60),ROW()-1,FALSE))</f>
        <v>605.62699999999995</v>
      </c>
      <c r="W259">
        <f ca="1">IF(AND($B$294=1,LEN($W$299) * LEN($W$300) * LEN($W$301)&gt;0),$W$299+$W$300-$W$301,HLOOKUP(INDIRECT(ADDRESS(2,COLUMN())),OFFSET($BN$2,0,0,ROW()-1,60),ROW()-1,FALSE))</f>
        <v>630.83199999999999</v>
      </c>
      <c r="X259">
        <f ca="1">IF(AND($B$294=1,LEN($X$299) * LEN($X$300) * LEN($X$301)&gt;0),$X$299+$X$300-$X$301,HLOOKUP(INDIRECT(ADDRESS(2,COLUMN())),OFFSET($BN$2,0,0,ROW()-1,60),ROW()-1,FALSE))</f>
        <v>781.33100000000002</v>
      </c>
      <c r="Y259">
        <f ca="1">IF(AND($B$294=1,LEN($Y$299) * LEN($Y$300) * LEN($Y$301)&gt;0),$Y$299+$Y$300-$Y$301,HLOOKUP(INDIRECT(ADDRESS(2,COLUMN())),OFFSET($BN$2,0,0,ROW()-1,60),ROW()-1,FALSE))</f>
        <v>809.34799999999996</v>
      </c>
      <c r="Z259">
        <f ca="1">IF(AND($B$294=1,LEN($Z$299) * LEN($Z$300) * LEN($Z$301)&gt;0),$Z$299+$Z$300-$Z$301,HLOOKUP(INDIRECT(ADDRESS(2,COLUMN())),OFFSET($BN$2,0,0,ROW()-1,60),ROW()-1,FALSE))</f>
        <v>638.50099999999998</v>
      </c>
      <c r="AA259">
        <f ca="1">IF(AND($B$294=1,LEN($AA$299) * LEN($AA$300) * LEN($AA$301)&gt;0),$AA$299+$AA$300-$AA$301,HLOOKUP(INDIRECT(ADDRESS(2,COLUMN())),OFFSET($BN$2,0,0,ROW()-1,60),ROW()-1,FALSE))</f>
        <v>520.41200000000003</v>
      </c>
      <c r="AB259">
        <f ca="1">IF(AND($B$294=1,LEN($AB$299) * LEN($AB$300) * LEN($AB$301)&gt;0),$AB$299+$AB$300-$AB$301,HLOOKUP(INDIRECT(ADDRESS(2,COLUMN())),OFFSET($BN$2,0,0,ROW()-1,60),ROW()-1,FALSE))</f>
        <v>835.55399999999997</v>
      </c>
      <c r="AC259">
        <f ca="1">IF(AND($B$294=1,LEN($AC$299) * LEN($AC$300) * LEN($AC$301)&gt;0),$AC$299+$AC$300-$AC$301,HLOOKUP(INDIRECT(ADDRESS(2,COLUMN())),OFFSET($BN$2,0,0,ROW()-1,60),ROW()-1,FALSE))</f>
        <v>780.41099999999994</v>
      </c>
      <c r="AD259">
        <f ca="1">IF(AND($B$294=1,LEN($AD$299) * LEN($AD$300) * LEN($AD$301)&gt;0),$AD$299+$AD$300-$AD$301,HLOOKUP(INDIRECT(ADDRESS(2,COLUMN())),OFFSET($BN$2,0,0,ROW()-1,60),ROW()-1,FALSE))</f>
        <v>720.38900000000001</v>
      </c>
      <c r="AE259">
        <f ca="1">IF(AND($B$294=1,LEN($AE$299) * LEN($AE$300) * LEN($AE$301)&gt;0),$AE$299+$AE$300-$AE$301,HLOOKUP(INDIRECT(ADDRESS(2,COLUMN())),OFFSET($BN$2,0,0,ROW()-1,60),ROW()-1,FALSE))</f>
        <v>-154.47900000000001</v>
      </c>
      <c r="AF259">
        <f ca="1">IF(AND($B$294=1,LEN($AF$299) * LEN($AF$300) * LEN($AF$301)&gt;0),$AF$299+$AF$300-$AF$301,HLOOKUP(INDIRECT(ADDRESS(2,COLUMN())),OFFSET($BN$2,0,0,ROW()-1,60),ROW()-1,FALSE))</f>
        <v>366.37400000000002</v>
      </c>
      <c r="AG259">
        <f ca="1">IF(AND($B$294=1,LEN($AG$299) * LEN($AG$300) * LEN($AG$301)&gt;0),$AG$299+$AG$300-$AG$301,HLOOKUP(INDIRECT(ADDRESS(2,COLUMN())),OFFSET($BN$2,0,0,ROW()-1,60),ROW()-1,FALSE))</f>
        <v>542.09400000000005</v>
      </c>
      <c r="AH259">
        <f ca="1">IF(AND($B$294=1,LEN($AH$299) * LEN($AH$300) * LEN($AH$301)&gt;0),$AH$299+$AH$300-$AH$301,HLOOKUP(INDIRECT(ADDRESS(2,COLUMN())),OFFSET($BN$2,0,0,ROW()-1,60),ROW()-1,FALSE))</f>
        <v>208.524</v>
      </c>
      <c r="AI259">
        <f ca="1">IF(AND($B$294=1,LEN($AI$299) * LEN($AI$300) * LEN($AI$301)&gt;0),$AI$299+$AI$300-$AI$301,HLOOKUP(INDIRECT(ADDRESS(2,COLUMN())),OFFSET($BN$2,0,0,ROW()-1,60),ROW()-1,FALSE))</f>
        <v>-132.01300000000001</v>
      </c>
      <c r="AJ259">
        <f ca="1">IF(AND($B$294=1,LEN($AJ$299) * LEN($AJ$300) * LEN($AJ$301)&gt;0),$AJ$299+$AJ$300-$AJ$301,HLOOKUP(INDIRECT(ADDRESS(2,COLUMN())),OFFSET($BN$2,0,0,ROW()-1,60),ROW()-1,FALSE))</f>
        <v>426.09</v>
      </c>
      <c r="AK259">
        <f ca="1">IF(AND($B$294=1,LEN($AK$299) * LEN($AK$300) * LEN($AK$301)&gt;0),$AK$299+$AK$300-$AK$301,HLOOKUP(INDIRECT(ADDRESS(2,COLUMN())),OFFSET($BN$2,0,0,ROW()-1,60),ROW()-1,FALSE))</f>
        <v>91.712999999999994</v>
      </c>
      <c r="AL259">
        <f ca="1">IF(AND($B$294=1,LEN($AL$299) * LEN($AL$300) * LEN($AL$301)&gt;0),$AL$299+$AL$300-$AL$301,HLOOKUP(INDIRECT(ADDRESS(2,COLUMN())),OFFSET($BN$2,0,0,ROW()-1,60),ROW()-1,FALSE))</f>
        <v>-46.100999999999999</v>
      </c>
      <c r="AM259">
        <f ca="1">IF(AND($B$294=1,LEN($AM$299) * LEN($AM$300) * LEN($AM$301)&gt;0),$AM$299+$AM$300-$AM$301,HLOOKUP(INDIRECT(ADDRESS(2,COLUMN())),OFFSET($BN$2,0,0,ROW()-1,60),ROW()-1,FALSE))</f>
        <v>12.306100000000001</v>
      </c>
      <c r="AN259">
        <f ca="1">IF(AND($B$294=1,LEN($AN$299) * LEN($AN$300) * LEN($AN$301)&gt;0),$AN$299+$AN$300-$AN$301,HLOOKUP(INDIRECT(ADDRESS(2,COLUMN())),OFFSET($BN$2,0,0,ROW()-1,60),ROW()-1,FALSE))</f>
        <v>355.59199999999998</v>
      </c>
      <c r="AO259">
        <f ca="1">IF(AND($B$294=1,LEN($AO$299) * LEN($AO$300) * LEN($AO$301)&gt;0),$AO$299+$AO$300-$AO$301,HLOOKUP(INDIRECT(ADDRESS(2,COLUMN())),OFFSET($BN$2,0,0,ROW()-1,60),ROW()-1,FALSE))</f>
        <v>179.05</v>
      </c>
      <c r="AP259">
        <f ca="1">IF(AND($B$294=1,LEN($AP$299) * LEN($AP$300) * LEN($AP$301)&gt;0),$AP$299+$AP$300-$AP$301,HLOOKUP(INDIRECT(ADDRESS(2,COLUMN())),OFFSET($BN$2,0,0,ROW()-1,60),ROW()-1,FALSE))</f>
        <v>-82.284000000000006</v>
      </c>
      <c r="AQ259" t="str">
        <f ca="1">IF(AND($B$294=1,LEN($AQ$299) * LEN($AQ$300) * LEN($AQ$301)&gt;0),$AQ$299+$AQ$300-$AQ$301,HLOOKUP(INDIRECT(ADDRESS(2,COLUMN())),OFFSET($BN$2,0,0,ROW()-1,60),ROW()-1,FALSE))</f>
        <v/>
      </c>
      <c r="AR259">
        <f ca="1">IF(AND($B$294=1,LEN($AR$299) * LEN($AR$300) * LEN($AR$301)&gt;0),$AR$299+$AR$300-$AR$301,HLOOKUP(INDIRECT(ADDRESS(2,COLUMN())),OFFSET($BN$2,0,0,ROW()-1,60),ROW()-1,FALSE))</f>
        <v>104.295</v>
      </c>
      <c r="AS259">
        <f ca="1">IF(AND($B$294=1,LEN($AS$299) * LEN($AS$300) * LEN($AS$301)&gt;0),$AS$299+$AS$300-$AS$301,HLOOKUP(INDIRECT(ADDRESS(2,COLUMN())),OFFSET($BN$2,0,0,ROW()-1,60),ROW()-1,FALSE))</f>
        <v>-166.77199999999999</v>
      </c>
      <c r="AT259">
        <f ca="1">IF(AND($B$294=1,LEN($AT$299) * LEN($AT$300) * LEN($AT$301)&gt;0),$AT$299+$AT$300-$AT$301,HLOOKUP(INDIRECT(ADDRESS(2,COLUMN())),OFFSET($BN$2,0,0,ROW()-1,60),ROW()-1,FALSE))</f>
        <v>185.381</v>
      </c>
      <c r="AU259">
        <f ca="1">IF(AND($B$294=1,LEN($AU$299) * LEN($AU$300) * LEN($AU$301)&gt;0),$AU$299+$AU$300-$AU$301,HLOOKUP(INDIRECT(ADDRESS(2,COLUMN())),OFFSET($BN$2,0,0,ROW()-1,60),ROW()-1,FALSE))</f>
        <v>91.14</v>
      </c>
      <c r="AV259">
        <f ca="1">IF(AND($B$294=1,LEN($AV$299) * LEN($AV$300) * LEN($AV$301)&gt;0),$AV$299+$AV$300-$AV$301,HLOOKUP(INDIRECT(ADDRESS(2,COLUMN())),OFFSET($BN$2,0,0,ROW()-1,60),ROW()-1,FALSE))</f>
        <v>171.24799999999999</v>
      </c>
      <c r="AW259">
        <f ca="1">IF(AND($B$294=1,LEN($AW$299) * LEN($AW$300) * LEN($AW$301)&gt;0),$AW$299+$AW$300-$AW$301,HLOOKUP(INDIRECT(ADDRESS(2,COLUMN())),OFFSET($BN$2,0,0,ROW()-1,60),ROW()-1,FALSE))</f>
        <v>252.786</v>
      </c>
      <c r="AX259">
        <f ca="1">IF(AND($B$294=1,LEN($AX$299) * LEN($AX$300) * LEN($AX$301)&gt;0),$AX$299+$AX$300-$AX$301,HLOOKUP(INDIRECT(ADDRESS(2,COLUMN())),OFFSET($BN$2,0,0,ROW()-1,60),ROW()-1,FALSE))</f>
        <v>-92.224999999999994</v>
      </c>
      <c r="AY259">
        <f ca="1">IF(AND($B$294=1,LEN($AY$299) * LEN($AY$300) * LEN($AY$301)&gt;0),$AY$299+$AY$300-$AY$301,HLOOKUP(INDIRECT(ADDRESS(2,COLUMN())),OFFSET($BN$2,0,0,ROW()-1,60),ROW()-1,FALSE))</f>
        <v>520.73599999999999</v>
      </c>
      <c r="AZ259" t="str">
        <f ca="1">IF(AND($B$294=1,LEN($AZ$299) * LEN($AZ$300) * LEN($AZ$301)&gt;0),$AZ$299+$AZ$300-$AZ$301,HLOOKUP(INDIRECT(ADDRESS(2,COLUMN())),OFFSET($BN$2,0,0,ROW()-1,60),ROW()-1,FALSE))</f>
        <v/>
      </c>
      <c r="BA259" t="str">
        <f ca="1">IF(AND($B$294=1,LEN($BA$299) * LEN($BA$300) * LEN($BA$301)&gt;0),$BA$299+$BA$300-$BA$301,HLOOKUP(INDIRECT(ADDRESS(2,COLUMN())),OFFSET($BN$2,0,0,ROW()-1,60),ROW()-1,FALSE))</f>
        <v/>
      </c>
      <c r="BB259">
        <f ca="1">IF(AND($B$294=1,LEN($BB$299) * LEN($BB$300) * LEN($BB$301)&gt;0),$BB$299+$BB$300-$BB$301,HLOOKUP(INDIRECT(ADDRESS(2,COLUMN())),OFFSET($BN$2,0,0,ROW()-1,60),ROW()-1,FALSE))</f>
        <v>324.315</v>
      </c>
      <c r="BC259" t="str">
        <f ca="1">IF(AND($B$294=1,LEN($BC$299) * LEN($BC$300) * LEN($BC$301)&gt;0),$BC$299+$BC$300-$BC$301,HLOOKUP(INDIRECT(ADDRESS(2,COLUMN())),OFFSET($BN$2,0,0,ROW()-1,60),ROW()-1,FALSE))</f>
        <v/>
      </c>
      <c r="BD259" t="str">
        <f ca="1">IF(AND($B$294=1,LEN($BD$299) * LEN($BD$300) * LEN($BD$301)&gt;0),$BD$299+$BD$300-$BD$301,HLOOKUP(INDIRECT(ADDRESS(2,COLUMN())),OFFSET($BN$2,0,0,ROW()-1,60),ROW()-1,FALSE))</f>
        <v/>
      </c>
      <c r="BE259">
        <f ca="1">IF(AND($B$294=1,LEN($BE$299) * LEN($BE$300) * LEN($BE$301)&gt;0),$BE$299+$BE$300-$BE$301,HLOOKUP(INDIRECT(ADDRESS(2,COLUMN())),OFFSET($BN$2,0,0,ROW()-1,60),ROW()-1,FALSE))</f>
        <v>168.733</v>
      </c>
      <c r="BF259" t="str">
        <f ca="1">IF(AND($B$294=1,LEN($BF$299) * LEN($BF$300) * LEN($BF$301)&gt;0),$BF$299+$BF$300-$BF$301,HLOOKUP(INDIRECT(ADDRESS(2,COLUMN())),OFFSET($BN$2,0,0,ROW()-1,60),ROW()-1,FALSE))</f>
        <v/>
      </c>
      <c r="BG259">
        <f ca="1">IF(AND($B$294=1,LEN($BG$299) * LEN($BG$300) * LEN($BG$301)&gt;0),$BG$299+$BG$300-$BG$301,HLOOKUP(INDIRECT(ADDRESS(2,COLUMN())),OFFSET($BN$2,0,0,ROW()-1,60),ROW()-1,FALSE))</f>
        <v>294.00299999999999</v>
      </c>
      <c r="BH259" t="str">
        <f ca="1">IF(AND($B$294=1,LEN($BH$299) * LEN($BH$300) * LEN($BH$301)&gt;0),$BH$299+$BH$300-$BH$301,HLOOKUP(INDIRECT(ADDRESS(2,COLUMN())),OFFSET($BN$2,0,0,ROW()-1,60),ROW()-1,FALSE))</f>
        <v/>
      </c>
      <c r="BI259" t="str">
        <f ca="1">IF(AND($B$294=1,LEN($BI$299) * LEN($BI$300) * LEN($BI$301)&gt;0),$BI$299+$BI$300-$BI$301,HLOOKUP(INDIRECT(ADDRESS(2,COLUMN())),OFFSET($BN$2,0,0,ROW()-1,60),ROW()-1,FALSE))</f>
        <v/>
      </c>
      <c r="BJ259" t="str">
        <f ca="1">IF(AND($B$294=1,LEN($BJ$299) * LEN($BJ$300) * LEN($BJ$301)&gt;0),$BJ$299+$BJ$300-$BJ$301,HLOOKUP(INDIRECT(ADDRESS(2,COLUMN())),OFFSET($BN$2,0,0,ROW()-1,60),ROW()-1,FALSE))</f>
        <v/>
      </c>
      <c r="BK259" t="str">
        <f ca="1">IF(AND($B$294=1,LEN($BK$299) * LEN($BK$300) * LEN($BK$301)&gt;0),$BK$299+$BK$300-$BK$301,HLOOKUP(INDIRECT(ADDRESS(2,COLUMN())),OFFSET($BN$2,0,0,ROW()-1,60),ROW()-1,FALSE))</f>
        <v/>
      </c>
      <c r="BL259" t="str">
        <f ca="1">IF(AND($B$294=1,LEN($BL$299) * LEN($BL$300) * LEN($BL$301)&gt;0),$BL$299+$BL$300-$BL$301,HLOOKUP(INDIRECT(ADDRESS(2,COLUMN())),OFFSET($BN$2,0,0,ROW()-1,60),ROW()-1,FALSE))</f>
        <v/>
      </c>
      <c r="BM259" t="str">
        <f ca="1">IF(AND($B$294=1,LEN($BM$299) * LEN($BM$300) * LEN($BM$301)&gt;0),$BM$299+$BM$300-$BM$301,HLOOKUP(INDIRECT(ADDRESS(2,COLUMN())),OFFSET($BN$2,0,0,ROW()-1,60),ROW()-1,FALSE))</f>
        <v/>
      </c>
      <c r="BN259" t="str">
        <f>""</f>
        <v/>
      </c>
      <c r="BO259">
        <f>792.205</f>
        <v>792.20500000000004</v>
      </c>
      <c r="BP259">
        <f>432.552</f>
        <v>432.55200000000002</v>
      </c>
      <c r="BQ259">
        <f>422.975</f>
        <v>422.97500000000002</v>
      </c>
      <c r="BR259">
        <f>518.501</f>
        <v>518.50099999999998</v>
      </c>
      <c r="BS259">
        <f>475.841</f>
        <v>475.84100000000001</v>
      </c>
      <c r="BT259">
        <f>803.601</f>
        <v>803.601</v>
      </c>
      <c r="BU259">
        <f>848.653</f>
        <v>848.65300000000002</v>
      </c>
      <c r="BV259">
        <f>769.89</f>
        <v>769.89</v>
      </c>
      <c r="BW259">
        <f>392.795</f>
        <v>392.79500000000002</v>
      </c>
      <c r="BX259">
        <f>545.341</f>
        <v>545.34100000000001</v>
      </c>
      <c r="BY259">
        <f>616.526</f>
        <v>616.52599999999995</v>
      </c>
      <c r="BZ259">
        <f>796.378</f>
        <v>796.37800000000004</v>
      </c>
      <c r="CA259" t="str">
        <f>""</f>
        <v/>
      </c>
      <c r="CB259">
        <f>1007.162</f>
        <v>1007.162</v>
      </c>
      <c r="CC259">
        <f>607.766</f>
        <v>607.76599999999996</v>
      </c>
      <c r="CD259">
        <f>605.627</f>
        <v>605.62699999999995</v>
      </c>
      <c r="CE259">
        <f>630.832</f>
        <v>630.83199999999999</v>
      </c>
      <c r="CF259">
        <f>781.331</f>
        <v>781.33100000000002</v>
      </c>
      <c r="CG259">
        <f>809.348</f>
        <v>809.34799999999996</v>
      </c>
      <c r="CH259">
        <f>638.501</f>
        <v>638.50099999999998</v>
      </c>
      <c r="CI259">
        <f>520.412</f>
        <v>520.41200000000003</v>
      </c>
      <c r="CJ259">
        <f>835.554</f>
        <v>835.55399999999997</v>
      </c>
      <c r="CK259">
        <f>780.411</f>
        <v>780.41099999999994</v>
      </c>
      <c r="CL259">
        <f>720.389</f>
        <v>720.38900000000001</v>
      </c>
      <c r="CM259">
        <f>-154.479</f>
        <v>-154.47900000000001</v>
      </c>
      <c r="CN259">
        <f>366.374</f>
        <v>366.37400000000002</v>
      </c>
      <c r="CO259">
        <f>542.094</f>
        <v>542.09400000000005</v>
      </c>
      <c r="CP259">
        <f>208.524</f>
        <v>208.524</v>
      </c>
      <c r="CQ259">
        <f>-132.013</f>
        <v>-132.01300000000001</v>
      </c>
      <c r="CR259">
        <f>426.09</f>
        <v>426.09</v>
      </c>
      <c r="CS259">
        <f>91.713</f>
        <v>91.712999999999994</v>
      </c>
      <c r="CT259">
        <f>-46.101</f>
        <v>-46.100999999999999</v>
      </c>
      <c r="CU259">
        <f>12.3061</f>
        <v>12.306100000000001</v>
      </c>
      <c r="CV259">
        <f>355.592</f>
        <v>355.59199999999998</v>
      </c>
      <c r="CW259">
        <f>179.05</f>
        <v>179.05</v>
      </c>
      <c r="CX259">
        <f>-82.284</f>
        <v>-82.284000000000006</v>
      </c>
      <c r="CY259" t="str">
        <f>""</f>
        <v/>
      </c>
      <c r="CZ259">
        <f>104.295</f>
        <v>104.295</v>
      </c>
      <c r="DA259">
        <f>-166.772</f>
        <v>-166.77199999999999</v>
      </c>
      <c r="DB259">
        <f>185.381</f>
        <v>185.381</v>
      </c>
      <c r="DC259">
        <f>91.14</f>
        <v>91.14</v>
      </c>
      <c r="DD259">
        <f>171.248</f>
        <v>171.24799999999999</v>
      </c>
      <c r="DE259">
        <f>252.786</f>
        <v>252.786</v>
      </c>
      <c r="DF259">
        <f>-92.225</f>
        <v>-92.224999999999994</v>
      </c>
      <c r="DG259">
        <f>520.736</f>
        <v>520.73599999999999</v>
      </c>
      <c r="DH259" t="str">
        <f>""</f>
        <v/>
      </c>
      <c r="DI259" t="str">
        <f>""</f>
        <v/>
      </c>
      <c r="DJ259">
        <f>324.315</f>
        <v>324.315</v>
      </c>
      <c r="DK259" t="str">
        <f>""</f>
        <v/>
      </c>
      <c r="DL259" t="str">
        <f>""</f>
        <v/>
      </c>
      <c r="DM259">
        <f>168.733</f>
        <v>168.733</v>
      </c>
      <c r="DN259" t="str">
        <f>""</f>
        <v/>
      </c>
      <c r="DO259">
        <f>294.003</f>
        <v>294.00299999999999</v>
      </c>
      <c r="DP259" t="str">
        <f>""</f>
        <v/>
      </c>
      <c r="DQ259" t="str">
        <f>""</f>
        <v/>
      </c>
      <c r="DR259" t="str">
        <f>""</f>
        <v/>
      </c>
      <c r="DS259" t="str">
        <f>""</f>
        <v/>
      </c>
      <c r="DT259" t="str">
        <f>""</f>
        <v/>
      </c>
      <c r="DU259" t="str">
        <f>""</f>
        <v/>
      </c>
    </row>
    <row r="260" spans="1:125">
      <c r="A260" t="str">
        <f>"    Columbia Property Trust Inc"</f>
        <v xml:space="preserve">    Columbia Property Trust Inc</v>
      </c>
      <c r="B260" t="str">
        <f>"CXP US Equity"</f>
        <v>CXP US Equity</v>
      </c>
      <c r="E260" t="str">
        <f t="shared" si="69"/>
        <v>Expression</v>
      </c>
      <c r="F260" t="str">
        <f ca="1">IF(AND($B$294=1,LEN($F$302) * LEN($F$303) * LEN($F$304)&gt;0),$F$302+$F$303-$F$304,HLOOKUP(INDIRECT(ADDRESS(2,COLUMN())),OFFSET($BN$2,0,0,ROW()-1,60),ROW()-1,FALSE))</f>
        <v/>
      </c>
      <c r="G260">
        <f ca="1">IF(AND($B$294=1,LEN($G$302) * LEN($G$303) * LEN($G$304)&gt;0),$G$302+$G$303-$G$304,HLOOKUP(INDIRECT(ADDRESS(2,COLUMN())),OFFSET($BN$2,0,0,ROW()-1,60),ROW()-1,FALSE))</f>
        <v>186.39099999999999</v>
      </c>
      <c r="H260">
        <f ca="1">IF(AND($B$294=1,LEN($H$302) * LEN($H$303) * LEN($H$304)&gt;0),$H$302+$H$303-$H$304,HLOOKUP(INDIRECT(ADDRESS(2,COLUMN())),OFFSET($BN$2,0,0,ROW()-1,60),ROW()-1,FALSE))</f>
        <v>832.928</v>
      </c>
      <c r="I260">
        <f ca="1">IF(AND($B$294=1,LEN($I$302) * LEN($I$303) * LEN($I$304)&gt;0),$I$302+$I$303-$I$304,HLOOKUP(INDIRECT(ADDRESS(2,COLUMN())),OFFSET($BN$2,0,0,ROW()-1,60),ROW()-1,FALSE))</f>
        <v>954.64</v>
      </c>
      <c r="J260">
        <f ca="1">IF(AND($B$294=1,LEN($J$302) * LEN($J$303) * LEN($J$304)&gt;0),$J$302+$J$303-$J$304,HLOOKUP(INDIRECT(ADDRESS(2,COLUMN())),OFFSET($BN$2,0,0,ROW()-1,60),ROW()-1,FALSE))</f>
        <v>1001.333</v>
      </c>
      <c r="K260">
        <f ca="1">IF(AND($B$294=1,LEN($K$302) * LEN($K$303) * LEN($K$304)&gt;0),$K$302+$K$303-$K$304,HLOOKUP(INDIRECT(ADDRESS(2,COLUMN())),OFFSET($BN$2,0,0,ROW()-1,60),ROW()-1,FALSE))</f>
        <v>588.35699999999997</v>
      </c>
      <c r="L260">
        <f ca="1">IF(AND($B$294=1,LEN($L$302) * LEN($L$303) * LEN($L$304)&gt;0),$L$302+$L$303-$L$304,HLOOKUP(INDIRECT(ADDRESS(2,COLUMN())),OFFSET($BN$2,0,0,ROW()-1,60),ROW()-1,FALSE))</f>
        <v>590.46600000000001</v>
      </c>
      <c r="M260">
        <f ca="1">IF(AND($B$294=1,LEN($M$302) * LEN($M$303) * LEN($M$304)&gt;0),$M$302+$M$303-$M$304,HLOOKUP(INDIRECT(ADDRESS(2,COLUMN())),OFFSET($BN$2,0,0,ROW()-1,60),ROW()-1,FALSE))</f>
        <v>188.041</v>
      </c>
      <c r="N260">
        <f ca="1">IF(AND($B$294=1,LEN($N$302) * LEN($N$303) * LEN($N$304)&gt;0),$N$302+$N$303-$N$304,HLOOKUP(INDIRECT(ADDRESS(2,COLUMN())),OFFSET($BN$2,0,0,ROW()-1,60),ROW()-1,FALSE))</f>
        <v>201.25700000000001</v>
      </c>
      <c r="O260">
        <f ca="1">IF(AND($B$294=1,LEN($O$302) * LEN($O$303) * LEN($O$304)&gt;0),$O$302+$O$303-$O$304,HLOOKUP(INDIRECT(ADDRESS(2,COLUMN())),OFFSET($BN$2,0,0,ROW()-1,60),ROW()-1,FALSE))</f>
        <v>122.185</v>
      </c>
      <c r="P260">
        <f ca="1">IF(AND($B$294=1,LEN($P$302) * LEN($P$303) * LEN($P$304)&gt;0),$P$302+$P$303-$P$304,HLOOKUP(INDIRECT(ADDRESS(2,COLUMN())),OFFSET($BN$2,0,0,ROW()-1,60),ROW()-1,FALSE))</f>
        <v>279.49799999999999</v>
      </c>
      <c r="Q260">
        <f ca="1">IF(AND($B$294=1,LEN($Q$302) * LEN($Q$303) * LEN($Q$304)&gt;0),$Q$302+$Q$303-$Q$304,HLOOKUP(INDIRECT(ADDRESS(2,COLUMN())),OFFSET($BN$2,0,0,ROW()-1,60),ROW()-1,FALSE))</f>
        <v>215.108</v>
      </c>
      <c r="R260">
        <f ca="1">IF(AND($B$294=1,LEN($R$302) * LEN($R$303) * LEN($R$304)&gt;0),$R$302+$R$303-$R$304,HLOOKUP(INDIRECT(ADDRESS(2,COLUMN())),OFFSET($BN$2,0,0,ROW()-1,60),ROW()-1,FALSE))</f>
        <v>216.40899999999999</v>
      </c>
      <c r="S260">
        <f ca="1">IF(AND($B$294=1,LEN($S$302) * LEN($S$303) * LEN($S$304)&gt;0),$S$302+$S$303-$S$304,HLOOKUP(INDIRECT(ADDRESS(2,COLUMN())),OFFSET($BN$2,0,0,ROW()-1,60),ROW()-1,FALSE))</f>
        <v>438.96899999999999</v>
      </c>
      <c r="T260">
        <f ca="1">IF(AND($B$294=1,LEN($T$302) * LEN($T$303) * LEN($T$304)&gt;0),$T$302+$T$303-$T$304,HLOOKUP(INDIRECT(ADDRESS(2,COLUMN())),OFFSET($BN$2,0,0,ROW()-1,60),ROW()-1,FALSE))</f>
        <v>386.65899999999999</v>
      </c>
      <c r="U260">
        <f ca="1">IF(AND($B$294=1,LEN($U$302) * LEN($U$303) * LEN($U$304)&gt;0),$U$302+$U$303-$U$304,HLOOKUP(INDIRECT(ADDRESS(2,COLUMN())),OFFSET($BN$2,0,0,ROW()-1,60),ROW()-1,FALSE))</f>
        <v>463.89499999999998</v>
      </c>
      <c r="V260">
        <f ca="1">IF(AND($B$294=1,LEN($V$302) * LEN($V$303) * LEN($V$304)&gt;0),$V$302+$V$303-$V$304,HLOOKUP(INDIRECT(ADDRESS(2,COLUMN())),OFFSET($BN$2,0,0,ROW()-1,60),ROW()-1,FALSE))</f>
        <v>574.62699999999995</v>
      </c>
      <c r="W260">
        <f ca="1">IF(AND($B$294=1,LEN($W$302) * LEN($W$303) * LEN($W$304)&gt;0),$W$302+$W$303-$W$304,HLOOKUP(INDIRECT(ADDRESS(2,COLUMN())),OFFSET($BN$2,0,0,ROW()-1,60),ROW()-1,FALSE))</f>
        <v>538.23900000000003</v>
      </c>
      <c r="X260">
        <f ca="1">IF(AND($B$294=1,LEN($X$302) * LEN($X$303) * LEN($X$304)&gt;0),$X$302+$X$303-$X$304,HLOOKUP(INDIRECT(ADDRESS(2,COLUMN())),OFFSET($BN$2,0,0,ROW()-1,60),ROW()-1,FALSE))</f>
        <v>429.27199999999999</v>
      </c>
      <c r="Y260">
        <f ca="1">IF(AND($B$294=1,LEN($Y$302) * LEN($Y$303) * LEN($Y$304)&gt;0),$Y$302+$Y$303-$Y$304,HLOOKUP(INDIRECT(ADDRESS(2,COLUMN())),OFFSET($BN$2,0,0,ROW()-1,60),ROW()-1,FALSE))</f>
        <v>482.98</v>
      </c>
      <c r="Z260">
        <f ca="1">IF(AND($B$294=1,LEN($Z$302) * LEN($Z$303) * LEN($Z$304)&gt;0),$Z$302+$Z$303-$Z$304,HLOOKUP(INDIRECT(ADDRESS(2,COLUMN())),OFFSET($BN$2,0,0,ROW()-1,60),ROW()-1,FALSE))</f>
        <v>515.4</v>
      </c>
      <c r="AA260">
        <f ca="1">IF(AND($B$294=1,LEN($AA$302) * LEN($AA$303) * LEN($AA$304)&gt;0),$AA$302+$AA$303-$AA$304,HLOOKUP(INDIRECT(ADDRESS(2,COLUMN())),OFFSET($BN$2,0,0,ROW()-1,60),ROW()-1,FALSE))</f>
        <v>482.90199999999999</v>
      </c>
      <c r="AB260">
        <f ca="1">IF(AND($B$294=1,LEN($AB$302) * LEN($AB$303) * LEN($AB$304)&gt;0),$AB$302+$AB$303-$AB$304,HLOOKUP(INDIRECT(ADDRESS(2,COLUMN())),OFFSET($BN$2,0,0,ROW()-1,60),ROW()-1,FALSE))</f>
        <v>482.83600000000001</v>
      </c>
      <c r="AC260">
        <f ca="1">IF(AND($B$294=1,LEN($AC$302) * LEN($AC$303) * LEN($AC$304)&gt;0),$AC$302+$AC$303-$AC$304,HLOOKUP(INDIRECT(ADDRESS(2,COLUMN())),OFFSET($BN$2,0,0,ROW()-1,60),ROW()-1,FALSE))</f>
        <v>462.42599999999999</v>
      </c>
      <c r="AD260">
        <f ca="1">IF(AND($B$294=1,LEN($AD$302) * LEN($AD$303) * LEN($AD$304)&gt;0),$AD$302+$AD$303-$AD$304,HLOOKUP(INDIRECT(ADDRESS(2,COLUMN())),OFFSET($BN$2,0,0,ROW()-1,60),ROW()-1,FALSE))</f>
        <v>447.38099999999997</v>
      </c>
      <c r="AE260">
        <f ca="1">IF(AND($B$294=1,LEN($AE$302) * LEN($AE$303) * LEN($AE$304)&gt;0),$AE$302+$AE$303-$AE$304,HLOOKUP(INDIRECT(ADDRESS(2,COLUMN())),OFFSET($BN$2,0,0,ROW()-1,60),ROW()-1,FALSE))</f>
        <v>19.277000000000001</v>
      </c>
      <c r="AF260">
        <f ca="1">IF(AND($B$294=1,LEN($AF$302) * LEN($AF$303) * LEN($AF$304)&gt;0),$AF$302+$AF$303-$AF$304,HLOOKUP(INDIRECT(ADDRESS(2,COLUMN())),OFFSET($BN$2,0,0,ROW()-1,60),ROW()-1,FALSE))</f>
        <v>310.803</v>
      </c>
      <c r="AG260">
        <f ca="1">IF(AND($B$294=1,LEN($AG$302) * LEN($AG$303) * LEN($AG$304)&gt;0),$AG$302+$AG$303-$AG$304,HLOOKUP(INDIRECT(ADDRESS(2,COLUMN())),OFFSET($BN$2,0,0,ROW()-1,60),ROW()-1,FALSE))</f>
        <v>369.99299999999999</v>
      </c>
      <c r="AH260">
        <f ca="1">IF(AND($B$294=1,LEN($AH$302) * LEN($AH$303) * LEN($AH$304)&gt;0),$AH$302+$AH$303-$AH$304,HLOOKUP(INDIRECT(ADDRESS(2,COLUMN())),OFFSET($BN$2,0,0,ROW()-1,60),ROW()-1,FALSE))</f>
        <v>-191.47200000000001</v>
      </c>
      <c r="AI260">
        <f ca="1">IF(AND($B$294=1,LEN($AI$302) * LEN($AI$303) * LEN($AI$304)&gt;0),$AI$302+$AI$303-$AI$304,HLOOKUP(INDIRECT(ADDRESS(2,COLUMN())),OFFSET($BN$2,0,0,ROW()-1,60),ROW()-1,FALSE))</f>
        <v>418.49900000000002</v>
      </c>
      <c r="AJ260">
        <f ca="1">IF(AND($B$294=1,LEN($AJ$302) * LEN($AJ$303) * LEN($AJ$304)&gt;0),$AJ$302+$AJ$303-$AJ$304,HLOOKUP(INDIRECT(ADDRESS(2,COLUMN())),OFFSET($BN$2,0,0,ROW()-1,60),ROW()-1,FALSE))</f>
        <v>497.06</v>
      </c>
      <c r="AK260">
        <f ca="1">IF(AND($B$294=1,LEN($AK$302) * LEN($AK$303) * LEN($AK$304)&gt;0),$AK$302+$AK$303-$AK$304,HLOOKUP(INDIRECT(ADDRESS(2,COLUMN())),OFFSET($BN$2,0,0,ROW()-1,60),ROW()-1,FALSE))</f>
        <v>472.52800000000002</v>
      </c>
      <c r="AL260">
        <f ca="1">IF(AND($B$294=1,LEN($AL$302) * LEN($AL$303) * LEN($AL$304)&gt;0),$AL$302+$AL$303-$AL$304,HLOOKUP(INDIRECT(ADDRESS(2,COLUMN())),OFFSET($BN$2,0,0,ROW()-1,60),ROW()-1,FALSE))</f>
        <v>264.45600000000002</v>
      </c>
      <c r="AM260">
        <f ca="1">IF(AND($B$294=1,LEN($AM$302) * LEN($AM$303) * LEN($AM$304)&gt;0),$AM$302+$AM$303-$AM$304,HLOOKUP(INDIRECT(ADDRESS(2,COLUMN())),OFFSET($BN$2,0,0,ROW()-1,60),ROW()-1,FALSE))</f>
        <v>212.81899999999999</v>
      </c>
      <c r="AN260">
        <f ca="1">IF(AND($B$294=1,LEN($AN$302) * LEN($AN$303) * LEN($AN$304)&gt;0),$AN$302+$AN$303-$AN$304,HLOOKUP(INDIRECT(ADDRESS(2,COLUMN())),OFFSET($BN$2,0,0,ROW()-1,60),ROW()-1,FALSE))</f>
        <v>165.29599999999999</v>
      </c>
      <c r="AO260">
        <f ca="1">IF(AND($B$294=1,LEN($AO$302) * LEN($AO$303) * LEN($AO$304)&gt;0),$AO$302+$AO$303-$AO$304,HLOOKUP(INDIRECT(ADDRESS(2,COLUMN())),OFFSET($BN$2,0,0,ROW()-1,60),ROW()-1,FALSE))</f>
        <v>47.012</v>
      </c>
      <c r="AP260">
        <f ca="1">IF(AND($B$294=1,LEN($AP$302) * LEN($AP$303) * LEN($AP$304)&gt;0),$AP$302+$AP$303-$AP$304,HLOOKUP(INDIRECT(ADDRESS(2,COLUMN())),OFFSET($BN$2,0,0,ROW()-1,60),ROW()-1,FALSE))</f>
        <v>-96.304000000000002</v>
      </c>
      <c r="AQ260" t="str">
        <f ca="1">IF(AND($B$294=1,LEN($AQ$302) * LEN($AQ$303) * LEN($AQ$304)&gt;0),$AQ$302+$AQ$303-$AQ$304,HLOOKUP(INDIRECT(ADDRESS(2,COLUMN())),OFFSET($BN$2,0,0,ROW()-1,60),ROW()-1,FALSE))</f>
        <v/>
      </c>
      <c r="AR260" t="str">
        <f ca="1">IF(AND($B$294=1,LEN($AR$302) * LEN($AR$303) * LEN($AR$304)&gt;0),$AR$302+$AR$303-$AR$304,HLOOKUP(INDIRECT(ADDRESS(2,COLUMN())),OFFSET($BN$2,0,0,ROW()-1,60),ROW()-1,FALSE))</f>
        <v/>
      </c>
      <c r="AS260" t="str">
        <f ca="1">IF(AND($B$294=1,LEN($AS$302) * LEN($AS$303) * LEN($AS$304)&gt;0),$AS$302+$AS$303-$AS$304,HLOOKUP(INDIRECT(ADDRESS(2,COLUMN())),OFFSET($BN$2,0,0,ROW()-1,60),ROW()-1,FALSE))</f>
        <v/>
      </c>
      <c r="AT260" t="str">
        <f ca="1">IF(AND($B$294=1,LEN($AT$302) * LEN($AT$303) * LEN($AT$304)&gt;0),$AT$302+$AT$303-$AT$304,HLOOKUP(INDIRECT(ADDRESS(2,COLUMN())),OFFSET($BN$2,0,0,ROW()-1,60),ROW()-1,FALSE))</f>
        <v/>
      </c>
      <c r="AU260" t="str">
        <f ca="1">IF(AND($B$294=1,LEN($AU$302) * LEN($AU$303) * LEN($AU$304)&gt;0),$AU$302+$AU$303-$AU$304,HLOOKUP(INDIRECT(ADDRESS(2,COLUMN())),OFFSET($BN$2,0,0,ROW()-1,60),ROW()-1,FALSE))</f>
        <v/>
      </c>
      <c r="AV260" t="str">
        <f ca="1">IF(AND($B$294=1,LEN($AV$302) * LEN($AV$303) * LEN($AV$304)&gt;0),$AV$302+$AV$303-$AV$304,HLOOKUP(INDIRECT(ADDRESS(2,COLUMN())),OFFSET($BN$2,0,0,ROW()-1,60),ROW()-1,FALSE))</f>
        <v/>
      </c>
      <c r="AW260" t="str">
        <f ca="1">IF(AND($B$294=1,LEN($AW$302) * LEN($AW$303) * LEN($AW$304)&gt;0),$AW$302+$AW$303-$AW$304,HLOOKUP(INDIRECT(ADDRESS(2,COLUMN())),OFFSET($BN$2,0,0,ROW()-1,60),ROW()-1,FALSE))</f>
        <v/>
      </c>
      <c r="AX260" t="str">
        <f ca="1">IF(AND($B$294=1,LEN($AX$302) * LEN($AX$303) * LEN($AX$304)&gt;0),$AX$302+$AX$303-$AX$304,HLOOKUP(INDIRECT(ADDRESS(2,COLUMN())),OFFSET($BN$2,0,0,ROW()-1,60),ROW()-1,FALSE))</f>
        <v/>
      </c>
      <c r="AY260" t="str">
        <f ca="1">IF(AND($B$294=1,LEN($AY$302) * LEN($AY$303) * LEN($AY$304)&gt;0),$AY$302+$AY$303-$AY$304,HLOOKUP(INDIRECT(ADDRESS(2,COLUMN())),OFFSET($BN$2,0,0,ROW()-1,60),ROW()-1,FALSE))</f>
        <v/>
      </c>
      <c r="AZ260" t="str">
        <f ca="1">IF(AND($B$294=1,LEN($AZ$302) * LEN($AZ$303) * LEN($AZ$304)&gt;0),$AZ$302+$AZ$303-$AZ$304,HLOOKUP(INDIRECT(ADDRESS(2,COLUMN())),OFFSET($BN$2,0,0,ROW()-1,60),ROW()-1,FALSE))</f>
        <v/>
      </c>
      <c r="BA260" t="str">
        <f ca="1">IF(AND($B$294=1,LEN($BA$302) * LEN($BA$303) * LEN($BA$304)&gt;0),$BA$302+$BA$303-$BA$304,HLOOKUP(INDIRECT(ADDRESS(2,COLUMN())),OFFSET($BN$2,0,0,ROW()-1,60),ROW()-1,FALSE))</f>
        <v/>
      </c>
      <c r="BB260" t="str">
        <f ca="1">IF(AND($B$294=1,LEN($BB$302) * LEN($BB$303) * LEN($BB$304)&gt;0),$BB$302+$BB$303-$BB$304,HLOOKUP(INDIRECT(ADDRESS(2,COLUMN())),OFFSET($BN$2,0,0,ROW()-1,60),ROW()-1,FALSE))</f>
        <v/>
      </c>
      <c r="BC260" t="str">
        <f ca="1">IF(AND($B$294=1,LEN($BC$302) * LEN($BC$303) * LEN($BC$304)&gt;0),$BC$302+$BC$303-$BC$304,HLOOKUP(INDIRECT(ADDRESS(2,COLUMN())),OFFSET($BN$2,0,0,ROW()-1,60),ROW()-1,FALSE))</f>
        <v/>
      </c>
      <c r="BD260" t="str">
        <f ca="1">IF(AND($B$294=1,LEN($BD$302) * LEN($BD$303) * LEN($BD$304)&gt;0),$BD$302+$BD$303-$BD$304,HLOOKUP(INDIRECT(ADDRESS(2,COLUMN())),OFFSET($BN$2,0,0,ROW()-1,60),ROW()-1,FALSE))</f>
        <v/>
      </c>
      <c r="BE260" t="str">
        <f ca="1">IF(AND($B$294=1,LEN($BE$302) * LEN($BE$303) * LEN($BE$304)&gt;0),$BE$302+$BE$303-$BE$304,HLOOKUP(INDIRECT(ADDRESS(2,COLUMN())),OFFSET($BN$2,0,0,ROW()-1,60),ROW()-1,FALSE))</f>
        <v/>
      </c>
      <c r="BF260" t="str">
        <f ca="1">IF(AND($B$294=1,LEN($BF$302) * LEN($BF$303) * LEN($BF$304)&gt;0),$BF$302+$BF$303-$BF$304,HLOOKUP(INDIRECT(ADDRESS(2,COLUMN())),OFFSET($BN$2,0,0,ROW()-1,60),ROW()-1,FALSE))</f>
        <v/>
      </c>
      <c r="BG260" t="str">
        <f ca="1">IF(AND($B$294=1,LEN($BG$302) * LEN($BG$303) * LEN($BG$304)&gt;0),$BG$302+$BG$303-$BG$304,HLOOKUP(INDIRECT(ADDRESS(2,COLUMN())),OFFSET($BN$2,0,0,ROW()-1,60),ROW()-1,FALSE))</f>
        <v/>
      </c>
      <c r="BH260" t="str">
        <f ca="1">IF(AND($B$294=1,LEN($BH$302) * LEN($BH$303) * LEN($BH$304)&gt;0),$BH$302+$BH$303-$BH$304,HLOOKUP(INDIRECT(ADDRESS(2,COLUMN())),OFFSET($BN$2,0,0,ROW()-1,60),ROW()-1,FALSE))</f>
        <v/>
      </c>
      <c r="BI260" t="str">
        <f ca="1">IF(AND($B$294=1,LEN($BI$302) * LEN($BI$303) * LEN($BI$304)&gt;0),$BI$302+$BI$303-$BI$304,HLOOKUP(INDIRECT(ADDRESS(2,COLUMN())),OFFSET($BN$2,0,0,ROW()-1,60),ROW()-1,FALSE))</f>
        <v/>
      </c>
      <c r="BJ260" t="str">
        <f ca="1">IF(AND($B$294=1,LEN($BJ$302) * LEN($BJ$303) * LEN($BJ$304)&gt;0),$BJ$302+$BJ$303-$BJ$304,HLOOKUP(INDIRECT(ADDRESS(2,COLUMN())),OFFSET($BN$2,0,0,ROW()-1,60),ROW()-1,FALSE))</f>
        <v/>
      </c>
      <c r="BK260" t="str">
        <f ca="1">IF(AND($B$294=1,LEN($BK$302) * LEN($BK$303) * LEN($BK$304)&gt;0),$BK$302+$BK$303-$BK$304,HLOOKUP(INDIRECT(ADDRESS(2,COLUMN())),OFFSET($BN$2,0,0,ROW()-1,60),ROW()-1,FALSE))</f>
        <v/>
      </c>
      <c r="BL260" t="str">
        <f ca="1">IF(AND($B$294=1,LEN($BL$302) * LEN($BL$303) * LEN($BL$304)&gt;0),$BL$302+$BL$303-$BL$304,HLOOKUP(INDIRECT(ADDRESS(2,COLUMN())),OFFSET($BN$2,0,0,ROW()-1,60),ROW()-1,FALSE))</f>
        <v/>
      </c>
      <c r="BM260" t="str">
        <f ca="1">IF(AND($B$294=1,LEN($BM$302) * LEN($BM$303) * LEN($BM$304)&gt;0),$BM$302+$BM$303-$BM$304,HLOOKUP(INDIRECT(ADDRESS(2,COLUMN())),OFFSET($BN$2,0,0,ROW()-1,60),ROW()-1,FALSE))</f>
        <v/>
      </c>
      <c r="BN260" t="str">
        <f>""</f>
        <v/>
      </c>
      <c r="BO260">
        <f>186.391</f>
        <v>186.39099999999999</v>
      </c>
      <c r="BP260">
        <f>832.928</f>
        <v>832.928</v>
      </c>
      <c r="BQ260">
        <f>954.64</f>
        <v>954.64</v>
      </c>
      <c r="BR260">
        <f>1001.333</f>
        <v>1001.333</v>
      </c>
      <c r="BS260">
        <f>588.357</f>
        <v>588.35699999999997</v>
      </c>
      <c r="BT260">
        <f>590.466</f>
        <v>590.46600000000001</v>
      </c>
      <c r="BU260">
        <f>188.041</f>
        <v>188.041</v>
      </c>
      <c r="BV260">
        <f>201.257</f>
        <v>201.25700000000001</v>
      </c>
      <c r="BW260">
        <f>122.185</f>
        <v>122.185</v>
      </c>
      <c r="BX260">
        <f>279.498</f>
        <v>279.49799999999999</v>
      </c>
      <c r="BY260">
        <f>215.108</f>
        <v>215.108</v>
      </c>
      <c r="BZ260">
        <f>216.409</f>
        <v>216.40899999999999</v>
      </c>
      <c r="CA260">
        <f>438.969</f>
        <v>438.96899999999999</v>
      </c>
      <c r="CB260">
        <f>386.659</f>
        <v>386.65899999999999</v>
      </c>
      <c r="CC260">
        <f>463.895</f>
        <v>463.89499999999998</v>
      </c>
      <c r="CD260">
        <f>574.627</f>
        <v>574.62699999999995</v>
      </c>
      <c r="CE260">
        <f>538.239</f>
        <v>538.23900000000003</v>
      </c>
      <c r="CF260">
        <f>429.272</f>
        <v>429.27199999999999</v>
      </c>
      <c r="CG260">
        <f>482.98</f>
        <v>482.98</v>
      </c>
      <c r="CH260">
        <f>515.4</f>
        <v>515.4</v>
      </c>
      <c r="CI260">
        <f>482.902</f>
        <v>482.90199999999999</v>
      </c>
      <c r="CJ260">
        <f>482.836</f>
        <v>482.83600000000001</v>
      </c>
      <c r="CK260">
        <f>462.426</f>
        <v>462.42599999999999</v>
      </c>
      <c r="CL260">
        <f>447.381</f>
        <v>447.38099999999997</v>
      </c>
      <c r="CM260">
        <f>19.277</f>
        <v>19.277000000000001</v>
      </c>
      <c r="CN260">
        <f>310.803</f>
        <v>310.803</v>
      </c>
      <c r="CO260">
        <f>369.993</f>
        <v>369.99299999999999</v>
      </c>
      <c r="CP260">
        <f>-191.472</f>
        <v>-191.47200000000001</v>
      </c>
      <c r="CQ260">
        <f>418.499</f>
        <v>418.49900000000002</v>
      </c>
      <c r="CR260">
        <f>497.06</f>
        <v>497.06</v>
      </c>
      <c r="CS260">
        <f>472.528</f>
        <v>472.52800000000002</v>
      </c>
      <c r="CT260">
        <f>264.456</f>
        <v>264.45600000000002</v>
      </c>
      <c r="CU260">
        <f>212.819</f>
        <v>212.81899999999999</v>
      </c>
      <c r="CV260">
        <f>165.296</f>
        <v>165.29599999999999</v>
      </c>
      <c r="CW260">
        <f>47.012</f>
        <v>47.012</v>
      </c>
      <c r="CX260">
        <f>-96.304</f>
        <v>-96.304000000000002</v>
      </c>
      <c r="CY260" t="str">
        <f>""</f>
        <v/>
      </c>
      <c r="CZ260" t="str">
        <f>""</f>
        <v/>
      </c>
      <c r="DA260" t="str">
        <f>""</f>
        <v/>
      </c>
      <c r="DB260" t="str">
        <f>""</f>
        <v/>
      </c>
      <c r="DC260" t="str">
        <f>""</f>
        <v/>
      </c>
      <c r="DD260" t="str">
        <f>""</f>
        <v/>
      </c>
      <c r="DE260" t="str">
        <f>""</f>
        <v/>
      </c>
      <c r="DF260" t="str">
        <f>""</f>
        <v/>
      </c>
      <c r="DG260" t="str">
        <f>""</f>
        <v/>
      </c>
      <c r="DH260" t="str">
        <f>""</f>
        <v/>
      </c>
      <c r="DI260" t="str">
        <f>""</f>
        <v/>
      </c>
      <c r="DJ260" t="str">
        <f>""</f>
        <v/>
      </c>
      <c r="DK260" t="str">
        <f>""</f>
        <v/>
      </c>
      <c r="DL260" t="str">
        <f>""</f>
        <v/>
      </c>
      <c r="DM260" t="str">
        <f>""</f>
        <v/>
      </c>
      <c r="DN260" t="str">
        <f>""</f>
        <v/>
      </c>
      <c r="DO260" t="str">
        <f>""</f>
        <v/>
      </c>
      <c r="DP260" t="str">
        <f>""</f>
        <v/>
      </c>
      <c r="DQ260" t="str">
        <f>""</f>
        <v/>
      </c>
      <c r="DR260" t="str">
        <f>""</f>
        <v/>
      </c>
      <c r="DS260" t="str">
        <f>""</f>
        <v/>
      </c>
      <c r="DT260" t="str">
        <f>""</f>
        <v/>
      </c>
      <c r="DU260" t="str">
        <f>""</f>
        <v/>
      </c>
    </row>
    <row r="261" spans="1:125">
      <c r="A261" t="str">
        <f>"    Corporate Office Properties Tr"</f>
        <v xml:space="preserve">    Corporate Office Properties Tr</v>
      </c>
      <c r="B261" t="str">
        <f>"OFC US Equity"</f>
        <v>OFC US Equity</v>
      </c>
      <c r="E261" t="str">
        <f t="shared" si="69"/>
        <v>Expression</v>
      </c>
      <c r="F261" t="str">
        <f ca="1">IF(AND($B$294=1,LEN($F$305) * LEN($F$306) * LEN($F$307)&gt;0),$F$305+$F$306-$F$307,HLOOKUP(INDIRECT(ADDRESS(2,COLUMN())),OFFSET($BN$2,0,0,ROW()-1,60),ROW()-1,FALSE))</f>
        <v/>
      </c>
      <c r="G261">
        <f ca="1">IF(AND($B$294=1,LEN($G$305) * LEN($G$306) * LEN($G$307)&gt;0),$G$305+$G$306-$G$307,HLOOKUP(INDIRECT(ADDRESS(2,COLUMN())),OFFSET($BN$2,0,0,ROW()-1,60),ROW()-1,FALSE))</f>
        <v>808.02</v>
      </c>
      <c r="H261">
        <f ca="1">IF(AND($B$294=1,LEN($H$305) * LEN($H$306) * LEN($H$307)&gt;0),$H$305+$H$306-$H$307,HLOOKUP(INDIRECT(ADDRESS(2,COLUMN())),OFFSET($BN$2,0,0,ROW()-1,60),ROW()-1,FALSE))</f>
        <v>809.82500000000005</v>
      </c>
      <c r="I261">
        <f ca="1">IF(AND($B$294=1,LEN($I$305) * LEN($I$306) * LEN($I$307)&gt;0),$I$305+$I$306-$I$307,HLOOKUP(INDIRECT(ADDRESS(2,COLUMN())),OFFSET($BN$2,0,0,ROW()-1,60),ROW()-1,FALSE))</f>
        <v>808.74400000000003</v>
      </c>
      <c r="J261">
        <f ca="1">IF(AND($B$294=1,LEN($J$305) * LEN($J$306) * LEN($J$307)&gt;0),$J$305+$J$306-$J$307,HLOOKUP(INDIRECT(ADDRESS(2,COLUMN())),OFFSET($BN$2,0,0,ROW()-1,60),ROW()-1,FALSE))</f>
        <v>1023.417</v>
      </c>
      <c r="K261">
        <f ca="1">IF(AND($B$294=1,LEN($K$305) * LEN($K$306) * LEN($K$307)&gt;0),$K$305+$K$306-$K$307,HLOOKUP(INDIRECT(ADDRESS(2,COLUMN())),OFFSET($BN$2,0,0,ROW()-1,60),ROW()-1,FALSE))</f>
        <v>1005.802</v>
      </c>
      <c r="L261">
        <f ca="1">IF(AND($B$294=1,LEN($L$305) * LEN($L$306) * LEN($L$307)&gt;0),$L$305+$L$306-$L$307,HLOOKUP(INDIRECT(ADDRESS(2,COLUMN())),OFFSET($BN$2,0,0,ROW()-1,60),ROW()-1,FALSE))</f>
        <v>846.58500000000004</v>
      </c>
      <c r="M261">
        <f ca="1">IF(AND($B$294=1,LEN($M$305) * LEN($M$306) * LEN($M$307)&gt;0),$M$305+$M$306-$M$307,HLOOKUP(INDIRECT(ADDRESS(2,COLUMN())),OFFSET($BN$2,0,0,ROW()-1,60),ROW()-1,FALSE))</f>
        <v>576.04700000000003</v>
      </c>
      <c r="N261">
        <f ca="1">IF(AND($B$294=1,LEN($N$305) * LEN($N$306) * LEN($N$307)&gt;0),$N$305+$N$306-$N$307,HLOOKUP(INDIRECT(ADDRESS(2,COLUMN())),OFFSET($BN$2,0,0,ROW()-1,60),ROW()-1,FALSE))</f>
        <v>534.42999999999995</v>
      </c>
      <c r="O261">
        <f ca="1">IF(AND($B$294=1,LEN($O$305) * LEN($O$306) * LEN($O$307)&gt;0),$O$305+$O$306-$O$307,HLOOKUP(INDIRECT(ADDRESS(2,COLUMN())),OFFSET($BN$2,0,0,ROW()-1,60),ROW()-1,FALSE))</f>
        <v>593.90099999999995</v>
      </c>
      <c r="P261">
        <f ca="1">IF(AND($B$294=1,LEN($P$305) * LEN($P$306) * LEN($P$307)&gt;0),$P$305+$P$306-$P$307,HLOOKUP(INDIRECT(ADDRESS(2,COLUMN())),OFFSET($BN$2,0,0,ROW()-1,60),ROW()-1,FALSE))</f>
        <v>664.23099999999999</v>
      </c>
      <c r="Q261">
        <f ca="1">IF(AND($B$294=1,LEN($Q$305) * LEN($Q$306) * LEN($Q$307)&gt;0),$Q$305+$Q$306-$Q$307,HLOOKUP(INDIRECT(ADDRESS(2,COLUMN())),OFFSET($BN$2,0,0,ROW()-1,60),ROW()-1,FALSE))</f>
        <v>632.72299999999996</v>
      </c>
      <c r="R261">
        <f ca="1">IF(AND($B$294=1,LEN($R$305) * LEN($R$306) * LEN($R$307)&gt;0),$R$305+$R$306-$R$307,HLOOKUP(INDIRECT(ADDRESS(2,COLUMN())),OFFSET($BN$2,0,0,ROW()-1,60),ROW()-1,FALSE))</f>
        <v>283.78300000000002</v>
      </c>
      <c r="S261" t="str">
        <f ca="1">IF(AND($B$294=1,LEN($S$305) * LEN($S$306) * LEN($S$307)&gt;0),$S$305+$S$306-$S$307,HLOOKUP(INDIRECT(ADDRESS(2,COLUMN())),OFFSET($BN$2,0,0,ROW()-1,60),ROW()-1,FALSE))</f>
        <v/>
      </c>
      <c r="T261">
        <f ca="1">IF(AND($B$294=1,LEN($T$305) * LEN($T$306) * LEN($T$307)&gt;0),$T$305+$T$306-$T$307,HLOOKUP(INDIRECT(ADDRESS(2,COLUMN())),OFFSET($BN$2,0,0,ROW()-1,60),ROW()-1,FALSE))</f>
        <v>673.56399999999996</v>
      </c>
      <c r="U261">
        <f ca="1">IF(AND($B$294=1,LEN($U$305) * LEN($U$306) * LEN($U$307)&gt;0),$U$305+$U$306-$U$307,HLOOKUP(INDIRECT(ADDRESS(2,COLUMN())),OFFSET($BN$2,0,0,ROW()-1,60),ROW()-1,FALSE))</f>
        <v>858.37900000000002</v>
      </c>
      <c r="V261">
        <f ca="1">IF(AND($B$294=1,LEN($V$305) * LEN($V$306) * LEN($V$307)&gt;0),$V$305+$V$306-$V$307,HLOOKUP(INDIRECT(ADDRESS(2,COLUMN())),OFFSET($BN$2,0,0,ROW()-1,60),ROW()-1,FALSE))</f>
        <v>715.995</v>
      </c>
      <c r="W261">
        <f ca="1">IF(AND($B$294=1,LEN($W$305) * LEN($W$306) * LEN($W$307)&gt;0),$W$305+$W$306-$W$307,HLOOKUP(INDIRECT(ADDRESS(2,COLUMN())),OFFSET($BN$2,0,0,ROW()-1,60),ROW()-1,FALSE))</f>
        <v>749.49</v>
      </c>
      <c r="X261">
        <f ca="1">IF(AND($B$294=1,LEN($X$305) * LEN($X$306) * LEN($X$307)&gt;0),$X$305+$X$306-$X$307,HLOOKUP(INDIRECT(ADDRESS(2,COLUMN())),OFFSET($BN$2,0,0,ROW()-1,60),ROW()-1,FALSE))</f>
        <v>825.00699999999995</v>
      </c>
      <c r="Y261">
        <f ca="1">IF(AND($B$294=1,LEN($Y$305) * LEN($Y$306) * LEN($Y$307)&gt;0),$Y$305+$Y$306-$Y$307,HLOOKUP(INDIRECT(ADDRESS(2,COLUMN())),OFFSET($BN$2,0,0,ROW()-1,60),ROW()-1,FALSE))</f>
        <v>649.82899999999995</v>
      </c>
      <c r="Z261">
        <f ca="1">IF(AND($B$294=1,LEN($Z$305) * LEN($Z$306) * LEN($Z$307)&gt;0),$Z$305+$Z$306-$Z$307,HLOOKUP(INDIRECT(ADDRESS(2,COLUMN())),OFFSET($BN$2,0,0,ROW()-1,60),ROW()-1,FALSE))</f>
        <v>728.01900000000001</v>
      </c>
      <c r="AA261">
        <f ca="1">IF(AND($B$294=1,LEN($AA$305) * LEN($AA$306) * LEN($AA$307)&gt;0),$AA$305+$AA$306-$AA$307,HLOOKUP(INDIRECT(ADDRESS(2,COLUMN())),OFFSET($BN$2,0,0,ROW()-1,60),ROW()-1,FALSE))</f>
        <v>681.76499999999999</v>
      </c>
      <c r="AB261">
        <f ca="1">IF(AND($B$294=1,LEN($AB$305) * LEN($AB$306) * LEN($AB$307)&gt;0),$AB$305+$AB$306-$AB$307,HLOOKUP(INDIRECT(ADDRESS(2,COLUMN())),OFFSET($BN$2,0,0,ROW()-1,60),ROW()-1,FALSE))</f>
        <v>703.61900000000003</v>
      </c>
      <c r="AC261">
        <f ca="1">IF(AND($B$294=1,LEN($AC$305) * LEN($AC$306) * LEN($AC$307)&gt;0),$AC$305+$AC$306-$AC$307,HLOOKUP(INDIRECT(ADDRESS(2,COLUMN())),OFFSET($BN$2,0,0,ROW()-1,60),ROW()-1,FALSE))</f>
        <v>769.976</v>
      </c>
      <c r="AD261">
        <f ca="1">IF(AND($B$294=1,LEN($AD$305) * LEN($AD$306) * LEN($AD$307)&gt;0),$AD$305+$AD$306-$AD$307,HLOOKUP(INDIRECT(ADDRESS(2,COLUMN())),OFFSET($BN$2,0,0,ROW()-1,60),ROW()-1,FALSE))</f>
        <v>535.78</v>
      </c>
      <c r="AE261">
        <f ca="1">IF(AND($B$294=1,LEN($AE$305) * LEN($AE$306) * LEN($AE$307)&gt;0),$AE$305+$AE$306-$AE$307,HLOOKUP(INDIRECT(ADDRESS(2,COLUMN())),OFFSET($BN$2,0,0,ROW()-1,60),ROW()-1,FALSE))</f>
        <v>277.49599999999998</v>
      </c>
      <c r="AF261">
        <f ca="1">IF(AND($B$294=1,LEN($AF$305) * LEN($AF$306) * LEN($AF$307)&gt;0),$AF$305+$AF$306-$AF$307,HLOOKUP(INDIRECT(ADDRESS(2,COLUMN())),OFFSET($BN$2,0,0,ROW()-1,60),ROW()-1,FALSE))</f>
        <v>331.34300000000002</v>
      </c>
      <c r="AG261">
        <f ca="1">IF(AND($B$294=1,LEN($AG$305) * LEN($AG$306) * LEN($AG$307)&gt;0),$AG$305+$AG$306-$AG$307,HLOOKUP(INDIRECT(ADDRESS(2,COLUMN())),OFFSET($BN$2,0,0,ROW()-1,60),ROW()-1,FALSE))</f>
        <v>-47.511000000000003</v>
      </c>
      <c r="AH261">
        <f ca="1">IF(AND($B$294=1,LEN($AH$305) * LEN($AH$306) * LEN($AH$307)&gt;0),$AH$305+$AH$306-$AH$307,HLOOKUP(INDIRECT(ADDRESS(2,COLUMN())),OFFSET($BN$2,0,0,ROW()-1,60),ROW()-1,FALSE))</f>
        <v>-180.14599999999999</v>
      </c>
      <c r="AI261">
        <f ca="1">IF(AND($B$294=1,LEN($AI$305) * LEN($AI$306) * LEN($AI$307)&gt;0),$AI$305+$AI$306-$AI$307,HLOOKUP(INDIRECT(ADDRESS(2,COLUMN())),OFFSET($BN$2,0,0,ROW()-1,60),ROW()-1,FALSE))</f>
        <v>-135.976</v>
      </c>
      <c r="AJ261">
        <f ca="1">IF(AND($B$294=1,LEN($AJ$305) * LEN($AJ$306) * LEN($AJ$307)&gt;0),$AJ$305+$AJ$306-$AJ$307,HLOOKUP(INDIRECT(ADDRESS(2,COLUMN())),OFFSET($BN$2,0,0,ROW()-1,60),ROW()-1,FALSE))</f>
        <v>208.24100000000001</v>
      </c>
      <c r="AK261">
        <f ca="1">IF(AND($B$294=1,LEN($AK$305) * LEN($AK$306) * LEN($AK$307)&gt;0),$AK$305+$AK$306-$AK$307,HLOOKUP(INDIRECT(ADDRESS(2,COLUMN())),OFFSET($BN$2,0,0,ROW()-1,60),ROW()-1,FALSE))</f>
        <v>400.10700000000003</v>
      </c>
      <c r="AL261">
        <f ca="1">IF(AND($B$294=1,LEN($AL$305) * LEN($AL$306) * LEN($AL$307)&gt;0),$AL$305+$AL$306-$AL$307,HLOOKUP(INDIRECT(ADDRESS(2,COLUMN())),OFFSET($BN$2,0,0,ROW()-1,60),ROW()-1,FALSE))</f>
        <v>149.857</v>
      </c>
      <c r="AM261">
        <f ca="1">IF(AND($B$294=1,LEN($AM$305) * LEN($AM$306) * LEN($AM$307)&gt;0),$AM$305+$AM$306-$AM$307,HLOOKUP(INDIRECT(ADDRESS(2,COLUMN())),OFFSET($BN$2,0,0,ROW()-1,60),ROW()-1,FALSE))</f>
        <v>306.92</v>
      </c>
      <c r="AN261">
        <f ca="1">IF(AND($B$294=1,LEN($AN$305) * LEN($AN$306) * LEN($AN$307)&gt;0),$AN$305+$AN$306-$AN$307,HLOOKUP(INDIRECT(ADDRESS(2,COLUMN())),OFFSET($BN$2,0,0,ROW()-1,60),ROW()-1,FALSE))</f>
        <v>559.29</v>
      </c>
      <c r="AO261">
        <f ca="1">IF(AND($B$294=1,LEN($AO$305) * LEN($AO$306) * LEN($AO$307)&gt;0),$AO$305+$AO$306-$AO$307,HLOOKUP(INDIRECT(ADDRESS(2,COLUMN())),OFFSET($BN$2,0,0,ROW()-1,60),ROW()-1,FALSE))</f>
        <v>198.155</v>
      </c>
      <c r="AP261">
        <f ca="1">IF(AND($B$294=1,LEN($AP$305) * LEN($AP$306) * LEN($AP$307)&gt;0),$AP$305+$AP$306-$AP$307,HLOOKUP(INDIRECT(ADDRESS(2,COLUMN())),OFFSET($BN$2,0,0,ROW()-1,60),ROW()-1,FALSE))</f>
        <v>1.4019999999999999</v>
      </c>
      <c r="AQ261">
        <f ca="1">IF(AND($B$294=1,LEN($AQ$305) * LEN($AQ$306) * LEN($AQ$307)&gt;0),$AQ$305+$AQ$306-$AQ$307,HLOOKUP(INDIRECT(ADDRESS(2,COLUMN())),OFFSET($BN$2,0,0,ROW()-1,60),ROW()-1,FALSE))</f>
        <v>110.29300000000001</v>
      </c>
      <c r="AR261">
        <f ca="1">IF(AND($B$294=1,LEN($AR$305) * LEN($AR$306) * LEN($AR$307)&gt;0),$AR$305+$AR$306-$AR$307,HLOOKUP(INDIRECT(ADDRESS(2,COLUMN())),OFFSET($BN$2,0,0,ROW()-1,60),ROW()-1,FALSE))</f>
        <v>202.7</v>
      </c>
      <c r="AS261">
        <f ca="1">IF(AND($B$294=1,LEN($AS$305) * LEN($AS$306) * LEN($AS$307)&gt;0),$AS$305+$AS$306-$AS$307,HLOOKUP(INDIRECT(ADDRESS(2,COLUMN())),OFFSET($BN$2,0,0,ROW()-1,60),ROW()-1,FALSE))</f>
        <v>-162.959</v>
      </c>
      <c r="AT261">
        <f ca="1">IF(AND($B$294=1,LEN($AT$305) * LEN($AT$306) * LEN($AT$307)&gt;0),$AT$305+$AT$306-$AT$307,HLOOKUP(INDIRECT(ADDRESS(2,COLUMN())),OFFSET($BN$2,0,0,ROW()-1,60),ROW()-1,FALSE))</f>
        <v>-340.94099999999997</v>
      </c>
      <c r="AU261">
        <f ca="1">IF(AND($B$294=1,LEN($AU$305) * LEN($AU$306) * LEN($AU$307)&gt;0),$AU$305+$AU$306-$AU$307,HLOOKUP(INDIRECT(ADDRESS(2,COLUMN())),OFFSET($BN$2,0,0,ROW()-1,60),ROW()-1,FALSE))</f>
        <v>-34.481999999999999</v>
      </c>
      <c r="AV261">
        <f ca="1">IF(AND($B$294=1,LEN($AV$305) * LEN($AV$306) * LEN($AV$307)&gt;0),$AV$305+$AV$306-$AV$307,HLOOKUP(INDIRECT(ADDRESS(2,COLUMN())),OFFSET($BN$2,0,0,ROW()-1,60),ROW()-1,FALSE))</f>
        <v>263.69200000000001</v>
      </c>
      <c r="AW261">
        <f ca="1">IF(AND($B$294=1,LEN($AW$305) * LEN($AW$306) * LEN($AW$307)&gt;0),$AW$305+$AW$306-$AW$307,HLOOKUP(INDIRECT(ADDRESS(2,COLUMN())),OFFSET($BN$2,0,0,ROW()-1,60),ROW()-1,FALSE))</f>
        <v>111.188</v>
      </c>
      <c r="AX261">
        <f ca="1">IF(AND($B$294=1,LEN($AX$305) * LEN($AX$306) * LEN($AX$307)&gt;0),$AX$305+$AX$306-$AX$307,HLOOKUP(INDIRECT(ADDRESS(2,COLUMN())),OFFSET($BN$2,0,0,ROW()-1,60),ROW()-1,FALSE))</f>
        <v>3.3530000000000002</v>
      </c>
      <c r="AY261">
        <f ca="1">IF(AND($B$294=1,LEN($AY$305) * LEN($AY$306) * LEN($AY$307)&gt;0),$AY$305+$AY$306-$AY$307,HLOOKUP(INDIRECT(ADDRESS(2,COLUMN())),OFFSET($BN$2,0,0,ROW()-1,60),ROW()-1,FALSE))</f>
        <v>281.97300000000001</v>
      </c>
      <c r="AZ261" t="str">
        <f ca="1">IF(AND($B$294=1,LEN($AZ$305) * LEN($AZ$306) * LEN($AZ$307)&gt;0),$AZ$305+$AZ$306-$AZ$307,HLOOKUP(INDIRECT(ADDRESS(2,COLUMN())),OFFSET($BN$2,0,0,ROW()-1,60),ROW()-1,FALSE))</f>
        <v/>
      </c>
      <c r="BA261" t="str">
        <f ca="1">IF(AND($B$294=1,LEN($BA$305) * LEN($BA$306) * LEN($BA$307)&gt;0),$BA$305+$BA$306-$BA$307,HLOOKUP(INDIRECT(ADDRESS(2,COLUMN())),OFFSET($BN$2,0,0,ROW()-1,60),ROW()-1,FALSE))</f>
        <v/>
      </c>
      <c r="BB261" t="str">
        <f ca="1">IF(AND($B$294=1,LEN($BB$305) * LEN($BB$306) * LEN($BB$307)&gt;0),$BB$305+$BB$306-$BB$307,HLOOKUP(INDIRECT(ADDRESS(2,COLUMN())),OFFSET($BN$2,0,0,ROW()-1,60),ROW()-1,FALSE))</f>
        <v/>
      </c>
      <c r="BC261" t="str">
        <f ca="1">IF(AND($B$294=1,LEN($BC$305) * LEN($BC$306) * LEN($BC$307)&gt;0),$BC$305+$BC$306-$BC$307,HLOOKUP(INDIRECT(ADDRESS(2,COLUMN())),OFFSET($BN$2,0,0,ROW()-1,60),ROW()-1,FALSE))</f>
        <v/>
      </c>
      <c r="BD261" t="str">
        <f ca="1">IF(AND($B$294=1,LEN($BD$305) * LEN($BD$306) * LEN($BD$307)&gt;0),$BD$305+$BD$306-$BD$307,HLOOKUP(INDIRECT(ADDRESS(2,COLUMN())),OFFSET($BN$2,0,0,ROW()-1,60),ROW()-1,FALSE))</f>
        <v/>
      </c>
      <c r="BE261" t="str">
        <f ca="1">IF(AND($B$294=1,LEN($BE$305) * LEN($BE$306) * LEN($BE$307)&gt;0),$BE$305+$BE$306-$BE$307,HLOOKUP(INDIRECT(ADDRESS(2,COLUMN())),OFFSET($BN$2,0,0,ROW()-1,60),ROW()-1,FALSE))</f>
        <v/>
      </c>
      <c r="BF261" t="str">
        <f ca="1">IF(AND($B$294=1,LEN($BF$305) * LEN($BF$306) * LEN($BF$307)&gt;0),$BF$305+$BF$306-$BF$307,HLOOKUP(INDIRECT(ADDRESS(2,COLUMN())),OFFSET($BN$2,0,0,ROW()-1,60),ROW()-1,FALSE))</f>
        <v/>
      </c>
      <c r="BG261">
        <f ca="1">IF(AND($B$294=1,LEN($BG$305) * LEN($BG$306) * LEN($BG$307)&gt;0),$BG$305+$BG$306-$BG$307,HLOOKUP(INDIRECT(ADDRESS(2,COLUMN())),OFFSET($BN$2,0,0,ROW()-1,60),ROW()-1,FALSE))</f>
        <v>50.195</v>
      </c>
      <c r="BH261" t="str">
        <f ca="1">IF(AND($B$294=1,LEN($BH$305) * LEN($BH$306) * LEN($BH$307)&gt;0),$BH$305+$BH$306-$BH$307,HLOOKUP(INDIRECT(ADDRESS(2,COLUMN())),OFFSET($BN$2,0,0,ROW()-1,60),ROW()-1,FALSE))</f>
        <v/>
      </c>
      <c r="BI261">
        <f ca="1">IF(AND($B$294=1,LEN($BI$305) * LEN($BI$306) * LEN($BI$307)&gt;0),$BI$305+$BI$306-$BI$307,HLOOKUP(INDIRECT(ADDRESS(2,COLUMN())),OFFSET($BN$2,0,0,ROW()-1,60),ROW()-1,FALSE))</f>
        <v>111.846</v>
      </c>
      <c r="BJ261">
        <f ca="1">IF(AND($B$294=1,LEN($BJ$305) * LEN($BJ$306) * LEN($BJ$307)&gt;0),$BJ$305+$BJ$306-$BJ$307,HLOOKUP(INDIRECT(ADDRESS(2,COLUMN())),OFFSET($BN$2,0,0,ROW()-1,60),ROW()-1,FALSE))</f>
        <v>39.197000000000003</v>
      </c>
      <c r="BK261" t="str">
        <f ca="1">IF(AND($B$294=1,LEN($BK$305) * LEN($BK$306) * LEN($BK$307)&gt;0),$BK$305+$BK$306-$BK$307,HLOOKUP(INDIRECT(ADDRESS(2,COLUMN())),OFFSET($BN$2,0,0,ROW()-1,60),ROW()-1,FALSE))</f>
        <v/>
      </c>
      <c r="BL261">
        <f ca="1">IF(AND($B$294=1,LEN($BL$305) * LEN($BL$306) * LEN($BL$307)&gt;0),$BL$305+$BL$306-$BL$307,HLOOKUP(INDIRECT(ADDRESS(2,COLUMN())),OFFSET($BN$2,0,0,ROW()-1,60),ROW()-1,FALSE))</f>
        <v>59.930999999999997</v>
      </c>
      <c r="BM261">
        <f ca="1">IF(AND($B$294=1,LEN($BM$305) * LEN($BM$306) * LEN($BM$307)&gt;0),$BM$305+$BM$306-$BM$307,HLOOKUP(INDIRECT(ADDRESS(2,COLUMN())),OFFSET($BN$2,0,0,ROW()-1,60),ROW()-1,FALSE))</f>
        <v>10.342000000000001</v>
      </c>
      <c r="BN261" t="str">
        <f>""</f>
        <v/>
      </c>
      <c r="BO261">
        <f>808.02</f>
        <v>808.02</v>
      </c>
      <c r="BP261">
        <f>809.825</f>
        <v>809.82500000000005</v>
      </c>
      <c r="BQ261">
        <f>808.744</f>
        <v>808.74400000000003</v>
      </c>
      <c r="BR261">
        <f>1023.417</f>
        <v>1023.417</v>
      </c>
      <c r="BS261">
        <f>1005.802</f>
        <v>1005.802</v>
      </c>
      <c r="BT261">
        <f>846.585</f>
        <v>846.58500000000004</v>
      </c>
      <c r="BU261">
        <f>576.047</f>
        <v>576.04700000000003</v>
      </c>
      <c r="BV261">
        <f>534.43</f>
        <v>534.42999999999995</v>
      </c>
      <c r="BW261">
        <f>593.901</f>
        <v>593.90099999999995</v>
      </c>
      <c r="BX261">
        <f>664.231</f>
        <v>664.23099999999999</v>
      </c>
      <c r="BY261">
        <f>632.723</f>
        <v>632.72299999999996</v>
      </c>
      <c r="BZ261">
        <f>283.783</f>
        <v>283.78300000000002</v>
      </c>
      <c r="CA261" t="str">
        <f>""</f>
        <v/>
      </c>
      <c r="CB261">
        <f>673.564</f>
        <v>673.56399999999996</v>
      </c>
      <c r="CC261">
        <f>858.379</f>
        <v>858.37900000000002</v>
      </c>
      <c r="CD261">
        <f>715.995</f>
        <v>715.995</v>
      </c>
      <c r="CE261">
        <f>749.49</f>
        <v>749.49</v>
      </c>
      <c r="CF261">
        <f>825.007</f>
        <v>825.00699999999995</v>
      </c>
      <c r="CG261">
        <f>649.829</f>
        <v>649.82899999999995</v>
      </c>
      <c r="CH261">
        <f>728.019</f>
        <v>728.01900000000001</v>
      </c>
      <c r="CI261">
        <f>681.765</f>
        <v>681.76499999999999</v>
      </c>
      <c r="CJ261">
        <f>703.619</f>
        <v>703.61900000000003</v>
      </c>
      <c r="CK261">
        <f>769.976</f>
        <v>769.976</v>
      </c>
      <c r="CL261">
        <f>535.78</f>
        <v>535.78</v>
      </c>
      <c r="CM261">
        <f>277.496</f>
        <v>277.49599999999998</v>
      </c>
      <c r="CN261">
        <f>331.343</f>
        <v>331.34300000000002</v>
      </c>
      <c r="CO261">
        <f>-47.511</f>
        <v>-47.511000000000003</v>
      </c>
      <c r="CP261">
        <f>-180.146</f>
        <v>-180.14599999999999</v>
      </c>
      <c r="CQ261">
        <f>-135.976</f>
        <v>-135.976</v>
      </c>
      <c r="CR261">
        <f>208.241</f>
        <v>208.24100000000001</v>
      </c>
      <c r="CS261">
        <f>400.107</f>
        <v>400.10700000000003</v>
      </c>
      <c r="CT261">
        <f>149.857</f>
        <v>149.857</v>
      </c>
      <c r="CU261">
        <f>306.92</f>
        <v>306.92</v>
      </c>
      <c r="CV261">
        <f>559.29</f>
        <v>559.29</v>
      </c>
      <c r="CW261">
        <f>198.155</f>
        <v>198.155</v>
      </c>
      <c r="CX261">
        <f>1.402</f>
        <v>1.4019999999999999</v>
      </c>
      <c r="CY261">
        <f>110.293</f>
        <v>110.29300000000001</v>
      </c>
      <c r="CZ261">
        <f>202.7</f>
        <v>202.7</v>
      </c>
      <c r="DA261">
        <f>-162.959</f>
        <v>-162.959</v>
      </c>
      <c r="DB261">
        <f>-340.941</f>
        <v>-340.94099999999997</v>
      </c>
      <c r="DC261">
        <f>-34.482</f>
        <v>-34.481999999999999</v>
      </c>
      <c r="DD261">
        <f>263.692</f>
        <v>263.69200000000001</v>
      </c>
      <c r="DE261">
        <f>111.188</f>
        <v>111.188</v>
      </c>
      <c r="DF261">
        <f>3.353</f>
        <v>3.3530000000000002</v>
      </c>
      <c r="DG261">
        <f>281.973</f>
        <v>281.97300000000001</v>
      </c>
      <c r="DH261" t="str">
        <f>""</f>
        <v/>
      </c>
      <c r="DI261" t="str">
        <f>""</f>
        <v/>
      </c>
      <c r="DJ261" t="str">
        <f>""</f>
        <v/>
      </c>
      <c r="DK261" t="str">
        <f>""</f>
        <v/>
      </c>
      <c r="DL261" t="str">
        <f>""</f>
        <v/>
      </c>
      <c r="DM261" t="str">
        <f>""</f>
        <v/>
      </c>
      <c r="DN261" t="str">
        <f>""</f>
        <v/>
      </c>
      <c r="DO261">
        <f>50.195</f>
        <v>50.195</v>
      </c>
      <c r="DP261" t="str">
        <f>""</f>
        <v/>
      </c>
      <c r="DQ261">
        <f>111.846</f>
        <v>111.846</v>
      </c>
      <c r="DR261">
        <f>39.197</f>
        <v>39.197000000000003</v>
      </c>
      <c r="DS261" t="str">
        <f>""</f>
        <v/>
      </c>
      <c r="DT261">
        <f>59.931</f>
        <v>59.930999999999997</v>
      </c>
      <c r="DU261">
        <f>10.342</f>
        <v>10.342000000000001</v>
      </c>
    </row>
    <row r="262" spans="1:125">
      <c r="A262" t="str">
        <f>"    Highwoods Properties Inc"</f>
        <v xml:space="preserve">    Highwoods Properties Inc</v>
      </c>
      <c r="B262" t="str">
        <f>"HIW US Equity"</f>
        <v>HIW US Equity</v>
      </c>
      <c r="E262" t="str">
        <f t="shared" si="69"/>
        <v>Expression</v>
      </c>
      <c r="F262" t="str">
        <f ca="1">IF(AND($B$294=1,LEN($F$308) * LEN($F$309) * LEN($F$310)&gt;0),$F$308+$F$309-$F$310,HLOOKUP(INDIRECT(ADDRESS(2,COLUMN())),OFFSET($BN$2,0,0,ROW()-1,60),ROW()-1,FALSE))</f>
        <v/>
      </c>
      <c r="G262">
        <f ca="1">IF(AND($B$294=1,LEN($G$308) * LEN($G$309) * LEN($G$310)&gt;0),$G$308+$G$309-$G$310,HLOOKUP(INDIRECT(ADDRESS(2,COLUMN())),OFFSET($BN$2,0,0,ROW()-1,60),ROW()-1,FALSE))</f>
        <v>147.06399999999999</v>
      </c>
      <c r="H262">
        <f ca="1">IF(AND($B$294=1,LEN($H$308) * LEN($H$309) * LEN($H$310)&gt;0),$H$308+$H$309-$H$310,HLOOKUP(INDIRECT(ADDRESS(2,COLUMN())),OFFSET($BN$2,0,0,ROW()-1,60),ROW()-1,FALSE))</f>
        <v>407.26400000000001</v>
      </c>
      <c r="I262">
        <f ca="1">IF(AND($B$294=1,LEN($I$308) * LEN($I$309) * LEN($I$310)&gt;0),$I$308+$I$309-$I$310,HLOOKUP(INDIRECT(ADDRESS(2,COLUMN())),OFFSET($BN$2,0,0,ROW()-1,60),ROW()-1,FALSE))</f>
        <v>376.74599999999998</v>
      </c>
      <c r="J262">
        <f ca="1">IF(AND($B$294=1,LEN($J$308) * LEN($J$309) * LEN($J$310)&gt;0),$J$308+$J$309-$J$310,HLOOKUP(INDIRECT(ADDRESS(2,COLUMN())),OFFSET($BN$2,0,0,ROW()-1,60),ROW()-1,FALSE))</f>
        <v>221.36</v>
      </c>
      <c r="K262">
        <f ca="1">IF(AND($B$294=1,LEN($K$308) * LEN($K$309) * LEN($K$310)&gt;0),$K$308+$K$309-$K$310,HLOOKUP(INDIRECT(ADDRESS(2,COLUMN())),OFFSET($BN$2,0,0,ROW()-1,60),ROW()-1,FALSE))</f>
        <v>17.12</v>
      </c>
      <c r="L262">
        <f ca="1">IF(AND($B$294=1,LEN($L$308) * LEN($L$309) * LEN($L$310)&gt;0),$L$308+$L$309-$L$310,HLOOKUP(INDIRECT(ADDRESS(2,COLUMN())),OFFSET($BN$2,0,0,ROW()-1,60),ROW()-1,FALSE))</f>
        <v>453.18700000000001</v>
      </c>
      <c r="M262">
        <f ca="1">IF(AND($B$294=1,LEN($M$308) * LEN($M$309) * LEN($M$310)&gt;0),$M$308+$M$309-$M$310,HLOOKUP(INDIRECT(ADDRESS(2,COLUMN())),OFFSET($BN$2,0,0,ROW()-1,60),ROW()-1,FALSE))</f>
        <v>194.244</v>
      </c>
      <c r="N262">
        <f ca="1">IF(AND($B$294=1,LEN($N$308) * LEN($N$309) * LEN($N$310)&gt;0),$N$308+$N$309-$N$310,HLOOKUP(INDIRECT(ADDRESS(2,COLUMN())),OFFSET($BN$2,0,0,ROW()-1,60),ROW()-1,FALSE))</f>
        <v>176.46299999999999</v>
      </c>
      <c r="O262" t="str">
        <f ca="1">IF(AND($B$294=1,LEN($O$308) * LEN($O$309) * LEN($O$310)&gt;0),$O$308+$O$309-$O$310,HLOOKUP(INDIRECT(ADDRESS(2,COLUMN())),OFFSET($BN$2,0,0,ROW()-1,60),ROW()-1,FALSE))</f>
        <v/>
      </c>
      <c r="P262">
        <f ca="1">IF(AND($B$294=1,LEN($P$308) * LEN($P$309) * LEN($P$310)&gt;0),$P$308+$P$309-$P$310,HLOOKUP(INDIRECT(ADDRESS(2,COLUMN())),OFFSET($BN$2,0,0,ROW()-1,60),ROW()-1,FALSE))</f>
        <v>214.98400000000001</v>
      </c>
      <c r="Q262">
        <f ca="1">IF(AND($B$294=1,LEN($Q$308) * LEN($Q$309) * LEN($Q$310)&gt;0),$Q$308+$Q$309-$Q$310,HLOOKUP(INDIRECT(ADDRESS(2,COLUMN())),OFFSET($BN$2,0,0,ROW()-1,60),ROW()-1,FALSE))</f>
        <v>320.53899999999999</v>
      </c>
      <c r="R262">
        <f ca="1">IF(AND($B$294=1,LEN($R$308) * LEN($R$309) * LEN($R$310)&gt;0),$R$308+$R$309-$R$310,HLOOKUP(INDIRECT(ADDRESS(2,COLUMN())),OFFSET($BN$2,0,0,ROW()-1,60),ROW()-1,FALSE))</f>
        <v>218.941</v>
      </c>
      <c r="S262">
        <f ca="1">IF(AND($B$294=1,LEN($S$308) * LEN($S$309) * LEN($S$310)&gt;0),$S$308+$S$309-$S$310,HLOOKUP(INDIRECT(ADDRESS(2,COLUMN())),OFFSET($BN$2,0,0,ROW()-1,60),ROW()-1,FALSE))</f>
        <v>230.58699999999999</v>
      </c>
      <c r="T262">
        <f ca="1">IF(AND($B$294=1,LEN($T$308) * LEN($T$309) * LEN($T$310)&gt;0),$T$308+$T$309-$T$310,HLOOKUP(INDIRECT(ADDRESS(2,COLUMN())),OFFSET($BN$2,0,0,ROW()-1,60),ROW()-1,FALSE))</f>
        <v>297.09899999999999</v>
      </c>
      <c r="U262">
        <f ca="1">IF(AND($B$294=1,LEN($U$308) * LEN($U$309) * LEN($U$310)&gt;0),$U$308+$U$309-$U$310,HLOOKUP(INDIRECT(ADDRESS(2,COLUMN())),OFFSET($BN$2,0,0,ROW()-1,60),ROW()-1,FALSE))</f>
        <v>297.13</v>
      </c>
      <c r="V262">
        <f ca="1">IF(AND($B$294=1,LEN($V$308) * LEN($V$309) * LEN($V$310)&gt;0),$V$308+$V$309-$V$310,HLOOKUP(INDIRECT(ADDRESS(2,COLUMN())),OFFSET($BN$2,0,0,ROW()-1,60),ROW()-1,FALSE))</f>
        <v>173.71</v>
      </c>
      <c r="W262">
        <f ca="1">IF(AND($B$294=1,LEN($W$308) * LEN($W$309) * LEN($W$310)&gt;0),$W$308+$W$309-$W$310,HLOOKUP(INDIRECT(ADDRESS(2,COLUMN())),OFFSET($BN$2,0,0,ROW()-1,60),ROW()-1,FALSE))</f>
        <v>130.62100000000001</v>
      </c>
      <c r="X262">
        <f ca="1">IF(AND($B$294=1,LEN($X$308) * LEN($X$309) * LEN($X$310)&gt;0),$X$308+$X$309-$X$310,HLOOKUP(INDIRECT(ADDRESS(2,COLUMN())),OFFSET($BN$2,0,0,ROW()-1,60),ROW()-1,FALSE))</f>
        <v>300.18900000000002</v>
      </c>
      <c r="Y262">
        <f ca="1">IF(AND($B$294=1,LEN($Y$308) * LEN($Y$309) * LEN($Y$310)&gt;0),$Y$308+$Y$309-$Y$310,HLOOKUP(INDIRECT(ADDRESS(2,COLUMN())),OFFSET($BN$2,0,0,ROW()-1,60),ROW()-1,FALSE))</f>
        <v>234.358</v>
      </c>
      <c r="Z262">
        <f ca="1">IF(AND($B$294=1,LEN($Z$308) * LEN($Z$309) * LEN($Z$310)&gt;0),$Z$308+$Z$309-$Z$310,HLOOKUP(INDIRECT(ADDRESS(2,COLUMN())),OFFSET($BN$2,0,0,ROW()-1,60),ROW()-1,FALSE))</f>
        <v>276.39999999999998</v>
      </c>
      <c r="AA262">
        <f ca="1">IF(AND($B$294=1,LEN($AA$308) * LEN($AA$309) * LEN($AA$310)&gt;0),$AA$308+$AA$309-$AA$310,HLOOKUP(INDIRECT(ADDRESS(2,COLUMN())),OFFSET($BN$2,0,0,ROW()-1,60),ROW()-1,FALSE))</f>
        <v>342.226</v>
      </c>
      <c r="AB262">
        <f ca="1">IF(AND($B$294=1,LEN($AB$308) * LEN($AB$309) * LEN($AB$310)&gt;0),$AB$308+$AB$309-$AB$310,HLOOKUP(INDIRECT(ADDRESS(2,COLUMN())),OFFSET($BN$2,0,0,ROW()-1,60),ROW()-1,FALSE))</f>
        <v>377.18400000000003</v>
      </c>
      <c r="AC262">
        <f ca="1">IF(AND($B$294=1,LEN($AC$308) * LEN($AC$309) * LEN($AC$310)&gt;0),$AC$308+$AC$309-$AC$310,HLOOKUP(INDIRECT(ADDRESS(2,COLUMN())),OFFSET($BN$2,0,0,ROW()-1,60),ROW()-1,FALSE))</f>
        <v>333.00599999999997</v>
      </c>
      <c r="AD262">
        <f ca="1">IF(AND($B$294=1,LEN($AD$308) * LEN($AD$309) * LEN($AD$310)&gt;0),$AD$308+$AD$309-$AD$310,HLOOKUP(INDIRECT(ADDRESS(2,COLUMN())),OFFSET($BN$2,0,0,ROW()-1,60),ROW()-1,FALSE))</f>
        <v>272.97500000000002</v>
      </c>
      <c r="AE262">
        <f ca="1">IF(AND($B$294=1,LEN($AE$308) * LEN($AE$309) * LEN($AE$310)&gt;0),$AE$308+$AE$309-$AE$310,HLOOKUP(INDIRECT(ADDRESS(2,COLUMN())),OFFSET($BN$2,0,0,ROW()-1,60),ROW()-1,FALSE))</f>
        <v>38.363999999999997</v>
      </c>
      <c r="AF262">
        <f ca="1">IF(AND($B$294=1,LEN($AF$308) * LEN($AF$309) * LEN($AF$310)&gt;0),$AF$308+$AF$309-$AF$310,HLOOKUP(INDIRECT(ADDRESS(2,COLUMN())),OFFSET($BN$2,0,0,ROW()-1,60),ROW()-1,FALSE))</f>
        <v>268.779</v>
      </c>
      <c r="AG262">
        <f ca="1">IF(AND($B$294=1,LEN($AG$308) * LEN($AG$309) * LEN($AG$310)&gt;0),$AG$308+$AG$309-$AG$310,HLOOKUP(INDIRECT(ADDRESS(2,COLUMN())),OFFSET($BN$2,0,0,ROW()-1,60),ROW()-1,FALSE))</f>
        <v>281.52999999999997</v>
      </c>
      <c r="AH262">
        <f ca="1">IF(AND($B$294=1,LEN($AH$308) * LEN($AH$309) * LEN($AH$310)&gt;0),$AH$308+$AH$309-$AH$310,HLOOKUP(INDIRECT(ADDRESS(2,COLUMN())),OFFSET($BN$2,0,0,ROW()-1,60),ROW()-1,FALSE))</f>
        <v>378.20100000000002</v>
      </c>
      <c r="AI262">
        <f ca="1">IF(AND($B$294=1,LEN($AI$308) * LEN($AI$309) * LEN($AI$310)&gt;0),$AI$308+$AI$309-$AI$310,HLOOKUP(INDIRECT(ADDRESS(2,COLUMN())),OFFSET($BN$2,0,0,ROW()-1,60),ROW()-1,FALSE))</f>
        <v>182.33099999999999</v>
      </c>
      <c r="AJ262">
        <f ca="1">IF(AND($B$294=1,LEN($AJ$308) * LEN($AJ$309) * LEN($AJ$310)&gt;0),$AJ$308+$AJ$309-$AJ$310,HLOOKUP(INDIRECT(ADDRESS(2,COLUMN())),OFFSET($BN$2,0,0,ROW()-1,60),ROW()-1,FALSE))</f>
        <v>367.76</v>
      </c>
      <c r="AK262">
        <f ca="1">IF(AND($B$294=1,LEN($AK$308) * LEN($AK$309) * LEN($AK$310)&gt;0),$AK$308+$AK$309-$AK$310,HLOOKUP(INDIRECT(ADDRESS(2,COLUMN())),OFFSET($BN$2,0,0,ROW()-1,60),ROW()-1,FALSE))</f>
        <v>393.00200000000001</v>
      </c>
      <c r="AL262">
        <f ca="1">IF(AND($B$294=1,LEN($AL$308) * LEN($AL$309) * LEN($AL$310)&gt;0),$AL$308+$AL$309-$AL$310,HLOOKUP(INDIRECT(ADDRESS(2,COLUMN())),OFFSET($BN$2,0,0,ROW()-1,60),ROW()-1,FALSE))</f>
        <v>371.49700000000001</v>
      </c>
      <c r="AM262">
        <f ca="1">IF(AND($B$294=1,LEN($AM$308) * LEN($AM$309) * LEN($AM$310)&gt;0),$AM$308+$AM$309-$AM$310,HLOOKUP(INDIRECT(ADDRESS(2,COLUMN())),OFFSET($BN$2,0,0,ROW()-1,60),ROW()-1,FALSE))</f>
        <v>369.13900000000001</v>
      </c>
      <c r="AN262">
        <f ca="1">IF(AND($B$294=1,LEN($AN$308) * LEN($AN$309) * LEN($AN$310)&gt;0),$AN$308+$AN$309-$AN$310,HLOOKUP(INDIRECT(ADDRESS(2,COLUMN())),OFFSET($BN$2,0,0,ROW()-1,60),ROW()-1,FALSE))</f>
        <v>490.089</v>
      </c>
      <c r="AO262">
        <f ca="1">IF(AND($B$294=1,LEN($AO$308) * LEN($AO$309) * LEN($AO$310)&gt;0),$AO$308+$AO$309-$AO$310,HLOOKUP(INDIRECT(ADDRESS(2,COLUMN())),OFFSET($BN$2,0,0,ROW()-1,60),ROW()-1,FALSE))</f>
        <v>348.084</v>
      </c>
      <c r="AP262">
        <f ca="1">IF(AND($B$294=1,LEN($AP$308) * LEN($AP$309) * LEN($AP$310)&gt;0),$AP$308+$AP$309-$AP$310,HLOOKUP(INDIRECT(ADDRESS(2,COLUMN())),OFFSET($BN$2,0,0,ROW()-1,60),ROW()-1,FALSE))</f>
        <v>142.65</v>
      </c>
      <c r="AQ262">
        <f ca="1">IF(AND($B$294=1,LEN($AQ$308) * LEN($AQ$309) * LEN($AQ$310)&gt;0),$AQ$308+$AQ$309-$AQ$310,HLOOKUP(INDIRECT(ADDRESS(2,COLUMN())),OFFSET($BN$2,0,0,ROW()-1,60),ROW()-1,FALSE))</f>
        <v>123.70399999999999</v>
      </c>
      <c r="AR262" t="str">
        <f ca="1">IF(AND($B$294=1,LEN($AR$308) * LEN($AR$309) * LEN($AR$310)&gt;0),$AR$308+$AR$309-$AR$310,HLOOKUP(INDIRECT(ADDRESS(2,COLUMN())),OFFSET($BN$2,0,0,ROW()-1,60),ROW()-1,FALSE))</f>
        <v/>
      </c>
      <c r="AS262" t="str">
        <f ca="1">IF(AND($B$294=1,LEN($AS$308) * LEN($AS$309) * LEN($AS$310)&gt;0),$AS$308+$AS$309-$AS$310,HLOOKUP(INDIRECT(ADDRESS(2,COLUMN())),OFFSET($BN$2,0,0,ROW()-1,60),ROW()-1,FALSE))</f>
        <v/>
      </c>
      <c r="AT262" t="str">
        <f ca="1">IF(AND($B$294=1,LEN($AT$308) * LEN($AT$309) * LEN($AT$310)&gt;0),$AT$308+$AT$309-$AT$310,HLOOKUP(INDIRECT(ADDRESS(2,COLUMN())),OFFSET($BN$2,0,0,ROW()-1,60),ROW()-1,FALSE))</f>
        <v/>
      </c>
      <c r="AU262">
        <f ca="1">IF(AND($B$294=1,LEN($AU$308) * LEN($AU$309) * LEN($AU$310)&gt;0),$AU$308+$AU$309-$AU$310,HLOOKUP(INDIRECT(ADDRESS(2,COLUMN())),OFFSET($BN$2,0,0,ROW()-1,60),ROW()-1,FALSE))</f>
        <v>114.203</v>
      </c>
      <c r="AV262" t="str">
        <f ca="1">IF(AND($B$294=1,LEN($AV$308) * LEN($AV$309) * LEN($AV$310)&gt;0),$AV$308+$AV$309-$AV$310,HLOOKUP(INDIRECT(ADDRESS(2,COLUMN())),OFFSET($BN$2,0,0,ROW()-1,60),ROW()-1,FALSE))</f>
        <v/>
      </c>
      <c r="AW262" t="str">
        <f ca="1">IF(AND($B$294=1,LEN($AW$308) * LEN($AW$309) * LEN($AW$310)&gt;0),$AW$308+$AW$309-$AW$310,HLOOKUP(INDIRECT(ADDRESS(2,COLUMN())),OFFSET($BN$2,0,0,ROW()-1,60),ROW()-1,FALSE))</f>
        <v/>
      </c>
      <c r="AX262" t="str">
        <f ca="1">IF(AND($B$294=1,LEN($AX$308) * LEN($AX$309) * LEN($AX$310)&gt;0),$AX$308+$AX$309-$AX$310,HLOOKUP(INDIRECT(ADDRESS(2,COLUMN())),OFFSET($BN$2,0,0,ROW()-1,60),ROW()-1,FALSE))</f>
        <v/>
      </c>
      <c r="AY262">
        <f ca="1">IF(AND($B$294=1,LEN($AY$308) * LEN($AY$309) * LEN($AY$310)&gt;0),$AY$308+$AY$309-$AY$310,HLOOKUP(INDIRECT(ADDRESS(2,COLUMN())),OFFSET($BN$2,0,0,ROW()-1,60),ROW()-1,FALSE))</f>
        <v>379.98099999999999</v>
      </c>
      <c r="AZ262">
        <f ca="1">IF(AND($B$294=1,LEN($AZ$308) * LEN($AZ$309) * LEN($AZ$310)&gt;0),$AZ$308+$AZ$309-$AZ$310,HLOOKUP(INDIRECT(ADDRESS(2,COLUMN())),OFFSET($BN$2,0,0,ROW()-1,60),ROW()-1,FALSE))</f>
        <v>65.224000000000004</v>
      </c>
      <c r="BA262">
        <f ca="1">IF(AND($B$294=1,LEN($BA$308) * LEN($BA$309) * LEN($BA$310)&gt;0),$BA$308+$BA$309-$BA$310,HLOOKUP(INDIRECT(ADDRESS(2,COLUMN())),OFFSET($BN$2,0,0,ROW()-1,60),ROW()-1,FALSE))</f>
        <v>57.628</v>
      </c>
      <c r="BB262" t="str">
        <f ca="1">IF(AND($B$294=1,LEN($BB$308) * LEN($BB$309) * LEN($BB$310)&gt;0),$BB$308+$BB$309-$BB$310,HLOOKUP(INDIRECT(ADDRESS(2,COLUMN())),OFFSET($BN$2,0,0,ROW()-1,60),ROW()-1,FALSE))</f>
        <v/>
      </c>
      <c r="BC262">
        <f ca="1">IF(AND($B$294=1,LEN($BC$308) * LEN($BC$309) * LEN($BC$310)&gt;0),$BC$308+$BC$309-$BC$310,HLOOKUP(INDIRECT(ADDRESS(2,COLUMN())),OFFSET($BN$2,0,0,ROW()-1,60),ROW()-1,FALSE))</f>
        <v>-165.685</v>
      </c>
      <c r="BD262" t="str">
        <f ca="1">IF(AND($B$294=1,LEN($BD$308) * LEN($BD$309) * LEN($BD$310)&gt;0),$BD$308+$BD$309-$BD$310,HLOOKUP(INDIRECT(ADDRESS(2,COLUMN())),OFFSET($BN$2,0,0,ROW()-1,60),ROW()-1,FALSE))</f>
        <v/>
      </c>
      <c r="BE262" t="str">
        <f ca="1">IF(AND($B$294=1,LEN($BE$308) * LEN($BE$309) * LEN($BE$310)&gt;0),$BE$308+$BE$309-$BE$310,HLOOKUP(INDIRECT(ADDRESS(2,COLUMN())),OFFSET($BN$2,0,0,ROW()-1,60),ROW()-1,FALSE))</f>
        <v/>
      </c>
      <c r="BF262" t="str">
        <f ca="1">IF(AND($B$294=1,LEN($BF$308) * LEN($BF$309) * LEN($BF$310)&gt;0),$BF$308+$BF$309-$BF$310,HLOOKUP(INDIRECT(ADDRESS(2,COLUMN())),OFFSET($BN$2,0,0,ROW()-1,60),ROW()-1,FALSE))</f>
        <v/>
      </c>
      <c r="BG262">
        <f ca="1">IF(AND($B$294=1,LEN($BG$308) * LEN($BG$309) * LEN($BG$310)&gt;0),$BG$308+$BG$309-$BG$310,HLOOKUP(INDIRECT(ADDRESS(2,COLUMN())),OFFSET($BN$2,0,0,ROW()-1,60),ROW()-1,FALSE))</f>
        <v>-98.131</v>
      </c>
      <c r="BH262" t="str">
        <f ca="1">IF(AND($B$294=1,LEN($BH$308) * LEN($BH$309) * LEN($BH$310)&gt;0),$BH$308+$BH$309-$BH$310,HLOOKUP(INDIRECT(ADDRESS(2,COLUMN())),OFFSET($BN$2,0,0,ROW()-1,60),ROW()-1,FALSE))</f>
        <v/>
      </c>
      <c r="BI262" t="str">
        <f ca="1">IF(AND($B$294=1,LEN($BI$308) * LEN($BI$309) * LEN($BI$310)&gt;0),$BI$308+$BI$309-$BI$310,HLOOKUP(INDIRECT(ADDRESS(2,COLUMN())),OFFSET($BN$2,0,0,ROW()-1,60),ROW()-1,FALSE))</f>
        <v/>
      </c>
      <c r="BJ262" t="str">
        <f ca="1">IF(AND($B$294=1,LEN($BJ$308) * LEN($BJ$309) * LEN($BJ$310)&gt;0),$BJ$308+$BJ$309-$BJ$310,HLOOKUP(INDIRECT(ADDRESS(2,COLUMN())),OFFSET($BN$2,0,0,ROW()-1,60),ROW()-1,FALSE))</f>
        <v/>
      </c>
      <c r="BK262" t="str">
        <f ca="1">IF(AND($B$294=1,LEN($BK$308) * LEN($BK$309) * LEN($BK$310)&gt;0),$BK$308+$BK$309-$BK$310,HLOOKUP(INDIRECT(ADDRESS(2,COLUMN())),OFFSET($BN$2,0,0,ROW()-1,60),ROW()-1,FALSE))</f>
        <v/>
      </c>
      <c r="BL262" t="str">
        <f ca="1">IF(AND($B$294=1,LEN($BL$308) * LEN($BL$309) * LEN($BL$310)&gt;0),$BL$308+$BL$309-$BL$310,HLOOKUP(INDIRECT(ADDRESS(2,COLUMN())),OFFSET($BN$2,0,0,ROW()-1,60),ROW()-1,FALSE))</f>
        <v/>
      </c>
      <c r="BM262" t="str">
        <f ca="1">IF(AND($B$294=1,LEN($BM$308) * LEN($BM$309) * LEN($BM$310)&gt;0),$BM$308+$BM$309-$BM$310,HLOOKUP(INDIRECT(ADDRESS(2,COLUMN())),OFFSET($BN$2,0,0,ROW()-1,60),ROW()-1,FALSE))</f>
        <v/>
      </c>
      <c r="BN262" t="str">
        <f>""</f>
        <v/>
      </c>
      <c r="BO262">
        <f>147.064</f>
        <v>147.06399999999999</v>
      </c>
      <c r="BP262">
        <f>407.264</f>
        <v>407.26400000000001</v>
      </c>
      <c r="BQ262">
        <f>376.746</f>
        <v>376.74599999999998</v>
      </c>
      <c r="BR262">
        <f>221.36</f>
        <v>221.36</v>
      </c>
      <c r="BS262">
        <f>17.12</f>
        <v>17.12</v>
      </c>
      <c r="BT262">
        <f>453.187</f>
        <v>453.18700000000001</v>
      </c>
      <c r="BU262">
        <f>194.244</f>
        <v>194.244</v>
      </c>
      <c r="BV262">
        <f>176.463</f>
        <v>176.46299999999999</v>
      </c>
      <c r="BW262" t="str">
        <f>""</f>
        <v/>
      </c>
      <c r="BX262">
        <f>214.984</f>
        <v>214.98400000000001</v>
      </c>
      <c r="BY262">
        <f>320.539</f>
        <v>320.53899999999999</v>
      </c>
      <c r="BZ262">
        <f>218.941</f>
        <v>218.941</v>
      </c>
      <c r="CA262">
        <f>230.587</f>
        <v>230.58699999999999</v>
      </c>
      <c r="CB262">
        <f>297.099</f>
        <v>297.09899999999999</v>
      </c>
      <c r="CC262">
        <f>297.13</f>
        <v>297.13</v>
      </c>
      <c r="CD262">
        <f>173.71</f>
        <v>173.71</v>
      </c>
      <c r="CE262">
        <f>130.621</f>
        <v>130.62100000000001</v>
      </c>
      <c r="CF262">
        <f>300.189</f>
        <v>300.18900000000002</v>
      </c>
      <c r="CG262">
        <f>234.358</f>
        <v>234.358</v>
      </c>
      <c r="CH262">
        <f>276.4</f>
        <v>276.39999999999998</v>
      </c>
      <c r="CI262">
        <f>342.226</f>
        <v>342.226</v>
      </c>
      <c r="CJ262">
        <f>377.184</f>
        <v>377.18400000000003</v>
      </c>
      <c r="CK262">
        <f>333.006</f>
        <v>333.00599999999997</v>
      </c>
      <c r="CL262">
        <f>272.975</f>
        <v>272.97500000000002</v>
      </c>
      <c r="CM262">
        <f>38.364</f>
        <v>38.363999999999997</v>
      </c>
      <c r="CN262">
        <f>268.779</f>
        <v>268.779</v>
      </c>
      <c r="CO262">
        <f>281.53</f>
        <v>281.52999999999997</v>
      </c>
      <c r="CP262">
        <f>378.201</f>
        <v>378.20100000000002</v>
      </c>
      <c r="CQ262">
        <f>182.331</f>
        <v>182.33099999999999</v>
      </c>
      <c r="CR262">
        <f>367.76</f>
        <v>367.76</v>
      </c>
      <c r="CS262">
        <f>393.002</f>
        <v>393.00200000000001</v>
      </c>
      <c r="CT262">
        <f>371.497</f>
        <v>371.49700000000001</v>
      </c>
      <c r="CU262">
        <f>369.139</f>
        <v>369.13900000000001</v>
      </c>
      <c r="CV262">
        <f>490.089</f>
        <v>490.089</v>
      </c>
      <c r="CW262">
        <f>348.084</f>
        <v>348.084</v>
      </c>
      <c r="CX262">
        <f>142.65</f>
        <v>142.65</v>
      </c>
      <c r="CY262">
        <f>123.704</f>
        <v>123.70399999999999</v>
      </c>
      <c r="CZ262" t="str">
        <f>""</f>
        <v/>
      </c>
      <c r="DA262" t="str">
        <f>""</f>
        <v/>
      </c>
      <c r="DB262" t="str">
        <f>""</f>
        <v/>
      </c>
      <c r="DC262">
        <f>114.203</f>
        <v>114.203</v>
      </c>
      <c r="DD262" t="str">
        <f>""</f>
        <v/>
      </c>
      <c r="DE262" t="str">
        <f>""</f>
        <v/>
      </c>
      <c r="DF262" t="str">
        <f>""</f>
        <v/>
      </c>
      <c r="DG262">
        <f>379.981</f>
        <v>379.98099999999999</v>
      </c>
      <c r="DH262">
        <f>65.224</f>
        <v>65.224000000000004</v>
      </c>
      <c r="DI262">
        <f>57.628</f>
        <v>57.628</v>
      </c>
      <c r="DJ262" t="str">
        <f>""</f>
        <v/>
      </c>
      <c r="DK262">
        <f>-165.685</f>
        <v>-165.685</v>
      </c>
      <c r="DL262" t="str">
        <f>""</f>
        <v/>
      </c>
      <c r="DM262" t="str">
        <f>""</f>
        <v/>
      </c>
      <c r="DN262" t="str">
        <f>""</f>
        <v/>
      </c>
      <c r="DO262">
        <f>-98.131</f>
        <v>-98.131</v>
      </c>
      <c r="DP262" t="str">
        <f>""</f>
        <v/>
      </c>
      <c r="DQ262" t="str">
        <f>""</f>
        <v/>
      </c>
      <c r="DR262" t="str">
        <f>""</f>
        <v/>
      </c>
      <c r="DS262" t="str">
        <f>""</f>
        <v/>
      </c>
      <c r="DT262" t="str">
        <f>""</f>
        <v/>
      </c>
      <c r="DU262" t="str">
        <f>""</f>
        <v/>
      </c>
    </row>
    <row r="263" spans="1:125">
      <c r="A263" t="str">
        <f>"    Kilroy Realty Corp"</f>
        <v xml:space="preserve">    Kilroy Realty Corp</v>
      </c>
      <c r="B263" t="str">
        <f>"KRC US Equity"</f>
        <v>KRC US Equity</v>
      </c>
      <c r="E263" t="str">
        <f t="shared" si="69"/>
        <v>Expression</v>
      </c>
      <c r="F263" t="str">
        <f ca="1">IF(AND($B$294=1,LEN($F$311) * LEN($F$312) * LEN($F$313)&gt;0),$F$311+$F$312-$F$313,HLOOKUP(INDIRECT(ADDRESS(2,COLUMN())),OFFSET($BN$2,0,0,ROW()-1,60),ROW()-1,FALSE))</f>
        <v/>
      </c>
      <c r="G263">
        <f ca="1">IF(AND($B$294=1,LEN($G$311) * LEN($G$312) * LEN($G$313)&gt;0),$G$311+$G$312-$G$313,HLOOKUP(INDIRECT(ADDRESS(2,COLUMN())),OFFSET($BN$2,0,0,ROW()-1,60),ROW()-1,FALSE))</f>
        <v>804.06500000000005</v>
      </c>
      <c r="H263">
        <f ca="1">IF(AND($B$294=1,LEN($H$311) * LEN($H$312) * LEN($H$313)&gt;0),$H$311+$H$312-$H$313,HLOOKUP(INDIRECT(ADDRESS(2,COLUMN())),OFFSET($BN$2,0,0,ROW()-1,60),ROW()-1,FALSE))</f>
        <v>753.40899999999999</v>
      </c>
      <c r="I263">
        <f ca="1">IF(AND($B$294=1,LEN($I$311) * LEN($I$312) * LEN($I$313)&gt;0),$I$311+$I$312-$I$313,HLOOKUP(INDIRECT(ADDRESS(2,COLUMN())),OFFSET($BN$2,0,0,ROW()-1,60),ROW()-1,FALSE))</f>
        <v>984.54399999999998</v>
      </c>
      <c r="J263">
        <f ca="1">IF(AND($B$294=1,LEN($J$311) * LEN($J$312) * LEN($J$313)&gt;0),$J$311+$J$312-$J$313,HLOOKUP(INDIRECT(ADDRESS(2,COLUMN())),OFFSET($BN$2,0,0,ROW()-1,60),ROW()-1,FALSE))</f>
        <v>1073.81</v>
      </c>
      <c r="K263">
        <f ca="1">IF(AND($B$294=1,LEN($K$311) * LEN($K$312) * LEN($K$313)&gt;0),$K$311+$K$312-$K$313,HLOOKUP(INDIRECT(ADDRESS(2,COLUMN())),OFFSET($BN$2,0,0,ROW()-1,60),ROW()-1,FALSE))</f>
        <v>786.13199999999995</v>
      </c>
      <c r="L263">
        <f ca="1">IF(AND($B$294=1,LEN($L$311) * LEN($L$312) * LEN($L$313)&gt;0),$L$311+$L$312-$L$313,HLOOKUP(INDIRECT(ADDRESS(2,COLUMN())),OFFSET($BN$2,0,0,ROW()-1,60),ROW()-1,FALSE))</f>
        <v>848.04300000000001</v>
      </c>
      <c r="M263">
        <f ca="1">IF(AND($B$294=1,LEN($M$311) * LEN($M$312) * LEN($M$313)&gt;0),$M$311+$M$312-$M$313,HLOOKUP(INDIRECT(ADDRESS(2,COLUMN())),OFFSET($BN$2,0,0,ROW()-1,60),ROW()-1,FALSE))</f>
        <v>401.40600000000001</v>
      </c>
      <c r="N263">
        <f ca="1">IF(AND($B$294=1,LEN($N$311) * LEN($N$312) * LEN($N$313)&gt;0),$N$311+$N$312-$N$313,HLOOKUP(INDIRECT(ADDRESS(2,COLUMN())),OFFSET($BN$2,0,0,ROW()-1,60),ROW()-1,FALSE))</f>
        <v>556.28899999999999</v>
      </c>
      <c r="O263" t="str">
        <f ca="1">IF(AND($B$294=1,LEN($O$311) * LEN($O$312) * LEN($O$313)&gt;0),$O$311+$O$312-$O$313,HLOOKUP(INDIRECT(ADDRESS(2,COLUMN())),OFFSET($BN$2,0,0,ROW()-1,60),ROW()-1,FALSE))</f>
        <v/>
      </c>
      <c r="P263">
        <f ca="1">IF(AND($B$294=1,LEN($P$311) * LEN($P$312) * LEN($P$313)&gt;0),$P$311+$P$312-$P$313,HLOOKUP(INDIRECT(ADDRESS(2,COLUMN())),OFFSET($BN$2,0,0,ROW()-1,60),ROW()-1,FALSE))</f>
        <v>840.17200000000003</v>
      </c>
      <c r="Q263">
        <f ca="1">IF(AND($B$294=1,LEN($Q$311) * LEN($Q$312) * LEN($Q$313)&gt;0),$Q$311+$Q$312-$Q$313,HLOOKUP(INDIRECT(ADDRESS(2,COLUMN())),OFFSET($BN$2,0,0,ROW()-1,60),ROW()-1,FALSE))</f>
        <v>197.81</v>
      </c>
      <c r="R263">
        <f ca="1">IF(AND($B$294=1,LEN($R$311) * LEN($R$312) * LEN($R$313)&gt;0),$R$311+$R$312-$R$313,HLOOKUP(INDIRECT(ADDRESS(2,COLUMN())),OFFSET($BN$2,0,0,ROW()-1,60),ROW()-1,FALSE))</f>
        <v>153.55099999999999</v>
      </c>
      <c r="S263">
        <f ca="1">IF(AND($B$294=1,LEN($S$311) * LEN($S$312) * LEN($S$313)&gt;0),$S$311+$S$312-$S$313,HLOOKUP(INDIRECT(ADDRESS(2,COLUMN())),OFFSET($BN$2,0,0,ROW()-1,60),ROW()-1,FALSE))</f>
        <v>88.677999999999997</v>
      </c>
      <c r="T263">
        <f ca="1">IF(AND($B$294=1,LEN($T$311) * LEN($T$312) * LEN($T$313)&gt;0),$T$311+$T$312-$T$313,HLOOKUP(INDIRECT(ADDRESS(2,COLUMN())),OFFSET($BN$2,0,0,ROW()-1,60),ROW()-1,FALSE))</f>
        <v>662.42200000000003</v>
      </c>
      <c r="U263">
        <f ca="1">IF(AND($B$294=1,LEN($U$311) * LEN($U$312) * LEN($U$313)&gt;0),$U$311+$U$312-$U$313,HLOOKUP(INDIRECT(ADDRESS(2,COLUMN())),OFFSET($BN$2,0,0,ROW()-1,60),ROW()-1,FALSE))</f>
        <v>274.08600000000001</v>
      </c>
      <c r="V263">
        <f ca="1">IF(AND($B$294=1,LEN($V$311) * LEN($V$312) * LEN($V$313)&gt;0),$V$311+$V$312-$V$313,HLOOKUP(INDIRECT(ADDRESS(2,COLUMN())),OFFSET($BN$2,0,0,ROW()-1,60),ROW()-1,FALSE))</f>
        <v>332.60199999999998</v>
      </c>
      <c r="W263">
        <f ca="1">IF(AND($B$294=1,LEN($W$311) * LEN($W$312) * LEN($W$313)&gt;0),$W$311+$W$312-$W$313,HLOOKUP(INDIRECT(ADDRESS(2,COLUMN())),OFFSET($BN$2,0,0,ROW()-1,60),ROW()-1,FALSE))</f>
        <v>225.03100000000001</v>
      </c>
      <c r="X263">
        <f ca="1">IF(AND($B$294=1,LEN($X$311) * LEN($X$312) * LEN($X$313)&gt;0),$X$311+$X$312-$X$313,HLOOKUP(INDIRECT(ADDRESS(2,COLUMN())),OFFSET($BN$2,0,0,ROW()-1,60),ROW()-1,FALSE))</f>
        <v>694.76300000000003</v>
      </c>
      <c r="Y263">
        <f ca="1">IF(AND($B$294=1,LEN($Y$311) * LEN($Y$312) * LEN($Y$313)&gt;0),$Y$311+$Y$312-$Y$313,HLOOKUP(INDIRECT(ADDRESS(2,COLUMN())),OFFSET($BN$2,0,0,ROW()-1,60),ROW()-1,FALSE))</f>
        <v>601.36500000000001</v>
      </c>
      <c r="Z263">
        <f ca="1">IF(AND($B$294=1,LEN($Z$311) * LEN($Z$312) * LEN($Z$313)&gt;0),$Z$311+$Z$312-$Z$313,HLOOKUP(INDIRECT(ADDRESS(2,COLUMN())),OFFSET($BN$2,0,0,ROW()-1,60),ROW()-1,FALSE))</f>
        <v>628.66</v>
      </c>
      <c r="AA263">
        <f ca="1">IF(AND($B$294=1,LEN($AA$311) * LEN($AA$312) * LEN($AA$313)&gt;0),$AA$311+$AA$312-$AA$313,HLOOKUP(INDIRECT(ADDRESS(2,COLUMN())),OFFSET($BN$2,0,0,ROW()-1,60),ROW()-1,FALSE))</f>
        <v>240.81899999999999</v>
      </c>
      <c r="AB263">
        <f ca="1">IF(AND($B$294=1,LEN($AB$311) * LEN($AB$312) * LEN($AB$313)&gt;0),$AB$311+$AB$312-$AB$313,HLOOKUP(INDIRECT(ADDRESS(2,COLUMN())),OFFSET($BN$2,0,0,ROW()-1,60),ROW()-1,FALSE))</f>
        <v>487.46699999999998</v>
      </c>
      <c r="AC263">
        <f ca="1">IF(AND($B$294=1,LEN($AC$311) * LEN($AC$312) * LEN($AC$313)&gt;0),$AC$311+$AC$312-$AC$313,HLOOKUP(INDIRECT(ADDRESS(2,COLUMN())),OFFSET($BN$2,0,0,ROW()-1,60),ROW()-1,FALSE))</f>
        <v>414.06</v>
      </c>
      <c r="AD263">
        <f ca="1">IF(AND($B$294=1,LEN($AD$311) * LEN($AD$312) * LEN($AD$313)&gt;0),$AD$311+$AD$312-$AD$313,HLOOKUP(INDIRECT(ADDRESS(2,COLUMN())),OFFSET($BN$2,0,0,ROW()-1,60),ROW()-1,FALSE))</f>
        <v>622.61</v>
      </c>
      <c r="AE263">
        <f ca="1">IF(AND($B$294=1,LEN($AE$311) * LEN($AE$312) * LEN($AE$313)&gt;0),$AE$311+$AE$312-$AE$313,HLOOKUP(INDIRECT(ADDRESS(2,COLUMN())),OFFSET($BN$2,0,0,ROW()-1,60),ROW()-1,FALSE))</f>
        <v>69.472999999999999</v>
      </c>
      <c r="AF263">
        <f ca="1">IF(AND($B$294=1,LEN($AF$311) * LEN($AF$312) * LEN($AF$313)&gt;0),$AF$311+$AF$312-$AF$313,HLOOKUP(INDIRECT(ADDRESS(2,COLUMN())),OFFSET($BN$2,0,0,ROW()-1,60),ROW()-1,FALSE))</f>
        <v>445.11</v>
      </c>
      <c r="AG263">
        <f ca="1">IF(AND($B$294=1,LEN($AG$311) * LEN($AG$312) * LEN($AG$313)&gt;0),$AG$311+$AG$312-$AG$313,HLOOKUP(INDIRECT(ADDRESS(2,COLUMN())),OFFSET($BN$2,0,0,ROW()-1,60),ROW()-1,FALSE))</f>
        <v>208.15</v>
      </c>
      <c r="AH263">
        <f ca="1">IF(AND($B$294=1,LEN($AH$311) * LEN($AH$312) * LEN($AH$313)&gt;0),$AH$311+$AH$312-$AH$313,HLOOKUP(INDIRECT(ADDRESS(2,COLUMN())),OFFSET($BN$2,0,0,ROW()-1,60),ROW()-1,FALSE))</f>
        <v>376.29</v>
      </c>
      <c r="AI263">
        <f ca="1">IF(AND($B$294=1,LEN($AI$311) * LEN($AI$312) * LEN($AI$313)&gt;0),$AI$311+$AI$312-$AI$313,HLOOKUP(INDIRECT(ADDRESS(2,COLUMN())),OFFSET($BN$2,0,0,ROW()-1,60),ROW()-1,FALSE))</f>
        <v>280.82299999999998</v>
      </c>
      <c r="AJ263">
        <f ca="1">IF(AND($B$294=1,LEN($AJ$311) * LEN($AJ$312) * LEN($AJ$313)&gt;0),$AJ$311+$AJ$312-$AJ$313,HLOOKUP(INDIRECT(ADDRESS(2,COLUMN())),OFFSET($BN$2,0,0,ROW()-1,60),ROW()-1,FALSE))</f>
        <v>301.72300000000001</v>
      </c>
      <c r="AK263">
        <f ca="1">IF(AND($B$294=1,LEN($AK$311) * LEN($AK$312) * LEN($AK$313)&gt;0),$AK$311+$AK$312-$AK$313,HLOOKUP(INDIRECT(ADDRESS(2,COLUMN())),OFFSET($BN$2,0,0,ROW()-1,60),ROW()-1,FALSE))</f>
        <v>365.28899999999999</v>
      </c>
      <c r="AL263">
        <f ca="1">IF(AND($B$294=1,LEN($AL$311) * LEN($AL$312) * LEN($AL$313)&gt;0),$AL$311+$AL$312-$AL$313,HLOOKUP(INDIRECT(ADDRESS(2,COLUMN())),OFFSET($BN$2,0,0,ROW()-1,60),ROW()-1,FALSE))</f>
        <v>345.053</v>
      </c>
      <c r="AM263">
        <f ca="1">IF(AND($B$294=1,LEN($AM$311) * LEN($AM$312) * LEN($AM$313)&gt;0),$AM$311+$AM$312-$AM$313,HLOOKUP(INDIRECT(ADDRESS(2,COLUMN())),OFFSET($BN$2,0,0,ROW()-1,60),ROW()-1,FALSE))</f>
        <v>202.29599999999999</v>
      </c>
      <c r="AN263">
        <f ca="1">IF(AND($B$294=1,LEN($AN$311) * LEN($AN$312) * LEN($AN$313)&gt;0),$AN$311+$AN$312-$AN$313,HLOOKUP(INDIRECT(ADDRESS(2,COLUMN())),OFFSET($BN$2,0,0,ROW()-1,60),ROW()-1,FALSE))</f>
        <v>428.88099999999997</v>
      </c>
      <c r="AO263">
        <f ca="1">IF(AND($B$294=1,LEN($AO$311) * LEN($AO$312) * LEN($AO$313)&gt;0),$AO$311+$AO$312-$AO$313,HLOOKUP(INDIRECT(ADDRESS(2,COLUMN())),OFFSET($BN$2,0,0,ROW()-1,60),ROW()-1,FALSE))</f>
        <v>465</v>
      </c>
      <c r="AP263">
        <f ca="1">IF(AND($B$294=1,LEN($AP$311) * LEN($AP$312) * LEN($AP$313)&gt;0),$AP$311+$AP$312-$AP$313,HLOOKUP(INDIRECT(ADDRESS(2,COLUMN())),OFFSET($BN$2,0,0,ROW()-1,60),ROW()-1,FALSE))</f>
        <v>211.797</v>
      </c>
      <c r="AQ263">
        <f ca="1">IF(AND($B$294=1,LEN($AQ$311) * LEN($AQ$312) * LEN($AQ$313)&gt;0),$AQ$311+$AQ$312-$AQ$313,HLOOKUP(INDIRECT(ADDRESS(2,COLUMN())),OFFSET($BN$2,0,0,ROW()-1,60),ROW()-1,FALSE))</f>
        <v>226.00299999999999</v>
      </c>
      <c r="AR263">
        <f ca="1">IF(AND($B$294=1,LEN($AR$311) * LEN($AR$312) * LEN($AR$313)&gt;0),$AR$311+$AR$312-$AR$313,HLOOKUP(INDIRECT(ADDRESS(2,COLUMN())),OFFSET($BN$2,0,0,ROW()-1,60),ROW()-1,FALSE))</f>
        <v>320.95499999999998</v>
      </c>
      <c r="AS263">
        <f ca="1">IF(AND($B$294=1,LEN($AS$311) * LEN($AS$312) * LEN($AS$313)&gt;0),$AS$311+$AS$312-$AS$313,HLOOKUP(INDIRECT(ADDRESS(2,COLUMN())),OFFSET($BN$2,0,0,ROW()-1,60),ROW()-1,FALSE))</f>
        <v>318.66699999999997</v>
      </c>
      <c r="AT263">
        <f ca="1">IF(AND($B$294=1,LEN($AT$311) * LEN($AT$312) * LEN($AT$313)&gt;0),$AT$311+$AT$312-$AT$313,HLOOKUP(INDIRECT(ADDRESS(2,COLUMN())),OFFSET($BN$2,0,0,ROW()-1,60),ROW()-1,FALSE))</f>
        <v>338.68099999999998</v>
      </c>
      <c r="AU263">
        <f ca="1">IF(AND($B$294=1,LEN($AU$311) * LEN($AU$312) * LEN($AU$313)&gt;0),$AU$311+$AU$312-$AU$313,HLOOKUP(INDIRECT(ADDRESS(2,COLUMN())),OFFSET($BN$2,0,0,ROW()-1,60),ROW()-1,FALSE))</f>
        <v>369.18400000000003</v>
      </c>
      <c r="AV263">
        <f ca="1">IF(AND($B$294=1,LEN($AV$311) * LEN($AV$312) * LEN($AV$313)&gt;0),$AV$311+$AV$312-$AV$313,HLOOKUP(INDIRECT(ADDRESS(2,COLUMN())),OFFSET($BN$2,0,0,ROW()-1,60),ROW()-1,FALSE))</f>
        <v>501.65269999999998</v>
      </c>
      <c r="AW263">
        <f ca="1">IF(AND($B$294=1,LEN($AW$311) * LEN($AW$312) * LEN($AW$313)&gt;0),$AW$311+$AW$312-$AW$313,HLOOKUP(INDIRECT(ADDRESS(2,COLUMN())),OFFSET($BN$2,0,0,ROW()-1,60),ROW()-1,FALSE))</f>
        <v>538.53399999999999</v>
      </c>
      <c r="AX263">
        <f ca="1">IF(AND($B$294=1,LEN($AX$311) * LEN($AX$312) * LEN($AX$313)&gt;0),$AX$311+$AX$312-$AX$313,HLOOKUP(INDIRECT(ADDRESS(2,COLUMN())),OFFSET($BN$2,0,0,ROW()-1,60),ROW()-1,FALSE))</f>
        <v>195.96700000000001</v>
      </c>
      <c r="AY263">
        <f ca="1">IF(AND($B$294=1,LEN($AY$311) * LEN($AY$312) * LEN($AY$313)&gt;0),$AY$311+$AY$312-$AY$313,HLOOKUP(INDIRECT(ADDRESS(2,COLUMN())),OFFSET($BN$2,0,0,ROW()-1,60),ROW()-1,FALSE))</f>
        <v>255.04400000000001</v>
      </c>
      <c r="AZ263">
        <f ca="1">IF(AND($B$294=1,LEN($AZ$311) * LEN($AZ$312) * LEN($AZ$313)&gt;0),$AZ$311+$AZ$312-$AZ$313,HLOOKUP(INDIRECT(ADDRESS(2,COLUMN())),OFFSET($BN$2,0,0,ROW()-1,60),ROW()-1,FALSE))</f>
        <v>293.57600000000002</v>
      </c>
      <c r="BA263">
        <f ca="1">IF(AND($B$294=1,LEN($BA$311) * LEN($BA$312) * LEN($BA$313)&gt;0),$BA$311+$BA$312-$BA$313,HLOOKUP(INDIRECT(ADDRESS(2,COLUMN())),OFFSET($BN$2,0,0,ROW()-1,60),ROW()-1,FALSE))</f>
        <v>351.38299999999998</v>
      </c>
      <c r="BB263">
        <f ca="1">IF(AND($B$294=1,LEN($BB$311) * LEN($BB$312) * LEN($BB$313)&gt;0),$BB$311+$BB$312-$BB$313,HLOOKUP(INDIRECT(ADDRESS(2,COLUMN())),OFFSET($BN$2,0,0,ROW()-1,60),ROW()-1,FALSE))</f>
        <v>111.19499999999999</v>
      </c>
      <c r="BC263" t="str">
        <f ca="1">IF(AND($B$294=1,LEN($BC$311) * LEN($BC$312) * LEN($BC$313)&gt;0),$BC$311+$BC$312-$BC$313,HLOOKUP(INDIRECT(ADDRESS(2,COLUMN())),OFFSET($BN$2,0,0,ROW()-1,60),ROW()-1,FALSE))</f>
        <v/>
      </c>
      <c r="BD263">
        <f ca="1">IF(AND($B$294=1,LEN($BD$311) * LEN($BD$312) * LEN($BD$313)&gt;0),$BD$311+$BD$312-$BD$313,HLOOKUP(INDIRECT(ADDRESS(2,COLUMN())),OFFSET($BN$2,0,0,ROW()-1,60),ROW()-1,FALSE))</f>
        <v>215.56</v>
      </c>
      <c r="BE263">
        <f ca="1">IF(AND($B$294=1,LEN($BE$311) * LEN($BE$312) * LEN($BE$313)&gt;0),$BE$311+$BE$312-$BE$313,HLOOKUP(INDIRECT(ADDRESS(2,COLUMN())),OFFSET($BN$2,0,0,ROW()-1,60),ROW()-1,FALSE))</f>
        <v>233.613</v>
      </c>
      <c r="BF263" t="str">
        <f ca="1">IF(AND($B$294=1,LEN($BF$311) * LEN($BF$312) * LEN($BF$313)&gt;0),$BF$311+$BF$312-$BF$313,HLOOKUP(INDIRECT(ADDRESS(2,COLUMN())),OFFSET($BN$2,0,0,ROW()-1,60),ROW()-1,FALSE))</f>
        <v/>
      </c>
      <c r="BG263">
        <f ca="1">IF(AND($B$294=1,LEN($BG$311) * LEN($BG$312) * LEN($BG$313)&gt;0),$BG$311+$BG$312-$BG$313,HLOOKUP(INDIRECT(ADDRESS(2,COLUMN())),OFFSET($BN$2,0,0,ROW()-1,60),ROW()-1,FALSE))</f>
        <v>213.62</v>
      </c>
      <c r="BH263" t="str">
        <f ca="1">IF(AND($B$294=1,LEN($BH$311) * LEN($BH$312) * LEN($BH$313)&gt;0),$BH$311+$BH$312-$BH$313,HLOOKUP(INDIRECT(ADDRESS(2,COLUMN())),OFFSET($BN$2,0,0,ROW()-1,60),ROW()-1,FALSE))</f>
        <v/>
      </c>
      <c r="BI263" t="str">
        <f ca="1">IF(AND($B$294=1,LEN($BI$311) * LEN($BI$312) * LEN($BI$313)&gt;0),$BI$311+$BI$312-$BI$313,HLOOKUP(INDIRECT(ADDRESS(2,COLUMN())),OFFSET($BN$2,0,0,ROW()-1,60),ROW()-1,FALSE))</f>
        <v/>
      </c>
      <c r="BJ263" t="str">
        <f ca="1">IF(AND($B$294=1,LEN($BJ$311) * LEN($BJ$312) * LEN($BJ$313)&gt;0),$BJ$311+$BJ$312-$BJ$313,HLOOKUP(INDIRECT(ADDRESS(2,COLUMN())),OFFSET($BN$2,0,0,ROW()-1,60),ROW()-1,FALSE))</f>
        <v/>
      </c>
      <c r="BK263" t="str">
        <f ca="1">IF(AND($B$294=1,LEN($BK$311) * LEN($BK$312) * LEN($BK$313)&gt;0),$BK$311+$BK$312-$BK$313,HLOOKUP(INDIRECT(ADDRESS(2,COLUMN())),OFFSET($BN$2,0,0,ROW()-1,60),ROW()-1,FALSE))</f>
        <v/>
      </c>
      <c r="BL263" t="str">
        <f ca="1">IF(AND($B$294=1,LEN($BL$311) * LEN($BL$312) * LEN($BL$313)&gt;0),$BL$311+$BL$312-$BL$313,HLOOKUP(INDIRECT(ADDRESS(2,COLUMN())),OFFSET($BN$2,0,0,ROW()-1,60),ROW()-1,FALSE))</f>
        <v/>
      </c>
      <c r="BM263" t="str">
        <f ca="1">IF(AND($B$294=1,LEN($BM$311) * LEN($BM$312) * LEN($BM$313)&gt;0),$BM$311+$BM$312-$BM$313,HLOOKUP(INDIRECT(ADDRESS(2,COLUMN())),OFFSET($BN$2,0,0,ROW()-1,60),ROW()-1,FALSE))</f>
        <v/>
      </c>
      <c r="BN263" t="str">
        <f>""</f>
        <v/>
      </c>
      <c r="BO263">
        <f>804.065</f>
        <v>804.06500000000005</v>
      </c>
      <c r="BP263">
        <f>753.409</f>
        <v>753.40899999999999</v>
      </c>
      <c r="BQ263">
        <f>984.544</f>
        <v>984.54399999999998</v>
      </c>
      <c r="BR263">
        <f>1073.81</f>
        <v>1073.81</v>
      </c>
      <c r="BS263">
        <f>786.132</f>
        <v>786.13199999999995</v>
      </c>
      <c r="BT263">
        <f>848.043</f>
        <v>848.04300000000001</v>
      </c>
      <c r="BU263">
        <f>401.406</f>
        <v>401.40600000000001</v>
      </c>
      <c r="BV263">
        <f>556.289</f>
        <v>556.28899999999999</v>
      </c>
      <c r="BW263" t="str">
        <f>""</f>
        <v/>
      </c>
      <c r="BX263">
        <f>840.172</f>
        <v>840.17200000000003</v>
      </c>
      <c r="BY263">
        <f>197.81</f>
        <v>197.81</v>
      </c>
      <c r="BZ263">
        <f>153.551</f>
        <v>153.55099999999999</v>
      </c>
      <c r="CA263">
        <f>88.678</f>
        <v>88.677999999999997</v>
      </c>
      <c r="CB263">
        <f>662.422</f>
        <v>662.42200000000003</v>
      </c>
      <c r="CC263">
        <f>274.086</f>
        <v>274.08600000000001</v>
      </c>
      <c r="CD263">
        <f>332.602</f>
        <v>332.60199999999998</v>
      </c>
      <c r="CE263">
        <f>225.031</f>
        <v>225.03100000000001</v>
      </c>
      <c r="CF263">
        <f>694.763</f>
        <v>694.76300000000003</v>
      </c>
      <c r="CG263">
        <f>601.365</f>
        <v>601.36500000000001</v>
      </c>
      <c r="CH263">
        <f>628.66</f>
        <v>628.66</v>
      </c>
      <c r="CI263">
        <f>240.819</f>
        <v>240.81899999999999</v>
      </c>
      <c r="CJ263">
        <f>487.467</f>
        <v>487.46699999999998</v>
      </c>
      <c r="CK263">
        <f>414.06</f>
        <v>414.06</v>
      </c>
      <c r="CL263">
        <f>622.61</f>
        <v>622.61</v>
      </c>
      <c r="CM263">
        <f>69.473</f>
        <v>69.472999999999999</v>
      </c>
      <c r="CN263">
        <f>445.11</f>
        <v>445.11</v>
      </c>
      <c r="CO263">
        <f>208.15</f>
        <v>208.15</v>
      </c>
      <c r="CP263">
        <f>376.29</f>
        <v>376.29</v>
      </c>
      <c r="CQ263">
        <f>280.823</f>
        <v>280.82299999999998</v>
      </c>
      <c r="CR263">
        <f>301.723</f>
        <v>301.72300000000001</v>
      </c>
      <c r="CS263">
        <f>365.289</f>
        <v>365.28899999999999</v>
      </c>
      <c r="CT263">
        <f>345.053</f>
        <v>345.053</v>
      </c>
      <c r="CU263">
        <f>202.296</f>
        <v>202.29599999999999</v>
      </c>
      <c r="CV263">
        <f>428.881</f>
        <v>428.88099999999997</v>
      </c>
      <c r="CW263">
        <f>465</f>
        <v>465</v>
      </c>
      <c r="CX263">
        <f>211.797</f>
        <v>211.797</v>
      </c>
      <c r="CY263">
        <f>226.003</f>
        <v>226.00299999999999</v>
      </c>
      <c r="CZ263">
        <f>320.955</f>
        <v>320.95499999999998</v>
      </c>
      <c r="DA263">
        <f>318.667</f>
        <v>318.66699999999997</v>
      </c>
      <c r="DB263">
        <f>338.681</f>
        <v>338.68099999999998</v>
      </c>
      <c r="DC263">
        <f>369.184</f>
        <v>369.18400000000003</v>
      </c>
      <c r="DD263">
        <f>501.6527</f>
        <v>501.65269999999998</v>
      </c>
      <c r="DE263">
        <f>538.534</f>
        <v>538.53399999999999</v>
      </c>
      <c r="DF263">
        <f>195.967</f>
        <v>195.96700000000001</v>
      </c>
      <c r="DG263">
        <f>255.044</f>
        <v>255.04400000000001</v>
      </c>
      <c r="DH263">
        <f>293.576</f>
        <v>293.57600000000002</v>
      </c>
      <c r="DI263">
        <f>351.383</f>
        <v>351.38299999999998</v>
      </c>
      <c r="DJ263">
        <f>111.195</f>
        <v>111.19499999999999</v>
      </c>
      <c r="DK263" t="str">
        <f>""</f>
        <v/>
      </c>
      <c r="DL263">
        <f>215.56</f>
        <v>215.56</v>
      </c>
      <c r="DM263">
        <f>233.613</f>
        <v>233.613</v>
      </c>
      <c r="DN263" t="str">
        <f>""</f>
        <v/>
      </c>
      <c r="DO263">
        <f>213.62</f>
        <v>213.62</v>
      </c>
      <c r="DP263" t="str">
        <f>""</f>
        <v/>
      </c>
      <c r="DQ263" t="str">
        <f>""</f>
        <v/>
      </c>
      <c r="DR263" t="str">
        <f>""</f>
        <v/>
      </c>
      <c r="DS263" t="str">
        <f>""</f>
        <v/>
      </c>
      <c r="DT263" t="str">
        <f>""</f>
        <v/>
      </c>
      <c r="DU263" t="str">
        <f>""</f>
        <v/>
      </c>
    </row>
    <row r="264" spans="1:125">
      <c r="A264" t="str">
        <f>"    Mack-Cali Realty Corp"</f>
        <v xml:space="preserve">    Mack-Cali Realty Corp</v>
      </c>
      <c r="B264" t="str">
        <f>"CLI US Equity"</f>
        <v>CLI US Equity</v>
      </c>
      <c r="E264" t="str">
        <f t="shared" si="69"/>
        <v>Expression</v>
      </c>
      <c r="F264" t="str">
        <f ca="1">IF(AND($B$294=1,LEN($F$314) * LEN($F$315) * LEN($F$316)&gt;0),$F$314+$F$315-$F$316,HLOOKUP(INDIRECT(ADDRESS(2,COLUMN())),OFFSET($BN$2,0,0,ROW()-1,60),ROW()-1,FALSE))</f>
        <v/>
      </c>
      <c r="G264">
        <f ca="1">IF(AND($B$294=1,LEN($G$314) * LEN($G$315) * LEN($G$316)&gt;0),$G$314+$G$315-$G$316,HLOOKUP(INDIRECT(ADDRESS(2,COLUMN())),OFFSET($BN$2,0,0,ROW()-1,60),ROW()-1,FALSE))</f>
        <v>-0.84499999999999997</v>
      </c>
      <c r="H264">
        <f ca="1">IF(AND($B$294=1,LEN($H$314) * LEN($H$315) * LEN($H$316)&gt;0),$H$314+$H$315-$H$316,HLOOKUP(INDIRECT(ADDRESS(2,COLUMN())),OFFSET($BN$2,0,0,ROW()-1,60),ROW()-1,FALSE))</f>
        <v>90.102000000000004</v>
      </c>
      <c r="I264">
        <f ca="1">IF(AND($B$294=1,LEN($I$314) * LEN($I$315) * LEN($I$316)&gt;0),$I$314+$I$315-$I$316,HLOOKUP(INDIRECT(ADDRESS(2,COLUMN())),OFFSET($BN$2,0,0,ROW()-1,60),ROW()-1,FALSE))</f>
        <v>165.511</v>
      </c>
      <c r="J264">
        <f ca="1">IF(AND($B$294=1,LEN($J$314) * LEN($J$315) * LEN($J$316)&gt;0),$J$314+$J$315-$J$316,HLOOKUP(INDIRECT(ADDRESS(2,COLUMN())),OFFSET($BN$2,0,0,ROW()-1,60),ROW()-1,FALSE))</f>
        <v>319.43</v>
      </c>
      <c r="K264">
        <f ca="1">IF(AND($B$294=1,LEN($K$314) * LEN($K$315) * LEN($K$316)&gt;0),$K$314+$K$315-$K$316,HLOOKUP(INDIRECT(ADDRESS(2,COLUMN())),OFFSET($BN$2,0,0,ROW()-1,60),ROW()-1,FALSE))</f>
        <v>-548.80799999999999</v>
      </c>
      <c r="L264">
        <f ca="1">IF(AND($B$294=1,LEN($L$314) * LEN($L$315) * LEN($L$316)&gt;0),$L$314+$L$315-$L$316,HLOOKUP(INDIRECT(ADDRESS(2,COLUMN())),OFFSET($BN$2,0,0,ROW()-1,60),ROW()-1,FALSE))</f>
        <v>809.34400000000005</v>
      </c>
      <c r="M264">
        <f ca="1">IF(AND($B$294=1,LEN($M$314) * LEN($M$315) * LEN($M$316)&gt;0),$M$314+$M$315-$M$316,HLOOKUP(INDIRECT(ADDRESS(2,COLUMN())),OFFSET($BN$2,0,0,ROW()-1,60),ROW()-1,FALSE))</f>
        <v>835.09900000000005</v>
      </c>
      <c r="N264">
        <f ca="1">IF(AND($B$294=1,LEN($N$314) * LEN($N$315) * LEN($N$316)&gt;0),$N$314+$N$315-$N$316,HLOOKUP(INDIRECT(ADDRESS(2,COLUMN())),OFFSET($BN$2,0,0,ROW()-1,60),ROW()-1,FALSE))</f>
        <v>848.88</v>
      </c>
      <c r="O264" t="str">
        <f ca="1">IF(AND($B$294=1,LEN($O$314) * LEN($O$315) * LEN($O$316)&gt;0),$O$314+$O$315-$O$316,HLOOKUP(INDIRECT(ADDRESS(2,COLUMN())),OFFSET($BN$2,0,0,ROW()-1,60),ROW()-1,FALSE))</f>
        <v/>
      </c>
      <c r="P264">
        <f ca="1">IF(AND($B$294=1,LEN($P$314) * LEN($P$315) * LEN($P$316)&gt;0),$P$314+$P$315-$P$316,HLOOKUP(INDIRECT(ADDRESS(2,COLUMN())),OFFSET($BN$2,0,0,ROW()-1,60),ROW()-1,FALSE))</f>
        <v>915.197</v>
      </c>
      <c r="Q264">
        <f ca="1">IF(AND($B$294=1,LEN($Q$314) * LEN($Q$315) * LEN($Q$316)&gt;0),$Q$314+$Q$315-$Q$316,HLOOKUP(INDIRECT(ADDRESS(2,COLUMN())),OFFSET($BN$2,0,0,ROW()-1,60),ROW()-1,FALSE))</f>
        <v>901.56500000000005</v>
      </c>
      <c r="R264">
        <f ca="1">IF(AND($B$294=1,LEN($R$314) * LEN($R$315) * LEN($R$316)&gt;0),$R$314+$R$315-$R$316,HLOOKUP(INDIRECT(ADDRESS(2,COLUMN())),OFFSET($BN$2,0,0,ROW()-1,60),ROW()-1,FALSE))</f>
        <v>825.76300000000003</v>
      </c>
      <c r="S264">
        <f ca="1">IF(AND($B$294=1,LEN($S$314) * LEN($S$315) * LEN($S$316)&gt;0),$S$314+$S$315-$S$316,HLOOKUP(INDIRECT(ADDRESS(2,COLUMN())),OFFSET($BN$2,0,0,ROW()-1,60),ROW()-1,FALSE))</f>
        <v>853.149</v>
      </c>
      <c r="T264">
        <f ca="1">IF(AND($B$294=1,LEN($T$314) * LEN($T$315) * LEN($T$316)&gt;0),$T$314+$T$315-$T$316,HLOOKUP(INDIRECT(ADDRESS(2,COLUMN())),OFFSET($BN$2,0,0,ROW()-1,60),ROW()-1,FALSE))</f>
        <v>969.73900000000003</v>
      </c>
      <c r="U264">
        <f ca="1">IF(AND($B$294=1,LEN($U$314) * LEN($U$315) * LEN($U$316)&gt;0),$U$314+$U$315-$U$316,HLOOKUP(INDIRECT(ADDRESS(2,COLUMN())),OFFSET($BN$2,0,0,ROW()-1,60),ROW()-1,FALSE))</f>
        <v>891.45899999999995</v>
      </c>
      <c r="V264">
        <f ca="1">IF(AND($B$294=1,LEN($V$314) * LEN($V$315) * LEN($V$316)&gt;0),$V$314+$V$315-$V$316,HLOOKUP(INDIRECT(ADDRESS(2,COLUMN())),OFFSET($BN$2,0,0,ROW()-1,60),ROW()-1,FALSE))</f>
        <v>810.76599999999996</v>
      </c>
      <c r="W264">
        <f ca="1">IF(AND($B$294=1,LEN($W$314) * LEN($W$315) * LEN($W$316)&gt;0),$W$314+$W$315-$W$316,HLOOKUP(INDIRECT(ADDRESS(2,COLUMN())),OFFSET($BN$2,0,0,ROW()-1,60),ROW()-1,FALSE))</f>
        <v>451.11</v>
      </c>
      <c r="X264">
        <f ca="1">IF(AND($B$294=1,LEN($X$314) * LEN($X$315) * LEN($X$316)&gt;0),$X$314+$X$315-$X$316,HLOOKUP(INDIRECT(ADDRESS(2,COLUMN())),OFFSET($BN$2,0,0,ROW()-1,60),ROW()-1,FALSE))</f>
        <v>1258.9659999999999</v>
      </c>
      <c r="Y264">
        <f ca="1">IF(AND($B$294=1,LEN($Y$314) * LEN($Y$315) * LEN($Y$316)&gt;0),$Y$314+$Y$315-$Y$316,HLOOKUP(INDIRECT(ADDRESS(2,COLUMN())),OFFSET($BN$2,0,0,ROW()-1,60),ROW()-1,FALSE))</f>
        <v>689.34299999999996</v>
      </c>
      <c r="Z264">
        <f ca="1">IF(AND($B$294=1,LEN($Z$314) * LEN($Z$315) * LEN($Z$316)&gt;0),$Z$314+$Z$315-$Z$316,HLOOKUP(INDIRECT(ADDRESS(2,COLUMN())),OFFSET($BN$2,0,0,ROW()-1,60),ROW()-1,FALSE))</f>
        <v>741.29</v>
      </c>
      <c r="AA264">
        <f ca="1">IF(AND($B$294=1,LEN($AA$314) * LEN($AA$315) * LEN($AA$316)&gt;0),$AA$314+$AA$315-$AA$316,HLOOKUP(INDIRECT(ADDRESS(2,COLUMN())),OFFSET($BN$2,0,0,ROW()-1,60),ROW()-1,FALSE))</f>
        <v>466.072</v>
      </c>
      <c r="AB264">
        <f ca="1">IF(AND($B$294=1,LEN($AB$314) * LEN($AB$315) * LEN($AB$316)&gt;0),$AB$314+$AB$315-$AB$316,HLOOKUP(INDIRECT(ADDRESS(2,COLUMN())),OFFSET($BN$2,0,0,ROW()-1,60),ROW()-1,FALSE))</f>
        <v>540.80499999999995</v>
      </c>
      <c r="AC264">
        <f ca="1">IF(AND($B$294=1,LEN($AC$314) * LEN($AC$315) * LEN($AC$316)&gt;0),$AC$314+$AC$315-$AC$316,HLOOKUP(INDIRECT(ADDRESS(2,COLUMN())),OFFSET($BN$2,0,0,ROW()-1,60),ROW()-1,FALSE))</f>
        <v>592.755</v>
      </c>
      <c r="AD264">
        <f ca="1">IF(AND($B$294=1,LEN($AD$314) * LEN($AD$315) * LEN($AD$316)&gt;0),$AD$314+$AD$315-$AD$316,HLOOKUP(INDIRECT(ADDRESS(2,COLUMN())),OFFSET($BN$2,0,0,ROW()-1,60),ROW()-1,FALSE))</f>
        <v>506.72699999999998</v>
      </c>
      <c r="AE264">
        <f ca="1">IF(AND($B$294=1,LEN($AE$314) * LEN($AE$315) * LEN($AE$316)&gt;0),$AE$314+$AE$315-$AE$316,HLOOKUP(INDIRECT(ADDRESS(2,COLUMN())),OFFSET($BN$2,0,0,ROW()-1,60),ROW()-1,FALSE))</f>
        <v>732.18899999999996</v>
      </c>
      <c r="AF264">
        <f ca="1">IF(AND($B$294=1,LEN($AF$314) * LEN($AF$315) * LEN($AF$316)&gt;0),$AF$314+$AF$315-$AF$316,HLOOKUP(INDIRECT(ADDRESS(2,COLUMN())),OFFSET($BN$2,0,0,ROW()-1,60),ROW()-1,FALSE))</f>
        <v>707.01900000000001</v>
      </c>
      <c r="AG264">
        <f ca="1">IF(AND($B$294=1,LEN($AG$314) * LEN($AG$315) * LEN($AG$316)&gt;0),$AG$314+$AG$315-$AG$316,HLOOKUP(INDIRECT(ADDRESS(2,COLUMN())),OFFSET($BN$2,0,0,ROW()-1,60),ROW()-1,FALSE))</f>
        <v>777.03700000000003</v>
      </c>
      <c r="AH264">
        <f ca="1">IF(AND($B$294=1,LEN($AH$314) * LEN($AH$315) * LEN($AH$316)&gt;0),$AH$314+$AH$315-$AH$316,HLOOKUP(INDIRECT(ADDRESS(2,COLUMN())),OFFSET($BN$2,0,0,ROW()-1,60),ROW()-1,FALSE))</f>
        <v>751.58500000000004</v>
      </c>
      <c r="AI264">
        <f ca="1">IF(AND($B$294=1,LEN($AI$314) * LEN($AI$315) * LEN($AI$316)&gt;0),$AI$314+$AI$315-$AI$316,HLOOKUP(INDIRECT(ADDRESS(2,COLUMN())),OFFSET($BN$2,0,0,ROW()-1,60),ROW()-1,FALSE))</f>
        <v>548.63400000000001</v>
      </c>
      <c r="AJ264">
        <f ca="1">IF(AND($B$294=1,LEN($AJ$314) * LEN($AJ$315) * LEN($AJ$316)&gt;0),$AJ$314+$AJ$315-$AJ$316,HLOOKUP(INDIRECT(ADDRESS(2,COLUMN())),OFFSET($BN$2,0,0,ROW()-1,60),ROW()-1,FALSE))</f>
        <v>863.69</v>
      </c>
      <c r="AK264">
        <f ca="1">IF(AND($B$294=1,LEN($AK$314) * LEN($AK$315) * LEN($AK$316)&gt;0),$AK$314+$AK$315-$AK$316,HLOOKUP(INDIRECT(ADDRESS(2,COLUMN())),OFFSET($BN$2,0,0,ROW()-1,60),ROW()-1,FALSE))</f>
        <v>896.81299999999999</v>
      </c>
      <c r="AL264">
        <f ca="1">IF(AND($B$294=1,LEN($AL$314) * LEN($AL$315) * LEN($AL$316)&gt;0),$AL$314+$AL$315-$AL$316,HLOOKUP(INDIRECT(ADDRESS(2,COLUMN())),OFFSET($BN$2,0,0,ROW()-1,60),ROW()-1,FALSE))</f>
        <v>858.36699999999996</v>
      </c>
      <c r="AM264">
        <f ca="1">IF(AND($B$294=1,LEN($AM$314) * LEN($AM$315) * LEN($AM$316)&gt;0),$AM$314+$AM$315-$AM$316,HLOOKUP(INDIRECT(ADDRESS(2,COLUMN())),OFFSET($BN$2,0,0,ROW()-1,60),ROW()-1,FALSE))</f>
        <v>423.404</v>
      </c>
      <c r="AN264">
        <f ca="1">IF(AND($B$294=1,LEN($AN$314) * LEN($AN$315) * LEN($AN$316)&gt;0),$AN$314+$AN$315-$AN$316,HLOOKUP(INDIRECT(ADDRESS(2,COLUMN())),OFFSET($BN$2,0,0,ROW()-1,60),ROW()-1,FALSE))</f>
        <v>1052.3140000000001</v>
      </c>
      <c r="AO264">
        <f ca="1">IF(AND($B$294=1,LEN($AO$314) * LEN($AO$315) * LEN($AO$316)&gt;0),$AO$314+$AO$315-$AO$316,HLOOKUP(INDIRECT(ADDRESS(2,COLUMN())),OFFSET($BN$2,0,0,ROW()-1,60),ROW()-1,FALSE))</f>
        <v>304.548</v>
      </c>
      <c r="AP264">
        <f ca="1">IF(AND($B$294=1,LEN($AP$314) * LEN($AP$315) * LEN($AP$316)&gt;0),$AP$314+$AP$315-$AP$316,HLOOKUP(INDIRECT(ADDRESS(2,COLUMN())),OFFSET($BN$2,0,0,ROW()-1,60),ROW()-1,FALSE))</f>
        <v>471.95400000000001</v>
      </c>
      <c r="AQ264">
        <f ca="1">IF(AND($B$294=1,LEN($AQ$314) * LEN($AQ$315) * LEN($AQ$316)&gt;0),$AQ$314+$AQ$315-$AQ$316,HLOOKUP(INDIRECT(ADDRESS(2,COLUMN())),OFFSET($BN$2,0,0,ROW()-1,60),ROW()-1,FALSE))</f>
        <v>286.82299999999998</v>
      </c>
      <c r="AR264">
        <f ca="1">IF(AND($B$294=1,LEN($AR$314) * LEN($AR$315) * LEN($AR$316)&gt;0),$AR$314+$AR$315-$AR$316,HLOOKUP(INDIRECT(ADDRESS(2,COLUMN())),OFFSET($BN$2,0,0,ROW()-1,60),ROW()-1,FALSE))</f>
        <v>483.34899999999999</v>
      </c>
      <c r="AS264">
        <f ca="1">IF(AND($B$294=1,LEN($AS$314) * LEN($AS$315) * LEN($AS$316)&gt;0),$AS$314+$AS$315-$AS$316,HLOOKUP(INDIRECT(ADDRESS(2,COLUMN())),OFFSET($BN$2,0,0,ROW()-1,60),ROW()-1,FALSE))</f>
        <v>552.899</v>
      </c>
      <c r="AT264">
        <f ca="1">IF(AND($B$294=1,LEN($AT$314) * LEN($AT$315) * LEN($AT$316)&gt;0),$AT$314+$AT$315-$AT$316,HLOOKUP(INDIRECT(ADDRESS(2,COLUMN())),OFFSET($BN$2,0,0,ROW()-1,60),ROW()-1,FALSE))</f>
        <v>464.58</v>
      </c>
      <c r="AU264">
        <f ca="1">IF(AND($B$294=1,LEN($AU$314) * LEN($AU$315) * LEN($AU$316)&gt;0),$AU$314+$AU$315-$AU$316,HLOOKUP(INDIRECT(ADDRESS(2,COLUMN())),OFFSET($BN$2,0,0,ROW()-1,60),ROW()-1,FALSE))</f>
        <v>515.96199999999999</v>
      </c>
      <c r="AV264">
        <f ca="1">IF(AND($B$294=1,LEN($AV$314) * LEN($AV$315) * LEN($AV$316)&gt;0),$AV$314+$AV$315-$AV$316,HLOOKUP(INDIRECT(ADDRESS(2,COLUMN())),OFFSET($BN$2,0,0,ROW()-1,60),ROW()-1,FALSE))</f>
        <v>625.79</v>
      </c>
      <c r="AW264">
        <f ca="1">IF(AND($B$294=1,LEN($AW$314) * LEN($AW$315) * LEN($AW$316)&gt;0),$AW$314+$AW$315-$AW$316,HLOOKUP(INDIRECT(ADDRESS(2,COLUMN())),OFFSET($BN$2,0,0,ROW()-1,60),ROW()-1,FALSE))</f>
        <v>492.32100000000003</v>
      </c>
      <c r="AX264">
        <f ca="1">IF(AND($B$294=1,LEN($AX$314) * LEN($AX$315) * LEN($AX$316)&gt;0),$AX$314+$AX$315-$AX$316,HLOOKUP(INDIRECT(ADDRESS(2,COLUMN())),OFFSET($BN$2,0,0,ROW()-1,60),ROW()-1,FALSE))</f>
        <v>735.39800000000002</v>
      </c>
      <c r="AY264">
        <f ca="1">IF(AND($B$294=1,LEN($AY$314) * LEN($AY$315) * LEN($AY$316)&gt;0),$AY$314+$AY$315-$AY$316,HLOOKUP(INDIRECT(ADDRESS(2,COLUMN())),OFFSET($BN$2,0,0,ROW()-1,60),ROW()-1,FALSE))</f>
        <v>666.94500000000005</v>
      </c>
      <c r="AZ264">
        <f ca="1">IF(AND($B$294=1,LEN($AZ$314) * LEN($AZ$315) * LEN($AZ$316)&gt;0),$AZ$314+$AZ$315-$AZ$316,HLOOKUP(INDIRECT(ADDRESS(2,COLUMN())),OFFSET($BN$2,0,0,ROW()-1,60),ROW()-1,FALSE))</f>
        <v>613.93100000000004</v>
      </c>
      <c r="BA264">
        <f ca="1">IF(AND($B$294=1,LEN($BA$314) * LEN($BA$315) * LEN($BA$316)&gt;0),$BA$314+$BA$315-$BA$316,HLOOKUP(INDIRECT(ADDRESS(2,COLUMN())),OFFSET($BN$2,0,0,ROW()-1,60),ROW()-1,FALSE))</f>
        <v>583.14599999999996</v>
      </c>
      <c r="BB264">
        <f ca="1">IF(AND($B$294=1,LEN($BB$314) * LEN($BB$315) * LEN($BB$316)&gt;0),$BB$314+$BB$315-$BB$316,HLOOKUP(INDIRECT(ADDRESS(2,COLUMN())),OFFSET($BN$2,0,0,ROW()-1,60),ROW()-1,FALSE))</f>
        <v>586.83000000000004</v>
      </c>
      <c r="BC264" t="str">
        <f ca="1">IF(AND($B$294=1,LEN($BC$314) * LEN($BC$315) * LEN($BC$316)&gt;0),$BC$314+$BC$315-$BC$316,HLOOKUP(INDIRECT(ADDRESS(2,COLUMN())),OFFSET($BN$2,0,0,ROW()-1,60),ROW()-1,FALSE))</f>
        <v/>
      </c>
      <c r="BD264" t="str">
        <f ca="1">IF(AND($B$294=1,LEN($BD$314) * LEN($BD$315) * LEN($BD$316)&gt;0),$BD$314+$BD$315-$BD$316,HLOOKUP(INDIRECT(ADDRESS(2,COLUMN())),OFFSET($BN$2,0,0,ROW()-1,60),ROW()-1,FALSE))</f>
        <v/>
      </c>
      <c r="BE264">
        <f ca="1">IF(AND($B$294=1,LEN($BE$314) * LEN($BE$315) * LEN($BE$316)&gt;0),$BE$314+$BE$315-$BE$316,HLOOKUP(INDIRECT(ADDRESS(2,COLUMN())),OFFSET($BN$2,0,0,ROW()-1,60),ROW()-1,FALSE))</f>
        <v>534.80799999999999</v>
      </c>
      <c r="BF264" t="str">
        <f ca="1">IF(AND($B$294=1,LEN($BF$314) * LEN($BF$315) * LEN($BF$316)&gt;0),$BF$314+$BF$315-$BF$316,HLOOKUP(INDIRECT(ADDRESS(2,COLUMN())),OFFSET($BN$2,0,0,ROW()-1,60),ROW()-1,FALSE))</f>
        <v/>
      </c>
      <c r="BG264" t="str">
        <f ca="1">IF(AND($B$294=1,LEN($BG$314) * LEN($BG$315) * LEN($BG$316)&gt;0),$BG$314+$BG$315-$BG$316,HLOOKUP(INDIRECT(ADDRESS(2,COLUMN())),OFFSET($BN$2,0,0,ROW()-1,60),ROW()-1,FALSE))</f>
        <v/>
      </c>
      <c r="BH264" t="str">
        <f ca="1">IF(AND($B$294=1,LEN($BH$314) * LEN($BH$315) * LEN($BH$316)&gt;0),$BH$314+$BH$315-$BH$316,HLOOKUP(INDIRECT(ADDRESS(2,COLUMN())),OFFSET($BN$2,0,0,ROW()-1,60),ROW()-1,FALSE))</f>
        <v/>
      </c>
      <c r="BI264" t="str">
        <f ca="1">IF(AND($B$294=1,LEN($BI$314) * LEN($BI$315) * LEN($BI$316)&gt;0),$BI$314+$BI$315-$BI$316,HLOOKUP(INDIRECT(ADDRESS(2,COLUMN())),OFFSET($BN$2,0,0,ROW()-1,60),ROW()-1,FALSE))</f>
        <v/>
      </c>
      <c r="BJ264" t="str">
        <f ca="1">IF(AND($B$294=1,LEN($BJ$314) * LEN($BJ$315) * LEN($BJ$316)&gt;0),$BJ$314+$BJ$315-$BJ$316,HLOOKUP(INDIRECT(ADDRESS(2,COLUMN())),OFFSET($BN$2,0,0,ROW()-1,60),ROW()-1,FALSE))</f>
        <v/>
      </c>
      <c r="BK264" t="str">
        <f ca="1">IF(AND($B$294=1,LEN($BK$314) * LEN($BK$315) * LEN($BK$316)&gt;0),$BK$314+$BK$315-$BK$316,HLOOKUP(INDIRECT(ADDRESS(2,COLUMN())),OFFSET($BN$2,0,0,ROW()-1,60),ROW()-1,FALSE))</f>
        <v/>
      </c>
      <c r="BL264" t="str">
        <f ca="1">IF(AND($B$294=1,LEN($BL$314) * LEN($BL$315) * LEN($BL$316)&gt;0),$BL$314+$BL$315-$BL$316,HLOOKUP(INDIRECT(ADDRESS(2,COLUMN())),OFFSET($BN$2,0,0,ROW()-1,60),ROW()-1,FALSE))</f>
        <v/>
      </c>
      <c r="BM264" t="str">
        <f ca="1">IF(AND($B$294=1,LEN($BM$314) * LEN($BM$315) * LEN($BM$316)&gt;0),$BM$314+$BM$315-$BM$316,HLOOKUP(INDIRECT(ADDRESS(2,COLUMN())),OFFSET($BN$2,0,0,ROW()-1,60),ROW()-1,FALSE))</f>
        <v/>
      </c>
      <c r="BN264" t="str">
        <f>""</f>
        <v/>
      </c>
      <c r="BO264">
        <f>-0.845</f>
        <v>-0.84499999999999997</v>
      </c>
      <c r="BP264">
        <f>90.102</f>
        <v>90.102000000000004</v>
      </c>
      <c r="BQ264">
        <f>165.511</f>
        <v>165.511</v>
      </c>
      <c r="BR264">
        <f>319.43</f>
        <v>319.43</v>
      </c>
      <c r="BS264">
        <f>-548.808</f>
        <v>-548.80799999999999</v>
      </c>
      <c r="BT264">
        <f>809.344</f>
        <v>809.34400000000005</v>
      </c>
      <c r="BU264">
        <f>835.099</f>
        <v>835.09900000000005</v>
      </c>
      <c r="BV264">
        <f>848.88</f>
        <v>848.88</v>
      </c>
      <c r="BW264" t="str">
        <f>""</f>
        <v/>
      </c>
      <c r="BX264">
        <f>915.197</f>
        <v>915.197</v>
      </c>
      <c r="BY264">
        <f>901.565</f>
        <v>901.56500000000005</v>
      </c>
      <c r="BZ264">
        <f>825.763</f>
        <v>825.76300000000003</v>
      </c>
      <c r="CA264">
        <f>853.149</f>
        <v>853.149</v>
      </c>
      <c r="CB264">
        <f>969.739</f>
        <v>969.73900000000003</v>
      </c>
      <c r="CC264">
        <f>891.459</f>
        <v>891.45899999999995</v>
      </c>
      <c r="CD264">
        <f>810.766</f>
        <v>810.76599999999996</v>
      </c>
      <c r="CE264">
        <f>451.11</f>
        <v>451.11</v>
      </c>
      <c r="CF264">
        <f>1258.966</f>
        <v>1258.9659999999999</v>
      </c>
      <c r="CG264">
        <f>689.343</f>
        <v>689.34299999999996</v>
      </c>
      <c r="CH264">
        <f>741.29</f>
        <v>741.29</v>
      </c>
      <c r="CI264">
        <f>466.072</f>
        <v>466.072</v>
      </c>
      <c r="CJ264">
        <f>540.805</f>
        <v>540.80499999999995</v>
      </c>
      <c r="CK264">
        <f>592.755</f>
        <v>592.755</v>
      </c>
      <c r="CL264">
        <f>506.727</f>
        <v>506.72699999999998</v>
      </c>
      <c r="CM264">
        <f>732.189</f>
        <v>732.18899999999996</v>
      </c>
      <c r="CN264">
        <f>707.019</f>
        <v>707.01900000000001</v>
      </c>
      <c r="CO264">
        <f>777.037</f>
        <v>777.03700000000003</v>
      </c>
      <c r="CP264">
        <f>751.585</f>
        <v>751.58500000000004</v>
      </c>
      <c r="CQ264">
        <f>548.634</f>
        <v>548.63400000000001</v>
      </c>
      <c r="CR264">
        <f>863.69</f>
        <v>863.69</v>
      </c>
      <c r="CS264">
        <f>896.813</f>
        <v>896.81299999999999</v>
      </c>
      <c r="CT264">
        <f>858.367</f>
        <v>858.36699999999996</v>
      </c>
      <c r="CU264">
        <f>423.404</f>
        <v>423.404</v>
      </c>
      <c r="CV264">
        <f>1052.314</f>
        <v>1052.3140000000001</v>
      </c>
      <c r="CW264">
        <f>304.548</f>
        <v>304.548</v>
      </c>
      <c r="CX264">
        <f>471.954</f>
        <v>471.95400000000001</v>
      </c>
      <c r="CY264">
        <f>286.823</f>
        <v>286.82299999999998</v>
      </c>
      <c r="CZ264">
        <f>483.349</f>
        <v>483.34899999999999</v>
      </c>
      <c r="DA264">
        <f>552.899</f>
        <v>552.899</v>
      </c>
      <c r="DB264">
        <f>464.58</f>
        <v>464.58</v>
      </c>
      <c r="DC264">
        <f>515.962</f>
        <v>515.96199999999999</v>
      </c>
      <c r="DD264">
        <f>625.79</f>
        <v>625.79</v>
      </c>
      <c r="DE264">
        <f>492.321</f>
        <v>492.32100000000003</v>
      </c>
      <c r="DF264">
        <f>735.398</f>
        <v>735.39800000000002</v>
      </c>
      <c r="DG264">
        <f>666.945</f>
        <v>666.94500000000005</v>
      </c>
      <c r="DH264">
        <f>613.931</f>
        <v>613.93100000000004</v>
      </c>
      <c r="DI264">
        <f>583.146</f>
        <v>583.14599999999996</v>
      </c>
      <c r="DJ264">
        <f>586.83</f>
        <v>586.83000000000004</v>
      </c>
      <c r="DK264" t="str">
        <f>""</f>
        <v/>
      </c>
      <c r="DL264" t="str">
        <f>""</f>
        <v/>
      </c>
      <c r="DM264">
        <f>534.808</f>
        <v>534.80799999999999</v>
      </c>
      <c r="DN264" t="str">
        <f>""</f>
        <v/>
      </c>
      <c r="DO264" t="str">
        <f>""</f>
        <v/>
      </c>
      <c r="DP264" t="str">
        <f>""</f>
        <v/>
      </c>
      <c r="DQ264" t="str">
        <f>""</f>
        <v/>
      </c>
      <c r="DR264" t="str">
        <f>""</f>
        <v/>
      </c>
      <c r="DS264" t="str">
        <f>""</f>
        <v/>
      </c>
      <c r="DT264" t="str">
        <f>""</f>
        <v/>
      </c>
      <c r="DU264" t="str">
        <f>""</f>
        <v/>
      </c>
    </row>
    <row r="265" spans="1:125">
      <c r="A265" t="str">
        <f>"    Piedmont Office Realty Trust I"</f>
        <v xml:space="preserve">    Piedmont Office Realty Trust I</v>
      </c>
      <c r="B265" t="str">
        <f>"PDM US Equity"</f>
        <v>PDM US Equity</v>
      </c>
      <c r="E265" t="str">
        <f t="shared" si="69"/>
        <v>Expression</v>
      </c>
      <c r="F265" t="str">
        <f ca="1">IF(AND($B$294=1,LEN($F$317) * LEN($F$318) * LEN($F$319)&gt;0),$F$317+$F$318-$F$319,HLOOKUP(INDIRECT(ADDRESS(2,COLUMN())),OFFSET($BN$2,0,0,ROW()-1,60),ROW()-1,FALSE))</f>
        <v/>
      </c>
      <c r="G265">
        <f ca="1">IF(AND($B$294=1,LEN($G$317) * LEN($G$318) * LEN($G$319)&gt;0),$G$317+$G$318-$G$319,HLOOKUP(INDIRECT(ADDRESS(2,COLUMN())),OFFSET($BN$2,0,0,ROW()-1,60),ROW()-1,FALSE))</f>
        <v>314.38200000000001</v>
      </c>
      <c r="H265">
        <f ca="1">IF(AND($B$294=1,LEN($H$317) * LEN($H$318) * LEN($H$319)&gt;0),$H$317+$H$318-$H$319,HLOOKUP(INDIRECT(ADDRESS(2,COLUMN())),OFFSET($BN$2,0,0,ROW()-1,60),ROW()-1,FALSE))</f>
        <v>536.10799999999995</v>
      </c>
      <c r="I265">
        <f ca="1">IF(AND($B$294=1,LEN($I$317) * LEN($I$318) * LEN($I$319)&gt;0),$I$317+$I$318-$I$319,HLOOKUP(INDIRECT(ADDRESS(2,COLUMN())),OFFSET($BN$2,0,0,ROW()-1,60),ROW()-1,FALSE))</f>
        <v>299.596</v>
      </c>
      <c r="J265">
        <f ca="1">IF(AND($B$294=1,LEN($J$317) * LEN($J$318) * LEN($J$319)&gt;0),$J$317+$J$318-$J$319,HLOOKUP(INDIRECT(ADDRESS(2,COLUMN())),OFFSET($BN$2,0,0,ROW()-1,60),ROW()-1,FALSE))</f>
        <v>143.80799999999999</v>
      </c>
      <c r="K265">
        <f ca="1">IF(AND($B$294=1,LEN($K$317) * LEN($K$318) * LEN($K$319)&gt;0),$K$317+$K$318-$K$319,HLOOKUP(INDIRECT(ADDRESS(2,COLUMN())),OFFSET($BN$2,0,0,ROW()-1,60),ROW()-1,FALSE))</f>
        <v>188.15799999999999</v>
      </c>
      <c r="L265">
        <f ca="1">IF(AND($B$294=1,LEN($L$317) * LEN($L$318) * LEN($L$319)&gt;0),$L$317+$L$318-$L$319,HLOOKUP(INDIRECT(ADDRESS(2,COLUMN())),OFFSET($BN$2,0,0,ROW()-1,60),ROW()-1,FALSE))</f>
        <v>354.03199999999998</v>
      </c>
      <c r="M265">
        <f ca="1">IF(AND($B$294=1,LEN($M$317) * LEN($M$318) * LEN($M$319)&gt;0),$M$317+$M$318-$M$319,HLOOKUP(INDIRECT(ADDRESS(2,COLUMN())),OFFSET($BN$2,0,0,ROW()-1,60),ROW()-1,FALSE))</f>
        <v>478.584</v>
      </c>
      <c r="N265">
        <f ca="1">IF(AND($B$294=1,LEN($N$317) * LEN($N$318) * LEN($N$319)&gt;0),$N$317+$N$318-$N$319,HLOOKUP(INDIRECT(ADDRESS(2,COLUMN())),OFFSET($BN$2,0,0,ROW()-1,60),ROW()-1,FALSE))</f>
        <v>343.20699999999999</v>
      </c>
      <c r="O265">
        <f ca="1">IF(AND($B$294=1,LEN($O$317) * LEN($O$318) * LEN($O$319)&gt;0),$O$317+$O$318-$O$319,HLOOKUP(INDIRECT(ADDRESS(2,COLUMN())),OFFSET($BN$2,0,0,ROW()-1,60),ROW()-1,FALSE))</f>
        <v>336.72699999999998</v>
      </c>
      <c r="P265">
        <f ca="1">IF(AND($B$294=1,LEN($P$317) * LEN($P$318) * LEN($P$319)&gt;0),$P$317+$P$318-$P$319,HLOOKUP(INDIRECT(ADDRESS(2,COLUMN())),OFFSET($BN$2,0,0,ROW()-1,60),ROW()-1,FALSE))</f>
        <v>88.302000000000007</v>
      </c>
      <c r="Q265">
        <f ca="1">IF(AND($B$294=1,LEN($Q$317) * LEN($Q$318) * LEN($Q$319)&gt;0),$Q$317+$Q$318-$Q$319,HLOOKUP(INDIRECT(ADDRESS(2,COLUMN())),OFFSET($BN$2,0,0,ROW()-1,60),ROW()-1,FALSE))</f>
        <v>199.797</v>
      </c>
      <c r="R265">
        <f ca="1">IF(AND($B$294=1,LEN($R$317) * LEN($R$318) * LEN($R$319)&gt;0),$R$317+$R$318-$R$319,HLOOKUP(INDIRECT(ADDRESS(2,COLUMN())),OFFSET($BN$2,0,0,ROW()-1,60),ROW()-1,FALSE))</f>
        <v>-60.521000000000001</v>
      </c>
      <c r="S265">
        <f ca="1">IF(AND($B$294=1,LEN($S$317) * LEN($S$318) * LEN($S$319)&gt;0),$S$317+$S$318-$S$319,HLOOKUP(INDIRECT(ADDRESS(2,COLUMN())),OFFSET($BN$2,0,0,ROW()-1,60),ROW()-1,FALSE))</f>
        <v>-94.840999999999994</v>
      </c>
      <c r="T265">
        <f ca="1">IF(AND($B$294=1,LEN($T$317) * LEN($T$318) * LEN($T$319)&gt;0),$T$317+$T$318-$T$319,HLOOKUP(INDIRECT(ADDRESS(2,COLUMN())),OFFSET($BN$2,0,0,ROW()-1,60),ROW()-1,FALSE))</f>
        <v>53.414999999999999</v>
      </c>
      <c r="U265">
        <f ca="1">IF(AND($B$294=1,LEN($U$317) * LEN($U$318) * LEN($U$319)&gt;0),$U$317+$U$318-$U$319,HLOOKUP(INDIRECT(ADDRESS(2,COLUMN())),OFFSET($BN$2,0,0,ROW()-1,60),ROW()-1,FALSE))</f>
        <v>196.16300000000001</v>
      </c>
      <c r="V265">
        <f ca="1">IF(AND($B$294=1,LEN($V$317) * LEN($V$318) * LEN($V$319)&gt;0),$V$317+$V$318-$V$319,HLOOKUP(INDIRECT(ADDRESS(2,COLUMN())),OFFSET($BN$2,0,0,ROW()-1,60),ROW()-1,FALSE))</f>
        <v>239.87100000000001</v>
      </c>
      <c r="W265">
        <f ca="1">IF(AND($B$294=1,LEN($W$317) * LEN($W$318) * LEN($W$319)&gt;0),$W$317+$W$318-$W$319,HLOOKUP(INDIRECT(ADDRESS(2,COLUMN())),OFFSET($BN$2,0,0,ROW()-1,60),ROW()-1,FALSE))</f>
        <v>-408.42700000000002</v>
      </c>
      <c r="X265">
        <f ca="1">IF(AND($B$294=1,LEN($X$317) * LEN($X$318) * LEN($X$319)&gt;0),$X$317+$X$318-$X$319,HLOOKUP(INDIRECT(ADDRESS(2,COLUMN())),OFFSET($BN$2,0,0,ROW()-1,60),ROW()-1,FALSE))</f>
        <v>328.97199999999998</v>
      </c>
      <c r="Y265">
        <f ca="1">IF(AND($B$294=1,LEN($Y$317) * LEN($Y$318) * LEN($Y$319)&gt;0),$Y$317+$Y$318-$Y$319,HLOOKUP(INDIRECT(ADDRESS(2,COLUMN())),OFFSET($BN$2,0,0,ROW()-1,60),ROW()-1,FALSE))</f>
        <v>405.1</v>
      </c>
      <c r="Z265">
        <f ca="1">IF(AND($B$294=1,LEN($Z$317) * LEN($Z$318) * LEN($Z$319)&gt;0),$Z$317+$Z$318-$Z$319,HLOOKUP(INDIRECT(ADDRESS(2,COLUMN())),OFFSET($BN$2,0,0,ROW()-1,60),ROW()-1,FALSE))</f>
        <v>76.174999999999997</v>
      </c>
      <c r="AA265">
        <f ca="1">IF(AND($B$294=1,LEN($AA$317) * LEN($AA$318) * LEN($AA$319)&gt;0),$AA$317+$AA$318-$AA$319,HLOOKUP(INDIRECT(ADDRESS(2,COLUMN())),OFFSET($BN$2,0,0,ROW()-1,60),ROW()-1,FALSE))</f>
        <v>383.95699999999999</v>
      </c>
      <c r="AB265">
        <f ca="1">IF(AND($B$294=1,LEN($AB$317) * LEN($AB$318) * LEN($AB$319)&gt;0),$AB$317+$AB$318-$AB$319,HLOOKUP(INDIRECT(ADDRESS(2,COLUMN())),OFFSET($BN$2,0,0,ROW()-1,60),ROW()-1,FALSE))</f>
        <v>372.26299999999998</v>
      </c>
      <c r="AC265">
        <f ca="1">IF(AND($B$294=1,LEN($AC$317) * LEN($AC$318) * LEN($AC$319)&gt;0),$AC$317+$AC$318-$AC$319,HLOOKUP(INDIRECT(ADDRESS(2,COLUMN())),OFFSET($BN$2,0,0,ROW()-1,60),ROW()-1,FALSE))</f>
        <v>300.86900000000003</v>
      </c>
      <c r="AD265">
        <f ca="1">IF(AND($B$294=1,LEN($AD$317) * LEN($AD$318) * LEN($AD$319)&gt;0),$AD$317+$AD$318-$AD$319,HLOOKUP(INDIRECT(ADDRESS(2,COLUMN())),OFFSET($BN$2,0,0,ROW()-1,60),ROW()-1,FALSE))</f>
        <v>384.279</v>
      </c>
      <c r="AE265">
        <f ca="1">IF(AND($B$294=1,LEN($AE$317) * LEN($AE$318) * LEN($AE$319)&gt;0),$AE$317+$AE$318-$AE$319,HLOOKUP(INDIRECT(ADDRESS(2,COLUMN())),OFFSET($BN$2,0,0,ROW()-1,60),ROW()-1,FALSE))</f>
        <v>454.69</v>
      </c>
      <c r="AF265">
        <f ca="1">IF(AND($B$294=1,LEN($AF$317) * LEN($AF$318) * LEN($AF$319)&gt;0),$AF$317+$AF$318-$AF$319,HLOOKUP(INDIRECT(ADDRESS(2,COLUMN())),OFFSET($BN$2,0,0,ROW()-1,60),ROW()-1,FALSE))</f>
        <v>189.12799999999999</v>
      </c>
      <c r="AG265">
        <f ca="1">IF(AND($B$294=1,LEN($AG$317) * LEN($AG$318) * LEN($AG$319)&gt;0),$AG$317+$AG$318-$AG$319,HLOOKUP(INDIRECT(ADDRESS(2,COLUMN())),OFFSET($BN$2,0,0,ROW()-1,60),ROW()-1,FALSE))</f>
        <v>221.404</v>
      </c>
      <c r="AH265">
        <f ca="1">IF(AND($B$294=1,LEN($AH$317) * LEN($AH$318) * LEN($AH$319)&gt;0),$AH$317+$AH$318-$AH$319,HLOOKUP(INDIRECT(ADDRESS(2,COLUMN())),OFFSET($BN$2,0,0,ROW()-1,60),ROW()-1,FALSE))</f>
        <v>277.15100000000001</v>
      </c>
      <c r="AI265">
        <f ca="1">IF(AND($B$294=1,LEN($AI$317) * LEN($AI$318) * LEN($AI$319)&gt;0),$AI$317+$AI$318-$AI$319,HLOOKUP(INDIRECT(ADDRESS(2,COLUMN())),OFFSET($BN$2,0,0,ROW()-1,60),ROW()-1,FALSE))</f>
        <v>306.71800000000002</v>
      </c>
      <c r="AJ265">
        <f ca="1">IF(AND($B$294=1,LEN($AJ$317) * LEN($AJ$318) * LEN($AJ$319)&gt;0),$AJ$317+$AJ$318-$AJ$319,HLOOKUP(INDIRECT(ADDRESS(2,COLUMN())),OFFSET($BN$2,0,0,ROW()-1,60),ROW()-1,FALSE))</f>
        <v>567.53899999999999</v>
      </c>
      <c r="AK265">
        <f ca="1">IF(AND($B$294=1,LEN($AK$317) * LEN($AK$318) * LEN($AK$319)&gt;0),$AK$317+$AK$318-$AK$319,HLOOKUP(INDIRECT(ADDRESS(2,COLUMN())),OFFSET($BN$2,0,0,ROW()-1,60),ROW()-1,FALSE))</f>
        <v>581.06600000000003</v>
      </c>
      <c r="AL265">
        <f ca="1">IF(AND($B$294=1,LEN($AL$317) * LEN($AL$318) * LEN($AL$319)&gt;0),$AL$317+$AL$318-$AL$319,HLOOKUP(INDIRECT(ADDRESS(2,COLUMN())),OFFSET($BN$2,0,0,ROW()-1,60),ROW()-1,FALSE))</f>
        <v>462.99400000000003</v>
      </c>
      <c r="AM265">
        <f ca="1">IF(AND($B$294=1,LEN($AM$317) * LEN($AM$318) * LEN($AM$319)&gt;0),$AM$317+$AM$318-$AM$319,HLOOKUP(INDIRECT(ADDRESS(2,COLUMN())),OFFSET($BN$2,0,0,ROW()-1,60),ROW()-1,FALSE))</f>
        <v>146.00399999999999</v>
      </c>
      <c r="AN265" t="str">
        <f ca="1">IF(AND($B$294=1,LEN($AN$317) * LEN($AN$318) * LEN($AN$319)&gt;0),$AN$317+$AN$318-$AN$319,HLOOKUP(INDIRECT(ADDRESS(2,COLUMN())),OFFSET($BN$2,0,0,ROW()-1,60),ROW()-1,FALSE))</f>
        <v/>
      </c>
      <c r="AO265" t="str">
        <f ca="1">IF(AND($B$294=1,LEN($AO$317) * LEN($AO$318) * LEN($AO$319)&gt;0),$AO$317+$AO$318-$AO$319,HLOOKUP(INDIRECT(ADDRESS(2,COLUMN())),OFFSET($BN$2,0,0,ROW()-1,60),ROW()-1,FALSE))</f>
        <v/>
      </c>
      <c r="AP265">
        <f ca="1">IF(AND($B$294=1,LEN($AP$317) * LEN($AP$318) * LEN($AP$319)&gt;0),$AP$317+$AP$318-$AP$319,HLOOKUP(INDIRECT(ADDRESS(2,COLUMN())),OFFSET($BN$2,0,0,ROW()-1,60),ROW()-1,FALSE))</f>
        <v>418.92500000000001</v>
      </c>
      <c r="AQ265" t="str">
        <f ca="1">IF(AND($B$294=1,LEN($AQ$317) * LEN($AQ$318) * LEN($AQ$319)&gt;0),$AQ$317+$AQ$318-$AQ$319,HLOOKUP(INDIRECT(ADDRESS(2,COLUMN())),OFFSET($BN$2,0,0,ROW()-1,60),ROW()-1,FALSE))</f>
        <v/>
      </c>
      <c r="AR265" t="str">
        <f ca="1">IF(AND($B$294=1,LEN($AR$317) * LEN($AR$318) * LEN($AR$319)&gt;0),$AR$317+$AR$318-$AR$319,HLOOKUP(INDIRECT(ADDRESS(2,COLUMN())),OFFSET($BN$2,0,0,ROW()-1,60),ROW()-1,FALSE))</f>
        <v/>
      </c>
      <c r="AS265" t="str">
        <f ca="1">IF(AND($B$294=1,LEN($AS$317) * LEN($AS$318) * LEN($AS$319)&gt;0),$AS$317+$AS$318-$AS$319,HLOOKUP(INDIRECT(ADDRESS(2,COLUMN())),OFFSET($BN$2,0,0,ROW()-1,60),ROW()-1,FALSE))</f>
        <v/>
      </c>
      <c r="AT265" t="str">
        <f ca="1">IF(AND($B$294=1,LEN($AT$317) * LEN($AT$318) * LEN($AT$319)&gt;0),$AT$317+$AT$318-$AT$319,HLOOKUP(INDIRECT(ADDRESS(2,COLUMN())),OFFSET($BN$2,0,0,ROW()-1,60),ROW()-1,FALSE))</f>
        <v/>
      </c>
      <c r="AU265">
        <f ca="1">IF(AND($B$294=1,LEN($AU$317) * LEN($AU$318) * LEN($AU$319)&gt;0),$AU$317+$AU$318-$AU$319,HLOOKUP(INDIRECT(ADDRESS(2,COLUMN())),OFFSET($BN$2,0,0,ROW()-1,60),ROW()-1,FALSE))</f>
        <v>128.88499999999999</v>
      </c>
      <c r="AV265">
        <f ca="1">IF(AND($B$294=1,LEN($AV$317) * LEN($AV$318) * LEN($AV$319)&gt;0),$AV$317+$AV$318-$AV$319,HLOOKUP(INDIRECT(ADDRESS(2,COLUMN())),OFFSET($BN$2,0,0,ROW()-1,60),ROW()-1,FALSE))</f>
        <v>491.48</v>
      </c>
      <c r="AW265">
        <f ca="1">IF(AND($B$294=1,LEN($AW$317) * LEN($AW$318) * LEN($AW$319)&gt;0),$AW$317+$AW$318-$AW$319,HLOOKUP(INDIRECT(ADDRESS(2,COLUMN())),OFFSET($BN$2,0,0,ROW()-1,60),ROW()-1,FALSE))</f>
        <v>16.367999999999999</v>
      </c>
      <c r="AX265">
        <f ca="1">IF(AND($B$294=1,LEN($AX$317) * LEN($AX$318) * LEN($AX$319)&gt;0),$AX$317+$AX$318-$AX$319,HLOOKUP(INDIRECT(ADDRESS(2,COLUMN())),OFFSET($BN$2,0,0,ROW()-1,60),ROW()-1,FALSE))</f>
        <v>28.306000000000001</v>
      </c>
      <c r="AY265">
        <f ca="1">IF(AND($B$294=1,LEN($AY$317) * LEN($AY$318) * LEN($AY$319)&gt;0),$AY$317+$AY$318-$AY$319,HLOOKUP(INDIRECT(ADDRESS(2,COLUMN())),OFFSET($BN$2,0,0,ROW()-1,60),ROW()-1,FALSE))</f>
        <v>61.222999999999999</v>
      </c>
      <c r="AZ265">
        <f ca="1">IF(AND($B$294=1,LEN($AZ$317) * LEN($AZ$318) * LEN($AZ$319)&gt;0),$AZ$317+$AZ$318-$AZ$319,HLOOKUP(INDIRECT(ADDRESS(2,COLUMN())),OFFSET($BN$2,0,0,ROW()-1,60),ROW()-1,FALSE))</f>
        <v>121.627</v>
      </c>
      <c r="BA265" t="str">
        <f ca="1">IF(AND($B$294=1,LEN($BA$317) * LEN($BA$318) * LEN($BA$319)&gt;0),$BA$317+$BA$318-$BA$319,HLOOKUP(INDIRECT(ADDRESS(2,COLUMN())),OFFSET($BN$2,0,0,ROW()-1,60),ROW()-1,FALSE))</f>
        <v/>
      </c>
      <c r="BB265">
        <f ca="1">IF(AND($B$294=1,LEN($BB$317) * LEN($BB$318) * LEN($BB$319)&gt;0),$BB$317+$BB$318-$BB$319,HLOOKUP(INDIRECT(ADDRESS(2,COLUMN())),OFFSET($BN$2,0,0,ROW()-1,60),ROW()-1,FALSE))</f>
        <v>129.136</v>
      </c>
      <c r="BC265" t="str">
        <f ca="1">IF(AND($B$294=1,LEN($BC$317) * LEN($BC$318) * LEN($BC$319)&gt;0),$BC$317+$BC$318-$BC$319,HLOOKUP(INDIRECT(ADDRESS(2,COLUMN())),OFFSET($BN$2,0,0,ROW()-1,60),ROW()-1,FALSE))</f>
        <v/>
      </c>
      <c r="BD265" t="str">
        <f ca="1">IF(AND($B$294=1,LEN($BD$317) * LEN($BD$318) * LEN($BD$319)&gt;0),$BD$317+$BD$318-$BD$319,HLOOKUP(INDIRECT(ADDRESS(2,COLUMN())),OFFSET($BN$2,0,0,ROW()-1,60),ROW()-1,FALSE))</f>
        <v/>
      </c>
      <c r="BE265" t="str">
        <f ca="1">IF(AND($B$294=1,LEN($BE$317) * LEN($BE$318) * LEN($BE$319)&gt;0),$BE$317+$BE$318-$BE$319,HLOOKUP(INDIRECT(ADDRESS(2,COLUMN())),OFFSET($BN$2,0,0,ROW()-1,60),ROW()-1,FALSE))</f>
        <v/>
      </c>
      <c r="BF265" t="str">
        <f ca="1">IF(AND($B$294=1,LEN($BF$317) * LEN($BF$318) * LEN($BF$319)&gt;0),$BF$317+$BF$318-$BF$319,HLOOKUP(INDIRECT(ADDRESS(2,COLUMN())),OFFSET($BN$2,0,0,ROW()-1,60),ROW()-1,FALSE))</f>
        <v/>
      </c>
      <c r="BG265">
        <f ca="1">IF(AND($B$294=1,LEN($BG$317) * LEN($BG$318) * LEN($BG$319)&gt;0),$BG$317+$BG$318-$BG$319,HLOOKUP(INDIRECT(ADDRESS(2,COLUMN())),OFFSET($BN$2,0,0,ROW()-1,60),ROW()-1,FALSE))</f>
        <v>122.184</v>
      </c>
      <c r="BH265" t="str">
        <f ca="1">IF(AND($B$294=1,LEN($BH$317) * LEN($BH$318) * LEN($BH$319)&gt;0),$BH$317+$BH$318-$BH$319,HLOOKUP(INDIRECT(ADDRESS(2,COLUMN())),OFFSET($BN$2,0,0,ROW()-1,60),ROW()-1,FALSE))</f>
        <v/>
      </c>
      <c r="BI265" t="str">
        <f ca="1">IF(AND($B$294=1,LEN($BI$317) * LEN($BI$318) * LEN($BI$319)&gt;0),$BI$317+$BI$318-$BI$319,HLOOKUP(INDIRECT(ADDRESS(2,COLUMN())),OFFSET($BN$2,0,0,ROW()-1,60),ROW()-1,FALSE))</f>
        <v/>
      </c>
      <c r="BJ265" t="str">
        <f ca="1">IF(AND($B$294=1,LEN($BJ$317) * LEN($BJ$318) * LEN($BJ$319)&gt;0),$BJ$317+$BJ$318-$BJ$319,HLOOKUP(INDIRECT(ADDRESS(2,COLUMN())),OFFSET($BN$2,0,0,ROW()-1,60),ROW()-1,FALSE))</f>
        <v/>
      </c>
      <c r="BK265" t="str">
        <f ca="1">IF(AND($B$294=1,LEN($BK$317) * LEN($BK$318) * LEN($BK$319)&gt;0),$BK$317+$BK$318-$BK$319,HLOOKUP(INDIRECT(ADDRESS(2,COLUMN())),OFFSET($BN$2,0,0,ROW()-1,60),ROW()-1,FALSE))</f>
        <v/>
      </c>
      <c r="BL265" t="str">
        <f ca="1">IF(AND($B$294=1,LEN($BL$317) * LEN($BL$318) * LEN($BL$319)&gt;0),$BL$317+$BL$318-$BL$319,HLOOKUP(INDIRECT(ADDRESS(2,COLUMN())),OFFSET($BN$2,0,0,ROW()-1,60),ROW()-1,FALSE))</f>
        <v/>
      </c>
      <c r="BM265" t="str">
        <f ca="1">IF(AND($B$294=1,LEN($BM$317) * LEN($BM$318) * LEN($BM$319)&gt;0),$BM$317+$BM$318-$BM$319,HLOOKUP(INDIRECT(ADDRESS(2,COLUMN())),OFFSET($BN$2,0,0,ROW()-1,60),ROW()-1,FALSE))</f>
        <v/>
      </c>
      <c r="BN265" t="str">
        <f>""</f>
        <v/>
      </c>
      <c r="BO265">
        <f>314.382</f>
        <v>314.38200000000001</v>
      </c>
      <c r="BP265">
        <f>536.108</f>
        <v>536.10799999999995</v>
      </c>
      <c r="BQ265">
        <f>299.596</f>
        <v>299.596</v>
      </c>
      <c r="BR265">
        <f>143.808</f>
        <v>143.80799999999999</v>
      </c>
      <c r="BS265">
        <f>188.158</f>
        <v>188.15799999999999</v>
      </c>
      <c r="BT265">
        <f>354.032</f>
        <v>354.03199999999998</v>
      </c>
      <c r="BU265">
        <f>478.584</f>
        <v>478.584</v>
      </c>
      <c r="BV265">
        <f>343.207</f>
        <v>343.20699999999999</v>
      </c>
      <c r="BW265">
        <f>336.727</f>
        <v>336.72699999999998</v>
      </c>
      <c r="BX265">
        <f>88.302</f>
        <v>88.302000000000007</v>
      </c>
      <c r="BY265">
        <f>199.797</f>
        <v>199.797</v>
      </c>
      <c r="BZ265">
        <f>-60.521</f>
        <v>-60.521000000000001</v>
      </c>
      <c r="CA265">
        <f>-94.841</f>
        <v>-94.840999999999994</v>
      </c>
      <c r="CB265">
        <f>53.415</f>
        <v>53.414999999999999</v>
      </c>
      <c r="CC265">
        <f>196.163</f>
        <v>196.16300000000001</v>
      </c>
      <c r="CD265">
        <f>239.871</f>
        <v>239.87100000000001</v>
      </c>
      <c r="CE265">
        <f>-408.427</f>
        <v>-408.42700000000002</v>
      </c>
      <c r="CF265">
        <f>328.972</f>
        <v>328.97199999999998</v>
      </c>
      <c r="CG265">
        <f>405.1</f>
        <v>405.1</v>
      </c>
      <c r="CH265">
        <f>76.175</f>
        <v>76.174999999999997</v>
      </c>
      <c r="CI265">
        <f>383.957</f>
        <v>383.95699999999999</v>
      </c>
      <c r="CJ265">
        <f>372.263</f>
        <v>372.26299999999998</v>
      </c>
      <c r="CK265">
        <f>300.869</f>
        <v>300.86900000000003</v>
      </c>
      <c r="CL265">
        <f>384.279</f>
        <v>384.279</v>
      </c>
      <c r="CM265">
        <f>454.69</f>
        <v>454.69</v>
      </c>
      <c r="CN265">
        <f>189.128</f>
        <v>189.12799999999999</v>
      </c>
      <c r="CO265">
        <f>221.404</f>
        <v>221.404</v>
      </c>
      <c r="CP265">
        <f>277.151</f>
        <v>277.15100000000001</v>
      </c>
      <c r="CQ265">
        <f>306.718</f>
        <v>306.71800000000002</v>
      </c>
      <c r="CR265">
        <f>567.539</f>
        <v>567.53899999999999</v>
      </c>
      <c r="CS265">
        <f>581.066</f>
        <v>581.06600000000003</v>
      </c>
      <c r="CT265">
        <f>462.994</f>
        <v>462.99400000000003</v>
      </c>
      <c r="CU265">
        <f>146.004</f>
        <v>146.00399999999999</v>
      </c>
      <c r="CV265" t="str">
        <f>""</f>
        <v/>
      </c>
      <c r="CW265" t="str">
        <f>""</f>
        <v/>
      </c>
      <c r="CX265">
        <f>418.925</f>
        <v>418.92500000000001</v>
      </c>
      <c r="CY265" t="str">
        <f>""</f>
        <v/>
      </c>
      <c r="CZ265" t="str">
        <f>""</f>
        <v/>
      </c>
      <c r="DA265" t="str">
        <f>""</f>
        <v/>
      </c>
      <c r="DB265" t="str">
        <f>""</f>
        <v/>
      </c>
      <c r="DC265">
        <f>128.885</f>
        <v>128.88499999999999</v>
      </c>
      <c r="DD265">
        <f>491.48</f>
        <v>491.48</v>
      </c>
      <c r="DE265">
        <f>16.368</f>
        <v>16.367999999999999</v>
      </c>
      <c r="DF265">
        <f>28.306</f>
        <v>28.306000000000001</v>
      </c>
      <c r="DG265">
        <f>61.223</f>
        <v>61.222999999999999</v>
      </c>
      <c r="DH265">
        <f>121.627</f>
        <v>121.627</v>
      </c>
      <c r="DI265" t="str">
        <f>""</f>
        <v/>
      </c>
      <c r="DJ265">
        <f>129.136</f>
        <v>129.136</v>
      </c>
      <c r="DK265" t="str">
        <f>""</f>
        <v/>
      </c>
      <c r="DL265" t="str">
        <f>""</f>
        <v/>
      </c>
      <c r="DM265" t="str">
        <f>""</f>
        <v/>
      </c>
      <c r="DN265" t="str">
        <f>""</f>
        <v/>
      </c>
      <c r="DO265">
        <f>122.184</f>
        <v>122.184</v>
      </c>
      <c r="DP265" t="str">
        <f>""</f>
        <v/>
      </c>
      <c r="DQ265" t="str">
        <f>""</f>
        <v/>
      </c>
      <c r="DR265" t="str">
        <f>""</f>
        <v/>
      </c>
      <c r="DS265" t="str">
        <f>""</f>
        <v/>
      </c>
      <c r="DT265" t="str">
        <f>""</f>
        <v/>
      </c>
      <c r="DU265" t="str">
        <f>""</f>
        <v/>
      </c>
    </row>
    <row r="266" spans="1:125">
      <c r="A266" t="str">
        <f>"    SL Green Realty Corp"</f>
        <v xml:space="preserve">    SL Green Realty Corp</v>
      </c>
      <c r="B266" t="str">
        <f>"SLG US Equity"</f>
        <v>SLG US Equity</v>
      </c>
      <c r="E266" t="str">
        <f t="shared" si="69"/>
        <v>Expression</v>
      </c>
      <c r="F266" t="str">
        <f ca="1">IF(AND($B$294=1,LEN($F$320) * LEN($F$321) * LEN($F$322)&gt;0),$F$320+$F$321-$F$322,HLOOKUP(INDIRECT(ADDRESS(2,COLUMN())),OFFSET($BN$2,0,0,ROW()-1,60),ROW()-1,FALSE))</f>
        <v/>
      </c>
      <c r="G266">
        <f ca="1">IF(AND($B$294=1,LEN($G$320) * LEN($G$321) * LEN($G$322)&gt;0),$G$320+$G$321-$G$322,HLOOKUP(INDIRECT(ADDRESS(2,COLUMN())),OFFSET($BN$2,0,0,ROW()-1,60),ROW()-1,FALSE))</f>
        <v>1121.6859999999999</v>
      </c>
      <c r="H266">
        <f ca="1">IF(AND($B$294=1,LEN($H$320) * LEN($H$321) * LEN($H$322)&gt;0),$H$320+$H$321-$H$322,HLOOKUP(INDIRECT(ADDRESS(2,COLUMN())),OFFSET($BN$2,0,0,ROW()-1,60),ROW()-1,FALSE))</f>
        <v>1159.643</v>
      </c>
      <c r="I266">
        <f ca="1">IF(AND($B$294=1,LEN($I$320) * LEN($I$321) * LEN($I$322)&gt;0),$I$320+$I$321-$I$322,HLOOKUP(INDIRECT(ADDRESS(2,COLUMN())),OFFSET($BN$2,0,0,ROW()-1,60),ROW()-1,FALSE))</f>
        <v>1250.3389999999999</v>
      </c>
      <c r="J266">
        <f ca="1">IF(AND($B$294=1,LEN($J$320) * LEN($J$321) * LEN($J$322)&gt;0),$J$320+$J$321-$J$322,HLOOKUP(INDIRECT(ADDRESS(2,COLUMN())),OFFSET($BN$2,0,0,ROW()-1,60),ROW()-1,FALSE))</f>
        <v>1317.0550000000001</v>
      </c>
      <c r="K266">
        <f ca="1">IF(AND($B$294=1,LEN($K$320) * LEN($K$321) * LEN($K$322)&gt;0),$K$320+$K$321-$K$322,HLOOKUP(INDIRECT(ADDRESS(2,COLUMN())),OFFSET($BN$2,0,0,ROW()-1,60),ROW()-1,FALSE))</f>
        <v>496.08300000000003</v>
      </c>
      <c r="L266">
        <f ca="1">IF(AND($B$294=1,LEN($L$320) * LEN($L$321) * LEN($L$322)&gt;0),$L$320+$L$321-$L$322,HLOOKUP(INDIRECT(ADDRESS(2,COLUMN())),OFFSET($BN$2,0,0,ROW()-1,60),ROW()-1,FALSE))</f>
        <v>1791.2660000000001</v>
      </c>
      <c r="M266">
        <f ca="1">IF(AND($B$294=1,LEN($M$320) * LEN($M$321) * LEN($M$322)&gt;0),$M$320+$M$321-$M$322,HLOOKUP(INDIRECT(ADDRESS(2,COLUMN())),OFFSET($BN$2,0,0,ROW()-1,60),ROW()-1,FALSE))</f>
        <v>1210.173</v>
      </c>
      <c r="N266">
        <f ca="1">IF(AND($B$294=1,LEN($N$320) * LEN($N$321) * LEN($N$322)&gt;0),$N$320+$N$321-$N$322,HLOOKUP(INDIRECT(ADDRESS(2,COLUMN())),OFFSET($BN$2,0,0,ROW()-1,60),ROW()-1,FALSE))</f>
        <v>715.09500000000003</v>
      </c>
      <c r="O266" t="str">
        <f ca="1">IF(AND($B$294=1,LEN($O$320) * LEN($O$321) * LEN($O$322)&gt;0),$O$320+$O$321-$O$322,HLOOKUP(INDIRECT(ADDRESS(2,COLUMN())),OFFSET($BN$2,0,0,ROW()-1,60),ROW()-1,FALSE))</f>
        <v/>
      </c>
      <c r="P266">
        <f ca="1">IF(AND($B$294=1,LEN($P$320) * LEN($P$321) * LEN($P$322)&gt;0),$P$320+$P$321-$P$322,HLOOKUP(INDIRECT(ADDRESS(2,COLUMN())),OFFSET($BN$2,0,0,ROW()-1,60),ROW()-1,FALSE))</f>
        <v>805.44399999999996</v>
      </c>
      <c r="Q266">
        <f ca="1">IF(AND($B$294=1,LEN($Q$320) * LEN($Q$321) * LEN($Q$322)&gt;0),$Q$320+$Q$321-$Q$322,HLOOKUP(INDIRECT(ADDRESS(2,COLUMN())),OFFSET($BN$2,0,0,ROW()-1,60),ROW()-1,FALSE))</f>
        <v>499.721</v>
      </c>
      <c r="R266">
        <f ca="1">IF(AND($B$294=1,LEN($R$320) * LEN($R$321) * LEN($R$322)&gt;0),$R$320+$R$321-$R$322,HLOOKUP(INDIRECT(ADDRESS(2,COLUMN())),OFFSET($BN$2,0,0,ROW()-1,60),ROW()-1,FALSE))</f>
        <v>880.28099999999995</v>
      </c>
      <c r="S266">
        <f ca="1">IF(AND($B$294=1,LEN($S$320) * LEN($S$321) * LEN($S$322)&gt;0),$S$320+$S$321-$S$322,HLOOKUP(INDIRECT(ADDRESS(2,COLUMN())),OFFSET($BN$2,0,0,ROW()-1,60),ROW()-1,FALSE))</f>
        <v>723.84900000000005</v>
      </c>
      <c r="T266">
        <f ca="1">IF(AND($B$294=1,LEN($T$320) * LEN($T$321) * LEN($T$322)&gt;0),$T$320+$T$321-$T$322,HLOOKUP(INDIRECT(ADDRESS(2,COLUMN())),OFFSET($BN$2,0,0,ROW()-1,60),ROW()-1,FALSE))</f>
        <v>896.23199999999997</v>
      </c>
      <c r="U266">
        <f ca="1">IF(AND($B$294=1,LEN($U$320) * LEN($U$321) * LEN($U$322)&gt;0),$U$320+$U$321-$U$322,HLOOKUP(INDIRECT(ADDRESS(2,COLUMN())),OFFSET($BN$2,0,0,ROW()-1,60),ROW()-1,FALSE))</f>
        <v>1162.7919999999999</v>
      </c>
      <c r="V266">
        <f ca="1">IF(AND($B$294=1,LEN($V$320) * LEN($V$321) * LEN($V$322)&gt;0),$V$320+$V$321-$V$322,HLOOKUP(INDIRECT(ADDRESS(2,COLUMN())),OFFSET($BN$2,0,0,ROW()-1,60),ROW()-1,FALSE))</f>
        <v>1079.038</v>
      </c>
      <c r="W266">
        <f ca="1">IF(AND($B$294=1,LEN($W$320) * LEN($W$321) * LEN($W$322)&gt;0),$W$320+$W$321-$W$322,HLOOKUP(INDIRECT(ADDRESS(2,COLUMN())),OFFSET($BN$2,0,0,ROW()-1,60),ROW()-1,FALSE))</f>
        <v>680.34500000000003</v>
      </c>
      <c r="X266">
        <f ca="1">IF(AND($B$294=1,LEN($X$320) * LEN($X$321) * LEN($X$322)&gt;0),$X$320+$X$321-$X$322,HLOOKUP(INDIRECT(ADDRESS(2,COLUMN())),OFFSET($BN$2,0,0,ROW()-1,60),ROW()-1,FALSE))</f>
        <v>684.48500000000001</v>
      </c>
      <c r="Y266">
        <f ca="1">IF(AND($B$294=1,LEN($Y$320) * LEN($Y$321) * LEN($Y$322)&gt;0),$Y$320+$Y$321-$Y$322,HLOOKUP(INDIRECT(ADDRESS(2,COLUMN())),OFFSET($BN$2,0,0,ROW()-1,60),ROW()-1,FALSE))</f>
        <v>756.23699999999997</v>
      </c>
      <c r="Z266">
        <f ca="1">IF(AND($B$294=1,LEN($Z$320) * LEN($Z$321) * LEN($Z$322)&gt;0),$Z$320+$Z$321-$Z$322,HLOOKUP(INDIRECT(ADDRESS(2,COLUMN())),OFFSET($BN$2,0,0,ROW()-1,60),ROW()-1,FALSE))</f>
        <v>818.11800000000005</v>
      </c>
      <c r="AA266">
        <f ca="1">IF(AND($B$294=1,LEN($AA$320) * LEN($AA$321) * LEN($AA$322)&gt;0),$AA$320+$AA$321-$AA$322,HLOOKUP(INDIRECT(ADDRESS(2,COLUMN())),OFFSET($BN$2,0,0,ROW()-1,60),ROW()-1,FALSE))</f>
        <v>941.47900000000004</v>
      </c>
      <c r="AB266">
        <f ca="1">IF(AND($B$294=1,LEN($AB$320) * LEN($AB$321) * LEN($AB$322)&gt;0),$AB$320+$AB$321-$AB$322,HLOOKUP(INDIRECT(ADDRESS(2,COLUMN())),OFFSET($BN$2,0,0,ROW()-1,60),ROW()-1,FALSE))</f>
        <v>1265.078</v>
      </c>
      <c r="AC266">
        <f ca="1">IF(AND($B$294=1,LEN($AC$320) * LEN($AC$321) * LEN($AC$322)&gt;0),$AC$320+$AC$321-$AC$322,HLOOKUP(INDIRECT(ADDRESS(2,COLUMN())),OFFSET($BN$2,0,0,ROW()-1,60),ROW()-1,FALSE))</f>
        <v>1433.1489999999999</v>
      </c>
      <c r="AD266">
        <f ca="1">IF(AND($B$294=1,LEN($AD$320) * LEN($AD$321) * LEN($AD$322)&gt;0),$AD$320+$AD$321-$AD$322,HLOOKUP(INDIRECT(ADDRESS(2,COLUMN())),OFFSET($BN$2,0,0,ROW()-1,60),ROW()-1,FALSE))</f>
        <v>1092.953</v>
      </c>
      <c r="AE266">
        <f ca="1">IF(AND($B$294=1,LEN($AE$320) * LEN($AE$321) * LEN($AE$322)&gt;0),$AE$320+$AE$321-$AE$322,HLOOKUP(INDIRECT(ADDRESS(2,COLUMN())),OFFSET($BN$2,0,0,ROW()-1,60),ROW()-1,FALSE))</f>
        <v>1017.026</v>
      </c>
      <c r="AF266">
        <f ca="1">IF(AND($B$294=1,LEN($AF$320) * LEN($AF$321) * LEN($AF$322)&gt;0),$AF$320+$AF$321-$AF$322,HLOOKUP(INDIRECT(ADDRESS(2,COLUMN())),OFFSET($BN$2,0,0,ROW()-1,60),ROW()-1,FALSE))</f>
        <v>1283.3969999999999</v>
      </c>
      <c r="AG266">
        <f ca="1">IF(AND($B$294=1,LEN($AG$320) * LEN($AG$321) * LEN($AG$322)&gt;0),$AG$320+$AG$321-$AG$322,HLOOKUP(INDIRECT(ADDRESS(2,COLUMN())),OFFSET($BN$2,0,0,ROW()-1,60),ROW()-1,FALSE))</f>
        <v>1261.68</v>
      </c>
      <c r="AH266">
        <f ca="1">IF(AND($B$294=1,LEN($AH$320) * LEN($AH$321) * LEN($AH$322)&gt;0),$AH$320+$AH$321-$AH$322,HLOOKUP(INDIRECT(ADDRESS(2,COLUMN())),OFFSET($BN$2,0,0,ROW()-1,60),ROW()-1,FALSE))</f>
        <v>802.15800000000002</v>
      </c>
      <c r="AI266">
        <f ca="1">IF(AND($B$294=1,LEN($AI$320) * LEN($AI$321) * LEN($AI$322)&gt;0),$AI$320+$AI$321-$AI$322,HLOOKUP(INDIRECT(ADDRESS(2,COLUMN())),OFFSET($BN$2,0,0,ROW()-1,60),ROW()-1,FALSE))</f>
        <v>851.39200000000005</v>
      </c>
      <c r="AJ266">
        <f ca="1">IF(AND($B$294=1,LEN($AJ$320) * LEN($AJ$321) * LEN($AJ$322)&gt;0),$AJ$320+$AJ$321-$AJ$322,HLOOKUP(INDIRECT(ADDRESS(2,COLUMN())),OFFSET($BN$2,0,0,ROW()-1,60),ROW()-1,FALSE))</f>
        <v>939.17100000000005</v>
      </c>
      <c r="AK266">
        <f ca="1">IF(AND($B$294=1,LEN($AK$320) * LEN($AK$321) * LEN($AK$322)&gt;0),$AK$320+$AK$321-$AK$322,HLOOKUP(INDIRECT(ADDRESS(2,COLUMN())),OFFSET($BN$2,0,0,ROW()-1,60),ROW()-1,FALSE))</f>
        <v>975.00699999999995</v>
      </c>
      <c r="AL266">
        <f ca="1">IF(AND($B$294=1,LEN($AL$320) * LEN($AL$321) * LEN($AL$322)&gt;0),$AL$320+$AL$321-$AL$322,HLOOKUP(INDIRECT(ADDRESS(2,COLUMN())),OFFSET($BN$2,0,0,ROW()-1,60),ROW()-1,FALSE))</f>
        <v>599.74599999999998</v>
      </c>
      <c r="AM266">
        <f ca="1">IF(AND($B$294=1,LEN($AM$320) * LEN($AM$321) * LEN($AM$322)&gt;0),$AM$320+$AM$321-$AM$322,HLOOKUP(INDIRECT(ADDRESS(2,COLUMN())),OFFSET($BN$2,0,0,ROW()-1,60),ROW()-1,FALSE))</f>
        <v>276.137</v>
      </c>
      <c r="AN266">
        <f ca="1">IF(AND($B$294=1,LEN($AN$320) * LEN($AN$321) * LEN($AN$322)&gt;0),$AN$320+$AN$321-$AN$322,HLOOKUP(INDIRECT(ADDRESS(2,COLUMN())),OFFSET($BN$2,0,0,ROW()-1,60),ROW()-1,FALSE))</f>
        <v>700.73400000000004</v>
      </c>
      <c r="AO266">
        <f ca="1">IF(AND($B$294=1,LEN($AO$320) * LEN($AO$321) * LEN($AO$322)&gt;0),$AO$320+$AO$321-$AO$322,HLOOKUP(INDIRECT(ADDRESS(2,COLUMN())),OFFSET($BN$2,0,0,ROW()-1,60),ROW()-1,FALSE))</f>
        <v>683.39700000000005</v>
      </c>
      <c r="AP266">
        <f ca="1">IF(AND($B$294=1,LEN($AP$320) * LEN($AP$321) * LEN($AP$322)&gt;0),$AP$320+$AP$321-$AP$322,HLOOKUP(INDIRECT(ADDRESS(2,COLUMN())),OFFSET($BN$2,0,0,ROW()-1,60),ROW()-1,FALSE))</f>
        <v>433.48399999999998</v>
      </c>
      <c r="AQ266">
        <f ca="1">IF(AND($B$294=1,LEN($AQ$320) * LEN($AQ$321) * LEN($AQ$322)&gt;0),$AQ$320+$AQ$321-$AQ$322,HLOOKUP(INDIRECT(ADDRESS(2,COLUMN())),OFFSET($BN$2,0,0,ROW()-1,60),ROW()-1,FALSE))</f>
        <v>554.26499999999999</v>
      </c>
      <c r="AR266">
        <f ca="1">IF(AND($B$294=1,LEN($AR$320) * LEN($AR$321) * LEN($AR$322)&gt;0),$AR$320+$AR$321-$AR$322,HLOOKUP(INDIRECT(ADDRESS(2,COLUMN())),OFFSET($BN$2,0,0,ROW()-1,60),ROW()-1,FALSE))</f>
        <v>733.476</v>
      </c>
      <c r="AS266">
        <f ca="1">IF(AND($B$294=1,LEN($AS$320) * LEN($AS$321) * LEN($AS$322)&gt;0),$AS$320+$AS$321-$AS$322,HLOOKUP(INDIRECT(ADDRESS(2,COLUMN())),OFFSET($BN$2,0,0,ROW()-1,60),ROW()-1,FALSE))</f>
        <v>-114.854</v>
      </c>
      <c r="AT266">
        <f ca="1">IF(AND($B$294=1,LEN($AT$320) * LEN($AT$321) * LEN($AT$322)&gt;0),$AT$320+$AT$321-$AT$322,HLOOKUP(INDIRECT(ADDRESS(2,COLUMN())),OFFSET($BN$2,0,0,ROW()-1,60),ROW()-1,FALSE))</f>
        <v>-221.279</v>
      </c>
      <c r="AU266">
        <f ca="1">IF(AND($B$294=1,LEN($AU$320) * LEN($AU$321) * LEN($AU$322)&gt;0),$AU$320+$AU$321-$AU$322,HLOOKUP(INDIRECT(ADDRESS(2,COLUMN())),OFFSET($BN$2,0,0,ROW()-1,60),ROW()-1,FALSE))</f>
        <v>60.966000000000001</v>
      </c>
      <c r="AV266">
        <f ca="1">IF(AND($B$294=1,LEN($AV$320) * LEN($AV$321) * LEN($AV$322)&gt;0),$AV$320+$AV$321-$AV$322,HLOOKUP(INDIRECT(ADDRESS(2,COLUMN())),OFFSET($BN$2,0,0,ROW()-1,60),ROW()-1,FALSE))</f>
        <v>133.34</v>
      </c>
      <c r="AW266">
        <f ca="1">IF(AND($B$294=1,LEN($AW$320) * LEN($AW$321) * LEN($AW$322)&gt;0),$AW$320+$AW$321-$AW$322,HLOOKUP(INDIRECT(ADDRESS(2,COLUMN())),OFFSET($BN$2,0,0,ROW()-1,60),ROW()-1,FALSE))</f>
        <v>93.742999999999995</v>
      </c>
      <c r="AX266">
        <f ca="1">IF(AND($B$294=1,LEN($AX$320) * LEN($AX$321) * LEN($AX$322)&gt;0),$AX$320+$AX$321-$AX$322,HLOOKUP(INDIRECT(ADDRESS(2,COLUMN())),OFFSET($BN$2,0,0,ROW()-1,60),ROW()-1,FALSE))</f>
        <v>281.85000000000002</v>
      </c>
      <c r="AY266" t="str">
        <f ca="1">IF(AND($B$294=1,LEN($AY$320) * LEN($AY$321) * LEN($AY$322)&gt;0),$AY$320+$AY$321-$AY$322,HLOOKUP(INDIRECT(ADDRESS(2,COLUMN())),OFFSET($BN$2,0,0,ROW()-1,60),ROW()-1,FALSE))</f>
        <v/>
      </c>
      <c r="AZ266">
        <f ca="1">IF(AND($B$294=1,LEN($AZ$320) * LEN($AZ$321) * LEN($AZ$322)&gt;0),$AZ$320+$AZ$321-$AZ$322,HLOOKUP(INDIRECT(ADDRESS(2,COLUMN())),OFFSET($BN$2,0,0,ROW()-1,60),ROW()-1,FALSE))</f>
        <v>188.536</v>
      </c>
      <c r="BA266">
        <f ca="1">IF(AND($B$294=1,LEN($BA$320) * LEN($BA$321) * LEN($BA$322)&gt;0),$BA$320+$BA$321-$BA$322,HLOOKUP(INDIRECT(ADDRESS(2,COLUMN())),OFFSET($BN$2,0,0,ROW()-1,60),ROW()-1,FALSE))</f>
        <v>25.315999999999999</v>
      </c>
      <c r="BB266">
        <f ca="1">IF(AND($B$294=1,LEN($BB$320) * LEN($BB$321) * LEN($BB$322)&gt;0),$BB$320+$BB$321-$BB$322,HLOOKUP(INDIRECT(ADDRESS(2,COLUMN())),OFFSET($BN$2,0,0,ROW()-1,60),ROW()-1,FALSE))</f>
        <v>31.535</v>
      </c>
      <c r="BC266" t="str">
        <f ca="1">IF(AND($B$294=1,LEN($BC$320) * LEN($BC$321) * LEN($BC$322)&gt;0),$BC$320+$BC$321-$BC$322,HLOOKUP(INDIRECT(ADDRESS(2,COLUMN())),OFFSET($BN$2,0,0,ROW()-1,60),ROW()-1,FALSE))</f>
        <v/>
      </c>
      <c r="BD266">
        <f ca="1">IF(AND($B$294=1,LEN($BD$320) * LEN($BD$321) * LEN($BD$322)&gt;0),$BD$320+$BD$321-$BD$322,HLOOKUP(INDIRECT(ADDRESS(2,COLUMN())),OFFSET($BN$2,0,0,ROW()-1,60),ROW()-1,FALSE))</f>
        <v>378.23899999999998</v>
      </c>
      <c r="BE266">
        <f ca="1">IF(AND($B$294=1,LEN($BE$320) * LEN($BE$321) * LEN($BE$322)&gt;0),$BE$320+$BE$321-$BE$322,HLOOKUP(INDIRECT(ADDRESS(2,COLUMN())),OFFSET($BN$2,0,0,ROW()-1,60),ROW()-1,FALSE))</f>
        <v>326.411</v>
      </c>
      <c r="BF266" t="str">
        <f ca="1">IF(AND($B$294=1,LEN($BF$320) * LEN($BF$321) * LEN($BF$322)&gt;0),$BF$320+$BF$321-$BF$322,HLOOKUP(INDIRECT(ADDRESS(2,COLUMN())),OFFSET($BN$2,0,0,ROW()-1,60),ROW()-1,FALSE))</f>
        <v/>
      </c>
      <c r="BG266" t="str">
        <f ca="1">IF(AND($B$294=1,LEN($BG$320) * LEN($BG$321) * LEN($BG$322)&gt;0),$BG$320+$BG$321-$BG$322,HLOOKUP(INDIRECT(ADDRESS(2,COLUMN())),OFFSET($BN$2,0,0,ROW()-1,60),ROW()-1,FALSE))</f>
        <v/>
      </c>
      <c r="BH266">
        <f ca="1">IF(AND($B$294=1,LEN($BH$320) * LEN($BH$321) * LEN($BH$322)&gt;0),$BH$320+$BH$321-$BH$322,HLOOKUP(INDIRECT(ADDRESS(2,COLUMN())),OFFSET($BN$2,0,0,ROW()-1,60),ROW()-1,FALSE))</f>
        <v>299.52100000000002</v>
      </c>
      <c r="BI266">
        <f ca="1">IF(AND($B$294=1,LEN($BI$320) * LEN($BI$321) * LEN($BI$322)&gt;0),$BI$320+$BI$321-$BI$322,HLOOKUP(INDIRECT(ADDRESS(2,COLUMN())),OFFSET($BN$2,0,0,ROW()-1,60),ROW()-1,FALSE))</f>
        <v>48.441000000000003</v>
      </c>
      <c r="BJ266">
        <f ca="1">IF(AND($B$294=1,LEN($BJ$320) * LEN($BJ$321) * LEN($BJ$322)&gt;0),$BJ$320+$BJ$321-$BJ$322,HLOOKUP(INDIRECT(ADDRESS(2,COLUMN())),OFFSET($BN$2,0,0,ROW()-1,60),ROW()-1,FALSE))</f>
        <v>-43.558999999999997</v>
      </c>
      <c r="BK266" t="str">
        <f ca="1">IF(AND($B$294=1,LEN($BK$320) * LEN($BK$321) * LEN($BK$322)&gt;0),$BK$320+$BK$321-$BK$322,HLOOKUP(INDIRECT(ADDRESS(2,COLUMN())),OFFSET($BN$2,0,0,ROW()-1,60),ROW()-1,FALSE))</f>
        <v/>
      </c>
      <c r="BL266">
        <f ca="1">IF(AND($B$294=1,LEN($BL$320) * LEN($BL$321) * LEN($BL$322)&gt;0),$BL$320+$BL$321-$BL$322,HLOOKUP(INDIRECT(ADDRESS(2,COLUMN())),OFFSET($BN$2,0,0,ROW()-1,60),ROW()-1,FALSE))</f>
        <v>299.19499999999999</v>
      </c>
      <c r="BM266">
        <f ca="1">IF(AND($B$294=1,LEN($BM$320) * LEN($BM$321) * LEN($BM$322)&gt;0),$BM$320+$BM$321-$BM$322,HLOOKUP(INDIRECT(ADDRESS(2,COLUMN())),OFFSET($BN$2,0,0,ROW()-1,60),ROW()-1,FALSE))</f>
        <v>280.72899999999998</v>
      </c>
      <c r="BN266" t="str">
        <f>""</f>
        <v/>
      </c>
      <c r="BO266">
        <f>1121.686</f>
        <v>1121.6859999999999</v>
      </c>
      <c r="BP266">
        <f>1159.643</f>
        <v>1159.643</v>
      </c>
      <c r="BQ266">
        <f>1250.339</f>
        <v>1250.3389999999999</v>
      </c>
      <c r="BR266">
        <f>1317.055</f>
        <v>1317.0550000000001</v>
      </c>
      <c r="BS266">
        <f>496.083</f>
        <v>496.08300000000003</v>
      </c>
      <c r="BT266">
        <f>1791.266</f>
        <v>1791.2660000000001</v>
      </c>
      <c r="BU266">
        <f>1210.173</f>
        <v>1210.173</v>
      </c>
      <c r="BV266">
        <f>715.095</f>
        <v>715.09500000000003</v>
      </c>
      <c r="BW266" t="str">
        <f>""</f>
        <v/>
      </c>
      <c r="BX266">
        <f>805.444</f>
        <v>805.44399999999996</v>
      </c>
      <c r="BY266">
        <f>499.721</f>
        <v>499.721</v>
      </c>
      <c r="BZ266">
        <f>880.281</f>
        <v>880.28099999999995</v>
      </c>
      <c r="CA266">
        <f>723.849</f>
        <v>723.84900000000005</v>
      </c>
      <c r="CB266">
        <f>896.232</f>
        <v>896.23199999999997</v>
      </c>
      <c r="CC266">
        <f>1162.792</f>
        <v>1162.7919999999999</v>
      </c>
      <c r="CD266">
        <f>1079.038</f>
        <v>1079.038</v>
      </c>
      <c r="CE266">
        <f>680.345</f>
        <v>680.34500000000003</v>
      </c>
      <c r="CF266">
        <f>684.485</f>
        <v>684.48500000000001</v>
      </c>
      <c r="CG266">
        <f>756.237</f>
        <v>756.23699999999997</v>
      </c>
      <c r="CH266">
        <f>818.118</f>
        <v>818.11800000000005</v>
      </c>
      <c r="CI266">
        <f>941.479</f>
        <v>941.47900000000004</v>
      </c>
      <c r="CJ266">
        <f>1265.078</f>
        <v>1265.078</v>
      </c>
      <c r="CK266">
        <f>1433.149</f>
        <v>1433.1489999999999</v>
      </c>
      <c r="CL266">
        <f>1092.953</f>
        <v>1092.953</v>
      </c>
      <c r="CM266">
        <f>1017.026</f>
        <v>1017.026</v>
      </c>
      <c r="CN266">
        <f>1283.397</f>
        <v>1283.3969999999999</v>
      </c>
      <c r="CO266">
        <f>1261.68</f>
        <v>1261.68</v>
      </c>
      <c r="CP266">
        <f>802.158</f>
        <v>802.15800000000002</v>
      </c>
      <c r="CQ266">
        <f>851.392</f>
        <v>851.39200000000005</v>
      </c>
      <c r="CR266">
        <f>939.171</f>
        <v>939.17100000000005</v>
      </c>
      <c r="CS266">
        <f>975.007</f>
        <v>975.00699999999995</v>
      </c>
      <c r="CT266">
        <f>599.746</f>
        <v>599.74599999999998</v>
      </c>
      <c r="CU266">
        <f>276.137</f>
        <v>276.137</v>
      </c>
      <c r="CV266">
        <f>700.734</f>
        <v>700.73400000000004</v>
      </c>
      <c r="CW266">
        <f>683.397</f>
        <v>683.39700000000005</v>
      </c>
      <c r="CX266">
        <f>433.484</f>
        <v>433.48399999999998</v>
      </c>
      <c r="CY266">
        <f>554.265</f>
        <v>554.26499999999999</v>
      </c>
      <c r="CZ266">
        <f>733.476</f>
        <v>733.476</v>
      </c>
      <c r="DA266">
        <f>-114.854</f>
        <v>-114.854</v>
      </c>
      <c r="DB266">
        <f>-221.279</f>
        <v>-221.279</v>
      </c>
      <c r="DC266">
        <f>60.966</f>
        <v>60.966000000000001</v>
      </c>
      <c r="DD266">
        <f>133.34</f>
        <v>133.34</v>
      </c>
      <c r="DE266">
        <f>93.743</f>
        <v>93.742999999999995</v>
      </c>
      <c r="DF266">
        <f>281.85</f>
        <v>281.85000000000002</v>
      </c>
      <c r="DG266" t="str">
        <f>""</f>
        <v/>
      </c>
      <c r="DH266">
        <f>188.536</f>
        <v>188.536</v>
      </c>
      <c r="DI266">
        <f>25.316</f>
        <v>25.315999999999999</v>
      </c>
      <c r="DJ266">
        <f>31.535</f>
        <v>31.535</v>
      </c>
      <c r="DK266" t="str">
        <f>""</f>
        <v/>
      </c>
      <c r="DL266">
        <f>378.239</f>
        <v>378.23899999999998</v>
      </c>
      <c r="DM266">
        <f>326.411</f>
        <v>326.411</v>
      </c>
      <c r="DN266" t="str">
        <f>""</f>
        <v/>
      </c>
      <c r="DO266" t="str">
        <f>""</f>
        <v/>
      </c>
      <c r="DP266">
        <f>299.521</f>
        <v>299.52100000000002</v>
      </c>
      <c r="DQ266">
        <f>48.441</f>
        <v>48.441000000000003</v>
      </c>
      <c r="DR266">
        <f>-43.559</f>
        <v>-43.558999999999997</v>
      </c>
      <c r="DS266" t="str">
        <f>""</f>
        <v/>
      </c>
      <c r="DT266">
        <f>299.195</f>
        <v>299.19499999999999</v>
      </c>
      <c r="DU266">
        <f>280.729</f>
        <v>280.72899999999998</v>
      </c>
    </row>
    <row r="267" spans="1:125">
      <c r="A267" t="str">
        <f>"    Vornado Realty Trust"</f>
        <v xml:space="preserve">    Vornado Realty Trust</v>
      </c>
      <c r="B267" t="str">
        <f>"VNO US Equity"</f>
        <v>VNO US Equity</v>
      </c>
      <c r="E267" t="str">
        <f t="shared" si="69"/>
        <v>Expression</v>
      </c>
      <c r="F267" t="str">
        <f ca="1">IF(AND($B$294=1,LEN($F$323) * LEN($F$324) * LEN($F$325)&gt;0),$F$323+$F$324-$F$325,HLOOKUP(INDIRECT(ADDRESS(2,COLUMN())),OFFSET($BN$2,0,0,ROW()-1,60),ROW()-1,FALSE))</f>
        <v/>
      </c>
      <c r="G267">
        <f ca="1">IF(AND($B$294=1,LEN($G$323) * LEN($G$324) * LEN($G$325)&gt;0),$G$323+$G$324-$G$325,HLOOKUP(INDIRECT(ADDRESS(2,COLUMN())),OFFSET($BN$2,0,0,ROW()-1,60),ROW()-1,FALSE))</f>
        <v>1558.625</v>
      </c>
      <c r="H267">
        <f ca="1">IF(AND($B$294=1,LEN($H$323) * LEN($H$324) * LEN($H$325)&gt;0),$H$323+$H$324-$H$325,HLOOKUP(INDIRECT(ADDRESS(2,COLUMN())),OFFSET($BN$2,0,0,ROW()-1,60),ROW()-1,FALSE))</f>
        <v>3782.23</v>
      </c>
      <c r="I267">
        <f ca="1">IF(AND($B$294=1,LEN($I$323) * LEN($I$324) * LEN($I$325)&gt;0),$I$323+$I$324-$I$325,HLOOKUP(INDIRECT(ADDRESS(2,COLUMN())),OFFSET($BN$2,0,0,ROW()-1,60),ROW()-1,FALSE))</f>
        <v>3737.7539999999999</v>
      </c>
      <c r="J267">
        <f ca="1">IF(AND($B$294=1,LEN($J$323) * LEN($J$324) * LEN($J$325)&gt;0),$J$323+$J$324-$J$325,HLOOKUP(INDIRECT(ADDRESS(2,COLUMN())),OFFSET($BN$2,0,0,ROW()-1,60),ROW()-1,FALSE))</f>
        <v>3750.9290000000001</v>
      </c>
      <c r="K267">
        <f ca="1">IF(AND($B$294=1,LEN($K$323) * LEN($K$324) * LEN($K$325)&gt;0),$K$323+$K$324-$K$325,HLOOKUP(INDIRECT(ADDRESS(2,COLUMN())),OFFSET($BN$2,0,0,ROW()-1,60),ROW()-1,FALSE))</f>
        <v>3728.6950000000002</v>
      </c>
      <c r="L267">
        <f ca="1">IF(AND($B$294=1,LEN($L$323) * LEN($L$324) * LEN($L$325)&gt;0),$L$323+$L$324-$L$325,HLOOKUP(INDIRECT(ADDRESS(2,COLUMN())),OFFSET($BN$2,0,0,ROW()-1,60),ROW()-1,FALSE))</f>
        <v>2999.4259999999999</v>
      </c>
      <c r="M267">
        <f ca="1">IF(AND($B$294=1,LEN($M$323) * LEN($M$324) * LEN($M$325)&gt;0),$M$323+$M$324-$M$325,HLOOKUP(INDIRECT(ADDRESS(2,COLUMN())),OFFSET($BN$2,0,0,ROW()-1,60),ROW()-1,FALSE))</f>
        <v>2740.0430000000001</v>
      </c>
      <c r="N267">
        <f ca="1">IF(AND($B$294=1,LEN($N$323) * LEN($N$324) * LEN($N$325)&gt;0),$N$323+$N$324-$N$325,HLOOKUP(INDIRECT(ADDRESS(2,COLUMN())),OFFSET($BN$2,0,0,ROW()-1,60),ROW()-1,FALSE))</f>
        <v>3464.9630000000002</v>
      </c>
      <c r="O267">
        <f ca="1">IF(AND($B$294=1,LEN($O$323) * LEN($O$324) * LEN($O$325)&gt;0),$O$323+$O$324-$O$325,HLOOKUP(INDIRECT(ADDRESS(2,COLUMN())),OFFSET($BN$2,0,0,ROW()-1,60),ROW()-1,FALSE))</f>
        <v>2140.3409999999999</v>
      </c>
      <c r="P267">
        <f ca="1">IF(AND($B$294=1,LEN($P$323) * LEN($P$324) * LEN($P$325)&gt;0),$P$323+$P$324-$P$325,HLOOKUP(INDIRECT(ADDRESS(2,COLUMN())),OFFSET($BN$2,0,0,ROW()-1,60),ROW()-1,FALSE))</f>
        <v>3288.1370000000002</v>
      </c>
      <c r="Q267">
        <f ca="1">IF(AND($B$294=1,LEN($Q$323) * LEN($Q$324) * LEN($Q$325)&gt;0),$Q$323+$Q$324-$Q$325,HLOOKUP(INDIRECT(ADDRESS(2,COLUMN())),OFFSET($BN$2,0,0,ROW()-1,60),ROW()-1,FALSE))</f>
        <v>2616.337</v>
      </c>
      <c r="R267">
        <f ca="1">IF(AND($B$294=1,LEN($R$323) * LEN($R$324) * LEN($R$325)&gt;0),$R$323+$R$324-$R$325,HLOOKUP(INDIRECT(ADDRESS(2,COLUMN())),OFFSET($BN$2,0,0,ROW()-1,60),ROW()-1,FALSE))</f>
        <v>2938.4360000000001</v>
      </c>
      <c r="S267">
        <f ca="1">IF(AND($B$294=1,LEN($S$323) * LEN($S$324) * LEN($S$325)&gt;0),$S$323+$S$324-$S$325,HLOOKUP(INDIRECT(ADDRESS(2,COLUMN())),OFFSET($BN$2,0,0,ROW()-1,60),ROW()-1,FALSE))</f>
        <v>2764.7779999999998</v>
      </c>
      <c r="T267">
        <f ca="1">IF(AND($B$294=1,LEN($T$323) * LEN($T$324) * LEN($T$325)&gt;0),$T$323+$T$324-$T$325,HLOOKUP(INDIRECT(ADDRESS(2,COLUMN())),OFFSET($BN$2,0,0,ROW()-1,60),ROW()-1,FALSE))</f>
        <v>4095.0039999999999</v>
      </c>
      <c r="U267">
        <f ca="1">IF(AND($B$294=1,LEN($U$323) * LEN($U$324) * LEN($U$325)&gt;0),$U$323+$U$324-$U$325,HLOOKUP(INDIRECT(ADDRESS(2,COLUMN())),OFFSET($BN$2,0,0,ROW()-1,60),ROW()-1,FALSE))</f>
        <v>3763.3519999999999</v>
      </c>
      <c r="V267">
        <f ca="1">IF(AND($B$294=1,LEN($V$323) * LEN($V$324) * LEN($V$325)&gt;0),$V$323+$V$324-$V$325,HLOOKUP(INDIRECT(ADDRESS(2,COLUMN())),OFFSET($BN$2,0,0,ROW()-1,60),ROW()-1,FALSE))</f>
        <v>3434.8939999999998</v>
      </c>
      <c r="W267">
        <f ca="1">IF(AND($B$294=1,LEN($W$323) * LEN($W$324) * LEN($W$325)&gt;0),$W$323+$W$324-$W$325,HLOOKUP(INDIRECT(ADDRESS(2,COLUMN())),OFFSET($BN$2,0,0,ROW()-1,60),ROW()-1,FALSE))</f>
        <v>2597.4670000000001</v>
      </c>
      <c r="X267">
        <f ca="1">IF(AND($B$294=1,LEN($X$323) * LEN($X$324) * LEN($X$325)&gt;0),$X$323+$X$324-$X$325,HLOOKUP(INDIRECT(ADDRESS(2,COLUMN())),OFFSET($BN$2,0,0,ROW()-1,60),ROW()-1,FALSE))</f>
        <v>3111.7689999999998</v>
      </c>
      <c r="Y267">
        <f ca="1">IF(AND($B$294=1,LEN($Y$323) * LEN($Y$324) * LEN($Y$325)&gt;0),$Y$323+$Y$324-$Y$325,HLOOKUP(INDIRECT(ADDRESS(2,COLUMN())),OFFSET($BN$2,0,0,ROW()-1,60),ROW()-1,FALSE))</f>
        <v>2998.5619999999999</v>
      </c>
      <c r="Z267">
        <f ca="1">IF(AND($B$294=1,LEN($Z$323) * LEN($Z$324) * LEN($Z$325)&gt;0),$Z$323+$Z$324-$Z$325,HLOOKUP(INDIRECT(ADDRESS(2,COLUMN())),OFFSET($BN$2,0,0,ROW()-1,60),ROW()-1,FALSE))</f>
        <v>2386.7759999999998</v>
      </c>
      <c r="AA267">
        <f ca="1">IF(AND($B$294=1,LEN($AA$323) * LEN($AA$324) * LEN($AA$325)&gt;0),$AA$323+$AA$324-$AA$325,HLOOKUP(INDIRECT(ADDRESS(2,COLUMN())),OFFSET($BN$2,0,0,ROW()-1,60),ROW()-1,FALSE))</f>
        <v>1117.0730000000001</v>
      </c>
      <c r="AB267">
        <f ca="1">IF(AND($B$294=1,LEN($AB$323) * LEN($AB$324) * LEN($AB$325)&gt;0),$AB$323+$AB$324-$AB$325,HLOOKUP(INDIRECT(ADDRESS(2,COLUMN())),OFFSET($BN$2,0,0,ROW()-1,60),ROW()-1,FALSE))</f>
        <v>2323.8809999999999</v>
      </c>
      <c r="AC267">
        <f ca="1">IF(AND($B$294=1,LEN($AC$323) * LEN($AC$324) * LEN($AC$325)&gt;0),$AC$323+$AC$324-$AC$325,HLOOKUP(INDIRECT(ADDRESS(2,COLUMN())),OFFSET($BN$2,0,0,ROW()-1,60),ROW()-1,FALSE))</f>
        <v>2856.76</v>
      </c>
      <c r="AD267">
        <f ca="1">IF(AND($B$294=1,LEN($AD$323) * LEN($AD$324) * LEN($AD$325)&gt;0),$AD$323+$AD$324-$AD$325,HLOOKUP(INDIRECT(ADDRESS(2,COLUMN())),OFFSET($BN$2,0,0,ROW()-1,60),ROW()-1,FALSE))</f>
        <v>2511.59</v>
      </c>
      <c r="AE267">
        <f ca="1">IF(AND($B$294=1,LEN($AE$323) * LEN($AE$324) * LEN($AE$325)&gt;0),$AE$323+$AE$324-$AE$325,HLOOKUP(INDIRECT(ADDRESS(2,COLUMN())),OFFSET($BN$2,0,0,ROW()-1,60),ROW()-1,FALSE))</f>
        <v>2118.0639999999999</v>
      </c>
      <c r="AF267">
        <f ca="1">IF(AND($B$294=1,LEN($AF$323) * LEN($AF$324) * LEN($AF$325)&gt;0),$AF$323+$AF$324-$AF$325,HLOOKUP(INDIRECT(ADDRESS(2,COLUMN())),OFFSET($BN$2,0,0,ROW()-1,60),ROW()-1,FALSE))</f>
        <v>2484.3890000000001</v>
      </c>
      <c r="AG267">
        <f ca="1">IF(AND($B$294=1,LEN($AG$323) * LEN($AG$324) * LEN($AG$325)&gt;0),$AG$323+$AG$324-$AG$325,HLOOKUP(INDIRECT(ADDRESS(2,COLUMN())),OFFSET($BN$2,0,0,ROW()-1,60),ROW()-1,FALSE))</f>
        <v>1880.021</v>
      </c>
      <c r="AH267">
        <f ca="1">IF(AND($B$294=1,LEN($AH$323) * LEN($AH$324) * LEN($AH$325)&gt;0),$AH$323+$AH$324-$AH$325,HLOOKUP(INDIRECT(ADDRESS(2,COLUMN())),OFFSET($BN$2,0,0,ROW()-1,60),ROW()-1,FALSE))</f>
        <v>1391.796</v>
      </c>
      <c r="AI267">
        <f ca="1">IF(AND($B$294=1,LEN($AI$323) * LEN($AI$324) * LEN($AI$325)&gt;0),$AI$323+$AI$324-$AI$325,HLOOKUP(INDIRECT(ADDRESS(2,COLUMN())),OFFSET($BN$2,0,0,ROW()-1,60),ROW()-1,FALSE))</f>
        <v>203.84299999999999</v>
      </c>
      <c r="AJ267">
        <f ca="1">IF(AND($B$294=1,LEN($AJ$323) * LEN($AJ$324) * LEN($AJ$325)&gt;0),$AJ$323+$AJ$324-$AJ$325,HLOOKUP(INDIRECT(ADDRESS(2,COLUMN())),OFFSET($BN$2,0,0,ROW()-1,60),ROW()-1,FALSE))</f>
        <v>3242.703</v>
      </c>
      <c r="AK267">
        <f ca="1">IF(AND($B$294=1,LEN($AK$323) * LEN($AK$324) * LEN($AK$325)&gt;0),$AK$323+$AK$324-$AK$325,HLOOKUP(INDIRECT(ADDRESS(2,COLUMN())),OFFSET($BN$2,0,0,ROW()-1,60),ROW()-1,FALSE))</f>
        <v>2671.1790000000001</v>
      </c>
      <c r="AL267">
        <f ca="1">IF(AND($B$294=1,LEN($AL$323) * LEN($AL$324) * LEN($AL$325)&gt;0),$AL$323+$AL$324-$AL$325,HLOOKUP(INDIRECT(ADDRESS(2,COLUMN())),OFFSET($BN$2,0,0,ROW()-1,60),ROW()-1,FALSE))</f>
        <v>2285.933</v>
      </c>
      <c r="AM267">
        <f ca="1">IF(AND($B$294=1,LEN($AM$323) * LEN($AM$324) * LEN($AM$325)&gt;0),$AM$323+$AM$324-$AM$325,HLOOKUP(INDIRECT(ADDRESS(2,COLUMN())),OFFSET($BN$2,0,0,ROW()-1,60),ROW()-1,FALSE))</f>
        <v>1865.8019999999999</v>
      </c>
      <c r="AN267">
        <f ca="1">IF(AND($B$294=1,LEN($AN$323) * LEN($AN$324) * LEN($AN$325)&gt;0),$AN$323+$AN$324-$AN$325,HLOOKUP(INDIRECT(ADDRESS(2,COLUMN())),OFFSET($BN$2,0,0,ROW()-1,60),ROW()-1,FALSE))</f>
        <v>4347.6689999999999</v>
      </c>
      <c r="AO267">
        <f ca="1">IF(AND($B$294=1,LEN($AO$323) * LEN($AO$324) * LEN($AO$325)&gt;0),$AO$323+$AO$324-$AO$325,HLOOKUP(INDIRECT(ADDRESS(2,COLUMN())),OFFSET($BN$2,0,0,ROW()-1,60),ROW()-1,FALSE))</f>
        <v>3727.3719999999998</v>
      </c>
      <c r="AP267">
        <f ca="1">IF(AND($B$294=1,LEN($AP$323) * LEN($AP$324) * LEN($AP$325)&gt;0),$AP$323+$AP$324-$AP$325,HLOOKUP(INDIRECT(ADDRESS(2,COLUMN())),OFFSET($BN$2,0,0,ROW()-1,60),ROW()-1,FALSE))</f>
        <v>3042.5639999999999</v>
      </c>
      <c r="AQ267">
        <f ca="1">IF(AND($B$294=1,LEN($AQ$323) * LEN($AQ$324) * LEN($AQ$325)&gt;0),$AQ$323+$AQ$324-$AQ$325,HLOOKUP(INDIRECT(ADDRESS(2,COLUMN())),OFFSET($BN$2,0,0,ROW()-1,60),ROW()-1,FALSE))</f>
        <v>3121.5459999999998</v>
      </c>
      <c r="AR267" t="str">
        <f ca="1">IF(AND($B$294=1,LEN($AR$323) * LEN($AR$324) * LEN($AR$325)&gt;0),$AR$323+$AR$324-$AR$325,HLOOKUP(INDIRECT(ADDRESS(2,COLUMN())),OFFSET($BN$2,0,0,ROW()-1,60),ROW()-1,FALSE))</f>
        <v/>
      </c>
      <c r="AS267" t="str">
        <f ca="1">IF(AND($B$294=1,LEN($AS$323) * LEN($AS$324) * LEN($AS$325)&gt;0),$AS$323+$AS$324-$AS$325,HLOOKUP(INDIRECT(ADDRESS(2,COLUMN())),OFFSET($BN$2,0,0,ROW()-1,60),ROW()-1,FALSE))</f>
        <v/>
      </c>
      <c r="AT267" t="str">
        <f ca="1">IF(AND($B$294=1,LEN($AT$323) * LEN($AT$324) * LEN($AT$325)&gt;0),$AT$323+$AT$324-$AT$325,HLOOKUP(INDIRECT(ADDRESS(2,COLUMN())),OFFSET($BN$2,0,0,ROW()-1,60),ROW()-1,FALSE))</f>
        <v/>
      </c>
      <c r="AU267">
        <f ca="1">IF(AND($B$294=1,LEN($AU$323) * LEN($AU$324) * LEN($AU$325)&gt;0),$AU$323+$AU$324-$AU$325,HLOOKUP(INDIRECT(ADDRESS(2,COLUMN())),OFFSET($BN$2,0,0,ROW()-1,60),ROW()-1,FALSE))</f>
        <v>88.346000000000004</v>
      </c>
      <c r="AV267" t="str">
        <f ca="1">IF(AND($B$294=1,LEN($AV$323) * LEN($AV$324) * LEN($AV$325)&gt;0),$AV$323+$AV$324-$AV$325,HLOOKUP(INDIRECT(ADDRESS(2,COLUMN())),OFFSET($BN$2,0,0,ROW()-1,60),ROW()-1,FALSE))</f>
        <v/>
      </c>
      <c r="AW267" t="str">
        <f ca="1">IF(AND($B$294=1,LEN($AW$323) * LEN($AW$324) * LEN($AW$325)&gt;0),$AW$323+$AW$324-$AW$325,HLOOKUP(INDIRECT(ADDRESS(2,COLUMN())),OFFSET($BN$2,0,0,ROW()-1,60),ROW()-1,FALSE))</f>
        <v/>
      </c>
      <c r="AX267" t="str">
        <f ca="1">IF(AND($B$294=1,LEN($AX$323) * LEN($AX$324) * LEN($AX$325)&gt;0),$AX$323+$AX$324-$AX$325,HLOOKUP(INDIRECT(ADDRESS(2,COLUMN())),OFFSET($BN$2,0,0,ROW()-1,60),ROW()-1,FALSE))</f>
        <v/>
      </c>
      <c r="AY267">
        <f ca="1">IF(AND($B$294=1,LEN($AY$323) * LEN($AY$324) * LEN($AY$325)&gt;0),$AY$323+$AY$324-$AY$325,HLOOKUP(INDIRECT(ADDRESS(2,COLUMN())),OFFSET($BN$2,0,0,ROW()-1,60),ROW()-1,FALSE))</f>
        <v>1842.384</v>
      </c>
      <c r="AZ267" t="str">
        <f ca="1">IF(AND($B$294=1,LEN($AZ$323) * LEN($AZ$324) * LEN($AZ$325)&gt;0),$AZ$323+$AZ$324-$AZ$325,HLOOKUP(INDIRECT(ADDRESS(2,COLUMN())),OFFSET($BN$2,0,0,ROW()-1,60),ROW()-1,FALSE))</f>
        <v/>
      </c>
      <c r="BA267" t="str">
        <f ca="1">IF(AND($B$294=1,LEN($BA$323) * LEN($BA$324) * LEN($BA$325)&gt;0),$BA$323+$BA$324-$BA$325,HLOOKUP(INDIRECT(ADDRESS(2,COLUMN())),OFFSET($BN$2,0,0,ROW()-1,60),ROW()-1,FALSE))</f>
        <v/>
      </c>
      <c r="BB267" t="str">
        <f ca="1">IF(AND($B$294=1,LEN($BB$323) * LEN($BB$324) * LEN($BB$325)&gt;0),$BB$323+$BB$324-$BB$325,HLOOKUP(INDIRECT(ADDRESS(2,COLUMN())),OFFSET($BN$2,0,0,ROW()-1,60),ROW()-1,FALSE))</f>
        <v/>
      </c>
      <c r="BC267" t="str">
        <f ca="1">IF(AND($B$294=1,LEN($BC$323) * LEN($BC$324) * LEN($BC$325)&gt;0),$BC$323+$BC$324-$BC$325,HLOOKUP(INDIRECT(ADDRESS(2,COLUMN())),OFFSET($BN$2,0,0,ROW()-1,60),ROW()-1,FALSE))</f>
        <v/>
      </c>
      <c r="BD267" t="str">
        <f ca="1">IF(AND($B$294=1,LEN($BD$323) * LEN($BD$324) * LEN($BD$325)&gt;0),$BD$323+$BD$324-$BD$325,HLOOKUP(INDIRECT(ADDRESS(2,COLUMN())),OFFSET($BN$2,0,0,ROW()-1,60),ROW()-1,FALSE))</f>
        <v/>
      </c>
      <c r="BE267" t="str">
        <f ca="1">IF(AND($B$294=1,LEN($BE$323) * LEN($BE$324) * LEN($BE$325)&gt;0),$BE$323+$BE$324-$BE$325,HLOOKUP(INDIRECT(ADDRESS(2,COLUMN())),OFFSET($BN$2,0,0,ROW()-1,60),ROW()-1,FALSE))</f>
        <v/>
      </c>
      <c r="BF267" t="str">
        <f ca="1">IF(AND($B$294=1,LEN($BF$323) * LEN($BF$324) * LEN($BF$325)&gt;0),$BF$323+$BF$324-$BF$325,HLOOKUP(INDIRECT(ADDRESS(2,COLUMN())),OFFSET($BN$2,0,0,ROW()-1,60),ROW()-1,FALSE))</f>
        <v/>
      </c>
      <c r="BG267" t="str">
        <f ca="1">IF(AND($B$294=1,LEN($BG$323) * LEN($BG$324) * LEN($BG$325)&gt;0),$BG$323+$BG$324-$BG$325,HLOOKUP(INDIRECT(ADDRESS(2,COLUMN())),OFFSET($BN$2,0,0,ROW()-1,60),ROW()-1,FALSE))</f>
        <v/>
      </c>
      <c r="BH267" t="str">
        <f ca="1">IF(AND($B$294=1,LEN($BH$323) * LEN($BH$324) * LEN($BH$325)&gt;0),$BH$323+$BH$324-$BH$325,HLOOKUP(INDIRECT(ADDRESS(2,COLUMN())),OFFSET($BN$2,0,0,ROW()-1,60),ROW()-1,FALSE))</f>
        <v/>
      </c>
      <c r="BI267" t="str">
        <f ca="1">IF(AND($B$294=1,LEN($BI$323) * LEN($BI$324) * LEN($BI$325)&gt;0),$BI$323+$BI$324-$BI$325,HLOOKUP(INDIRECT(ADDRESS(2,COLUMN())),OFFSET($BN$2,0,0,ROW()-1,60),ROW()-1,FALSE))</f>
        <v/>
      </c>
      <c r="BJ267" t="str">
        <f ca="1">IF(AND($B$294=1,LEN($BJ$323) * LEN($BJ$324) * LEN($BJ$325)&gt;0),$BJ$323+$BJ$324-$BJ$325,HLOOKUP(INDIRECT(ADDRESS(2,COLUMN())),OFFSET($BN$2,0,0,ROW()-1,60),ROW()-1,FALSE))</f>
        <v/>
      </c>
      <c r="BK267" t="str">
        <f ca="1">IF(AND($B$294=1,LEN($BK$323) * LEN($BK$324) * LEN($BK$325)&gt;0),$BK$323+$BK$324-$BK$325,HLOOKUP(INDIRECT(ADDRESS(2,COLUMN())),OFFSET($BN$2,0,0,ROW()-1,60),ROW()-1,FALSE))</f>
        <v/>
      </c>
      <c r="BL267" t="str">
        <f ca="1">IF(AND($B$294=1,LEN($BL$323) * LEN($BL$324) * LEN($BL$325)&gt;0),$BL$323+$BL$324-$BL$325,HLOOKUP(INDIRECT(ADDRESS(2,COLUMN())),OFFSET($BN$2,0,0,ROW()-1,60),ROW()-1,FALSE))</f>
        <v/>
      </c>
      <c r="BM267" t="str">
        <f ca="1">IF(AND($B$294=1,LEN($BM$323) * LEN($BM$324) * LEN($BM$325)&gt;0),$BM$323+$BM$324-$BM$325,HLOOKUP(INDIRECT(ADDRESS(2,COLUMN())),OFFSET($BN$2,0,0,ROW()-1,60),ROW()-1,FALSE))</f>
        <v/>
      </c>
      <c r="BN267" t="str">
        <f>""</f>
        <v/>
      </c>
      <c r="BO267">
        <f>1558.625</f>
        <v>1558.625</v>
      </c>
      <c r="BP267">
        <f>3782.23</f>
        <v>3782.23</v>
      </c>
      <c r="BQ267">
        <f>3737.754</f>
        <v>3737.7539999999999</v>
      </c>
      <c r="BR267">
        <f>3750.929</f>
        <v>3750.9290000000001</v>
      </c>
      <c r="BS267">
        <f>3728.695</f>
        <v>3728.6950000000002</v>
      </c>
      <c r="BT267">
        <f>2999.426</f>
        <v>2999.4259999999999</v>
      </c>
      <c r="BU267">
        <f>2740.043</f>
        <v>2740.0430000000001</v>
      </c>
      <c r="BV267">
        <f>3464.963</f>
        <v>3464.9630000000002</v>
      </c>
      <c r="BW267">
        <f>2140.341</f>
        <v>2140.3409999999999</v>
      </c>
      <c r="BX267">
        <f>3288.137</f>
        <v>3288.1370000000002</v>
      </c>
      <c r="BY267">
        <f>2616.337</f>
        <v>2616.337</v>
      </c>
      <c r="BZ267">
        <f>2938.436</f>
        <v>2938.4360000000001</v>
      </c>
      <c r="CA267">
        <f>2764.778</f>
        <v>2764.7779999999998</v>
      </c>
      <c r="CB267">
        <f>4095.004</f>
        <v>4095.0039999999999</v>
      </c>
      <c r="CC267">
        <f>3763.352</f>
        <v>3763.3519999999999</v>
      </c>
      <c r="CD267">
        <f>3434.894</f>
        <v>3434.8939999999998</v>
      </c>
      <c r="CE267">
        <f>2597.467</f>
        <v>2597.4670000000001</v>
      </c>
      <c r="CF267">
        <f>3111.769</f>
        <v>3111.7689999999998</v>
      </c>
      <c r="CG267">
        <f>2998.562</f>
        <v>2998.5619999999999</v>
      </c>
      <c r="CH267">
        <f>2386.776</f>
        <v>2386.7759999999998</v>
      </c>
      <c r="CI267">
        <f>1117.073</f>
        <v>1117.0730000000001</v>
      </c>
      <c r="CJ267">
        <f>2323.881</f>
        <v>2323.8809999999999</v>
      </c>
      <c r="CK267">
        <f>2856.76</f>
        <v>2856.76</v>
      </c>
      <c r="CL267">
        <f>2511.59</f>
        <v>2511.59</v>
      </c>
      <c r="CM267">
        <f>2118.064</f>
        <v>2118.0639999999999</v>
      </c>
      <c r="CN267">
        <f>2484.389</f>
        <v>2484.3890000000001</v>
      </c>
      <c r="CO267">
        <f>1880.021</f>
        <v>1880.021</v>
      </c>
      <c r="CP267">
        <f>1391.796</f>
        <v>1391.796</v>
      </c>
      <c r="CQ267">
        <f>203.843</f>
        <v>203.84299999999999</v>
      </c>
      <c r="CR267">
        <f>3242.703</f>
        <v>3242.703</v>
      </c>
      <c r="CS267">
        <f>2671.179</f>
        <v>2671.1790000000001</v>
      </c>
      <c r="CT267">
        <f>2285.933</f>
        <v>2285.933</v>
      </c>
      <c r="CU267">
        <f>1865.802</f>
        <v>1865.8019999999999</v>
      </c>
      <c r="CV267">
        <f>4347.669</f>
        <v>4347.6689999999999</v>
      </c>
      <c r="CW267">
        <f>3727.372</f>
        <v>3727.3719999999998</v>
      </c>
      <c r="CX267">
        <f>3042.564</f>
        <v>3042.5639999999999</v>
      </c>
      <c r="CY267">
        <f>3121.546</f>
        <v>3121.5459999999998</v>
      </c>
      <c r="CZ267" t="str">
        <f>""</f>
        <v/>
      </c>
      <c r="DA267" t="str">
        <f>""</f>
        <v/>
      </c>
      <c r="DB267" t="str">
        <f>""</f>
        <v/>
      </c>
      <c r="DC267">
        <f>88.346</f>
        <v>88.346000000000004</v>
      </c>
      <c r="DD267" t="str">
        <f>""</f>
        <v/>
      </c>
      <c r="DE267" t="str">
        <f>""</f>
        <v/>
      </c>
      <c r="DF267" t="str">
        <f>""</f>
        <v/>
      </c>
      <c r="DG267">
        <f>1842.384</f>
        <v>1842.384</v>
      </c>
      <c r="DH267" t="str">
        <f>""</f>
        <v/>
      </c>
      <c r="DI267" t="str">
        <f>""</f>
        <v/>
      </c>
      <c r="DJ267" t="str">
        <f>""</f>
        <v/>
      </c>
      <c r="DK267" t="str">
        <f>""</f>
        <v/>
      </c>
      <c r="DL267" t="str">
        <f>""</f>
        <v/>
      </c>
      <c r="DM267" t="str">
        <f>""</f>
        <v/>
      </c>
      <c r="DN267" t="str">
        <f>""</f>
        <v/>
      </c>
      <c r="DO267" t="str">
        <f>""</f>
        <v/>
      </c>
      <c r="DP267" t="str">
        <f>""</f>
        <v/>
      </c>
      <c r="DQ267" t="str">
        <f>""</f>
        <v/>
      </c>
      <c r="DR267" t="str">
        <f>""</f>
        <v/>
      </c>
      <c r="DS267" t="str">
        <f>""</f>
        <v/>
      </c>
      <c r="DT267" t="str">
        <f>""</f>
        <v/>
      </c>
      <c r="DU267" t="str">
        <f>""</f>
        <v/>
      </c>
    </row>
    <row r="268" spans="1:125">
      <c r="A268" t="str">
        <f>"FFO支付比率(%)"</f>
        <v>FFO支付比率(%)</v>
      </c>
      <c r="B268" t="str">
        <f>""</f>
        <v/>
      </c>
      <c r="E268" t="str">
        <f>"Median"</f>
        <v>Median</v>
      </c>
      <c r="F268" t="str">
        <f ca="1">IF(ISERROR(IF(MEDIAN($F$269:$F$278) = 0, "", MEDIAN($F$269:$F$278))), "", (IF(MEDIAN($F$269:$F$278) = 0, "", MEDIAN($F$269:$F$278))))</f>
        <v/>
      </c>
      <c r="G268">
        <f ca="1">IF(ISERROR(IF(MEDIAN($G$269:$G$278) = 0, "", MEDIAN($G$269:$G$278))), "", (IF(MEDIAN($G$269:$G$278) = 0, "", MEDIAN($G$269:$G$278))))</f>
        <v>51.801554400000001</v>
      </c>
      <c r="H268">
        <f ca="1">IF(ISERROR(IF(MEDIAN($H$269:$H$278) = 0, "", MEDIAN($H$269:$H$278))), "", (IF(MEDIAN($H$269:$H$278) = 0, "", MEDIAN($H$269:$H$278))))</f>
        <v>48.999520109999999</v>
      </c>
      <c r="I268">
        <f ca="1">IF(ISERROR(IF(MEDIAN($I$269:$I$278) = 0, "", MEDIAN($I$269:$I$278))), "", (IF(MEDIAN($I$269:$I$278) = 0, "", MEDIAN($I$269:$I$278))))</f>
        <v>47.359326510000002</v>
      </c>
      <c r="J268">
        <f ca="1">IF(ISERROR(IF(MEDIAN($J$269:$J$278) = 0, "", MEDIAN($J$269:$J$278))), "", (IF(MEDIAN($J$269:$J$278) = 0, "", MEDIAN($J$269:$J$278))))</f>
        <v>50.531227010000002</v>
      </c>
      <c r="K268">
        <f ca="1">IF(ISERROR(IF(MEDIAN($K$269:$K$278) = 0, "", MEDIAN($K$269:$K$278))), "", (IF(MEDIAN($K$269:$K$278) = 0, "", MEDIAN($K$269:$K$278))))</f>
        <v>46.880258675</v>
      </c>
      <c r="L268">
        <f ca="1">IF(ISERROR(IF(MEDIAN($L$269:$L$278) = 0, "", MEDIAN($L$269:$L$278))), "", (IF(MEDIAN($L$269:$L$278) = 0, "", MEDIAN($L$269:$L$278))))</f>
        <v>48.983655185000003</v>
      </c>
      <c r="M268">
        <f ca="1">IF(ISERROR(IF(MEDIAN($M$269:$M$278) = 0, "", MEDIAN($M$269:$M$278))), "", (IF(MEDIAN($M$269:$M$278) = 0, "", MEDIAN($M$269:$M$278))))</f>
        <v>49.598627454999999</v>
      </c>
      <c r="N268">
        <f ca="1">IF(ISERROR(IF(MEDIAN($N$269:$N$278) = 0, "", MEDIAN($N$269:$N$278))), "", (IF(MEDIAN($N$269:$N$278) = 0, "", MEDIAN($N$269:$N$278))))</f>
        <v>50.185983129999997</v>
      </c>
      <c r="O268">
        <f ca="1">IF(ISERROR(IF(MEDIAN($O$269:$O$278) = 0, "", MEDIAN($O$269:$O$278))), "", (IF(MEDIAN($O$269:$O$278) = 0, "", MEDIAN($O$269:$O$278))))</f>
        <v>48.017214929999994</v>
      </c>
      <c r="P268">
        <f ca="1">IF(ISERROR(IF(MEDIAN($P$269:$P$278) = 0, "", MEDIAN($P$269:$P$278))), "", (IF(MEDIAN($P$269:$P$278) = 0, "", MEDIAN($P$269:$P$278))))</f>
        <v>44.89054428</v>
      </c>
      <c r="Q268">
        <f ca="1">IF(ISERROR(IF(MEDIAN($Q$269:$Q$278) = 0, "", MEDIAN($Q$269:$Q$278))), "", (IF(MEDIAN($Q$269:$Q$278) = 0, "", MEDIAN($Q$269:$Q$278))))</f>
        <v>47.339989654999997</v>
      </c>
      <c r="R268">
        <f ca="1">IF(ISERROR(IF(MEDIAN($R$269:$R$278) = 0, "", MEDIAN($R$269:$R$278))), "", (IF(MEDIAN($R$269:$R$278) = 0, "", MEDIAN($R$269:$R$278))))</f>
        <v>51.759799600000001</v>
      </c>
      <c r="S268">
        <f ca="1">IF(ISERROR(IF(MEDIAN($S$269:$S$278) = 0, "", MEDIAN($S$269:$S$278))), "", (IF(MEDIAN($S$269:$S$278) = 0, "", MEDIAN($S$269:$S$278))))</f>
        <v>54.010009629999999</v>
      </c>
      <c r="T268">
        <f ca="1">IF(ISERROR(IF(MEDIAN($T$269:$T$278) = 0, "", MEDIAN($T$269:$T$278))), "", (IF(MEDIAN($T$269:$T$278) = 0, "", MEDIAN($T$269:$T$278))))</f>
        <v>50.387417145000001</v>
      </c>
      <c r="U268">
        <f ca="1">IF(ISERROR(IF(MEDIAN($U$269:$U$278) = 0, "", MEDIAN($U$269:$U$278))), "", (IF(MEDIAN($U$269:$U$278) = 0, "", MEDIAN($U$269:$U$278))))</f>
        <v>49.771175849999999</v>
      </c>
      <c r="V268">
        <f ca="1">IF(ISERROR(IF(MEDIAN($V$269:$V$278) = 0, "", MEDIAN($V$269:$V$278))), "", (IF(MEDIAN($V$269:$V$278) = 0, "", MEDIAN($V$269:$V$278))))</f>
        <v>54.482761740000001</v>
      </c>
      <c r="W268">
        <f ca="1">IF(ISERROR(IF(MEDIAN($W$269:$W$278) = 0, "", MEDIAN($W$269:$W$278))), "", (IF(MEDIAN($W$269:$W$278) = 0, "", MEDIAN($W$269:$W$278))))</f>
        <v>50.158650770000001</v>
      </c>
      <c r="X268">
        <f ca="1">IF(ISERROR(IF(MEDIAN($X$269:$X$278) = 0, "", MEDIAN($X$269:$X$278))), "", (IF(MEDIAN($X$269:$X$278) = 0, "", MEDIAN($X$269:$X$278))))</f>
        <v>50.376628650000001</v>
      </c>
      <c r="Y268">
        <f ca="1">IF(ISERROR(IF(MEDIAN($Y$269:$Y$278) = 0, "", MEDIAN($Y$269:$Y$278))), "", (IF(MEDIAN($Y$269:$Y$278) = 0, "", MEDIAN($Y$269:$Y$278))))</f>
        <v>52.554868369999994</v>
      </c>
      <c r="Z268">
        <f ca="1">IF(ISERROR(IF(MEDIAN($Z$269:$Z$278) = 0, "", MEDIAN($Z$269:$Z$278))), "", (IF(MEDIAN($Z$269:$Z$278) = 0, "", MEDIAN($Z$269:$Z$278))))</f>
        <v>59.267702365000005</v>
      </c>
      <c r="AA268">
        <f ca="1">IF(ISERROR(IF(MEDIAN($AA$269:$AA$278) = 0, "", MEDIAN($AA$269:$AA$278))), "", (IF(MEDIAN($AA$269:$AA$278) = 0, "", MEDIAN($AA$269:$AA$278))))</f>
        <v>60.359687545</v>
      </c>
      <c r="AB268">
        <f ca="1">IF(ISERROR(IF(MEDIAN($AB$269:$AB$278) = 0, "", MEDIAN($AB$269:$AB$278))), "", (IF(MEDIAN($AB$269:$AB$278) = 0, "", MEDIAN($AB$269:$AB$278))))</f>
        <v>54.714401730000006</v>
      </c>
      <c r="AC268">
        <f ca="1">IF(ISERROR(IF(MEDIAN($AC$269:$AC$278) = 0, "", MEDIAN($AC$269:$AC$278))), "", (IF(MEDIAN($AC$269:$AC$278) = 0, "", MEDIAN($AC$269:$AC$278))))</f>
        <v>52.549309024999999</v>
      </c>
      <c r="AD268">
        <f ca="1">IF(ISERROR(IF(MEDIAN($AD$269:$AD$278) = 0, "", MEDIAN($AD$269:$AD$278))), "", (IF(MEDIAN($AD$269:$AD$278) = 0, "", MEDIAN($AD$269:$AD$278))))</f>
        <v>47.615924355000004</v>
      </c>
      <c r="AE268">
        <f ca="1">IF(ISERROR(IF(MEDIAN($AE$269:$AE$278) = 0, "", MEDIAN($AE$269:$AE$278))), "", (IF(MEDIAN($AE$269:$AE$278) = 0, "", MEDIAN($AE$269:$AE$278))))</f>
        <v>57.66881171</v>
      </c>
      <c r="AF268">
        <f ca="1">IF(ISERROR(IF(MEDIAN($AF$269:$AF$278) = 0, "", MEDIAN($AF$269:$AF$278))), "", (IF(MEDIAN($AF$269:$AF$278) = 0, "", MEDIAN($AF$269:$AF$278))))</f>
        <v>56.983566170000003</v>
      </c>
      <c r="AG268">
        <f ca="1">IF(ISERROR(IF(MEDIAN($AG$269:$AG$278) = 0, "", MEDIAN($AG$269:$AG$278))), "", (IF(MEDIAN($AG$269:$AG$278) = 0, "", MEDIAN($AG$269:$AG$278))))</f>
        <v>55.746125265000003</v>
      </c>
      <c r="AH268">
        <f ca="1">IF(ISERROR(IF(MEDIAN($AH$269:$AH$278) = 0, "", MEDIAN($AH$269:$AH$278))), "", (IF(MEDIAN($AH$269:$AH$278) = 0, "", MEDIAN($AH$269:$AH$278))))</f>
        <v>51.269012404999998</v>
      </c>
      <c r="AI268">
        <f ca="1">IF(ISERROR(IF(MEDIAN($AI$269:$AI$278) = 0, "", MEDIAN($AI$269:$AI$278))), "", (IF(MEDIAN($AI$269:$AI$278) = 0, "", MEDIAN($AI$269:$AI$278))))</f>
        <v>63.622513624999996</v>
      </c>
      <c r="AJ268">
        <f ca="1">IF(ISERROR(IF(MEDIAN($AJ$269:$AJ$278) = 0, "", MEDIAN($AJ$269:$AJ$278))), "", (IF(MEDIAN($AJ$269:$AJ$278) = 0, "", MEDIAN($AJ$269:$AJ$278))))</f>
        <v>51.590161514999998</v>
      </c>
      <c r="AK268">
        <f ca="1">IF(ISERROR(IF(MEDIAN($AK$269:$AK$278) = 0, "", MEDIAN($AK$269:$AK$278))), "", (IF(MEDIAN($AK$269:$AK$278) = 0, "", MEDIAN($AK$269:$AK$278))))</f>
        <v>55.932439070000001</v>
      </c>
      <c r="AL268">
        <f ca="1">IF(ISERROR(IF(MEDIAN($AL$269:$AL$278) = 0, "", MEDIAN($AL$269:$AL$278))), "", (IF(MEDIAN($AL$269:$AL$278) = 0, "", MEDIAN($AL$269:$AL$278))))</f>
        <v>50.026331810000002</v>
      </c>
      <c r="AM268">
        <f ca="1">IF(ISERROR(IF(MEDIAN($AM$269:$AM$278) = 0, "", MEDIAN($AM$269:$AM$278))), "", (IF(MEDIAN($AM$269:$AM$278) = 0, "", MEDIAN($AM$269:$AM$278))))</f>
        <v>70.485285300000001</v>
      </c>
      <c r="AN268">
        <f ca="1">IF(ISERROR(IF(MEDIAN($AN$269:$AN$278) = 0, "", MEDIAN($AN$269:$AN$278))), "", (IF(MEDIAN($AN$269:$AN$278) = 0, "", MEDIAN($AN$269:$AN$278))))</f>
        <v>48.236840834999995</v>
      </c>
      <c r="AO268">
        <f ca="1">IF(ISERROR(IF(MEDIAN($AO$269:$AO$278) = 0, "", MEDIAN($AO$269:$AO$278))), "", (IF(MEDIAN($AO$269:$AO$278) = 0, "", MEDIAN($AO$269:$AO$278))))</f>
        <v>43.485995610000003</v>
      </c>
      <c r="AP268">
        <f ca="1">IF(ISERROR(IF(MEDIAN($AP$269:$AP$278) = 0, "", MEDIAN($AP$269:$AP$278))), "", (IF(MEDIAN($AP$269:$AP$278) = 0, "", MEDIAN($AP$269:$AP$278))))</f>
        <v>55.175495750000003</v>
      </c>
      <c r="AQ268">
        <f ca="1">IF(ISERROR(IF(MEDIAN($AQ$269:$AQ$278) = 0, "", MEDIAN($AQ$269:$AQ$278))), "", (IF(MEDIAN($AQ$269:$AQ$278) = 0, "", MEDIAN($AQ$269:$AQ$278))))</f>
        <v>73.734390180000005</v>
      </c>
      <c r="AR268">
        <f ca="1">IF(ISERROR(IF(MEDIAN($AR$269:$AR$278) = 0, "", MEDIAN($AR$269:$AR$278))), "", (IF(MEDIAN($AR$269:$AR$278) = 0, "", MEDIAN($AR$269:$AR$278))))</f>
        <v>56.240243139999997</v>
      </c>
      <c r="AS268">
        <f ca="1">IF(ISERROR(IF(MEDIAN($AS$269:$AS$278) = 0, "", MEDIAN($AS$269:$AS$278))), "", (IF(MEDIAN($AS$269:$AS$278) = 0, "", MEDIAN($AS$269:$AS$278))))</f>
        <v>57.778198420000002</v>
      </c>
      <c r="AT268">
        <f ca="1">IF(ISERROR(IF(MEDIAN($AT$269:$AT$278) = 0, "", MEDIAN($AT$269:$AT$278))), "", (IF(MEDIAN($AT$269:$AT$278) = 0, "", MEDIAN($AT$269:$AT$278))))</f>
        <v>55.954405299999998</v>
      </c>
      <c r="AU268">
        <f ca="1">IF(ISERROR(IF(MEDIAN($AU$269:$AU$278) = 0, "", MEDIAN($AU$269:$AU$278))), "", (IF(MEDIAN($AU$269:$AU$278) = 0, "", MEDIAN($AU$269:$AU$278))))</f>
        <v>62.07316153</v>
      </c>
      <c r="AV268">
        <f ca="1">IF(ISERROR(IF(MEDIAN($AV$269:$AV$278) = 0, "", MEDIAN($AV$269:$AV$278))), "", (IF(MEDIAN($AV$269:$AV$278) = 0, "", MEDIAN($AV$269:$AV$278))))</f>
        <v>59.811987260000002</v>
      </c>
      <c r="AW268">
        <f ca="1">IF(ISERROR(IF(MEDIAN($AW$269:$AW$278) = 0, "", MEDIAN($AW$269:$AW$278))), "", (IF(MEDIAN($AW$269:$AW$278) = 0, "", MEDIAN($AW$269:$AW$278))))</f>
        <v>59.23816025</v>
      </c>
      <c r="AX268">
        <f ca="1">IF(ISERROR(IF(MEDIAN($AX$269:$AX$278) = 0, "", MEDIAN($AX$269:$AX$278))), "", (IF(MEDIAN($AX$269:$AX$278) = 0, "", MEDIAN($AX$269:$AX$278))))</f>
        <v>51.411217520000001</v>
      </c>
      <c r="AY268">
        <f ca="1">IF(ISERROR(IF(MEDIAN($AY$269:$AY$278) = 0, "", MEDIAN($AY$269:$AY$278))), "", (IF(MEDIAN($AY$269:$AY$278) = 0, "", MEDIAN($AY$269:$AY$278))))</f>
        <v>64.517366510000002</v>
      </c>
      <c r="AZ268">
        <f ca="1">IF(ISERROR(IF(MEDIAN($AZ$269:$AZ$278) = 0, "", MEDIAN($AZ$269:$AZ$278))), "", (IF(MEDIAN($AZ$269:$AZ$278) = 0, "", MEDIAN($AZ$269:$AZ$278))))</f>
        <v>62.177056759999999</v>
      </c>
      <c r="BA268">
        <f ca="1">IF(ISERROR(IF(MEDIAN($BA$269:$BA$278) = 0, "", MEDIAN($BA$269:$BA$278))), "", (IF(MEDIAN($BA$269:$BA$278) = 0, "", MEDIAN($BA$269:$BA$278))))</f>
        <v>52.640669719999998</v>
      </c>
      <c r="BB268">
        <f ca="1">IF(ISERROR(IF(MEDIAN($BB$269:$BB$278) = 0, "", MEDIAN($BB$269:$BB$278))), "", (IF(MEDIAN($BB$269:$BB$278) = 0, "", MEDIAN($BB$269:$BB$278))))</f>
        <v>54.648140890000001</v>
      </c>
      <c r="BC268">
        <f ca="1">IF(ISERROR(IF(MEDIAN($BC$269:$BC$278) = 0, "", MEDIAN($BC$269:$BC$278))), "", (IF(MEDIAN($BC$269:$BC$278) = 0, "", MEDIAN($BC$269:$BC$278))))</f>
        <v>73.015765020000003</v>
      </c>
      <c r="BD268">
        <f ca="1">IF(ISERROR(IF(MEDIAN($BD$269:$BD$278) = 0, "", MEDIAN($BD$269:$BD$278))), "", (IF(MEDIAN($BD$269:$BD$278) = 0, "", MEDIAN($BD$269:$BD$278))))</f>
        <v>78.789780370000003</v>
      </c>
      <c r="BE268">
        <f ca="1">IF(ISERROR(IF(MEDIAN($BE$269:$BE$278) = 0, "", MEDIAN($BE$269:$BE$278))), "", (IF(MEDIAN($BE$269:$BE$278) = 0, "", MEDIAN($BE$269:$BE$278))))</f>
        <v>58.524624445000001</v>
      </c>
      <c r="BF268">
        <f ca="1">IF(ISERROR(IF(MEDIAN($BF$269:$BF$278) = 0, "", MEDIAN($BF$269:$BF$278))), "", (IF(MEDIAN($BF$269:$BF$278) = 0, "", MEDIAN($BF$269:$BF$278))))</f>
        <v>55.477908800000002</v>
      </c>
      <c r="BG268">
        <f ca="1">IF(ISERROR(IF(MEDIAN($BG$269:$BG$278) = 0, "", MEDIAN($BG$269:$BG$278))), "", (IF(MEDIAN($BG$269:$BG$278) = 0, "", MEDIAN($BG$269:$BG$278))))</f>
        <v>57.824269999999999</v>
      </c>
      <c r="BH268">
        <f ca="1">IF(ISERROR(IF(MEDIAN($BH$269:$BH$278) = 0, "", MEDIAN($BH$269:$BH$278))), "", (IF(MEDIAN($BH$269:$BH$278) = 0, "", MEDIAN($BH$269:$BH$278))))</f>
        <v>58.71445009</v>
      </c>
      <c r="BI268">
        <f ca="1">IF(ISERROR(IF(MEDIAN($BI$269:$BI$278) = 0, "", MEDIAN($BI$269:$BI$278))), "", (IF(MEDIAN($BI$269:$BI$278) = 0, "", MEDIAN($BI$269:$BI$278))))</f>
        <v>55.789923989999998</v>
      </c>
      <c r="BJ268">
        <f ca="1">IF(ISERROR(IF(MEDIAN($BJ$269:$BJ$278) = 0, "", MEDIAN($BJ$269:$BJ$278))), "", (IF(MEDIAN($BJ$269:$BJ$278) = 0, "", MEDIAN($BJ$269:$BJ$278))))</f>
        <v>58.601500119999997</v>
      </c>
      <c r="BK268">
        <f ca="1">IF(ISERROR(IF(MEDIAN($BK$269:$BK$278) = 0, "", MEDIAN($BK$269:$BK$278))), "", (IF(MEDIAN($BK$269:$BK$278) = 0, "", MEDIAN($BK$269:$BK$278))))</f>
        <v>55.181174310000003</v>
      </c>
      <c r="BL268">
        <f ca="1">IF(ISERROR(IF(MEDIAN($BL$269:$BL$278) = 0, "", MEDIAN($BL$269:$BL$278))), "", (IF(MEDIAN($BL$269:$BL$278) = 0, "", MEDIAN($BL$269:$BL$278))))</f>
        <v>51.208970809999997</v>
      </c>
      <c r="BM268">
        <f ca="1">IF(ISERROR(IF(MEDIAN($BM$269:$BM$278) = 0, "", MEDIAN($BM$269:$BM$278))), "", (IF(MEDIAN($BM$269:$BM$278) = 0, "", MEDIAN($BM$269:$BM$278))))</f>
        <v>54.395339489999998</v>
      </c>
      <c r="BN268" t="str">
        <f>""</f>
        <v/>
      </c>
      <c r="BO268">
        <f>51.8015544</f>
        <v>51.801554400000001</v>
      </c>
      <c r="BP268">
        <f>48.99952011</f>
        <v>48.999520109999999</v>
      </c>
      <c r="BQ268">
        <f>47.35932651</f>
        <v>47.359326510000002</v>
      </c>
      <c r="BR268">
        <f>50.53122701</f>
        <v>50.531227010000002</v>
      </c>
      <c r="BS268">
        <f>46.88025867</f>
        <v>46.880258670000003</v>
      </c>
      <c r="BT268">
        <f>48.98365519</f>
        <v>48.98365519</v>
      </c>
      <c r="BU268">
        <f>49.59862746</f>
        <v>49.598627460000003</v>
      </c>
      <c r="BV268">
        <f>50.18598313</f>
        <v>50.185983129999997</v>
      </c>
      <c r="BW268">
        <f>48.01721493</f>
        <v>48.017214930000002</v>
      </c>
      <c r="BX268">
        <f>44.89054428</f>
        <v>44.89054428</v>
      </c>
      <c r="BY268">
        <f>47.33998966</f>
        <v>47.339989660000001</v>
      </c>
      <c r="BZ268">
        <f>51.7597996</f>
        <v>51.759799600000001</v>
      </c>
      <c r="CA268">
        <f>54.01000963</f>
        <v>54.010009629999999</v>
      </c>
      <c r="CB268">
        <f>50.38741715</f>
        <v>50.387417149999997</v>
      </c>
      <c r="CC268">
        <f>49.77117585</f>
        <v>49.771175849999999</v>
      </c>
      <c r="CD268">
        <f>54.48276174</f>
        <v>54.482761740000001</v>
      </c>
      <c r="CE268">
        <f>50.15865077</f>
        <v>50.158650770000001</v>
      </c>
      <c r="CF268">
        <f>50.37662865</f>
        <v>50.376628650000001</v>
      </c>
      <c r="CG268">
        <f>52.55486837</f>
        <v>52.554868370000001</v>
      </c>
      <c r="CH268">
        <f>59.26770237</f>
        <v>59.267702370000002</v>
      </c>
      <c r="CI268">
        <f>60.35968754</f>
        <v>60.359687540000003</v>
      </c>
      <c r="CJ268">
        <f>54.71440173</f>
        <v>54.714401729999999</v>
      </c>
      <c r="CK268">
        <f>52.54930902</f>
        <v>52.549309020000003</v>
      </c>
      <c r="CL268">
        <f>47.61592436</f>
        <v>47.615924360000001</v>
      </c>
      <c r="CM268">
        <f>57.66881171</f>
        <v>57.66881171</v>
      </c>
      <c r="CN268">
        <f>56.98356617</f>
        <v>56.983566170000003</v>
      </c>
      <c r="CO268">
        <f>55.74612526</f>
        <v>55.746125259999999</v>
      </c>
      <c r="CP268">
        <f>51.26901241</f>
        <v>51.269012410000002</v>
      </c>
      <c r="CQ268">
        <f>63.62251362</f>
        <v>63.622513619999999</v>
      </c>
      <c r="CR268">
        <f>51.59016152</f>
        <v>51.590161520000002</v>
      </c>
      <c r="CS268">
        <f>55.93243907</f>
        <v>55.932439070000001</v>
      </c>
      <c r="CT268">
        <f>50.02633181</f>
        <v>50.026331810000002</v>
      </c>
      <c r="CU268">
        <f>70.4852853</f>
        <v>70.485285300000001</v>
      </c>
      <c r="CV268">
        <f>48.23684084</f>
        <v>48.236840839999999</v>
      </c>
      <c r="CW268">
        <f>43.48599561</f>
        <v>43.485995610000003</v>
      </c>
      <c r="CX268">
        <f>55.17549575</f>
        <v>55.175495750000003</v>
      </c>
      <c r="CY268">
        <f>73.73439018</f>
        <v>73.734390180000005</v>
      </c>
      <c r="CZ268">
        <f>56.24024314</f>
        <v>56.240243139999997</v>
      </c>
      <c r="DA268">
        <f>57.77819842</f>
        <v>57.778198420000002</v>
      </c>
      <c r="DB268">
        <f>55.9544053</f>
        <v>55.954405299999998</v>
      </c>
      <c r="DC268">
        <f>62.07316153</f>
        <v>62.07316153</v>
      </c>
      <c r="DD268">
        <f>59.81198726</f>
        <v>59.811987260000002</v>
      </c>
      <c r="DE268">
        <f>59.23816025</f>
        <v>59.23816025</v>
      </c>
      <c r="DF268">
        <f>51.41121752</f>
        <v>51.411217520000001</v>
      </c>
      <c r="DG268">
        <f>64.51736651</f>
        <v>64.517366510000002</v>
      </c>
      <c r="DH268">
        <f>62.17705676</f>
        <v>62.177056759999999</v>
      </c>
      <c r="DI268">
        <f>52.64066972</f>
        <v>52.640669719999998</v>
      </c>
      <c r="DJ268">
        <f>54.64814089</f>
        <v>54.648140890000001</v>
      </c>
      <c r="DK268">
        <f>73.01576502</f>
        <v>73.015765020000003</v>
      </c>
      <c r="DL268">
        <f>78.78978037</f>
        <v>78.789780370000003</v>
      </c>
      <c r="DM268">
        <f>58.52462444</f>
        <v>58.524624439999997</v>
      </c>
      <c r="DN268">
        <f>55.4779088</f>
        <v>55.477908800000002</v>
      </c>
      <c r="DO268">
        <f>57.82427</f>
        <v>57.824269999999999</v>
      </c>
      <c r="DP268">
        <f>58.71445009</f>
        <v>58.71445009</v>
      </c>
      <c r="DQ268">
        <f>55.78992399</f>
        <v>55.789923989999998</v>
      </c>
      <c r="DR268">
        <f>58.60150012</f>
        <v>58.601500119999997</v>
      </c>
      <c r="DS268">
        <f>55.18117431</f>
        <v>55.181174310000003</v>
      </c>
      <c r="DT268">
        <f>51.20897081</f>
        <v>51.208970809999997</v>
      </c>
      <c r="DU268">
        <f>54.39533949</f>
        <v>54.395339489999998</v>
      </c>
    </row>
    <row r="269" spans="1:125">
      <c r="A269" t="str">
        <f>"    Boston Properties Inc"</f>
        <v xml:space="preserve">    Boston Properties Inc</v>
      </c>
      <c r="B269" t="str">
        <f>"BXP US Equity"</f>
        <v>BXP US Equity</v>
      </c>
      <c r="C269" t="str">
        <f t="shared" ref="C269:C278" si="70">"RR106"</f>
        <v>RR106</v>
      </c>
      <c r="D269" t="str">
        <f t="shared" ref="D269:D278" si="71">"FFO_PAYOUT_RATIO"</f>
        <v>FFO_PAYOUT_RATIO</v>
      </c>
      <c r="E269" t="str">
        <f t="shared" ref="E269:E278" si="72">"动态"</f>
        <v>动态</v>
      </c>
      <c r="F269" t="str">
        <f ca="1">IF(AND(ISNUMBER($F$556),$B$294=1),$F$556,HLOOKUP(INDIRECT(ADDRESS(2,COLUMN())),OFFSET($BN$2,0,0,ROW()-1,60),ROW()-1,FALSE))</f>
        <v/>
      </c>
      <c r="G269">
        <f ca="1">IF(AND(ISNUMBER($G$556),$B$294=1),$G$556,HLOOKUP(INDIRECT(ADDRESS(2,COLUMN())),OFFSET($BN$2,0,0,ROW()-1,60),ROW()-1,FALSE))</f>
        <v>53.660334069999998</v>
      </c>
      <c r="H269">
        <f ca="1">IF(AND(ISNUMBER($H$556),$B$294=1),$H$556,HLOOKUP(INDIRECT(ADDRESS(2,COLUMN())),OFFSET($BN$2,0,0,ROW()-1,60),ROW()-1,FALSE))</f>
        <v>47.637491509999997</v>
      </c>
      <c r="I269">
        <f ca="1">IF(AND(ISNUMBER($I$556),$B$294=1),$I$556,HLOOKUP(INDIRECT(ADDRESS(2,COLUMN())),OFFSET($BN$2,0,0,ROW()-1,60),ROW()-1,FALSE))</f>
        <v>44.839577169999998</v>
      </c>
      <c r="J269">
        <f ca="1">IF(AND(ISNUMBER($J$556),$B$294=1),$J$556,HLOOKUP(INDIRECT(ADDRESS(2,COLUMN())),OFFSET($BN$2,0,0,ROW()-1,60),ROW()-1,FALSE))</f>
        <v>50.526965670000003</v>
      </c>
      <c r="K269">
        <f ca="1">IF(AND(ISNUMBER($K$556),$B$294=1),$K$556,HLOOKUP(INDIRECT(ADDRESS(2,COLUMN())),OFFSET($BN$2,0,0,ROW()-1,60),ROW()-1,FALSE))</f>
        <v>48.696274350000003</v>
      </c>
      <c r="L269">
        <f ca="1">IF(AND(ISNUMBER($L$556),$B$294=1),$L$556,HLOOKUP(INDIRECT(ADDRESS(2,COLUMN())),OFFSET($BN$2,0,0,ROW()-1,60),ROW()-1,FALSE))</f>
        <v>45.517525640000002</v>
      </c>
      <c r="M269">
        <f ca="1">IF(AND(ISNUMBER($M$556),$B$294=1),$M$556,HLOOKUP(INDIRECT(ADDRESS(2,COLUMN())),OFFSET($BN$2,0,0,ROW()-1,60),ROW()-1,FALSE))</f>
        <v>45.27768082</v>
      </c>
      <c r="N269">
        <f ca="1">IF(AND(ISNUMBER($N$556),$B$294=1),$N$556,HLOOKUP(INDIRECT(ADDRESS(2,COLUMN())),OFFSET($BN$2,0,0,ROW()-1,60),ROW()-1,FALSE))</f>
        <v>39.833139199999998</v>
      </c>
      <c r="O269">
        <f ca="1">IF(AND(ISNUMBER($O$556),$B$294=1),$O$556,HLOOKUP(INDIRECT(ADDRESS(2,COLUMN())),OFFSET($BN$2,0,0,ROW()-1,60),ROW()-1,FALSE))</f>
        <v>147.88132759999999</v>
      </c>
      <c r="P269">
        <f ca="1">IF(AND(ISNUMBER($P$556),$B$294=1),$P$556,HLOOKUP(INDIRECT(ADDRESS(2,COLUMN())),OFFSET($BN$2,0,0,ROW()-1,60),ROW()-1,FALSE))</f>
        <v>45.9524489</v>
      </c>
      <c r="Q269">
        <f ca="1">IF(AND(ISNUMBER($Q$556),$B$294=1),$Q$556,HLOOKUP(INDIRECT(ADDRESS(2,COLUMN())),OFFSET($BN$2,0,0,ROW()-1,60),ROW()-1,FALSE))</f>
        <v>47.785187630000003</v>
      </c>
      <c r="R269">
        <f ca="1">IF(AND(ISNUMBER($R$556),$B$294=1),$R$556,HLOOKUP(INDIRECT(ADDRESS(2,COLUMN())),OFFSET($BN$2,0,0,ROW()-1,60),ROW()-1,FALSE))</f>
        <v>49.704069670000003</v>
      </c>
      <c r="S269">
        <f ca="1">IF(AND(ISNUMBER($S$556),$B$294=1),$S$556,HLOOKUP(INDIRECT(ADDRESS(2,COLUMN())),OFFSET($BN$2,0,0,ROW()-1,60),ROW()-1,FALSE))</f>
        <v>408.21239630000002</v>
      </c>
      <c r="T269">
        <f ca="1">IF(AND(ISNUMBER($T$556),$B$294=1),$T$556,HLOOKUP(INDIRECT(ADDRESS(2,COLUMN())),OFFSET($BN$2,0,0,ROW()-1,60),ROW()-1,FALSE))</f>
        <v>44.550878900000001</v>
      </c>
      <c r="U269">
        <f ca="1">IF(AND(ISNUMBER($U$556),$B$294=1),$U$556,HLOOKUP(INDIRECT(ADDRESS(2,COLUMN())),OFFSET($BN$2,0,0,ROW()-1,60),ROW()-1,FALSE))</f>
        <v>48.065649000000001</v>
      </c>
      <c r="V269">
        <f ca="1">IF(AND(ISNUMBER($V$556),$B$294=1),$V$556,HLOOKUP(INDIRECT(ADDRESS(2,COLUMN())),OFFSET($BN$2,0,0,ROW()-1,60),ROW()-1,FALSE))</f>
        <v>54.105382820000003</v>
      </c>
      <c r="W269">
        <f ca="1">IF(AND(ISNUMBER($W$556),$B$294=1),$W$556,HLOOKUP(INDIRECT(ADDRESS(2,COLUMN())),OFFSET($BN$2,0,0,ROW()-1,60),ROW()-1,FALSE))</f>
        <v>398.22357729999999</v>
      </c>
      <c r="X269">
        <f ca="1">IF(AND(ISNUMBER($X$556),$B$294=1),$X$556,HLOOKUP(INDIRECT(ADDRESS(2,COLUMN())),OFFSET($BN$2,0,0,ROW()-1,60),ROW()-1,FALSE))</f>
        <v>50.06825568</v>
      </c>
      <c r="Y269">
        <f ca="1">IF(AND(ISNUMBER($Y$556),$B$294=1),$Y$556,HLOOKUP(INDIRECT(ADDRESS(2,COLUMN())),OFFSET($BN$2,0,0,ROW()-1,60),ROW()-1,FALSE))</f>
        <v>50.538443819999998</v>
      </c>
      <c r="Z269">
        <f ca="1">IF(AND(ISNUMBER($Z$556),$B$294=1),$Z$556,HLOOKUP(INDIRECT(ADDRESS(2,COLUMN())),OFFSET($BN$2,0,0,ROW()-1,60),ROW()-1,FALSE))</f>
        <v>61.366856759999997</v>
      </c>
      <c r="AA269">
        <f ca="1">IF(AND(ISNUMBER($AA$556),$B$294=1),$AA$556,HLOOKUP(INDIRECT(ADDRESS(2,COLUMN())),OFFSET($BN$2,0,0,ROW()-1,60),ROW()-1,FALSE))</f>
        <v>50.999106320000003</v>
      </c>
      <c r="AB269">
        <f ca="1">IF(AND(ISNUMBER($AB$556),$B$294=1),$AB$556,HLOOKUP(INDIRECT(ADDRESS(2,COLUMN())),OFFSET($BN$2,0,0,ROW()-1,60),ROW()-1,FALSE))</f>
        <v>47.184561299999999</v>
      </c>
      <c r="AC269">
        <f ca="1">IF(AND(ISNUMBER($AC$556),$B$294=1),$AC$556,HLOOKUP(INDIRECT(ADDRESS(2,COLUMN())),OFFSET($BN$2,0,0,ROW()-1,60),ROW()-1,FALSE))</f>
        <v>40.039714439999997</v>
      </c>
      <c r="AD269">
        <f ca="1">IF(AND(ISNUMBER($AD$556),$B$294=1),$AD$556,HLOOKUP(INDIRECT(ADDRESS(2,COLUMN())),OFFSET($BN$2,0,0,ROW()-1,60),ROW()-1,FALSE))</f>
        <v>48.934888350000001</v>
      </c>
      <c r="AE269">
        <f ca="1">IF(AND(ISNUMBER($AE$556),$B$294=1),$AE$556,HLOOKUP(INDIRECT(ADDRESS(2,COLUMN())),OFFSET($BN$2,0,0,ROW()-1,60),ROW()-1,FALSE))</f>
        <v>45.317069910000001</v>
      </c>
      <c r="AF269">
        <f ca="1">IF(AND(ISNUMBER($AF$556),$B$294=1),$AF$556,HLOOKUP(INDIRECT(ADDRESS(2,COLUMN())),OFFSET($BN$2,0,0,ROW()-1,60),ROW()-1,FALSE))</f>
        <v>38.630080829999997</v>
      </c>
      <c r="AG269">
        <f ca="1">IF(AND(ISNUMBER($AG$556),$B$294=1),$AG$556,HLOOKUP(INDIRECT(ADDRESS(2,COLUMN())),OFFSET($BN$2,0,0,ROW()-1,60),ROW()-1,FALSE))</f>
        <v>40.167649760000003</v>
      </c>
      <c r="AH269">
        <f ca="1">IF(AND(ISNUMBER($AH$556),$B$294=1),$AH$556,HLOOKUP(INDIRECT(ADDRESS(2,COLUMN())),OFFSET($BN$2,0,0,ROW()-1,60),ROW()-1,FALSE))</f>
        <v>44.41023878</v>
      </c>
      <c r="AI269">
        <f ca="1">IF(AND(ISNUMBER($AI$556),$B$294=1),$AI$556,HLOOKUP(INDIRECT(ADDRESS(2,COLUMN())),OFFSET($BN$2,0,0,ROW()-1,60),ROW()-1,FALSE))</f>
        <v>77.941765500000002</v>
      </c>
      <c r="AJ269">
        <f ca="1">IF(AND(ISNUMBER($AJ$556),$B$294=1),$AJ$556,HLOOKUP(INDIRECT(ADDRESS(2,COLUMN())),OFFSET($BN$2,0,0,ROW()-1,60),ROW()-1,FALSE))</f>
        <v>46.268552829999997</v>
      </c>
      <c r="AK269">
        <f ca="1">IF(AND(ISNUMBER($AK$556),$B$294=1),$AK$556,HLOOKUP(INDIRECT(ADDRESS(2,COLUMN())),OFFSET($BN$2,0,0,ROW()-1,60),ROW()-1,FALSE))</f>
        <v>44.340218010000001</v>
      </c>
      <c r="AL269">
        <f ca="1">IF(AND(ISNUMBER($AL$556),$B$294=1),$AL$556,HLOOKUP(INDIRECT(ADDRESS(2,COLUMN())),OFFSET($BN$2,0,0,ROW()-1,60),ROW()-1,FALSE))</f>
        <v>46.435399339999996</v>
      </c>
      <c r="AM269">
        <f ca="1">IF(AND(ISNUMBER($AM$556),$B$294=1),$AM$556,HLOOKUP(INDIRECT(ADDRESS(2,COLUMN())),OFFSET($BN$2,0,0,ROW()-1,60),ROW()-1,FALSE))</f>
        <v>47.502670209999998</v>
      </c>
      <c r="AN269">
        <f ca="1">IF(AND(ISNUMBER($AN$556),$B$294=1),$AN$556,HLOOKUP(INDIRECT(ADDRESS(2,COLUMN())),OFFSET($BN$2,0,0,ROW()-1,60),ROW()-1,FALSE))</f>
        <v>43.74913222</v>
      </c>
      <c r="AO269">
        <f ca="1">IF(AND(ISNUMBER($AO$556),$B$294=1),$AO$556,HLOOKUP(INDIRECT(ADDRESS(2,COLUMN())),OFFSET($BN$2,0,0,ROW()-1,60),ROW()-1,FALSE))</f>
        <v>37.591753439999998</v>
      </c>
      <c r="AP269">
        <f ca="1">IF(AND(ISNUMBER($AP$556),$B$294=1),$AP$556,HLOOKUP(INDIRECT(ADDRESS(2,COLUMN())),OFFSET($BN$2,0,0,ROW()-1,60),ROW()-1,FALSE))</f>
        <v>61.14639554</v>
      </c>
      <c r="AQ269" t="str">
        <f ca="1">IF(AND(ISNUMBER($AQ$556),$B$294=1),$AQ$556,HLOOKUP(INDIRECT(ADDRESS(2,COLUMN())),OFFSET($BN$2,0,0,ROW()-1,60),ROW()-1,FALSE))</f>
        <v/>
      </c>
      <c r="AR269">
        <f ca="1">IF(AND(ISNUMBER($AR$556),$B$294=1),$AR$556,HLOOKUP(INDIRECT(ADDRESS(2,COLUMN())),OFFSET($BN$2,0,0,ROW()-1,60),ROW()-1,FALSE))</f>
        <v>52.52706422</v>
      </c>
      <c r="AS269">
        <f ca="1">IF(AND(ISNUMBER($AS$556),$B$294=1),$AS$556,HLOOKUP(INDIRECT(ADDRESS(2,COLUMN())),OFFSET($BN$2,0,0,ROW()-1,60),ROW()-1,FALSE))</f>
        <v>49.38777194</v>
      </c>
      <c r="AT269">
        <f ca="1">IF(AND(ISNUMBER($AT$556),$B$294=1),$AT$556,HLOOKUP(INDIRECT(ADDRESS(2,COLUMN())),OFFSET($BN$2,0,0,ROW()-1,60),ROW()-1,FALSE))</f>
        <v>53.116348979999998</v>
      </c>
      <c r="AU269">
        <f ca="1">IF(AND(ISNUMBER($AU$556),$B$294=1),$AU$556,HLOOKUP(INDIRECT(ADDRESS(2,COLUMN())),OFFSET($BN$2,0,0,ROW()-1,60),ROW()-1,FALSE))</f>
        <v>461.06102979999997</v>
      </c>
      <c r="AV269">
        <f ca="1">IF(AND(ISNUMBER($AV$556),$B$294=1),$AV$556,HLOOKUP(INDIRECT(ADDRESS(2,COLUMN())),OFFSET($BN$2,0,0,ROW()-1,60),ROW()-1,FALSE))</f>
        <v>50.517996930000002</v>
      </c>
      <c r="AW269">
        <f ca="1">IF(AND(ISNUMBER($AW$556),$B$294=1),$AW$556,HLOOKUP(INDIRECT(ADDRESS(2,COLUMN())),OFFSET($BN$2,0,0,ROW()-1,60),ROW()-1,FALSE))</f>
        <v>48.315671899999998</v>
      </c>
      <c r="AX269">
        <f ca="1">IF(AND(ISNUMBER($AX$556),$B$294=1),$AX$556,HLOOKUP(INDIRECT(ADDRESS(2,COLUMN())),OFFSET($BN$2,0,0,ROW()-1,60),ROW()-1,FALSE))</f>
        <v>51.411217520000001</v>
      </c>
      <c r="AY269">
        <f ca="1">IF(AND(ISNUMBER($AY$556),$B$294=1),$AY$556,HLOOKUP(INDIRECT(ADDRESS(2,COLUMN())),OFFSET($BN$2,0,0,ROW()-1,60),ROW()-1,FALSE))</f>
        <v>427.60391559999999</v>
      </c>
      <c r="AZ269">
        <f ca="1">IF(AND(ISNUMBER($AZ$556),$B$294=1),$AZ$556,HLOOKUP(INDIRECT(ADDRESS(2,COLUMN())),OFFSET($BN$2,0,0,ROW()-1,60),ROW()-1,FALSE))</f>
        <v>48.250405700000002</v>
      </c>
      <c r="BA269">
        <f ca="1">IF(AND(ISNUMBER($BA$556),$B$294=1),$BA$556,HLOOKUP(INDIRECT(ADDRESS(2,COLUMN())),OFFSET($BN$2,0,0,ROW()-1,60),ROW()-1,FALSE))</f>
        <v>63.533993950000003</v>
      </c>
      <c r="BB269">
        <f ca="1">IF(AND(ISNUMBER($BB$556),$B$294=1),$BB$556,HLOOKUP(INDIRECT(ADDRESS(2,COLUMN())),OFFSET($BN$2,0,0,ROW()-1,60),ROW()-1,FALSE))</f>
        <v>53.943649260000001</v>
      </c>
      <c r="BC269">
        <f ca="1">IF(AND(ISNUMBER($BC$556),$B$294=1),$BC$556,HLOOKUP(INDIRECT(ADDRESS(2,COLUMN())),OFFSET($BN$2,0,0,ROW()-1,60),ROW()-1,FALSE))</f>
        <v>73.015765020000003</v>
      </c>
      <c r="BD269">
        <f ca="1">IF(AND(ISNUMBER($BD$556),$B$294=1),$BD$556,HLOOKUP(INDIRECT(ADDRESS(2,COLUMN())),OFFSET($BN$2,0,0,ROW()-1,60),ROW()-1,FALSE))</f>
        <v>240.8606394</v>
      </c>
      <c r="BE269" t="str">
        <f ca="1">IF(AND(ISNUMBER($BE$556),$B$294=1),$BE$556,HLOOKUP(INDIRECT(ADDRESS(2,COLUMN())),OFFSET($BN$2,0,0,ROW()-1,60),ROW()-1,FALSE))</f>
        <v/>
      </c>
      <c r="BF269">
        <f ca="1">IF(AND(ISNUMBER($BF$556),$B$294=1),$BF$556,HLOOKUP(INDIRECT(ADDRESS(2,COLUMN())),OFFSET($BN$2,0,0,ROW()-1,60),ROW()-1,FALSE))</f>
        <v>51.03576417</v>
      </c>
      <c r="BG269">
        <f ca="1">IF(AND(ISNUMBER($BG$556),$B$294=1),$BG$556,HLOOKUP(INDIRECT(ADDRESS(2,COLUMN())),OFFSET($BN$2,0,0,ROW()-1,60),ROW()-1,FALSE))</f>
        <v>0</v>
      </c>
      <c r="BH269">
        <f ca="1">IF(AND(ISNUMBER($BH$556),$B$294=1),$BH$556,HLOOKUP(INDIRECT(ADDRESS(2,COLUMN())),OFFSET($BN$2,0,0,ROW()-1,60),ROW()-1,FALSE))</f>
        <v>58.71445009</v>
      </c>
      <c r="BI269">
        <f ca="1">IF(AND(ISNUMBER($BI$556),$B$294=1),$BI$556,HLOOKUP(INDIRECT(ADDRESS(2,COLUMN())),OFFSET($BN$2,0,0,ROW()-1,60),ROW()-1,FALSE))</f>
        <v>0</v>
      </c>
      <c r="BJ269">
        <f ca="1">IF(AND(ISNUMBER($BJ$556),$B$294=1),$BJ$556,HLOOKUP(INDIRECT(ADDRESS(2,COLUMN())),OFFSET($BN$2,0,0,ROW()-1,60),ROW()-1,FALSE))</f>
        <v>0</v>
      </c>
      <c r="BK269">
        <f ca="1">IF(AND(ISNUMBER($BK$556),$B$294=1),$BK$556,HLOOKUP(INDIRECT(ADDRESS(2,COLUMN())),OFFSET($BN$2,0,0,ROW()-1,60),ROW()-1,FALSE))</f>
        <v>57.705438090000001</v>
      </c>
      <c r="BL269">
        <f ca="1">IF(AND(ISNUMBER($BL$556),$B$294=1),$BL$556,HLOOKUP(INDIRECT(ADDRESS(2,COLUMN())),OFFSET($BN$2,0,0,ROW()-1,60),ROW()-1,FALSE))</f>
        <v>61.920916869999999</v>
      </c>
      <c r="BM269">
        <f ca="1">IF(AND(ISNUMBER($BM$556),$B$294=1),$BM$556,HLOOKUP(INDIRECT(ADDRESS(2,COLUMN())),OFFSET($BN$2,0,0,ROW()-1,60),ROW()-1,FALSE))</f>
        <v>0</v>
      </c>
      <c r="BN269" t="str">
        <f>""</f>
        <v/>
      </c>
      <c r="BO269">
        <f>53.66033407</f>
        <v>53.660334069999998</v>
      </c>
      <c r="BP269">
        <f>47.63749151</f>
        <v>47.637491509999997</v>
      </c>
      <c r="BQ269">
        <f>44.83957717</f>
        <v>44.839577169999998</v>
      </c>
      <c r="BR269">
        <f>50.52696567</f>
        <v>50.526965670000003</v>
      </c>
      <c r="BS269">
        <f>48.69627435</f>
        <v>48.696274350000003</v>
      </c>
      <c r="BT269">
        <f>45.51752564</f>
        <v>45.517525640000002</v>
      </c>
      <c r="BU269">
        <f>45.27768082</f>
        <v>45.27768082</v>
      </c>
      <c r="BV269">
        <f>39.8331392</f>
        <v>39.833139199999998</v>
      </c>
      <c r="BW269">
        <f>147.8813276</f>
        <v>147.88132759999999</v>
      </c>
      <c r="BX269">
        <f>45.9524489</f>
        <v>45.9524489</v>
      </c>
      <c r="BY269">
        <f>47.78518763</f>
        <v>47.785187630000003</v>
      </c>
      <c r="BZ269">
        <f>49.70406967</f>
        <v>49.704069670000003</v>
      </c>
      <c r="CA269">
        <f>408.2123963</f>
        <v>408.21239630000002</v>
      </c>
      <c r="CB269">
        <f>44.5508789</f>
        <v>44.550878900000001</v>
      </c>
      <c r="CC269">
        <f>48.065649</f>
        <v>48.065649000000001</v>
      </c>
      <c r="CD269">
        <f>54.10538282</f>
        <v>54.105382820000003</v>
      </c>
      <c r="CE269">
        <f>398.2235773</f>
        <v>398.22357729999999</v>
      </c>
      <c r="CF269">
        <f>50.06825568</f>
        <v>50.06825568</v>
      </c>
      <c r="CG269">
        <f>50.53844382</f>
        <v>50.538443819999998</v>
      </c>
      <c r="CH269">
        <f>61.36685676</f>
        <v>61.366856759999997</v>
      </c>
      <c r="CI269">
        <f>50.99910632</f>
        <v>50.999106320000003</v>
      </c>
      <c r="CJ269">
        <f>47.1845613</f>
        <v>47.184561299999999</v>
      </c>
      <c r="CK269">
        <f>40.03971444</f>
        <v>40.039714439999997</v>
      </c>
      <c r="CL269">
        <f>48.93488835</f>
        <v>48.934888350000001</v>
      </c>
      <c r="CM269">
        <f>45.31706991</f>
        <v>45.317069910000001</v>
      </c>
      <c r="CN269">
        <f>38.63008083</f>
        <v>38.630080829999997</v>
      </c>
      <c r="CO269">
        <f>40.16764976</f>
        <v>40.167649760000003</v>
      </c>
      <c r="CP269">
        <f>44.41023878</f>
        <v>44.41023878</v>
      </c>
      <c r="CQ269">
        <f>77.9417655</f>
        <v>77.941765500000002</v>
      </c>
      <c r="CR269">
        <f>46.26855283</f>
        <v>46.268552829999997</v>
      </c>
      <c r="CS269">
        <f>44.34021801</f>
        <v>44.340218010000001</v>
      </c>
      <c r="CT269">
        <f>46.43539934</f>
        <v>46.435399339999996</v>
      </c>
      <c r="CU269">
        <f>47.50267021</f>
        <v>47.502670209999998</v>
      </c>
      <c r="CV269">
        <f>43.74913222</f>
        <v>43.74913222</v>
      </c>
      <c r="CW269">
        <f>37.59175344</f>
        <v>37.591753439999998</v>
      </c>
      <c r="CX269">
        <f>61.14639554</f>
        <v>61.14639554</v>
      </c>
      <c r="CY269" t="str">
        <f>""</f>
        <v/>
      </c>
      <c r="CZ269">
        <f>52.52706422</f>
        <v>52.52706422</v>
      </c>
      <c r="DA269">
        <f>49.38777194</f>
        <v>49.38777194</v>
      </c>
      <c r="DB269">
        <f>53.11634898</f>
        <v>53.116348979999998</v>
      </c>
      <c r="DC269">
        <f>461.0610298</f>
        <v>461.06102979999997</v>
      </c>
      <c r="DD269">
        <f>50.51799693</f>
        <v>50.517996930000002</v>
      </c>
      <c r="DE269">
        <f>48.3156719</f>
        <v>48.315671899999998</v>
      </c>
      <c r="DF269">
        <f>51.41121752</f>
        <v>51.411217520000001</v>
      </c>
      <c r="DG269">
        <f>427.6039156</f>
        <v>427.60391559999999</v>
      </c>
      <c r="DH269">
        <f>48.2504057</f>
        <v>48.250405700000002</v>
      </c>
      <c r="DI269">
        <f>63.53399395</f>
        <v>63.533993950000003</v>
      </c>
      <c r="DJ269">
        <f>53.94364926</f>
        <v>53.943649260000001</v>
      </c>
      <c r="DK269">
        <f>73.01576502</f>
        <v>73.015765020000003</v>
      </c>
      <c r="DL269">
        <f>240.8606394</f>
        <v>240.8606394</v>
      </c>
      <c r="DM269" t="str">
        <f>""</f>
        <v/>
      </c>
      <c r="DN269">
        <f>51.03576417</f>
        <v>51.03576417</v>
      </c>
      <c r="DO269">
        <f>0</f>
        <v>0</v>
      </c>
      <c r="DP269">
        <f>58.71445009</f>
        <v>58.71445009</v>
      </c>
      <c r="DQ269">
        <f>0</f>
        <v>0</v>
      </c>
      <c r="DR269">
        <f>0</f>
        <v>0</v>
      </c>
      <c r="DS269">
        <f>57.70543809</f>
        <v>57.705438090000001</v>
      </c>
      <c r="DT269">
        <f>61.92091687</f>
        <v>61.920916869999999</v>
      </c>
      <c r="DU269">
        <f>0</f>
        <v>0</v>
      </c>
    </row>
    <row r="270" spans="1:125">
      <c r="A270" t="str">
        <f>"    Brandywine Realty Trust"</f>
        <v xml:space="preserve">    Brandywine Realty Trust</v>
      </c>
      <c r="B270" t="str">
        <f>"BDN US Equity"</f>
        <v>BDN US Equity</v>
      </c>
      <c r="C270" t="str">
        <f t="shared" si="70"/>
        <v>RR106</v>
      </c>
      <c r="D270" t="str">
        <f t="shared" si="71"/>
        <v>FFO_PAYOUT_RATIO</v>
      </c>
      <c r="E270" t="str">
        <f t="shared" si="72"/>
        <v>动态</v>
      </c>
      <c r="F270" t="str">
        <f ca="1">IF(AND(ISNUMBER($F$557),$B$294=1),$F$557,HLOOKUP(INDIRECT(ADDRESS(2,COLUMN())),OFFSET($BN$2,0,0,ROW()-1,60),ROW()-1,FALSE))</f>
        <v/>
      </c>
      <c r="G270">
        <f ca="1">IF(AND(ISNUMBER($G$557),$B$294=1),$G$557,HLOOKUP(INDIRECT(ADDRESS(2,COLUMN())),OFFSET($BN$2,0,0,ROW()-1,60),ROW()-1,FALSE))</f>
        <v>52.387253639999997</v>
      </c>
      <c r="H270">
        <f ca="1">IF(AND(ISNUMBER($H$557),$B$294=1),$H$557,HLOOKUP(INDIRECT(ADDRESS(2,COLUMN())),OFFSET($BN$2,0,0,ROW()-1,60),ROW()-1,FALSE))</f>
        <v>45.32730213</v>
      </c>
      <c r="I270">
        <f ca="1">IF(AND(ISNUMBER($I$557),$B$294=1),$I$557,HLOOKUP(INDIRECT(ADDRESS(2,COLUMN())),OFFSET($BN$2,0,0,ROW()-1,60),ROW()-1,FALSE))</f>
        <v>49.504588429999998</v>
      </c>
      <c r="J270">
        <f ca="1">IF(AND(ISNUMBER($J$557),$B$294=1),$J$557,HLOOKUP(INDIRECT(ADDRESS(2,COLUMN())),OFFSET($BN$2,0,0,ROW()-1,60),ROW()-1,FALSE))</f>
        <v>50.535488350000001</v>
      </c>
      <c r="K270">
        <f ca="1">IF(AND(ISNUMBER($K$557),$B$294=1),$K$557,HLOOKUP(INDIRECT(ADDRESS(2,COLUMN())),OFFSET($BN$2,0,0,ROW()-1,60),ROW()-1,FALSE))</f>
        <v>44.506331660000001</v>
      </c>
      <c r="L270">
        <f ca="1">IF(AND(ISNUMBER($L$557),$B$294=1),$L$557,HLOOKUP(INDIRECT(ADDRESS(2,COLUMN())),OFFSET($BN$2,0,0,ROW()-1,60),ROW()-1,FALSE))</f>
        <v>48.07552261</v>
      </c>
      <c r="M270">
        <f ca="1">IF(AND(ISNUMBER($M$557),$B$294=1),$M$557,HLOOKUP(INDIRECT(ADDRESS(2,COLUMN())),OFFSET($BN$2,0,0,ROW()-1,60),ROW()-1,FALSE))</f>
        <v>48.815659150000002</v>
      </c>
      <c r="N270" t="str">
        <f ca="1">IF(AND(ISNUMBER($N$557),$B$294=1),$N$557,HLOOKUP(INDIRECT(ADDRESS(2,COLUMN())),OFFSET($BN$2,0,0,ROW()-1,60),ROW()-1,FALSE))</f>
        <v/>
      </c>
      <c r="O270">
        <f ca="1">IF(AND(ISNUMBER($O$557),$B$294=1),$O$557,HLOOKUP(INDIRECT(ADDRESS(2,COLUMN())),OFFSET($BN$2,0,0,ROW()-1,60),ROW()-1,FALSE))</f>
        <v>37.939622239999998</v>
      </c>
      <c r="P270">
        <f ca="1">IF(AND(ISNUMBER($P$557),$B$294=1),$P$557,HLOOKUP(INDIRECT(ADDRESS(2,COLUMN())),OFFSET($BN$2,0,0,ROW()-1,60),ROW()-1,FALSE))</f>
        <v>34.634589679999998</v>
      </c>
      <c r="Q270">
        <f ca="1">IF(AND(ISNUMBER($Q$557),$B$294=1),$Q$557,HLOOKUP(INDIRECT(ADDRESS(2,COLUMN())),OFFSET($BN$2,0,0,ROW()-1,60),ROW()-1,FALSE))</f>
        <v>46.894791679999997</v>
      </c>
      <c r="R270">
        <f ca="1">IF(AND(ISNUMBER($R$557),$B$294=1),$R$557,HLOOKUP(INDIRECT(ADDRESS(2,COLUMN())),OFFSET($BN$2,0,0,ROW()-1,60),ROW()-1,FALSE))</f>
        <v>46.080374159999998</v>
      </c>
      <c r="S270">
        <f ca="1">IF(AND(ISNUMBER($S$557),$B$294=1),$S$557,HLOOKUP(INDIRECT(ADDRESS(2,COLUMN())),OFFSET($BN$2,0,0,ROW()-1,60),ROW()-1,FALSE))</f>
        <v>50.153068750000003</v>
      </c>
      <c r="T270">
        <f ca="1">IF(AND(ISNUMBER($T$557),$B$294=1),$T$557,HLOOKUP(INDIRECT(ADDRESS(2,COLUMN())),OFFSET($BN$2,0,0,ROW()-1,60),ROW()-1,FALSE))</f>
        <v>43.203891210000002</v>
      </c>
      <c r="U270">
        <f ca="1">IF(AND(ISNUMBER($U$557),$B$294=1),$U$557,HLOOKUP(INDIRECT(ADDRESS(2,COLUMN())),OFFSET($BN$2,0,0,ROW()-1,60),ROW()-1,FALSE))</f>
        <v>41.592135030000001</v>
      </c>
      <c r="V270">
        <f ca="1">IF(AND(ISNUMBER($V$557),$B$294=1),$V$557,HLOOKUP(INDIRECT(ADDRESS(2,COLUMN())),OFFSET($BN$2,0,0,ROW()-1,60),ROW()-1,FALSE))</f>
        <v>44.389763780000003</v>
      </c>
      <c r="W270">
        <f ca="1">IF(AND(ISNUMBER($W$557),$B$294=1),$W$557,HLOOKUP(INDIRECT(ADDRESS(2,COLUMN())),OFFSET($BN$2,0,0,ROW()-1,60),ROW()-1,FALSE))</f>
        <v>50.035805179999997</v>
      </c>
      <c r="X270">
        <f ca="1">IF(AND(ISNUMBER($X$557),$B$294=1),$X$557,HLOOKUP(INDIRECT(ADDRESS(2,COLUMN())),OFFSET($BN$2,0,0,ROW()-1,60),ROW()-1,FALSE))</f>
        <v>37.691651120000003</v>
      </c>
      <c r="Y270">
        <f ca="1">IF(AND(ISNUMBER($Y$557),$B$294=1),$Y$557,HLOOKUP(INDIRECT(ADDRESS(2,COLUMN())),OFFSET($BN$2,0,0,ROW()-1,60),ROW()-1,FALSE))</f>
        <v>48.6970551</v>
      </c>
      <c r="Z270">
        <f ca="1">IF(AND(ISNUMBER($Z$557),$B$294=1),$Z$557,HLOOKUP(INDIRECT(ADDRESS(2,COLUMN())),OFFSET($BN$2,0,0,ROW()-1,60),ROW()-1,FALSE))</f>
        <v>42.195164179999999</v>
      </c>
      <c r="AA270">
        <f ca="1">IF(AND(ISNUMBER($AA$557),$B$294=1),$AA$557,HLOOKUP(INDIRECT(ADDRESS(2,COLUMN())),OFFSET($BN$2,0,0,ROW()-1,60),ROW()-1,FALSE))</f>
        <v>101.45526940000001</v>
      </c>
      <c r="AB270">
        <f ca="1">IF(AND(ISNUMBER($AB$557),$B$294=1),$AB$557,HLOOKUP(INDIRECT(ADDRESS(2,COLUMN())),OFFSET($BN$2,0,0,ROW()-1,60),ROW()-1,FALSE))</f>
        <v>37.101494760000001</v>
      </c>
      <c r="AC270">
        <f ca="1">IF(AND(ISNUMBER($AC$557),$B$294=1),$AC$557,HLOOKUP(INDIRECT(ADDRESS(2,COLUMN())),OFFSET($BN$2,0,0,ROW()-1,60),ROW()-1,FALSE))</f>
        <v>47.998337650000003</v>
      </c>
      <c r="AD270">
        <f ca="1">IF(AND(ISNUMBER($AD$557),$B$294=1),$AD$557,HLOOKUP(INDIRECT(ADDRESS(2,COLUMN())),OFFSET($BN$2,0,0,ROW()-1,60),ROW()-1,FALSE))</f>
        <v>46.29696036</v>
      </c>
      <c r="AE270">
        <f ca="1">IF(AND(ISNUMBER($AE$557),$B$294=1),$AE$557,HLOOKUP(INDIRECT(ADDRESS(2,COLUMN())),OFFSET($BN$2,0,0,ROW()-1,60),ROW()-1,FALSE))</f>
        <v>42.883534210000001</v>
      </c>
      <c r="AF270">
        <f ca="1">IF(AND(ISNUMBER($AF$557),$B$294=1),$AF$557,HLOOKUP(INDIRECT(ADDRESS(2,COLUMN())),OFFSET($BN$2,0,0,ROW()-1,60),ROW()-1,FALSE))</f>
        <v>33.505310680000001</v>
      </c>
      <c r="AG270">
        <f ca="1">IF(AND(ISNUMBER($AG$557),$B$294=1),$AG$557,HLOOKUP(INDIRECT(ADDRESS(2,COLUMN())),OFFSET($BN$2,0,0,ROW()-1,60),ROW()-1,FALSE))</f>
        <v>43.677800099999999</v>
      </c>
      <c r="AH270">
        <f ca="1">IF(AND(ISNUMBER($AH$557),$B$294=1),$AH$557,HLOOKUP(INDIRECT(ADDRESS(2,COLUMN())),OFFSET($BN$2,0,0,ROW()-1,60),ROW()-1,FALSE))</f>
        <v>42.847132049999999</v>
      </c>
      <c r="AI270">
        <f ca="1">IF(AND(ISNUMBER($AI$557),$B$294=1),$AI$557,HLOOKUP(INDIRECT(ADDRESS(2,COLUMN())),OFFSET($BN$2,0,0,ROW()-1,60),ROW()-1,FALSE))</f>
        <v>41.803190659999999</v>
      </c>
      <c r="AJ270">
        <f ca="1">IF(AND(ISNUMBER($AJ$557),$B$294=1),$AJ$557,HLOOKUP(INDIRECT(ADDRESS(2,COLUMN())),OFFSET($BN$2,0,0,ROW()-1,60),ROW()-1,FALSE))</f>
        <v>43.198720780000002</v>
      </c>
      <c r="AK270">
        <f ca="1">IF(AND(ISNUMBER($AK$557),$B$294=1),$AK$557,HLOOKUP(INDIRECT(ADDRESS(2,COLUMN())),OFFSET($BN$2,0,0,ROW()-1,60),ROW()-1,FALSE))</f>
        <v>42.027906770000001</v>
      </c>
      <c r="AL270">
        <f ca="1">IF(AND(ISNUMBER($AL$557),$B$294=1),$AL$557,HLOOKUP(INDIRECT(ADDRESS(2,COLUMN())),OFFSET($BN$2,0,0,ROW()-1,60),ROW()-1,FALSE))</f>
        <v>43.730400699999997</v>
      </c>
      <c r="AM270">
        <f ca="1">IF(AND(ISNUMBER($AM$557),$B$294=1),$AM$557,HLOOKUP(INDIRECT(ADDRESS(2,COLUMN())),OFFSET($BN$2,0,0,ROW()-1,60),ROW()-1,FALSE))</f>
        <v>28.028301580000001</v>
      </c>
      <c r="AN270">
        <f ca="1">IF(AND(ISNUMBER($AN$557),$B$294=1),$AN$557,HLOOKUP(INDIRECT(ADDRESS(2,COLUMN())),OFFSET($BN$2,0,0,ROW()-1,60),ROW()-1,FALSE))</f>
        <v>21.96977429</v>
      </c>
      <c r="AO270">
        <f ca="1">IF(AND(ISNUMBER($AO$557),$B$294=1),$AO$557,HLOOKUP(INDIRECT(ADDRESS(2,COLUMN())),OFFSET($BN$2,0,0,ROW()-1,60),ROW()-1,FALSE))</f>
        <v>17.045152779999999</v>
      </c>
      <c r="AP270">
        <f ca="1">IF(AND(ISNUMBER($AP$557),$B$294=1),$AP$557,HLOOKUP(INDIRECT(ADDRESS(2,COLUMN())),OFFSET($BN$2,0,0,ROW()-1,60),ROW()-1,FALSE))</f>
        <v>18.417470560000002</v>
      </c>
      <c r="AQ270">
        <f ca="1">IF(AND(ISNUMBER($AQ$557),$B$294=1),$AQ$557,HLOOKUP(INDIRECT(ADDRESS(2,COLUMN())),OFFSET($BN$2,0,0,ROW()-1,60),ROW()-1,FALSE))</f>
        <v>69.658881600000001</v>
      </c>
      <c r="AR270">
        <f ca="1">IF(AND(ISNUMBER($AR$557),$B$294=1),$AR$557,HLOOKUP(INDIRECT(ADDRESS(2,COLUMN())),OFFSET($BN$2,0,0,ROW()-1,60),ROW()-1,FALSE))</f>
        <v>73.33268554</v>
      </c>
      <c r="AS270">
        <f ca="1">IF(AND(ISNUMBER($AS$557),$B$294=1),$AS$557,HLOOKUP(INDIRECT(ADDRESS(2,COLUMN())),OFFSET($BN$2,0,0,ROW()-1,60),ROW()-1,FALSE))</f>
        <v>75.741974720000002</v>
      </c>
      <c r="AT270">
        <f ca="1">IF(AND(ISNUMBER($AT$557),$B$294=1),$AT$557,HLOOKUP(INDIRECT(ADDRESS(2,COLUMN())),OFFSET($BN$2,0,0,ROW()-1,60),ROW()-1,FALSE))</f>
        <v>63.036686369999998</v>
      </c>
      <c r="AU270">
        <f ca="1">IF(AND(ISNUMBER($AU$557),$B$294=1),$AU$557,HLOOKUP(INDIRECT(ADDRESS(2,COLUMN())),OFFSET($BN$2,0,0,ROW()-1,60),ROW()-1,FALSE))</f>
        <v>71.022723369999994</v>
      </c>
      <c r="AV270">
        <f ca="1">IF(AND(ISNUMBER($AV$557),$B$294=1),$AV$557,HLOOKUP(INDIRECT(ADDRESS(2,COLUMN())),OFFSET($BN$2,0,0,ROW()-1,60),ROW()-1,FALSE))</f>
        <v>61.646207699999998</v>
      </c>
      <c r="AW270">
        <f ca="1">IF(AND(ISNUMBER($AW$557),$B$294=1),$AW$557,HLOOKUP(INDIRECT(ADDRESS(2,COLUMN())),OFFSET($BN$2,0,0,ROW()-1,60),ROW()-1,FALSE))</f>
        <v>64.921795720000006</v>
      </c>
      <c r="AX270">
        <f ca="1">IF(AND(ISNUMBER($AX$557),$B$294=1),$AX$557,HLOOKUP(INDIRECT(ADDRESS(2,COLUMN())),OFFSET($BN$2,0,0,ROW()-1,60),ROW()-1,FALSE))</f>
        <v>66.303346090000005</v>
      </c>
      <c r="AY270">
        <f ca="1">IF(AND(ISNUMBER($AY$557),$B$294=1),$AY$557,HLOOKUP(INDIRECT(ADDRESS(2,COLUMN())),OFFSET($BN$2,0,0,ROW()-1,60),ROW()-1,FALSE))</f>
        <v>65.913804319999997</v>
      </c>
      <c r="AZ270">
        <f ca="1">IF(AND(ISNUMBER($AZ$557),$B$294=1),$AZ$557,HLOOKUP(INDIRECT(ADDRESS(2,COLUMN())),OFFSET($BN$2,0,0,ROW()-1,60),ROW()-1,FALSE))</f>
        <v>62.177056759999999</v>
      </c>
      <c r="BA270">
        <f ca="1">IF(AND(ISNUMBER($BA$557),$B$294=1),$BA$557,HLOOKUP(INDIRECT(ADDRESS(2,COLUMN())),OFFSET($BN$2,0,0,ROW()-1,60),ROW()-1,FALSE))</f>
        <v>69.907879620000003</v>
      </c>
      <c r="BB270">
        <f ca="1">IF(AND(ISNUMBER($BB$557),$B$294=1),$BB$557,HLOOKUP(INDIRECT(ADDRESS(2,COLUMN())),OFFSET($BN$2,0,0,ROW()-1,60),ROW()-1,FALSE))</f>
        <v>71.16050688</v>
      </c>
      <c r="BC270">
        <f ca="1">IF(AND(ISNUMBER($BC$557),$B$294=1),$BC$557,HLOOKUP(INDIRECT(ADDRESS(2,COLUMN())),OFFSET($BN$2,0,0,ROW()-1,60),ROW()-1,FALSE))</f>
        <v>45.075922730000002</v>
      </c>
      <c r="BD270">
        <f ca="1">IF(AND(ISNUMBER($BD$557),$B$294=1),$BD$557,HLOOKUP(INDIRECT(ADDRESS(2,COLUMN())),OFFSET($BN$2,0,0,ROW()-1,60),ROW()-1,FALSE))</f>
        <v>68.15377934</v>
      </c>
      <c r="BE270">
        <f ca="1">IF(AND(ISNUMBER($BE$557),$B$294=1),$BE$557,HLOOKUP(INDIRECT(ADDRESS(2,COLUMN())),OFFSET($BN$2,0,0,ROW()-1,60),ROW()-1,FALSE))</f>
        <v>69.436384540000006</v>
      </c>
      <c r="BF270">
        <f ca="1">IF(AND(ISNUMBER($BF$557),$B$294=1),$BF$557,HLOOKUP(INDIRECT(ADDRESS(2,COLUMN())),OFFSET($BN$2,0,0,ROW()-1,60),ROW()-1,FALSE))</f>
        <v>67.287416890000003</v>
      </c>
      <c r="BG270">
        <f ca="1">IF(AND(ISNUMBER($BG$557),$B$294=1),$BG$557,HLOOKUP(INDIRECT(ADDRESS(2,COLUMN())),OFFSET($BN$2,0,0,ROW()-1,60),ROW()-1,FALSE))</f>
        <v>66.610990479999998</v>
      </c>
      <c r="BH270">
        <f ca="1">IF(AND(ISNUMBER($BH$557),$B$294=1),$BH$557,HLOOKUP(INDIRECT(ADDRESS(2,COLUMN())),OFFSET($BN$2,0,0,ROW()-1,60),ROW()-1,FALSE))</f>
        <v>61.272348839999999</v>
      </c>
      <c r="BI270">
        <f ca="1">IF(AND(ISNUMBER($BI$557),$B$294=1),$BI$557,HLOOKUP(INDIRECT(ADDRESS(2,COLUMN())),OFFSET($BN$2,0,0,ROW()-1,60),ROW()-1,FALSE))</f>
        <v>0</v>
      </c>
      <c r="BJ270">
        <f ca="1">IF(AND(ISNUMBER($BJ$557),$B$294=1),$BJ$557,HLOOKUP(INDIRECT(ADDRESS(2,COLUMN())),OFFSET($BN$2,0,0,ROW()-1,60),ROW()-1,FALSE))</f>
        <v>58.601500119999997</v>
      </c>
      <c r="BK270">
        <f ca="1">IF(AND(ISNUMBER($BK$557),$B$294=1),$BK$557,HLOOKUP(INDIRECT(ADDRESS(2,COLUMN())),OFFSET($BN$2,0,0,ROW()-1,60),ROW()-1,FALSE))</f>
        <v>0</v>
      </c>
      <c r="BL270">
        <f ca="1">IF(AND(ISNUMBER($BL$557),$B$294=1),$BL$557,HLOOKUP(INDIRECT(ADDRESS(2,COLUMN())),OFFSET($BN$2,0,0,ROW()-1,60),ROW()-1,FALSE))</f>
        <v>0</v>
      </c>
      <c r="BM270">
        <f ca="1">IF(AND(ISNUMBER($BM$557),$B$294=1),$BM$557,HLOOKUP(INDIRECT(ADDRESS(2,COLUMN())),OFFSET($BN$2,0,0,ROW()-1,60),ROW()-1,FALSE))</f>
        <v>0</v>
      </c>
      <c r="BN270" t="str">
        <f>""</f>
        <v/>
      </c>
      <c r="BO270">
        <f>52.38725364</f>
        <v>52.387253639999997</v>
      </c>
      <c r="BP270">
        <f>45.32730213</f>
        <v>45.32730213</v>
      </c>
      <c r="BQ270">
        <f>49.50458843</f>
        <v>49.504588429999998</v>
      </c>
      <c r="BR270">
        <f>50.53548835</f>
        <v>50.535488350000001</v>
      </c>
      <c r="BS270">
        <f>44.50633166</f>
        <v>44.506331660000001</v>
      </c>
      <c r="BT270">
        <f>48.07552261</f>
        <v>48.07552261</v>
      </c>
      <c r="BU270">
        <f>48.81565915</f>
        <v>48.815659150000002</v>
      </c>
      <c r="BV270" t="str">
        <f>""</f>
        <v/>
      </c>
      <c r="BW270">
        <f>37.93962224</f>
        <v>37.939622239999998</v>
      </c>
      <c r="BX270">
        <f>34.63458968</f>
        <v>34.634589679999998</v>
      </c>
      <c r="BY270">
        <f>46.89479168</f>
        <v>46.894791679999997</v>
      </c>
      <c r="BZ270">
        <f>46.08037416</f>
        <v>46.080374159999998</v>
      </c>
      <c r="CA270">
        <f>50.15306875</f>
        <v>50.153068750000003</v>
      </c>
      <c r="CB270">
        <f>43.20389121</f>
        <v>43.203891210000002</v>
      </c>
      <c r="CC270">
        <f>41.59213503</f>
        <v>41.592135030000001</v>
      </c>
      <c r="CD270">
        <f>44.38976378</f>
        <v>44.389763780000003</v>
      </c>
      <c r="CE270">
        <f>50.03580518</f>
        <v>50.035805179999997</v>
      </c>
      <c r="CF270">
        <f>37.69165112</f>
        <v>37.691651120000003</v>
      </c>
      <c r="CG270">
        <f>48.6970551</f>
        <v>48.6970551</v>
      </c>
      <c r="CH270">
        <f>42.19516418</f>
        <v>42.195164179999999</v>
      </c>
      <c r="CI270">
        <f>101.4552694</f>
        <v>101.45526940000001</v>
      </c>
      <c r="CJ270">
        <f>37.10149476</f>
        <v>37.101494760000001</v>
      </c>
      <c r="CK270">
        <f>47.99833765</f>
        <v>47.998337650000003</v>
      </c>
      <c r="CL270">
        <f>46.29696036</f>
        <v>46.29696036</v>
      </c>
      <c r="CM270">
        <f>42.88353421</f>
        <v>42.883534210000001</v>
      </c>
      <c r="CN270">
        <f>33.50531068</f>
        <v>33.505310680000001</v>
      </c>
      <c r="CO270">
        <f>43.6778001</f>
        <v>43.677800099999999</v>
      </c>
      <c r="CP270">
        <f>42.84713205</f>
        <v>42.847132049999999</v>
      </c>
      <c r="CQ270">
        <f>41.80319066</f>
        <v>41.803190659999999</v>
      </c>
      <c r="CR270">
        <f>43.19872078</f>
        <v>43.198720780000002</v>
      </c>
      <c r="CS270">
        <f>42.02790677</f>
        <v>42.027906770000001</v>
      </c>
      <c r="CT270">
        <f>43.7304007</f>
        <v>43.730400699999997</v>
      </c>
      <c r="CU270">
        <f>28.02830158</f>
        <v>28.028301580000001</v>
      </c>
      <c r="CV270">
        <f>21.96977429</f>
        <v>21.96977429</v>
      </c>
      <c r="CW270">
        <f>17.04515278</f>
        <v>17.045152779999999</v>
      </c>
      <c r="CX270">
        <f>18.41747056</f>
        <v>18.417470560000002</v>
      </c>
      <c r="CY270">
        <f>69.6588816</f>
        <v>69.658881600000001</v>
      </c>
      <c r="CZ270">
        <f>73.33268554</f>
        <v>73.33268554</v>
      </c>
      <c r="DA270">
        <f>75.74197472</f>
        <v>75.741974720000002</v>
      </c>
      <c r="DB270">
        <f>63.03668637</f>
        <v>63.036686369999998</v>
      </c>
      <c r="DC270">
        <f>71.02272337</f>
        <v>71.022723369999994</v>
      </c>
      <c r="DD270">
        <f>61.6462077</f>
        <v>61.646207699999998</v>
      </c>
      <c r="DE270">
        <f>64.92179572</f>
        <v>64.921795720000006</v>
      </c>
      <c r="DF270">
        <f>66.30334609</f>
        <v>66.303346090000005</v>
      </c>
      <c r="DG270">
        <f>65.91380432</f>
        <v>65.913804319999997</v>
      </c>
      <c r="DH270">
        <f>62.17705676</f>
        <v>62.177056759999999</v>
      </c>
      <c r="DI270">
        <f>69.90787962</f>
        <v>69.907879620000003</v>
      </c>
      <c r="DJ270">
        <f>71.16050688</f>
        <v>71.16050688</v>
      </c>
      <c r="DK270">
        <f>45.07592273</f>
        <v>45.075922730000002</v>
      </c>
      <c r="DL270">
        <f>68.15377934</f>
        <v>68.15377934</v>
      </c>
      <c r="DM270">
        <f>69.43638454</f>
        <v>69.436384540000006</v>
      </c>
      <c r="DN270">
        <f>67.28741689</f>
        <v>67.287416890000003</v>
      </c>
      <c r="DO270">
        <f>66.61099048</f>
        <v>66.610990479999998</v>
      </c>
      <c r="DP270">
        <f>61.27234884</f>
        <v>61.272348839999999</v>
      </c>
      <c r="DQ270">
        <f>0</f>
        <v>0</v>
      </c>
      <c r="DR270">
        <f>58.60150012</f>
        <v>58.601500119999997</v>
      </c>
      <c r="DS270">
        <f>0</f>
        <v>0</v>
      </c>
      <c r="DT270">
        <f>0</f>
        <v>0</v>
      </c>
      <c r="DU270">
        <f>0</f>
        <v>0</v>
      </c>
    </row>
    <row r="271" spans="1:125">
      <c r="A271" t="str">
        <f>"    Columbia Property Trust Inc"</f>
        <v xml:space="preserve">    Columbia Property Trust Inc</v>
      </c>
      <c r="B271" t="str">
        <f>"CXP US Equity"</f>
        <v>CXP US Equity</v>
      </c>
      <c r="C271" t="str">
        <f t="shared" si="70"/>
        <v>RR106</v>
      </c>
      <c r="D271" t="str">
        <f t="shared" si="71"/>
        <v>FFO_PAYOUT_RATIO</v>
      </c>
      <c r="E271" t="str">
        <f t="shared" si="72"/>
        <v>动态</v>
      </c>
      <c r="F271" t="str">
        <f ca="1">IF(AND(ISNUMBER($F$558),$B$294=1),$F$558,HLOOKUP(INDIRECT(ADDRESS(2,COLUMN())),OFFSET($BN$2,0,0,ROW()-1,60),ROW()-1,FALSE))</f>
        <v/>
      </c>
      <c r="G271">
        <f ca="1">IF(AND(ISNUMBER($G$558),$B$294=1),$G$558,HLOOKUP(INDIRECT(ADDRESS(2,COLUMN())),OFFSET($BN$2,0,0,ROW()-1,60),ROW()-1,FALSE))</f>
        <v>65.795695670000001</v>
      </c>
      <c r="H271">
        <f ca="1">IF(AND(ISNUMBER($H$558),$B$294=1),$H$558,HLOOKUP(INDIRECT(ADDRESS(2,COLUMN())),OFFSET($BN$2,0,0,ROW()-1,60),ROW()-1,FALSE))</f>
        <v>75.846784360000001</v>
      </c>
      <c r="I271">
        <f ca="1">IF(AND(ISNUMBER($I$558),$B$294=1),$I$558,HLOOKUP(INDIRECT(ADDRESS(2,COLUMN())),OFFSET($BN$2,0,0,ROW()-1,60),ROW()-1,FALSE))</f>
        <v>76.268591150000006</v>
      </c>
      <c r="J271">
        <f ca="1">IF(AND(ISNUMBER($J$558),$B$294=1),$J$558,HLOOKUP(INDIRECT(ADDRESS(2,COLUMN())),OFFSET($BN$2,0,0,ROW()-1,60),ROW()-1,FALSE))</f>
        <v>70.26001325</v>
      </c>
      <c r="K271">
        <f ca="1">IF(AND(ISNUMBER($K$558),$B$294=1),$K$558,HLOOKUP(INDIRECT(ADDRESS(2,COLUMN())),OFFSET($BN$2,0,0,ROW()-1,60),ROW()-1,FALSE))</f>
        <v>81.510749950000005</v>
      </c>
      <c r="L271">
        <f ca="1">IF(AND(ISNUMBER($L$558),$B$294=1),$L$558,HLOOKUP(INDIRECT(ADDRESS(2,COLUMN())),OFFSET($BN$2,0,0,ROW()-1,60),ROW()-1,FALSE))</f>
        <v>135.49043330000001</v>
      </c>
      <c r="M271">
        <f ca="1">IF(AND(ISNUMBER($M$558),$B$294=1),$M$558,HLOOKUP(INDIRECT(ADDRESS(2,COLUMN())),OFFSET($BN$2,0,0,ROW()-1,60),ROW()-1,FALSE))</f>
        <v>62.898713499999999</v>
      </c>
      <c r="N271">
        <f ca="1">IF(AND(ISNUMBER($N$558),$B$294=1),$N$558,HLOOKUP(INDIRECT(ADDRESS(2,COLUMN())),OFFSET($BN$2,0,0,ROW()-1,60),ROW()-1,FALSE))</f>
        <v>67.500410279999997</v>
      </c>
      <c r="O271">
        <f ca="1">IF(AND(ISNUMBER($O$558),$B$294=1),$O$558,HLOOKUP(INDIRECT(ADDRESS(2,COLUMN())),OFFSET($BN$2,0,0,ROW()-1,60),ROW()-1,FALSE))</f>
        <v>62.989311219999998</v>
      </c>
      <c r="P271">
        <f ca="1">IF(AND(ISNUMBER($P$558),$B$294=1),$P$558,HLOOKUP(INDIRECT(ADDRESS(2,COLUMN())),OFFSET($BN$2,0,0,ROW()-1,60),ROW()-1,FALSE))</f>
        <v>70.822164849999993</v>
      </c>
      <c r="Q271">
        <f ca="1">IF(AND(ISNUMBER($Q$558),$B$294=1),$Q$558,HLOOKUP(INDIRECT(ADDRESS(2,COLUMN())),OFFSET($BN$2,0,0,ROW()-1,60),ROW()-1,FALSE))</f>
        <v>56.56127377</v>
      </c>
      <c r="R271">
        <f ca="1">IF(AND(ISNUMBER($R$558),$B$294=1),$R$558,HLOOKUP(INDIRECT(ADDRESS(2,COLUMN())),OFFSET($BN$2,0,0,ROW()-1,60),ROW()-1,FALSE))</f>
        <v>59.690564119999998</v>
      </c>
      <c r="S271">
        <f ca="1">IF(AND(ISNUMBER($S$558),$B$294=1),$S$558,HLOOKUP(INDIRECT(ADDRESS(2,COLUMN())),OFFSET($BN$2,0,0,ROW()-1,60),ROW()-1,FALSE))</f>
        <v>61.116930160000003</v>
      </c>
      <c r="T271">
        <f ca="1">IF(AND(ISNUMBER($T$558),$B$294=1),$T$558,HLOOKUP(INDIRECT(ADDRESS(2,COLUMN())),OFFSET($BN$2,0,0,ROW()-1,60),ROW()-1,FALSE))</f>
        <v>67.086161509999997</v>
      </c>
      <c r="U271">
        <f ca="1">IF(AND(ISNUMBER($U$558),$B$294=1),$U$558,HLOOKUP(INDIRECT(ADDRESS(2,COLUMN())),OFFSET($BN$2,0,0,ROW()-1,60),ROW()-1,FALSE))</f>
        <v>61.921214020000001</v>
      </c>
      <c r="V271">
        <f ca="1">IF(AND(ISNUMBER($V$558),$B$294=1),$V$558,HLOOKUP(INDIRECT(ADDRESS(2,COLUMN())),OFFSET($BN$2,0,0,ROW()-1,60),ROW()-1,FALSE))</f>
        <v>59.355815100000001</v>
      </c>
      <c r="W271">
        <f ca="1">IF(AND(ISNUMBER($W$558),$B$294=1),$W$558,HLOOKUP(INDIRECT(ADDRESS(2,COLUMN())),OFFSET($BN$2,0,0,ROW()-1,60),ROW()-1,FALSE))</f>
        <v>65.354184900000007</v>
      </c>
      <c r="X271">
        <f ca="1">IF(AND(ISNUMBER($X$558),$B$294=1),$X$558,HLOOKUP(INDIRECT(ADDRESS(2,COLUMN())),OFFSET($BN$2,0,0,ROW()-1,60),ROW()-1,FALSE))</f>
        <v>72.475980059999998</v>
      </c>
      <c r="Y271">
        <f ca="1">IF(AND(ISNUMBER($Y$558),$B$294=1),$Y$558,HLOOKUP(INDIRECT(ADDRESS(2,COLUMN())),OFFSET($BN$2,0,0,ROW()-1,60),ROW()-1,FALSE))</f>
        <v>70.183420369999993</v>
      </c>
      <c r="Z271">
        <f ca="1">IF(AND(ISNUMBER($Z$558),$B$294=1),$Z$558,HLOOKUP(INDIRECT(ADDRESS(2,COLUMN())),OFFSET($BN$2,0,0,ROW()-1,60),ROW()-1,FALSE))</f>
        <v>140.90002440000001</v>
      </c>
      <c r="AA271">
        <f ca="1">IF(AND(ISNUMBER($AA$558),$B$294=1),$AA$558,HLOOKUP(INDIRECT(ADDRESS(2,COLUMN())),OFFSET($BN$2,0,0,ROW()-1,60),ROW()-1,FALSE))</f>
        <v>85.613727549999993</v>
      </c>
      <c r="AB271">
        <f ca="1">IF(AND(ISNUMBER($AB$558),$B$294=1),$AB$558,HLOOKUP(INDIRECT(ADDRESS(2,COLUMN())),OFFSET($BN$2,0,0,ROW()-1,60),ROW()-1,FALSE))</f>
        <v>101.06802860000001</v>
      </c>
      <c r="AC271">
        <f ca="1">IF(AND(ISNUMBER($AC$558),$B$294=1),$AC$558,HLOOKUP(INDIRECT(ADDRESS(2,COLUMN())),OFFSET($BN$2,0,0,ROW()-1,60),ROW()-1,FALSE))</f>
        <v>0</v>
      </c>
      <c r="AD271">
        <f ca="1">IF(AND(ISNUMBER($AD$558),$B$294=1),$AD$558,HLOOKUP(INDIRECT(ADDRESS(2,COLUMN())),OFFSET($BN$2,0,0,ROW()-1,60),ROW()-1,FALSE))</f>
        <v>0</v>
      </c>
      <c r="AE271">
        <f ca="1">IF(AND(ISNUMBER($AE$558),$B$294=1),$AE$558,HLOOKUP(INDIRECT(ADDRESS(2,COLUMN())),OFFSET($BN$2,0,0,ROW()-1,60),ROW()-1,FALSE))</f>
        <v>240.49319800000001</v>
      </c>
      <c r="AF271">
        <f ca="1">IF(AND(ISNUMBER($AF$558),$B$294=1),$AF$558,HLOOKUP(INDIRECT(ADDRESS(2,COLUMN())),OFFSET($BN$2,0,0,ROW()-1,60),ROW()-1,FALSE))</f>
        <v>0</v>
      </c>
      <c r="AG271">
        <f ca="1">IF(AND(ISNUMBER($AG$558),$B$294=1),$AG$558,HLOOKUP(INDIRECT(ADDRESS(2,COLUMN())),OFFSET($BN$2,0,0,ROW()-1,60),ROW()-1,FALSE))</f>
        <v>0</v>
      </c>
      <c r="AH271">
        <f ca="1">IF(AND(ISNUMBER($AH$558),$B$294=1),$AH$558,HLOOKUP(INDIRECT(ADDRESS(2,COLUMN())),OFFSET($BN$2,0,0,ROW()-1,60),ROW()-1,FALSE))</f>
        <v>0</v>
      </c>
      <c r="AI271">
        <f ca="1">IF(AND(ISNUMBER($AI$558),$B$294=1),$AI$558,HLOOKUP(INDIRECT(ADDRESS(2,COLUMN())),OFFSET($BN$2,0,0,ROW()-1,60),ROW()-1,FALSE))</f>
        <v>370.96790829999998</v>
      </c>
      <c r="AJ271">
        <f ca="1">IF(AND(ISNUMBER($AJ$558),$B$294=1),$AJ$558,HLOOKUP(INDIRECT(ADDRESS(2,COLUMN())),OFFSET($BN$2,0,0,ROW()-1,60),ROW()-1,FALSE))</f>
        <v>0</v>
      </c>
      <c r="AK271">
        <f ca="1">IF(AND(ISNUMBER($AK$558),$B$294=1),$AK$558,HLOOKUP(INDIRECT(ADDRESS(2,COLUMN())),OFFSET($BN$2,0,0,ROW()-1,60),ROW()-1,FALSE))</f>
        <v>0</v>
      </c>
      <c r="AL271">
        <f ca="1">IF(AND(ISNUMBER($AL$558),$B$294=1),$AL$558,HLOOKUP(INDIRECT(ADDRESS(2,COLUMN())),OFFSET($BN$2,0,0,ROW()-1,60),ROW()-1,FALSE))</f>
        <v>0</v>
      </c>
      <c r="AM271">
        <f ca="1">IF(AND(ISNUMBER($AM$558),$B$294=1),$AM$558,HLOOKUP(INDIRECT(ADDRESS(2,COLUMN())),OFFSET($BN$2,0,0,ROW()-1,60),ROW()-1,FALSE))</f>
        <v>352.63414390000003</v>
      </c>
      <c r="AN271">
        <f ca="1">IF(AND(ISNUMBER($AN$558),$B$294=1),$AN$558,HLOOKUP(INDIRECT(ADDRESS(2,COLUMN())),OFFSET($BN$2,0,0,ROW()-1,60),ROW()-1,FALSE))</f>
        <v>0</v>
      </c>
      <c r="AO271" t="str">
        <f ca="1">IF(AND(ISNUMBER($AO$558),$B$294=1),$AO$558,HLOOKUP(INDIRECT(ADDRESS(2,COLUMN())),OFFSET($BN$2,0,0,ROW()-1,60),ROW()-1,FALSE))</f>
        <v/>
      </c>
      <c r="AP271" t="str">
        <f ca="1">IF(AND(ISNUMBER($AP$558),$B$294=1),$AP$558,HLOOKUP(INDIRECT(ADDRESS(2,COLUMN())),OFFSET($BN$2,0,0,ROW()-1,60),ROW()-1,FALSE))</f>
        <v/>
      </c>
      <c r="AQ271" t="str">
        <f ca="1">IF(AND(ISNUMBER($AQ$558),$B$294=1),$AQ$558,HLOOKUP(INDIRECT(ADDRESS(2,COLUMN())),OFFSET($BN$2,0,0,ROW()-1,60),ROW()-1,FALSE))</f>
        <v/>
      </c>
      <c r="AR271" t="str">
        <f ca="1">IF(AND(ISNUMBER($AR$558),$B$294=1),$AR$558,HLOOKUP(INDIRECT(ADDRESS(2,COLUMN())),OFFSET($BN$2,0,0,ROW()-1,60),ROW()-1,FALSE))</f>
        <v/>
      </c>
      <c r="AS271" t="str">
        <f ca="1">IF(AND(ISNUMBER($AS$558),$B$294=1),$AS$558,HLOOKUP(INDIRECT(ADDRESS(2,COLUMN())),OFFSET($BN$2,0,0,ROW()-1,60),ROW()-1,FALSE))</f>
        <v/>
      </c>
      <c r="AT271" t="str">
        <f ca="1">IF(AND(ISNUMBER($AT$558),$B$294=1),$AT$558,HLOOKUP(INDIRECT(ADDRESS(2,COLUMN())),OFFSET($BN$2,0,0,ROW()-1,60),ROW()-1,FALSE))</f>
        <v/>
      </c>
      <c r="AU271" t="str">
        <f ca="1">IF(AND(ISNUMBER($AU$558),$B$294=1),$AU$558,HLOOKUP(INDIRECT(ADDRESS(2,COLUMN())),OFFSET($BN$2,0,0,ROW()-1,60),ROW()-1,FALSE))</f>
        <v/>
      </c>
      <c r="AV271" t="str">
        <f ca="1">IF(AND(ISNUMBER($AV$558),$B$294=1),$AV$558,HLOOKUP(INDIRECT(ADDRESS(2,COLUMN())),OFFSET($BN$2,0,0,ROW()-1,60),ROW()-1,FALSE))</f>
        <v/>
      </c>
      <c r="AW271" t="str">
        <f ca="1">IF(AND(ISNUMBER($AW$558),$B$294=1),$AW$558,HLOOKUP(INDIRECT(ADDRESS(2,COLUMN())),OFFSET($BN$2,0,0,ROW()-1,60),ROW()-1,FALSE))</f>
        <v/>
      </c>
      <c r="AX271" t="str">
        <f ca="1">IF(AND(ISNUMBER($AX$558),$B$294=1),$AX$558,HLOOKUP(INDIRECT(ADDRESS(2,COLUMN())),OFFSET($BN$2,0,0,ROW()-1,60),ROW()-1,FALSE))</f>
        <v/>
      </c>
      <c r="AY271" t="str">
        <f ca="1">IF(AND(ISNUMBER($AY$558),$B$294=1),$AY$558,HLOOKUP(INDIRECT(ADDRESS(2,COLUMN())),OFFSET($BN$2,0,0,ROW()-1,60),ROW()-1,FALSE))</f>
        <v/>
      </c>
      <c r="AZ271" t="str">
        <f ca="1">IF(AND(ISNUMBER($AZ$558),$B$294=1),$AZ$558,HLOOKUP(INDIRECT(ADDRESS(2,COLUMN())),OFFSET($BN$2,0,0,ROW()-1,60),ROW()-1,FALSE))</f>
        <v/>
      </c>
      <c r="BA271" t="str">
        <f ca="1">IF(AND(ISNUMBER($BA$558),$B$294=1),$BA$558,HLOOKUP(INDIRECT(ADDRESS(2,COLUMN())),OFFSET($BN$2,0,0,ROW()-1,60),ROW()-1,FALSE))</f>
        <v/>
      </c>
      <c r="BB271" t="str">
        <f ca="1">IF(AND(ISNUMBER($BB$558),$B$294=1),$BB$558,HLOOKUP(INDIRECT(ADDRESS(2,COLUMN())),OFFSET($BN$2,0,0,ROW()-1,60),ROW()-1,FALSE))</f>
        <v/>
      </c>
      <c r="BC271" t="str">
        <f ca="1">IF(AND(ISNUMBER($BC$558),$B$294=1),$BC$558,HLOOKUP(INDIRECT(ADDRESS(2,COLUMN())),OFFSET($BN$2,0,0,ROW()-1,60),ROW()-1,FALSE))</f>
        <v/>
      </c>
      <c r="BD271" t="str">
        <f ca="1">IF(AND(ISNUMBER($BD$558),$B$294=1),$BD$558,HLOOKUP(INDIRECT(ADDRESS(2,COLUMN())),OFFSET($BN$2,0,0,ROW()-1,60),ROW()-1,FALSE))</f>
        <v/>
      </c>
      <c r="BE271" t="str">
        <f ca="1">IF(AND(ISNUMBER($BE$558),$B$294=1),$BE$558,HLOOKUP(INDIRECT(ADDRESS(2,COLUMN())),OFFSET($BN$2,0,0,ROW()-1,60),ROW()-1,FALSE))</f>
        <v/>
      </c>
      <c r="BF271" t="str">
        <f ca="1">IF(AND(ISNUMBER($BF$558),$B$294=1),$BF$558,HLOOKUP(INDIRECT(ADDRESS(2,COLUMN())),OFFSET($BN$2,0,0,ROW()-1,60),ROW()-1,FALSE))</f>
        <v/>
      </c>
      <c r="BG271" t="str">
        <f ca="1">IF(AND(ISNUMBER($BG$558),$B$294=1),$BG$558,HLOOKUP(INDIRECT(ADDRESS(2,COLUMN())),OFFSET($BN$2,0,0,ROW()-1,60),ROW()-1,FALSE))</f>
        <v/>
      </c>
      <c r="BH271" t="str">
        <f ca="1">IF(AND(ISNUMBER($BH$558),$B$294=1),$BH$558,HLOOKUP(INDIRECT(ADDRESS(2,COLUMN())),OFFSET($BN$2,0,0,ROW()-1,60),ROW()-1,FALSE))</f>
        <v/>
      </c>
      <c r="BI271" t="str">
        <f ca="1">IF(AND(ISNUMBER($BI$558),$B$294=1),$BI$558,HLOOKUP(INDIRECT(ADDRESS(2,COLUMN())),OFFSET($BN$2,0,0,ROW()-1,60),ROW()-1,FALSE))</f>
        <v/>
      </c>
      <c r="BJ271" t="str">
        <f ca="1">IF(AND(ISNUMBER($BJ$558),$B$294=1),$BJ$558,HLOOKUP(INDIRECT(ADDRESS(2,COLUMN())),OFFSET($BN$2,0,0,ROW()-1,60),ROW()-1,FALSE))</f>
        <v/>
      </c>
      <c r="BK271" t="str">
        <f ca="1">IF(AND(ISNUMBER($BK$558),$B$294=1),$BK$558,HLOOKUP(INDIRECT(ADDRESS(2,COLUMN())),OFFSET($BN$2,0,0,ROW()-1,60),ROW()-1,FALSE))</f>
        <v/>
      </c>
      <c r="BL271" t="str">
        <f ca="1">IF(AND(ISNUMBER($BL$558),$B$294=1),$BL$558,HLOOKUP(INDIRECT(ADDRESS(2,COLUMN())),OFFSET($BN$2,0,0,ROW()-1,60),ROW()-1,FALSE))</f>
        <v/>
      </c>
      <c r="BM271" t="str">
        <f ca="1">IF(AND(ISNUMBER($BM$558),$B$294=1),$BM$558,HLOOKUP(INDIRECT(ADDRESS(2,COLUMN())),OFFSET($BN$2,0,0,ROW()-1,60),ROW()-1,FALSE))</f>
        <v/>
      </c>
      <c r="BN271" t="str">
        <f>""</f>
        <v/>
      </c>
      <c r="BO271">
        <f>65.79569567</f>
        <v>65.795695670000001</v>
      </c>
      <c r="BP271">
        <f>75.84678436</f>
        <v>75.846784360000001</v>
      </c>
      <c r="BQ271">
        <f>76.26859115</f>
        <v>76.268591150000006</v>
      </c>
      <c r="BR271">
        <f>70.26001325</f>
        <v>70.26001325</v>
      </c>
      <c r="BS271">
        <f>81.51074995</f>
        <v>81.510749950000005</v>
      </c>
      <c r="BT271">
        <f>135.4904333</f>
        <v>135.49043330000001</v>
      </c>
      <c r="BU271">
        <f>62.8987135</f>
        <v>62.898713499999999</v>
      </c>
      <c r="BV271">
        <f>67.50041028</f>
        <v>67.500410279999997</v>
      </c>
      <c r="BW271">
        <f>62.98931122</f>
        <v>62.989311219999998</v>
      </c>
      <c r="BX271">
        <f>70.82216485</f>
        <v>70.822164849999993</v>
      </c>
      <c r="BY271">
        <f>56.56127377</f>
        <v>56.56127377</v>
      </c>
      <c r="BZ271">
        <f>59.69056412</f>
        <v>59.690564119999998</v>
      </c>
      <c r="CA271">
        <f>61.11693016</f>
        <v>61.116930160000003</v>
      </c>
      <c r="CB271">
        <f>67.08616151</f>
        <v>67.086161509999997</v>
      </c>
      <c r="CC271">
        <f>61.92121402</f>
        <v>61.921214020000001</v>
      </c>
      <c r="CD271">
        <f>59.3558151</f>
        <v>59.355815100000001</v>
      </c>
      <c r="CE271">
        <f>65.3541849</f>
        <v>65.354184900000007</v>
      </c>
      <c r="CF271">
        <f>72.47598006</f>
        <v>72.475980059999998</v>
      </c>
      <c r="CG271">
        <f>70.18342037</f>
        <v>70.183420369999993</v>
      </c>
      <c r="CH271">
        <f>140.9000244</f>
        <v>140.90002440000001</v>
      </c>
      <c r="CI271">
        <f>85.61372755</f>
        <v>85.613727549999993</v>
      </c>
      <c r="CJ271">
        <f>101.0680286</f>
        <v>101.06802860000001</v>
      </c>
      <c r="CK271">
        <f>0</f>
        <v>0</v>
      </c>
      <c r="CL271">
        <f>0</f>
        <v>0</v>
      </c>
      <c r="CM271">
        <f>240.493198</f>
        <v>240.49319800000001</v>
      </c>
      <c r="CN271">
        <f>0</f>
        <v>0</v>
      </c>
      <c r="CO271">
        <f>0</f>
        <v>0</v>
      </c>
      <c r="CP271">
        <f>0</f>
        <v>0</v>
      </c>
      <c r="CQ271">
        <f>370.9679083</f>
        <v>370.96790829999998</v>
      </c>
      <c r="CR271">
        <f>0</f>
        <v>0</v>
      </c>
      <c r="CS271">
        <f>0</f>
        <v>0</v>
      </c>
      <c r="CT271">
        <f>0</f>
        <v>0</v>
      </c>
      <c r="CU271">
        <f>352.6341439</f>
        <v>352.63414390000003</v>
      </c>
      <c r="CV271">
        <f>0</f>
        <v>0</v>
      </c>
      <c r="CW271" t="str">
        <f>""</f>
        <v/>
      </c>
      <c r="CX271" t="str">
        <f>""</f>
        <v/>
      </c>
      <c r="CY271" t="str">
        <f>""</f>
        <v/>
      </c>
      <c r="CZ271" t="str">
        <f>""</f>
        <v/>
      </c>
      <c r="DA271" t="str">
        <f>""</f>
        <v/>
      </c>
      <c r="DB271" t="str">
        <f>""</f>
        <v/>
      </c>
      <c r="DC271" t="str">
        <f>""</f>
        <v/>
      </c>
      <c r="DD271" t="str">
        <f>""</f>
        <v/>
      </c>
      <c r="DE271" t="str">
        <f>""</f>
        <v/>
      </c>
      <c r="DF271" t="str">
        <f>""</f>
        <v/>
      </c>
      <c r="DG271" t="str">
        <f>""</f>
        <v/>
      </c>
      <c r="DH271" t="str">
        <f>""</f>
        <v/>
      </c>
      <c r="DI271" t="str">
        <f>""</f>
        <v/>
      </c>
      <c r="DJ271" t="str">
        <f>""</f>
        <v/>
      </c>
      <c r="DK271" t="str">
        <f>""</f>
        <v/>
      </c>
      <c r="DL271" t="str">
        <f>""</f>
        <v/>
      </c>
      <c r="DM271" t="str">
        <f>""</f>
        <v/>
      </c>
      <c r="DN271" t="str">
        <f>""</f>
        <v/>
      </c>
      <c r="DO271" t="str">
        <f>""</f>
        <v/>
      </c>
      <c r="DP271" t="str">
        <f>""</f>
        <v/>
      </c>
      <c r="DQ271" t="str">
        <f>""</f>
        <v/>
      </c>
      <c r="DR271" t="str">
        <f>""</f>
        <v/>
      </c>
      <c r="DS271" t="str">
        <f>""</f>
        <v/>
      </c>
      <c r="DT271" t="str">
        <f>""</f>
        <v/>
      </c>
      <c r="DU271" t="str">
        <f>""</f>
        <v/>
      </c>
    </row>
    <row r="272" spans="1:125">
      <c r="A272" t="str">
        <f>"    Corporate Office Properties Tr"</f>
        <v xml:space="preserve">    Corporate Office Properties Tr</v>
      </c>
      <c r="B272" t="str">
        <f>"OFC US Equity"</f>
        <v>OFC US Equity</v>
      </c>
      <c r="C272" t="str">
        <f t="shared" si="70"/>
        <v>RR106</v>
      </c>
      <c r="D272" t="str">
        <f t="shared" si="71"/>
        <v>FFO_PAYOUT_RATIO</v>
      </c>
      <c r="E272" t="str">
        <f t="shared" si="72"/>
        <v>动态</v>
      </c>
      <c r="F272" t="str">
        <f ca="1">IF(AND(ISNUMBER($F$559),$B$294=1),$F$559,HLOOKUP(INDIRECT(ADDRESS(2,COLUMN())),OFFSET($BN$2,0,0,ROW()-1,60),ROW()-1,FALSE))</f>
        <v/>
      </c>
      <c r="G272">
        <f ca="1">IF(AND(ISNUMBER($G$559),$B$294=1),$G$559,HLOOKUP(INDIRECT(ADDRESS(2,COLUMN())),OFFSET($BN$2,0,0,ROW()-1,60),ROW()-1,FALSE))</f>
        <v>55.82297629</v>
      </c>
      <c r="H272">
        <f ca="1">IF(AND(ISNUMBER($H$559),$B$294=1),$H$559,HLOOKUP(INDIRECT(ADDRESS(2,COLUMN())),OFFSET($BN$2,0,0,ROW()-1,60),ROW()-1,FALSE))</f>
        <v>48.700639670000001</v>
      </c>
      <c r="I272">
        <f ca="1">IF(AND(ISNUMBER($I$559),$B$294=1),$I$559,HLOOKUP(INDIRECT(ADDRESS(2,COLUMN())),OFFSET($BN$2,0,0,ROW()-1,60),ROW()-1,FALSE))</f>
        <v>63.682044570000002</v>
      </c>
      <c r="J272">
        <f ca="1">IF(AND(ISNUMBER($J$559),$B$294=1),$J$559,HLOOKUP(INDIRECT(ADDRESS(2,COLUMN())),OFFSET($BN$2,0,0,ROW()-1,60),ROW()-1,FALSE))</f>
        <v>52.14455684</v>
      </c>
      <c r="K272">
        <f ca="1">IF(AND(ISNUMBER($K$559),$B$294=1),$K$559,HLOOKUP(INDIRECT(ADDRESS(2,COLUMN())),OFFSET($BN$2,0,0,ROW()-1,60),ROW()-1,FALSE))</f>
        <v>46.223611159999997</v>
      </c>
      <c r="L272">
        <f ca="1">IF(AND(ISNUMBER($L$559),$B$294=1),$L$559,HLOOKUP(INDIRECT(ADDRESS(2,COLUMN())),OFFSET($BN$2,0,0,ROW()-1,60),ROW()-1,FALSE))</f>
        <v>53.600848310000003</v>
      </c>
      <c r="M272">
        <f ca="1">IF(AND(ISNUMBER($M$559),$B$294=1),$M$559,HLOOKUP(INDIRECT(ADDRESS(2,COLUMN())),OFFSET($BN$2,0,0,ROW()-1,60),ROW()-1,FALSE))</f>
        <v>73.684434850000002</v>
      </c>
      <c r="N272">
        <f ca="1">IF(AND(ISNUMBER($N$559),$B$294=1),$N$559,HLOOKUP(INDIRECT(ADDRESS(2,COLUMN())),OFFSET($BN$2,0,0,ROW()-1,60),ROW()-1,FALSE))</f>
        <v>67.183156120000007</v>
      </c>
      <c r="O272">
        <f ca="1">IF(AND(ISNUMBER($O$559),$B$294=1),$O$559,HLOOKUP(INDIRECT(ADDRESS(2,COLUMN())),OFFSET($BN$2,0,0,ROW()-1,60),ROW()-1,FALSE))</f>
        <v>84.935384409999998</v>
      </c>
      <c r="P272">
        <f ca="1">IF(AND(ISNUMBER($P$559),$B$294=1),$P$559,HLOOKUP(INDIRECT(ADDRESS(2,COLUMN())),OFFSET($BN$2,0,0,ROW()-1,60),ROW()-1,FALSE))</f>
        <v>19.962433699999998</v>
      </c>
      <c r="Q272">
        <f ca="1">IF(AND(ISNUMBER($Q$559),$B$294=1),$Q$559,HLOOKUP(INDIRECT(ADDRESS(2,COLUMN())),OFFSET($BN$2,0,0,ROW()-1,60),ROW()-1,FALSE))</f>
        <v>54.766106000000001</v>
      </c>
      <c r="R272">
        <f ca="1">IF(AND(ISNUMBER($R$559),$B$294=1),$R$559,HLOOKUP(INDIRECT(ADDRESS(2,COLUMN())),OFFSET($BN$2,0,0,ROW()-1,60),ROW()-1,FALSE))</f>
        <v>61.02751387</v>
      </c>
      <c r="S272">
        <f ca="1">IF(AND(ISNUMBER($S$559),$B$294=1),$S$559,HLOOKUP(INDIRECT(ADDRESS(2,COLUMN())),OFFSET($BN$2,0,0,ROW()-1,60),ROW()-1,FALSE))</f>
        <v>76.4654697</v>
      </c>
      <c r="T272">
        <f ca="1">IF(AND(ISNUMBER($T$559),$B$294=1),$T$559,HLOOKUP(INDIRECT(ADDRESS(2,COLUMN())),OFFSET($BN$2,0,0,ROW()-1,60),ROW()-1,FALSE))</f>
        <v>53.44365037</v>
      </c>
      <c r="U272">
        <f ca="1">IF(AND(ISNUMBER($U$559),$B$294=1),$U$559,HLOOKUP(INDIRECT(ADDRESS(2,COLUMN())),OFFSET($BN$2,0,0,ROW()-1,60),ROW()-1,FALSE))</f>
        <v>70.352439059999995</v>
      </c>
      <c r="V272">
        <f ca="1">IF(AND(ISNUMBER($V$559),$B$294=1),$V$559,HLOOKUP(INDIRECT(ADDRESS(2,COLUMN())),OFFSET($BN$2,0,0,ROW()-1,60),ROW()-1,FALSE))</f>
        <v>54.860140659999999</v>
      </c>
      <c r="W272">
        <f ca="1">IF(AND(ISNUMBER($W$559),$B$294=1),$W$559,HLOOKUP(INDIRECT(ADDRESS(2,COLUMN())),OFFSET($BN$2,0,0,ROW()-1,60),ROW()-1,FALSE))</f>
        <v>21.769519809999998</v>
      </c>
      <c r="X272">
        <f ca="1">IF(AND(ISNUMBER($X$559),$B$294=1),$X$559,HLOOKUP(INDIRECT(ADDRESS(2,COLUMN())),OFFSET($BN$2,0,0,ROW()-1,60),ROW()-1,FALSE))</f>
        <v>54.699894540000003</v>
      </c>
      <c r="Y272">
        <f ca="1">IF(AND(ISNUMBER($Y$559),$B$294=1),$Y$559,HLOOKUP(INDIRECT(ADDRESS(2,COLUMN())),OFFSET($BN$2,0,0,ROW()-1,60),ROW()-1,FALSE))</f>
        <v>104.8182893</v>
      </c>
      <c r="Z272">
        <f ca="1">IF(AND(ISNUMBER($Z$559),$B$294=1),$Z$559,HLOOKUP(INDIRECT(ADDRESS(2,COLUMN())),OFFSET($BN$2,0,0,ROW()-1,60),ROW()-1,FALSE))</f>
        <v>58.58964795</v>
      </c>
      <c r="AA272">
        <f ca="1">IF(AND(ISNUMBER($AA$559),$B$294=1),$AA$559,HLOOKUP(INDIRECT(ADDRESS(2,COLUMN())),OFFSET($BN$2,0,0,ROW()-1,60),ROW()-1,FALSE))</f>
        <v>53.47963077</v>
      </c>
      <c r="AB272">
        <f ca="1">IF(AND(ISNUMBER($AB$559),$B$294=1),$AB$559,HLOOKUP(INDIRECT(ADDRESS(2,COLUMN())),OFFSET($BN$2,0,0,ROW()-1,60),ROW()-1,FALSE))</f>
        <v>49.827372680000003</v>
      </c>
      <c r="AC272">
        <f ca="1">IF(AND(ISNUMBER($AC$559),$B$294=1),$AC$559,HLOOKUP(INDIRECT(ADDRESS(2,COLUMN())),OFFSET($BN$2,0,0,ROW()-1,60),ROW()-1,FALSE))</f>
        <v>47.873514329999999</v>
      </c>
      <c r="AD272">
        <f ca="1">IF(AND(ISNUMBER($AD$559),$B$294=1),$AD$559,HLOOKUP(INDIRECT(ADDRESS(2,COLUMN())),OFFSET($BN$2,0,0,ROW()-1,60),ROW()-1,FALSE))</f>
        <v>44.271858880000003</v>
      </c>
      <c r="AE272" t="str">
        <f ca="1">IF(AND(ISNUMBER($AE$559),$B$294=1),$AE$559,HLOOKUP(INDIRECT(ADDRESS(2,COLUMN())),OFFSET($BN$2,0,0,ROW()-1,60),ROW()-1,FALSE))</f>
        <v/>
      </c>
      <c r="AF272">
        <f ca="1">IF(AND(ISNUMBER($AF$559),$B$294=1),$AF$559,HLOOKUP(INDIRECT(ADDRESS(2,COLUMN())),OFFSET($BN$2,0,0,ROW()-1,60),ROW()-1,FALSE))</f>
        <v>79.440978689999994</v>
      </c>
      <c r="AG272">
        <f ca="1">IF(AND(ISNUMBER($AG$559),$B$294=1),$AG$559,HLOOKUP(INDIRECT(ADDRESS(2,COLUMN())),OFFSET($BN$2,0,0,ROW()-1,60),ROW()-1,FALSE))</f>
        <v>87.018353570000002</v>
      </c>
      <c r="AH272">
        <f ca="1">IF(AND(ISNUMBER($AH$559),$B$294=1),$AH$559,HLOOKUP(INDIRECT(ADDRESS(2,COLUMN())),OFFSET($BN$2,0,0,ROW()-1,60),ROW()-1,FALSE))</f>
        <v>288.11591909999999</v>
      </c>
      <c r="AI272">
        <f ca="1">IF(AND(ISNUMBER($AI$559),$B$294=1),$AI$559,HLOOKUP(INDIRECT(ADDRESS(2,COLUMN())),OFFSET($BN$2,0,0,ROW()-1,60),ROW()-1,FALSE))</f>
        <v>110.7593114</v>
      </c>
      <c r="AJ272">
        <f ca="1">IF(AND(ISNUMBER($AJ$559),$B$294=1),$AJ$559,HLOOKUP(INDIRECT(ADDRESS(2,COLUMN())),OFFSET($BN$2,0,0,ROW()-1,60),ROW()-1,FALSE))</f>
        <v>70.586381939999995</v>
      </c>
      <c r="AK272">
        <f ca="1">IF(AND(ISNUMBER($AK$559),$B$294=1),$AK$559,HLOOKUP(INDIRECT(ADDRESS(2,COLUMN())),OFFSET($BN$2,0,0,ROW()-1,60),ROW()-1,FALSE))</f>
        <v>67.759541029999994</v>
      </c>
      <c r="AL272">
        <f ca="1">IF(AND(ISNUMBER($AL$559),$B$294=1),$AL$559,HLOOKUP(INDIRECT(ADDRESS(2,COLUMN())),OFFSET($BN$2,0,0,ROW()-1,60),ROW()-1,FALSE))</f>
        <v>68.261485269999994</v>
      </c>
      <c r="AM272">
        <f ca="1">IF(AND(ISNUMBER($AM$559),$B$294=1),$AM$559,HLOOKUP(INDIRECT(ADDRESS(2,COLUMN())),OFFSET($BN$2,0,0,ROW()-1,60),ROW()-1,FALSE))</f>
        <v>69.384306140000007</v>
      </c>
      <c r="AN272">
        <f ca="1">IF(AND(ISNUMBER($AN$559),$B$294=1),$AN$559,HLOOKUP(INDIRECT(ADDRESS(2,COLUMN())),OFFSET($BN$2,0,0,ROW()-1,60),ROW()-1,FALSE))</f>
        <v>59.718773169999999</v>
      </c>
      <c r="AO272">
        <f ca="1">IF(AND(ISNUMBER($AO$559),$B$294=1),$AO$559,HLOOKUP(INDIRECT(ADDRESS(2,COLUMN())),OFFSET($BN$2,0,0,ROW()-1,60),ROW()-1,FALSE))</f>
        <v>49.997114719999999</v>
      </c>
      <c r="AP272">
        <f ca="1">IF(AND(ISNUMBER($AP$559),$B$294=1),$AP$559,HLOOKUP(INDIRECT(ADDRESS(2,COLUMN())),OFFSET($BN$2,0,0,ROW()-1,60),ROW()-1,FALSE))</f>
        <v>48.274125929999997</v>
      </c>
      <c r="AQ272">
        <f ca="1">IF(AND(ISNUMBER($AQ$559),$B$294=1),$AQ$559,HLOOKUP(INDIRECT(ADDRESS(2,COLUMN())),OFFSET($BN$2,0,0,ROW()-1,60),ROW()-1,FALSE))</f>
        <v>43.105306050000003</v>
      </c>
      <c r="AR272">
        <f ca="1">IF(AND(ISNUMBER($AR$559),$B$294=1),$AR$559,HLOOKUP(INDIRECT(ADDRESS(2,COLUMN())),OFFSET($BN$2,0,0,ROW()-1,60),ROW()-1,FALSE))</f>
        <v>54.749129519999997</v>
      </c>
      <c r="AS272">
        <f ca="1">IF(AND(ISNUMBER($AS$559),$B$294=1),$AS$559,HLOOKUP(INDIRECT(ADDRESS(2,COLUMN())),OFFSET($BN$2,0,0,ROW()-1,60),ROW()-1,FALSE))</f>
        <v>48.417266189999999</v>
      </c>
      <c r="AT272">
        <f ca="1">IF(AND(ISNUMBER($AT$559),$B$294=1),$AT$559,HLOOKUP(INDIRECT(ADDRESS(2,COLUMN())),OFFSET($BN$2,0,0,ROW()-1,60),ROW()-1,FALSE))</f>
        <v>51.677530670000003</v>
      </c>
      <c r="AU272">
        <f ca="1">IF(AND(ISNUMBER($AU$559),$B$294=1),$AU$559,HLOOKUP(INDIRECT(ADDRESS(2,COLUMN())),OFFSET($BN$2,0,0,ROW()-1,60),ROW()-1,FALSE))</f>
        <v>46.87938596</v>
      </c>
      <c r="AV272">
        <f ca="1">IF(AND(ISNUMBER($AV$559),$B$294=1),$AV$559,HLOOKUP(INDIRECT(ADDRESS(2,COLUMN())),OFFSET($BN$2,0,0,ROW()-1,60),ROW()-1,FALSE))</f>
        <v>49.740356079999998</v>
      </c>
      <c r="AW272">
        <f ca="1">IF(AND(ISNUMBER($AW$559),$B$294=1),$AW$559,HLOOKUP(INDIRECT(ADDRESS(2,COLUMN())),OFFSET($BN$2,0,0,ROW()-1,60),ROW()-1,FALSE))</f>
        <v>45.458617330000003</v>
      </c>
      <c r="AX272">
        <f ca="1">IF(AND(ISNUMBER($AX$559),$B$294=1),$AX$559,HLOOKUP(INDIRECT(ADDRESS(2,COLUMN())),OFFSET($BN$2,0,0,ROW()-1,60),ROW()-1,FALSE))</f>
        <v>51.361001129999998</v>
      </c>
      <c r="AY272">
        <f ca="1">IF(AND(ISNUMBER($AY$559),$B$294=1),$AY$559,HLOOKUP(INDIRECT(ADDRESS(2,COLUMN())),OFFSET($BN$2,0,0,ROW()-1,60),ROW()-1,FALSE))</f>
        <v>64.517366510000002</v>
      </c>
      <c r="AZ272">
        <f ca="1">IF(AND(ISNUMBER($AZ$559),$B$294=1),$AZ$559,HLOOKUP(INDIRECT(ADDRESS(2,COLUMN())),OFFSET($BN$2,0,0,ROW()-1,60),ROW()-1,FALSE))</f>
        <v>107.5347939</v>
      </c>
      <c r="BA272">
        <f ca="1">IF(AND(ISNUMBER($BA$559),$B$294=1),$BA$559,HLOOKUP(INDIRECT(ADDRESS(2,COLUMN())),OFFSET($BN$2,0,0,ROW()-1,60),ROW()-1,FALSE))</f>
        <v>46.157023150000001</v>
      </c>
      <c r="BB272">
        <f ca="1">IF(AND(ISNUMBER($BB$559),$B$294=1),$BB$559,HLOOKUP(INDIRECT(ADDRESS(2,COLUMN())),OFFSET($BN$2,0,0,ROW()-1,60),ROW()-1,FALSE))</f>
        <v>45.614127310000001</v>
      </c>
      <c r="BC272">
        <f ca="1">IF(AND(ISNUMBER($BC$559),$B$294=1),$BC$559,HLOOKUP(INDIRECT(ADDRESS(2,COLUMN())),OFFSET($BN$2,0,0,ROW()-1,60),ROW()-1,FALSE))</f>
        <v>13.09518703</v>
      </c>
      <c r="BD272">
        <f ca="1">IF(AND(ISNUMBER($BD$559),$B$294=1),$BD$559,HLOOKUP(INDIRECT(ADDRESS(2,COLUMN())),OFFSET($BN$2,0,0,ROW()-1,60),ROW()-1,FALSE))</f>
        <v>35.988857549999999</v>
      </c>
      <c r="BE272">
        <f ca="1">IF(AND(ISNUMBER($BE$559),$B$294=1),$BE$559,HLOOKUP(INDIRECT(ADDRESS(2,COLUMN())),OFFSET($BN$2,0,0,ROW()-1,60),ROW()-1,FALSE))</f>
        <v>42.852706789999999</v>
      </c>
      <c r="BF272">
        <f ca="1">IF(AND(ISNUMBER($BF$559),$B$294=1),$BF$559,HLOOKUP(INDIRECT(ADDRESS(2,COLUMN())),OFFSET($BN$2,0,0,ROW()-1,60),ROW()-1,FALSE))</f>
        <v>44.087996029999999</v>
      </c>
      <c r="BG272">
        <f ca="1">IF(AND(ISNUMBER($BG$559),$B$294=1),$BG$559,HLOOKUP(INDIRECT(ADDRESS(2,COLUMN())),OFFSET($BN$2,0,0,ROW()-1,60),ROW()-1,FALSE))</f>
        <v>2.7410556060000002</v>
      </c>
      <c r="BH272">
        <f ca="1">IF(AND(ISNUMBER($BH$559),$B$294=1),$BH$559,HLOOKUP(INDIRECT(ADDRESS(2,COLUMN())),OFFSET($BN$2,0,0,ROW()-1,60),ROW()-1,FALSE))</f>
        <v>99.241334640000005</v>
      </c>
      <c r="BI272">
        <f ca="1">IF(AND(ISNUMBER($BI$559),$B$294=1),$BI$559,HLOOKUP(INDIRECT(ADDRESS(2,COLUMN())),OFFSET($BN$2,0,0,ROW()-1,60),ROW()-1,FALSE))</f>
        <v>35.941149000000003</v>
      </c>
      <c r="BJ272">
        <f ca="1">IF(AND(ISNUMBER($BJ$559),$B$294=1),$BJ$559,HLOOKUP(INDIRECT(ADDRESS(2,COLUMN())),OFFSET($BN$2,0,0,ROW()-1,60),ROW()-1,FALSE))</f>
        <v>42.963144659999998</v>
      </c>
      <c r="BK272">
        <f ca="1">IF(AND(ISNUMBER($BK$559),$B$294=1),$BK$559,HLOOKUP(INDIRECT(ADDRESS(2,COLUMN())),OFFSET($BN$2,0,0,ROW()-1,60),ROW()-1,FALSE))</f>
        <v>42.027552100000001</v>
      </c>
      <c r="BL272">
        <f ca="1">IF(AND(ISNUMBER($BL$559),$B$294=1),$BL$559,HLOOKUP(INDIRECT(ADDRESS(2,COLUMN())),OFFSET($BN$2,0,0,ROW()-1,60),ROW()-1,FALSE))</f>
        <v>0</v>
      </c>
      <c r="BM272">
        <f ca="1">IF(AND(ISNUMBER($BM$559),$B$294=1),$BM$559,HLOOKUP(INDIRECT(ADDRESS(2,COLUMN())),OFFSET($BN$2,0,0,ROW()-1,60),ROW()-1,FALSE))</f>
        <v>37.544167950000002</v>
      </c>
      <c r="BN272" t="str">
        <f>""</f>
        <v/>
      </c>
      <c r="BO272">
        <f>55.82297629</f>
        <v>55.82297629</v>
      </c>
      <c r="BP272">
        <f>48.70063967</f>
        <v>48.700639670000001</v>
      </c>
      <c r="BQ272">
        <f>63.68204457</f>
        <v>63.682044570000002</v>
      </c>
      <c r="BR272">
        <f>52.14455684</f>
        <v>52.14455684</v>
      </c>
      <c r="BS272">
        <f>46.22361116</f>
        <v>46.223611159999997</v>
      </c>
      <c r="BT272">
        <f>53.60084831</f>
        <v>53.600848310000003</v>
      </c>
      <c r="BU272">
        <f>73.68443485</f>
        <v>73.684434850000002</v>
      </c>
      <c r="BV272">
        <f>67.18315612</f>
        <v>67.183156120000007</v>
      </c>
      <c r="BW272">
        <f>84.93538441</f>
        <v>84.935384409999998</v>
      </c>
      <c r="BX272">
        <f>19.9624337</f>
        <v>19.962433699999998</v>
      </c>
      <c r="BY272">
        <f>54.766106</f>
        <v>54.766106000000001</v>
      </c>
      <c r="BZ272">
        <f>61.02751387</f>
        <v>61.02751387</v>
      </c>
      <c r="CA272">
        <f>76.4654697</f>
        <v>76.4654697</v>
      </c>
      <c r="CB272">
        <f>53.44365037</f>
        <v>53.44365037</v>
      </c>
      <c r="CC272">
        <f>70.35243906</f>
        <v>70.352439059999995</v>
      </c>
      <c r="CD272">
        <f>54.86014066</f>
        <v>54.860140659999999</v>
      </c>
      <c r="CE272">
        <f>21.76951981</f>
        <v>21.769519809999998</v>
      </c>
      <c r="CF272">
        <f>54.69989454</f>
        <v>54.699894540000003</v>
      </c>
      <c r="CG272">
        <f>104.8182893</f>
        <v>104.8182893</v>
      </c>
      <c r="CH272">
        <f>58.58964795</f>
        <v>58.58964795</v>
      </c>
      <c r="CI272">
        <f>53.47963077</f>
        <v>53.47963077</v>
      </c>
      <c r="CJ272">
        <f>49.82737268</f>
        <v>49.827372680000003</v>
      </c>
      <c r="CK272">
        <f>47.87351433</f>
        <v>47.873514329999999</v>
      </c>
      <c r="CL272">
        <f>44.27185888</f>
        <v>44.271858880000003</v>
      </c>
      <c r="CM272" t="str">
        <f>""</f>
        <v/>
      </c>
      <c r="CN272">
        <f>79.44097869</f>
        <v>79.440978689999994</v>
      </c>
      <c r="CO272">
        <f>87.01835357</f>
        <v>87.018353570000002</v>
      </c>
      <c r="CP272">
        <f>288.1159191</f>
        <v>288.11591909999999</v>
      </c>
      <c r="CQ272">
        <f>110.7593114</f>
        <v>110.7593114</v>
      </c>
      <c r="CR272">
        <f>70.58638194</f>
        <v>70.586381939999995</v>
      </c>
      <c r="CS272">
        <f>67.75954103</f>
        <v>67.759541029999994</v>
      </c>
      <c r="CT272">
        <f>68.26148527</f>
        <v>68.261485269999994</v>
      </c>
      <c r="CU272">
        <f>69.38430614</f>
        <v>69.384306140000007</v>
      </c>
      <c r="CV272">
        <f>59.71877317</f>
        <v>59.718773169999999</v>
      </c>
      <c r="CW272">
        <f>49.99711472</f>
        <v>49.997114719999999</v>
      </c>
      <c r="CX272">
        <f>48.27412593</f>
        <v>48.274125929999997</v>
      </c>
      <c r="CY272">
        <f>43.10530605</f>
        <v>43.105306050000003</v>
      </c>
      <c r="CZ272">
        <f>54.74912952</f>
        <v>54.749129519999997</v>
      </c>
      <c r="DA272">
        <f>48.41726619</f>
        <v>48.417266189999999</v>
      </c>
      <c r="DB272">
        <f>51.67753067</f>
        <v>51.677530670000003</v>
      </c>
      <c r="DC272">
        <f>46.87938596</f>
        <v>46.87938596</v>
      </c>
      <c r="DD272">
        <f>49.74035608</f>
        <v>49.740356079999998</v>
      </c>
      <c r="DE272">
        <f>45.45861733</f>
        <v>45.458617330000003</v>
      </c>
      <c r="DF272">
        <f>51.36100113</f>
        <v>51.361001129999998</v>
      </c>
      <c r="DG272">
        <f>64.51736651</f>
        <v>64.517366510000002</v>
      </c>
      <c r="DH272">
        <f>107.5347939</f>
        <v>107.5347939</v>
      </c>
      <c r="DI272">
        <f>46.15702315</f>
        <v>46.157023150000001</v>
      </c>
      <c r="DJ272">
        <f>45.61412731</f>
        <v>45.614127310000001</v>
      </c>
      <c r="DK272">
        <f>13.09518703</f>
        <v>13.09518703</v>
      </c>
      <c r="DL272">
        <f>35.98885755</f>
        <v>35.988857549999999</v>
      </c>
      <c r="DM272">
        <f>42.85270679</f>
        <v>42.852706789999999</v>
      </c>
      <c r="DN272">
        <f>44.08799603</f>
        <v>44.087996029999999</v>
      </c>
      <c r="DO272">
        <f>2.741055606</f>
        <v>2.7410556060000002</v>
      </c>
      <c r="DP272">
        <f>99.24133464</f>
        <v>99.241334640000005</v>
      </c>
      <c r="DQ272">
        <f>35.941149</f>
        <v>35.941149000000003</v>
      </c>
      <c r="DR272">
        <f>42.96314466</f>
        <v>42.963144659999998</v>
      </c>
      <c r="DS272">
        <f>42.0275521</f>
        <v>42.027552100000001</v>
      </c>
      <c r="DT272">
        <f>0</f>
        <v>0</v>
      </c>
      <c r="DU272">
        <f>37.54416795</f>
        <v>37.544167950000002</v>
      </c>
    </row>
    <row r="273" spans="1:125">
      <c r="A273" t="str">
        <f>"    Highwoods Properties Inc"</f>
        <v xml:space="preserve">    Highwoods Properties Inc</v>
      </c>
      <c r="B273" t="str">
        <f>"HIW US Equity"</f>
        <v>HIW US Equity</v>
      </c>
      <c r="C273" t="str">
        <f t="shared" si="70"/>
        <v>RR106</v>
      </c>
      <c r="D273" t="str">
        <f t="shared" si="71"/>
        <v>FFO_PAYOUT_RATIO</v>
      </c>
      <c r="E273" t="str">
        <f t="shared" si="72"/>
        <v>动态</v>
      </c>
      <c r="F273" t="str">
        <f ca="1">IF(AND(ISNUMBER($F$560),$B$294=1),$F$560,HLOOKUP(INDIRECT(ADDRESS(2,COLUMN())),OFFSET($BN$2,0,0,ROW()-1,60),ROW()-1,FALSE))</f>
        <v/>
      </c>
      <c r="G273">
        <f ca="1">IF(AND(ISNUMBER($G$560),$B$294=1),$G$560,HLOOKUP(INDIRECT(ADDRESS(2,COLUMN())),OFFSET($BN$2,0,0,ROW()-1,60),ROW()-1,FALSE))</f>
        <v>51.215855159999997</v>
      </c>
      <c r="H273">
        <f ca="1">IF(AND(ISNUMBER($H$560),$B$294=1),$H$560,HLOOKUP(INDIRECT(ADDRESS(2,COLUMN())),OFFSET($BN$2,0,0,ROW()-1,60),ROW()-1,FALSE))</f>
        <v>49.9455715</v>
      </c>
      <c r="I273">
        <f ca="1">IF(AND(ISNUMBER($I$560),$B$294=1),$I$560,HLOOKUP(INDIRECT(ADDRESS(2,COLUMN())),OFFSET($BN$2,0,0,ROW()-1,60),ROW()-1,FALSE))</f>
        <v>47.66617273</v>
      </c>
      <c r="J273">
        <f ca="1">IF(AND(ISNUMBER($J$560),$B$294=1),$J$560,HLOOKUP(INDIRECT(ADDRESS(2,COLUMN())),OFFSET($BN$2,0,0,ROW()-1,60),ROW()-1,FALSE))</f>
        <v>53.878633030000003</v>
      </c>
      <c r="K273">
        <f ca="1">IF(AND(ISNUMBER($K$560),$B$294=1),$K$560,HLOOKUP(INDIRECT(ADDRESS(2,COLUMN())),OFFSET($BN$2,0,0,ROW()-1,60),ROW()-1,FALSE))</f>
        <v>146.37369390000001</v>
      </c>
      <c r="L273">
        <f ca="1">IF(AND(ISNUMBER($L$560),$B$294=1),$L$560,HLOOKUP(INDIRECT(ADDRESS(2,COLUMN())),OFFSET($BN$2,0,0,ROW()-1,60),ROW()-1,FALSE))</f>
        <v>49.89178776</v>
      </c>
      <c r="M273">
        <f ca="1">IF(AND(ISNUMBER($M$560),$B$294=1),$M$560,HLOOKUP(INDIRECT(ADDRESS(2,COLUMN())),OFFSET($BN$2,0,0,ROW()-1,60),ROW()-1,FALSE))</f>
        <v>50.381595760000003</v>
      </c>
      <c r="N273">
        <f ca="1">IF(AND(ISNUMBER($N$560),$B$294=1),$N$560,HLOOKUP(INDIRECT(ADDRESS(2,COLUMN())),OFFSET($BN$2,0,0,ROW()-1,60),ROW()-1,FALSE))</f>
        <v>50.185983129999997</v>
      </c>
      <c r="O273">
        <f ca="1">IF(AND(ISNUMBER($O$560),$B$294=1),$O$560,HLOOKUP(INDIRECT(ADDRESS(2,COLUMN())),OFFSET($BN$2,0,0,ROW()-1,60),ROW()-1,FALSE))</f>
        <v>50.267379679999998</v>
      </c>
      <c r="P273">
        <f ca="1">IF(AND(ISNUMBER($P$560),$B$294=1),$P$560,HLOOKUP(INDIRECT(ADDRESS(2,COLUMN())),OFFSET($BN$2,0,0,ROW()-1,60),ROW()-1,FALSE))</f>
        <v>53.744452170000002</v>
      </c>
      <c r="Q273">
        <f ca="1">IF(AND(ISNUMBER($Q$560),$B$294=1),$Q$560,HLOOKUP(INDIRECT(ADDRESS(2,COLUMN())),OFFSET($BN$2,0,0,ROW()-1,60),ROW()-1,FALSE))</f>
        <v>51.745060209999998</v>
      </c>
      <c r="R273">
        <f ca="1">IF(AND(ISNUMBER($R$560),$B$294=1),$R$560,HLOOKUP(INDIRECT(ADDRESS(2,COLUMN())),OFFSET($BN$2,0,0,ROW()-1,60),ROW()-1,FALSE))</f>
        <v>57.443490740000001</v>
      </c>
      <c r="S273">
        <f ca="1">IF(AND(ISNUMBER($S$560),$B$294=1),$S$560,HLOOKUP(INDIRECT(ADDRESS(2,COLUMN())),OFFSET($BN$2,0,0,ROW()-1,60),ROW()-1,FALSE))</f>
        <v>55.723603629999999</v>
      </c>
      <c r="T273">
        <f ca="1">IF(AND(ISNUMBER($T$560),$B$294=1),$T$560,HLOOKUP(INDIRECT(ADDRESS(2,COLUMN())),OFFSET($BN$2,0,0,ROW()-1,60),ROW()-1,FALSE))</f>
        <v>58.563048070000001</v>
      </c>
      <c r="U273">
        <f ca="1">IF(AND(ISNUMBER($U$560),$B$294=1),$U$560,HLOOKUP(INDIRECT(ADDRESS(2,COLUMN())),OFFSET($BN$2,0,0,ROW()-1,60),ROW()-1,FALSE))</f>
        <v>51.476702699999997</v>
      </c>
      <c r="V273">
        <f ca="1">IF(AND(ISNUMBER($V$560),$B$294=1),$V$560,HLOOKUP(INDIRECT(ADDRESS(2,COLUMN())),OFFSET($BN$2,0,0,ROW()-1,60),ROW()-1,FALSE))</f>
        <v>62.495912629999999</v>
      </c>
      <c r="W273">
        <f ca="1">IF(AND(ISNUMBER($W$560),$B$294=1),$W$560,HLOOKUP(INDIRECT(ADDRESS(2,COLUMN())),OFFSET($BN$2,0,0,ROW()-1,60),ROW()-1,FALSE))</f>
        <v>55.44387133</v>
      </c>
      <c r="X273">
        <f ca="1">IF(AND(ISNUMBER($X$560),$B$294=1),$X$560,HLOOKUP(INDIRECT(ADDRESS(2,COLUMN())),OFFSET($BN$2,0,0,ROW()-1,60),ROW()-1,FALSE))</f>
        <v>58.835546520000001</v>
      </c>
      <c r="Y273">
        <f ca="1">IF(AND(ISNUMBER($Y$560),$B$294=1),$Y$560,HLOOKUP(INDIRECT(ADDRESS(2,COLUMN())),OFFSET($BN$2,0,0,ROW()-1,60),ROW()-1,FALSE))</f>
        <v>58.214197380000002</v>
      </c>
      <c r="Z273">
        <f ca="1">IF(AND(ISNUMBER($Z$560),$B$294=1),$Z$560,HLOOKUP(INDIRECT(ADDRESS(2,COLUMN())),OFFSET($BN$2,0,0,ROW()-1,60),ROW()-1,FALSE))</f>
        <v>59.945756780000004</v>
      </c>
      <c r="AA273">
        <f ca="1">IF(AND(ISNUMBER($AA$560),$B$294=1),$AA$560,HLOOKUP(INDIRECT(ADDRESS(2,COLUMN())),OFFSET($BN$2,0,0,ROW()-1,60),ROW()-1,FALSE))</f>
        <v>60.492533289999997</v>
      </c>
      <c r="AB273">
        <f ca="1">IF(AND(ISNUMBER($AB$560),$B$294=1),$AB$560,HLOOKUP(INDIRECT(ADDRESS(2,COLUMN())),OFFSET($BN$2,0,0,ROW()-1,60),ROW()-1,FALSE))</f>
        <v>61.950378389999997</v>
      </c>
      <c r="AC273">
        <f ca="1">IF(AND(ISNUMBER($AC$560),$B$294=1),$AC$560,HLOOKUP(INDIRECT(ADDRESS(2,COLUMN())),OFFSET($BN$2,0,0,ROW()-1,60),ROW()-1,FALSE))</f>
        <v>58.814724470000002</v>
      </c>
      <c r="AD273">
        <f ca="1">IF(AND(ISNUMBER($AD$560),$B$294=1),$AD$560,HLOOKUP(INDIRECT(ADDRESS(2,COLUMN())),OFFSET($BN$2,0,0,ROW()-1,60),ROW()-1,FALSE))</f>
        <v>57.914328470000001</v>
      </c>
      <c r="AE273">
        <f ca="1">IF(AND(ISNUMBER($AE$560),$B$294=1),$AE$560,HLOOKUP(INDIRECT(ADDRESS(2,COLUMN())),OFFSET($BN$2,0,0,ROW()-1,60),ROW()-1,FALSE))</f>
        <v>57.975382879999998</v>
      </c>
      <c r="AF273">
        <f ca="1">IF(AND(ISNUMBER($AF$560),$B$294=1),$AF$560,HLOOKUP(INDIRECT(ADDRESS(2,COLUMN())),OFFSET($BN$2,0,0,ROW()-1,60),ROW()-1,FALSE))</f>
        <v>68.372031140000004</v>
      </c>
      <c r="AG273">
        <f ca="1">IF(AND(ISNUMBER($AG$560),$B$294=1),$AG$560,HLOOKUP(INDIRECT(ADDRESS(2,COLUMN())),OFFSET($BN$2,0,0,ROW()-1,60),ROW()-1,FALSE))</f>
        <v>66.981276350000002</v>
      </c>
      <c r="AH273">
        <f ca="1">IF(AND(ISNUMBER($AH$560),$B$294=1),$AH$560,HLOOKUP(INDIRECT(ADDRESS(2,COLUMN())),OFFSET($BN$2,0,0,ROW()-1,60),ROW()-1,FALSE))</f>
        <v>65.947434619999996</v>
      </c>
      <c r="AI273">
        <f ca="1">IF(AND(ISNUMBER($AI$560),$B$294=1),$AI$560,HLOOKUP(INDIRECT(ADDRESS(2,COLUMN())),OFFSET($BN$2,0,0,ROW()-1,60),ROW()-1,FALSE))</f>
        <v>65.193475609999993</v>
      </c>
      <c r="AJ273">
        <f ca="1">IF(AND(ISNUMBER($AJ$560),$B$294=1),$AJ$560,HLOOKUP(INDIRECT(ADDRESS(2,COLUMN())),OFFSET($BN$2,0,0,ROW()-1,60),ROW()-1,FALSE))</f>
        <v>70.507851400000007</v>
      </c>
      <c r="AK273">
        <f ca="1">IF(AND(ISNUMBER($AK$560),$B$294=1),$AK$560,HLOOKUP(INDIRECT(ADDRESS(2,COLUMN())),OFFSET($BN$2,0,0,ROW()-1,60),ROW()-1,FALSE))</f>
        <v>62.542390300000001</v>
      </c>
      <c r="AL273">
        <f ca="1">IF(AND(ISNUMBER($AL$560),$B$294=1),$AL$560,HLOOKUP(INDIRECT(ADDRESS(2,COLUMN())),OFFSET($BN$2,0,0,ROW()-1,60),ROW()-1,FALSE))</f>
        <v>66.162641010000002</v>
      </c>
      <c r="AM273">
        <f ca="1">IF(AND(ISNUMBER($AM$560),$B$294=1),$AM$560,HLOOKUP(INDIRECT(ADDRESS(2,COLUMN())),OFFSET($BN$2,0,0,ROW()-1,60),ROW()-1,FALSE))</f>
        <v>95.31038126</v>
      </c>
      <c r="AN273">
        <f ca="1">IF(AND(ISNUMBER($AN$560),$B$294=1),$AN$560,HLOOKUP(INDIRECT(ADDRESS(2,COLUMN())),OFFSET($BN$2,0,0,ROW()-1,60),ROW()-1,FALSE))</f>
        <v>64.959364489999999</v>
      </c>
      <c r="AO273">
        <f ca="1">IF(AND(ISNUMBER($AO$560),$B$294=1),$AO$560,HLOOKUP(INDIRECT(ADDRESS(2,COLUMN())),OFFSET($BN$2,0,0,ROW()-1,60),ROW()-1,FALSE))</f>
        <v>56.995943619999998</v>
      </c>
      <c r="AP273">
        <f ca="1">IF(AND(ISNUMBER($AP$560),$B$294=1),$AP$560,HLOOKUP(INDIRECT(ADDRESS(2,COLUMN())),OFFSET($BN$2,0,0,ROW()-1,60),ROW()-1,FALSE))</f>
        <v>63.644950049999998</v>
      </c>
      <c r="AQ273">
        <f ca="1">IF(AND(ISNUMBER($AQ$560),$B$294=1),$AQ$560,HLOOKUP(INDIRECT(ADDRESS(2,COLUMN())),OFFSET($BN$2,0,0,ROW()-1,60),ROW()-1,FALSE))</f>
        <v>203.48739180000001</v>
      </c>
      <c r="AR273">
        <f ca="1">IF(AND(ISNUMBER($AR$560),$B$294=1),$AR$560,HLOOKUP(INDIRECT(ADDRESS(2,COLUMN())),OFFSET($BN$2,0,0,ROW()-1,60),ROW()-1,FALSE))</f>
        <v>56.240243139999997</v>
      </c>
      <c r="AS273">
        <f ca="1">IF(AND(ISNUMBER($AS$560),$B$294=1),$AS$560,HLOOKUP(INDIRECT(ADDRESS(2,COLUMN())),OFFSET($BN$2,0,0,ROW()-1,60),ROW()-1,FALSE))</f>
        <v>57.778198420000002</v>
      </c>
      <c r="AT273">
        <f ca="1">IF(AND(ISNUMBER($AT$560),$B$294=1),$AT$560,HLOOKUP(INDIRECT(ADDRESS(2,COLUMN())),OFFSET($BN$2,0,0,ROW()-1,60),ROW()-1,FALSE))</f>
        <v>55.954405299999998</v>
      </c>
      <c r="AU273">
        <f ca="1">IF(AND(ISNUMBER($AU$560),$B$294=1),$AU$560,HLOOKUP(INDIRECT(ADDRESS(2,COLUMN())),OFFSET($BN$2,0,0,ROW()-1,60),ROW()-1,FALSE))</f>
        <v>62.07316153</v>
      </c>
      <c r="AV273">
        <f ca="1">IF(AND(ISNUMBER($AV$560),$B$294=1),$AV$560,HLOOKUP(INDIRECT(ADDRESS(2,COLUMN())),OFFSET($BN$2,0,0,ROW()-1,60),ROW()-1,FALSE))</f>
        <v>66.576945420000001</v>
      </c>
      <c r="AW273">
        <f ca="1">IF(AND(ISNUMBER($AW$560),$B$294=1),$AW$560,HLOOKUP(INDIRECT(ADDRESS(2,COLUMN())),OFFSET($BN$2,0,0,ROW()-1,60),ROW()-1,FALSE))</f>
        <v>67.365244239999996</v>
      </c>
      <c r="AX273">
        <f ca="1">IF(AND(ISNUMBER($AX$560),$B$294=1),$AX$560,HLOOKUP(INDIRECT(ADDRESS(2,COLUMN())),OFFSET($BN$2,0,0,ROW()-1,60),ROW()-1,FALSE))</f>
        <v>42.090185679999998</v>
      </c>
      <c r="AY273">
        <f ca="1">IF(AND(ISNUMBER($AY$560),$B$294=1),$AY$560,HLOOKUP(INDIRECT(ADDRESS(2,COLUMN())),OFFSET($BN$2,0,0,ROW()-1,60),ROW()-1,FALSE))</f>
        <v>54.726212050000001</v>
      </c>
      <c r="AZ273">
        <f ca="1">IF(AND(ISNUMBER($AZ$560),$B$294=1),$AZ$560,HLOOKUP(INDIRECT(ADDRESS(2,COLUMN())),OFFSET($BN$2,0,0,ROW()-1,60),ROW()-1,FALSE))</f>
        <v>70.496832940000004</v>
      </c>
      <c r="BA273">
        <f ca="1">IF(AND(ISNUMBER($BA$560),$B$294=1),$BA$560,HLOOKUP(INDIRECT(ADDRESS(2,COLUMN())),OFFSET($BN$2,0,0,ROW()-1,60),ROW()-1,FALSE))</f>
        <v>70.372706600000001</v>
      </c>
      <c r="BB273">
        <f ca="1">IF(AND(ISNUMBER($BB$560),$B$294=1),$BB$560,HLOOKUP(INDIRECT(ADDRESS(2,COLUMN())),OFFSET($BN$2,0,0,ROW()-1,60),ROW()-1,FALSE))</f>
        <v>63.941302280000002</v>
      </c>
      <c r="BC273">
        <f ca="1">IF(AND(ISNUMBER($BC$560),$B$294=1),$BC$560,HLOOKUP(INDIRECT(ADDRESS(2,COLUMN())),OFFSET($BN$2,0,0,ROW()-1,60),ROW()-1,FALSE))</f>
        <v>90.634512830000006</v>
      </c>
      <c r="BD273">
        <f ca="1">IF(AND(ISNUMBER($BD$560),$B$294=1),$BD$560,HLOOKUP(INDIRECT(ADDRESS(2,COLUMN())),OFFSET($BN$2,0,0,ROW()-1,60),ROW()-1,FALSE))</f>
        <v>78.789780370000003</v>
      </c>
      <c r="BE273">
        <f ca="1">IF(AND(ISNUMBER($BE$560),$B$294=1),$BE$560,HLOOKUP(INDIRECT(ADDRESS(2,COLUMN())),OFFSET($BN$2,0,0,ROW()-1,60),ROW()-1,FALSE))</f>
        <v>62.91231647</v>
      </c>
      <c r="BF273">
        <f ca="1">IF(AND(ISNUMBER($BF$560),$B$294=1),$BF$560,HLOOKUP(INDIRECT(ADDRESS(2,COLUMN())),OFFSET($BN$2,0,0,ROW()-1,60),ROW()-1,FALSE))</f>
        <v>62.93115822</v>
      </c>
      <c r="BG273">
        <f ca="1">IF(AND(ISNUMBER($BG$560),$B$294=1),$BG$560,HLOOKUP(INDIRECT(ADDRESS(2,COLUMN())),OFFSET($BN$2,0,0,ROW()-1,60),ROW()-1,FALSE))</f>
        <v>123.01912660000001</v>
      </c>
      <c r="BH273">
        <f ca="1">IF(AND(ISNUMBER($BH$560),$B$294=1),$BH$560,HLOOKUP(INDIRECT(ADDRESS(2,COLUMN())),OFFSET($BN$2,0,0,ROW()-1,60),ROW()-1,FALSE))</f>
        <v>47.831310070000001</v>
      </c>
      <c r="BI273">
        <f ca="1">IF(AND(ISNUMBER($BI$560),$B$294=1),$BI$560,HLOOKUP(INDIRECT(ADDRESS(2,COLUMN())),OFFSET($BN$2,0,0,ROW()-1,60),ROW()-1,FALSE))</f>
        <v>133.8384465</v>
      </c>
      <c r="BJ273">
        <f ca="1">IF(AND(ISNUMBER($BJ$560),$B$294=1),$BJ$560,HLOOKUP(INDIRECT(ADDRESS(2,COLUMN())),OFFSET($BN$2,0,0,ROW()-1,60),ROW()-1,FALSE))</f>
        <v>77.525294099999996</v>
      </c>
      <c r="BK273">
        <f ca="1">IF(AND(ISNUMBER($BK$560),$B$294=1),$BK$560,HLOOKUP(INDIRECT(ADDRESS(2,COLUMN())),OFFSET($BN$2,0,0,ROW()-1,60),ROW()-1,FALSE))</f>
        <v>0</v>
      </c>
      <c r="BL273">
        <f ca="1">IF(AND(ISNUMBER($BL$560),$B$294=1),$BL$560,HLOOKUP(INDIRECT(ADDRESS(2,COLUMN())),OFFSET($BN$2,0,0,ROW()-1,60),ROW()-1,FALSE))</f>
        <v>50.02220784</v>
      </c>
      <c r="BM273">
        <f ca="1">IF(AND(ISNUMBER($BM$560),$B$294=1),$BM$560,HLOOKUP(INDIRECT(ADDRESS(2,COLUMN())),OFFSET($BN$2,0,0,ROW()-1,60),ROW()-1,FALSE))</f>
        <v>67.493173089999999</v>
      </c>
      <c r="BN273" t="str">
        <f>""</f>
        <v/>
      </c>
      <c r="BO273">
        <f>51.21585516</f>
        <v>51.215855159999997</v>
      </c>
      <c r="BP273">
        <f>49.9455715</f>
        <v>49.9455715</v>
      </c>
      <c r="BQ273">
        <f>47.66617273</f>
        <v>47.66617273</v>
      </c>
      <c r="BR273">
        <f>53.87863303</f>
        <v>53.878633030000003</v>
      </c>
      <c r="BS273">
        <f>146.3736939</f>
        <v>146.37369390000001</v>
      </c>
      <c r="BT273">
        <f>49.89178776</f>
        <v>49.89178776</v>
      </c>
      <c r="BU273">
        <f>50.38159576</f>
        <v>50.381595760000003</v>
      </c>
      <c r="BV273">
        <f>50.18598313</f>
        <v>50.185983129999997</v>
      </c>
      <c r="BW273">
        <f>50.26737968</f>
        <v>50.267379679999998</v>
      </c>
      <c r="BX273">
        <f>53.74445217</f>
        <v>53.744452170000002</v>
      </c>
      <c r="BY273">
        <f>51.74506021</f>
        <v>51.745060209999998</v>
      </c>
      <c r="BZ273">
        <f>57.44349074</f>
        <v>57.443490740000001</v>
      </c>
      <c r="CA273">
        <f>55.72360363</f>
        <v>55.723603629999999</v>
      </c>
      <c r="CB273">
        <f>58.56304807</f>
        <v>58.563048070000001</v>
      </c>
      <c r="CC273">
        <f>51.4767027</f>
        <v>51.476702699999997</v>
      </c>
      <c r="CD273">
        <f>62.49591263</f>
        <v>62.495912629999999</v>
      </c>
      <c r="CE273">
        <f>55.44387133</f>
        <v>55.44387133</v>
      </c>
      <c r="CF273">
        <f>58.83554652</f>
        <v>58.835546520000001</v>
      </c>
      <c r="CG273">
        <f>58.21419738</f>
        <v>58.214197380000002</v>
      </c>
      <c r="CH273">
        <f>59.94575678</f>
        <v>59.945756780000004</v>
      </c>
      <c r="CI273">
        <f>60.49253329</f>
        <v>60.492533289999997</v>
      </c>
      <c r="CJ273">
        <f>61.95037839</f>
        <v>61.950378389999997</v>
      </c>
      <c r="CK273">
        <f>58.81472447</f>
        <v>58.814724470000002</v>
      </c>
      <c r="CL273">
        <f>57.91432847</f>
        <v>57.914328470000001</v>
      </c>
      <c r="CM273">
        <f>57.97538288</f>
        <v>57.975382879999998</v>
      </c>
      <c r="CN273">
        <f>68.37203114</f>
        <v>68.372031140000004</v>
      </c>
      <c r="CO273">
        <f>66.98127635</f>
        <v>66.981276350000002</v>
      </c>
      <c r="CP273">
        <f>65.94743462</f>
        <v>65.947434619999996</v>
      </c>
      <c r="CQ273">
        <f>65.19347561</f>
        <v>65.193475609999993</v>
      </c>
      <c r="CR273">
        <f>70.5078514</f>
        <v>70.507851400000007</v>
      </c>
      <c r="CS273">
        <f>62.5423903</f>
        <v>62.542390300000001</v>
      </c>
      <c r="CT273">
        <f>66.16264101</f>
        <v>66.162641010000002</v>
      </c>
      <c r="CU273">
        <f>95.31038126</f>
        <v>95.31038126</v>
      </c>
      <c r="CV273">
        <f>64.95936449</f>
        <v>64.959364489999999</v>
      </c>
      <c r="CW273">
        <f>56.99594362</f>
        <v>56.995943619999998</v>
      </c>
      <c r="CX273">
        <f>63.64495005</f>
        <v>63.644950049999998</v>
      </c>
      <c r="CY273">
        <f>203.4873918</f>
        <v>203.48739180000001</v>
      </c>
      <c r="CZ273">
        <f>56.24024314</f>
        <v>56.240243139999997</v>
      </c>
      <c r="DA273">
        <f>57.77819842</f>
        <v>57.778198420000002</v>
      </c>
      <c r="DB273">
        <f>55.9544053</f>
        <v>55.954405299999998</v>
      </c>
      <c r="DC273">
        <f>62.07316153</f>
        <v>62.07316153</v>
      </c>
      <c r="DD273">
        <f>66.57694542</f>
        <v>66.576945420000001</v>
      </c>
      <c r="DE273">
        <f>67.36524424</f>
        <v>67.365244239999996</v>
      </c>
      <c r="DF273">
        <f>42.09018568</f>
        <v>42.090185679999998</v>
      </c>
      <c r="DG273">
        <f>54.72621205</f>
        <v>54.726212050000001</v>
      </c>
      <c r="DH273">
        <f>70.49683294</f>
        <v>70.496832940000004</v>
      </c>
      <c r="DI273">
        <f>70.3727066</f>
        <v>70.372706600000001</v>
      </c>
      <c r="DJ273">
        <f>63.94130228</f>
        <v>63.941302280000002</v>
      </c>
      <c r="DK273">
        <f>90.63451283</f>
        <v>90.634512830000006</v>
      </c>
      <c r="DL273">
        <f>78.78978037</f>
        <v>78.789780370000003</v>
      </c>
      <c r="DM273">
        <f>62.91231647</f>
        <v>62.91231647</v>
      </c>
      <c r="DN273">
        <f>62.93115822</f>
        <v>62.93115822</v>
      </c>
      <c r="DO273">
        <f>123.0191266</f>
        <v>123.01912660000001</v>
      </c>
      <c r="DP273">
        <f>47.83131007</f>
        <v>47.831310070000001</v>
      </c>
      <c r="DQ273">
        <f>133.8384465</f>
        <v>133.8384465</v>
      </c>
      <c r="DR273">
        <f>77.5252941</f>
        <v>77.525294099999996</v>
      </c>
      <c r="DS273">
        <f>0</f>
        <v>0</v>
      </c>
      <c r="DT273">
        <f>50.02220784</f>
        <v>50.02220784</v>
      </c>
      <c r="DU273">
        <f>67.49317309</f>
        <v>67.493173089999999</v>
      </c>
    </row>
    <row r="274" spans="1:125">
      <c r="A274" t="str">
        <f>"    Kilroy Realty Corp"</f>
        <v xml:space="preserve">    Kilroy Realty Corp</v>
      </c>
      <c r="B274" t="str">
        <f>"KRC US Equity"</f>
        <v>KRC US Equity</v>
      </c>
      <c r="C274" t="str">
        <f t="shared" si="70"/>
        <v>RR106</v>
      </c>
      <c r="D274" t="str">
        <f t="shared" si="71"/>
        <v>FFO_PAYOUT_RATIO</v>
      </c>
      <c r="E274" t="str">
        <f t="shared" si="72"/>
        <v>动态</v>
      </c>
      <c r="F274" t="str">
        <f ca="1">IF(AND(ISNUMBER($F$561),$B$294=1),$F$561,HLOOKUP(INDIRECT(ADDRESS(2,COLUMN())),OFFSET($BN$2,0,0,ROW()-1,60),ROW()-1,FALSE))</f>
        <v/>
      </c>
      <c r="G274">
        <f ca="1">IF(AND(ISNUMBER($G$561),$B$294=1),$G$561,HLOOKUP(INDIRECT(ADDRESS(2,COLUMN())),OFFSET($BN$2,0,0,ROW()-1,60),ROW()-1,FALSE))</f>
        <v>48.336819239999997</v>
      </c>
      <c r="H274">
        <f ca="1">IF(AND(ISNUMBER($H$561),$B$294=1),$H$561,HLOOKUP(INDIRECT(ADDRESS(2,COLUMN())),OFFSET($BN$2,0,0,ROW()-1,60),ROW()-1,FALSE))</f>
        <v>46.679016689999997</v>
      </c>
      <c r="I274">
        <f ca="1">IF(AND(ISNUMBER($I$561),$B$294=1),$I$561,HLOOKUP(INDIRECT(ADDRESS(2,COLUMN())),OFFSET($BN$2,0,0,ROW()-1,60),ROW()-1,FALSE))</f>
        <v>47.052480289999998</v>
      </c>
      <c r="J274">
        <f ca="1">IF(AND(ISNUMBER($J$561),$B$294=1),$J$561,HLOOKUP(INDIRECT(ADDRESS(2,COLUMN())),OFFSET($BN$2,0,0,ROW()-1,60),ROW()-1,FALSE))</f>
        <v>44.57313371</v>
      </c>
      <c r="K274">
        <f ca="1">IF(AND(ISNUMBER($K$561),$B$294=1),$K$561,HLOOKUP(INDIRECT(ADDRESS(2,COLUMN())),OFFSET($BN$2,0,0,ROW()-1,60),ROW()-1,FALSE))</f>
        <v>41.243237790000002</v>
      </c>
      <c r="L274">
        <f ca="1">IF(AND(ISNUMBER($L$561),$B$294=1),$L$561,HLOOKUP(INDIRECT(ADDRESS(2,COLUMN())),OFFSET($BN$2,0,0,ROW()-1,60),ROW()-1,FALSE))</f>
        <v>39.063795110000001</v>
      </c>
      <c r="M274">
        <f ca="1">IF(AND(ISNUMBER($M$561),$B$294=1),$M$561,HLOOKUP(INDIRECT(ADDRESS(2,COLUMN())),OFFSET($BN$2,0,0,ROW()-1,60),ROW()-1,FALSE))</f>
        <v>41.801132860000003</v>
      </c>
      <c r="N274">
        <f ca="1">IF(AND(ISNUMBER($N$561),$B$294=1),$N$561,HLOOKUP(INDIRECT(ADDRESS(2,COLUMN())),OFFSET($BN$2,0,0,ROW()-1,60),ROW()-1,FALSE))</f>
        <v>41.280655170000003</v>
      </c>
      <c r="O274">
        <f ca="1">IF(AND(ISNUMBER($O$561),$B$294=1),$O$561,HLOOKUP(INDIRECT(ADDRESS(2,COLUMN())),OFFSET($BN$2,0,0,ROW()-1,60),ROW()-1,FALSE))</f>
        <v>42.069568169999997</v>
      </c>
      <c r="P274">
        <f ca="1">IF(AND(ISNUMBER($P$561),$B$294=1),$P$561,HLOOKUP(INDIRECT(ADDRESS(2,COLUMN())),OFFSET($BN$2,0,0,ROW()-1,60),ROW()-1,FALSE))</f>
        <v>43.82863966</v>
      </c>
      <c r="Q274">
        <f ca="1">IF(AND(ISNUMBER($Q$561),$B$294=1),$Q$561,HLOOKUP(INDIRECT(ADDRESS(2,COLUMN())),OFFSET($BN$2,0,0,ROW()-1,60),ROW()-1,FALSE))</f>
        <v>41.225043710000001</v>
      </c>
      <c r="R274">
        <f ca="1">IF(AND(ISNUMBER($R$561),$B$294=1),$R$561,HLOOKUP(INDIRECT(ADDRESS(2,COLUMN())),OFFSET($BN$2,0,0,ROW()-1,60),ROW()-1,FALSE))</f>
        <v>33.227583359999997</v>
      </c>
      <c r="S274">
        <f ca="1">IF(AND(ISNUMBER($S$561),$B$294=1),$S$561,HLOOKUP(INDIRECT(ADDRESS(2,COLUMN())),OFFSET($BN$2,0,0,ROW()-1,60),ROW()-1,FALSE))</f>
        <v>42.494593010000003</v>
      </c>
      <c r="T274">
        <f ca="1">IF(AND(ISNUMBER($T$561),$B$294=1),$T$561,HLOOKUP(INDIRECT(ADDRESS(2,COLUMN())),OFFSET($BN$2,0,0,ROW()-1,60),ROW()-1,FALSE))</f>
        <v>48.190306210000003</v>
      </c>
      <c r="U274">
        <f ca="1">IF(AND(ISNUMBER($U$561),$B$294=1),$U$561,HLOOKUP(INDIRECT(ADDRESS(2,COLUMN())),OFFSET($BN$2,0,0,ROW()-1,60),ROW()-1,FALSE))</f>
        <v>45.488248929999997</v>
      </c>
      <c r="V274">
        <f ca="1">IF(AND(ISNUMBER($V$561),$B$294=1),$V$561,HLOOKUP(INDIRECT(ADDRESS(2,COLUMN())),OFFSET($BN$2,0,0,ROW()-1,60),ROW()-1,FALSE))</f>
        <v>50.23258646</v>
      </c>
      <c r="W274">
        <f ca="1">IF(AND(ISNUMBER($W$561),$B$294=1),$W$561,HLOOKUP(INDIRECT(ADDRESS(2,COLUMN())),OFFSET($BN$2,0,0,ROW()-1,60),ROW()-1,FALSE))</f>
        <v>49.11742074</v>
      </c>
      <c r="X274">
        <f ca="1">IF(AND(ISNUMBER($X$561),$B$294=1),$X$561,HLOOKUP(INDIRECT(ADDRESS(2,COLUMN())),OFFSET($BN$2,0,0,ROW()-1,60),ROW()-1,FALSE))</f>
        <v>48.067250850000001</v>
      </c>
      <c r="Y274">
        <f ca="1">IF(AND(ISNUMBER($Y$561),$B$294=1),$Y$561,HLOOKUP(INDIRECT(ADDRESS(2,COLUMN())),OFFSET($BN$2,0,0,ROW()-1,60),ROW()-1,FALSE))</f>
        <v>47.902659829999997</v>
      </c>
      <c r="Z274">
        <f ca="1">IF(AND(ISNUMBER($Z$561),$B$294=1),$Z$561,HLOOKUP(INDIRECT(ADDRESS(2,COLUMN())),OFFSET($BN$2,0,0,ROW()-1,60),ROW()-1,FALSE))</f>
        <v>55.844843740000002</v>
      </c>
      <c r="AA274">
        <f ca="1">IF(AND(ISNUMBER($AA$561),$B$294=1),$AA$561,HLOOKUP(INDIRECT(ADDRESS(2,COLUMN())),OFFSET($BN$2,0,0,ROW()-1,60),ROW()-1,FALSE))</f>
        <v>52.41112115</v>
      </c>
      <c r="AB274">
        <f ca="1">IF(AND(ISNUMBER($AB$561),$B$294=1),$AB$561,HLOOKUP(INDIRECT(ADDRESS(2,COLUMN())),OFFSET($BN$2,0,0,ROW()-1,60),ROW()-1,FALSE))</f>
        <v>58.322090420000002</v>
      </c>
      <c r="AC274">
        <f ca="1">IF(AND(ISNUMBER($AC$561),$B$294=1),$AC$561,HLOOKUP(INDIRECT(ADDRESS(2,COLUMN())),OFFSET($BN$2,0,0,ROW()-1,60),ROW()-1,FALSE))</f>
        <v>60.546362510000002</v>
      </c>
      <c r="AD274">
        <f ca="1">IF(AND(ISNUMBER($AD$561),$B$294=1),$AD$561,HLOOKUP(INDIRECT(ADDRESS(2,COLUMN())),OFFSET($BN$2,0,0,ROW()-1,60),ROW()-1,FALSE))</f>
        <v>67.526663839999998</v>
      </c>
      <c r="AE274">
        <f ca="1">IF(AND(ISNUMBER($AE$561),$B$294=1),$AE$561,HLOOKUP(INDIRECT(ADDRESS(2,COLUMN())),OFFSET($BN$2,0,0,ROW()-1,60),ROW()-1,FALSE))</f>
        <v>50.472547810000002</v>
      </c>
      <c r="AF274">
        <f ca="1">IF(AND(ISNUMBER($AF$561),$B$294=1),$AF$561,HLOOKUP(INDIRECT(ADDRESS(2,COLUMN())),OFFSET($BN$2,0,0,ROW()-1,60),ROW()-1,FALSE))</f>
        <v>60.287781010000003</v>
      </c>
      <c r="AG274">
        <f ca="1">IF(AND(ISNUMBER($AG$561),$B$294=1),$AG$561,HLOOKUP(INDIRECT(ADDRESS(2,COLUMN())),OFFSET($BN$2,0,0,ROW()-1,60),ROW()-1,FALSE))</f>
        <v>67.477799200000007</v>
      </c>
      <c r="AH274">
        <f ca="1">IF(AND(ISNUMBER($AH$561),$B$294=1),$AH$561,HLOOKUP(INDIRECT(ADDRESS(2,COLUMN())),OFFSET($BN$2,0,0,ROW()-1,60),ROW()-1,FALSE))</f>
        <v>63.83974508</v>
      </c>
      <c r="AI274">
        <f ca="1">IF(AND(ISNUMBER($AI$561),$B$294=1),$AI$561,HLOOKUP(INDIRECT(ADDRESS(2,COLUMN())),OFFSET($BN$2,0,0,ROW()-1,60),ROW()-1,FALSE))</f>
        <v>62.05155164</v>
      </c>
      <c r="AJ274">
        <f ca="1">IF(AND(ISNUMBER($AJ$561),$B$294=1),$AJ$561,HLOOKUP(INDIRECT(ADDRESS(2,COLUMN())),OFFSET($BN$2,0,0,ROW()-1,60),ROW()-1,FALSE))</f>
        <v>64.456045810000006</v>
      </c>
      <c r="AK274">
        <f ca="1">IF(AND(ISNUMBER($AK$561),$B$294=1),$AK$561,HLOOKUP(INDIRECT(ADDRESS(2,COLUMN())),OFFSET($BN$2,0,0,ROW()-1,60),ROW()-1,FALSE))</f>
        <v>88.586203710000007</v>
      </c>
      <c r="AL274">
        <f ca="1">IF(AND(ISNUMBER($AL$561),$B$294=1),$AL$561,HLOOKUP(INDIRECT(ADDRESS(2,COLUMN())),OFFSET($BN$2,0,0,ROW()-1,60),ROW()-1,FALSE))</f>
        <v>61.834457100000002</v>
      </c>
      <c r="AM274">
        <f ca="1">IF(AND(ISNUMBER($AM$561),$B$294=1),$AM$561,HLOOKUP(INDIRECT(ADDRESS(2,COLUMN())),OFFSET($BN$2,0,0,ROW()-1,60),ROW()-1,FALSE))</f>
        <v>85.012162700000005</v>
      </c>
      <c r="AN274">
        <f ca="1">IF(AND(ISNUMBER($AN$561),$B$294=1),$AN$561,HLOOKUP(INDIRECT(ADDRESS(2,COLUMN())),OFFSET($BN$2,0,0,ROW()-1,60),ROW()-1,FALSE))</f>
        <v>49.778649129999998</v>
      </c>
      <c r="AO274">
        <f ca="1">IF(AND(ISNUMBER($AO$561),$B$294=1),$AO$561,HLOOKUP(INDIRECT(ADDRESS(2,COLUMN())),OFFSET($BN$2,0,0,ROW()-1,60),ROW()-1,FALSE))</f>
        <v>41.500994689999999</v>
      </c>
      <c r="AP274">
        <f ca="1">IF(AND(ISNUMBER($AP$561),$B$294=1),$AP$561,HLOOKUP(INDIRECT(ADDRESS(2,COLUMN())),OFFSET($BN$2,0,0,ROW()-1,60),ROW()-1,FALSE))</f>
        <v>70.867718659999994</v>
      </c>
      <c r="AQ274">
        <f ca="1">IF(AND(ISNUMBER($AQ$561),$B$294=1),$AQ$561,HLOOKUP(INDIRECT(ADDRESS(2,COLUMN())),OFFSET($BN$2,0,0,ROW()-1,60),ROW()-1,FALSE))</f>
        <v>73.734390180000005</v>
      </c>
      <c r="AR274">
        <f ca="1">IF(AND(ISNUMBER($AR$561),$B$294=1),$AR$561,HLOOKUP(INDIRECT(ADDRESS(2,COLUMN())),OFFSET($BN$2,0,0,ROW()-1,60),ROW()-1,FALSE))</f>
        <v>56.332597550000003</v>
      </c>
      <c r="AS274">
        <f ca="1">IF(AND(ISNUMBER($AS$561),$B$294=1),$AS$561,HLOOKUP(INDIRECT(ADDRESS(2,COLUMN())),OFFSET($BN$2,0,0,ROW()-1,60),ROW()-1,FALSE))</f>
        <v>68.257830299999995</v>
      </c>
      <c r="AT274">
        <f ca="1">IF(AND(ISNUMBER($AT$561),$B$294=1),$AT$561,HLOOKUP(INDIRECT(ADDRESS(2,COLUMN())),OFFSET($BN$2,0,0,ROW()-1,60),ROW()-1,FALSE))</f>
        <v>69.738699350000005</v>
      </c>
      <c r="AU274">
        <f ca="1">IF(AND(ISNUMBER($AU$561),$B$294=1),$AU$561,HLOOKUP(INDIRECT(ADDRESS(2,COLUMN())),OFFSET($BN$2,0,0,ROW()-1,60),ROW()-1,FALSE))</f>
        <v>60.652878129999998</v>
      </c>
      <c r="AV274">
        <f ca="1">IF(AND(ISNUMBER($AV$561),$B$294=1),$AV$561,HLOOKUP(INDIRECT(ADDRESS(2,COLUMN())),OFFSET($BN$2,0,0,ROW()-1,60),ROW()-1,FALSE))</f>
        <v>63.686167380000001</v>
      </c>
      <c r="AW274">
        <f ca="1">IF(AND(ISNUMBER($AW$561),$B$294=1),$AW$561,HLOOKUP(INDIRECT(ADDRESS(2,COLUMN())),OFFSET($BN$2,0,0,ROW()-1,60),ROW()-1,FALSE))</f>
        <v>67.354002269999995</v>
      </c>
      <c r="AX274">
        <f ca="1">IF(AND(ISNUMBER($AX$561),$B$294=1),$AX$561,HLOOKUP(INDIRECT(ADDRESS(2,COLUMN())),OFFSET($BN$2,0,0,ROW()-1,60),ROW()-1,FALSE))</f>
        <v>69.739825530000005</v>
      </c>
      <c r="AY274">
        <f ca="1">IF(AND(ISNUMBER($AY$561),$B$294=1),$AY$561,HLOOKUP(INDIRECT(ADDRESS(2,COLUMN())),OFFSET($BN$2,0,0,ROW()-1,60),ROW()-1,FALSE))</f>
        <v>86.071637949999996</v>
      </c>
      <c r="AZ274">
        <f ca="1">IF(AND(ISNUMBER($AZ$561),$B$294=1),$AZ$561,HLOOKUP(INDIRECT(ADDRESS(2,COLUMN())),OFFSET($BN$2,0,0,ROW()-1,60),ROW()-1,FALSE))</f>
        <v>64.501999580000003</v>
      </c>
      <c r="BA274">
        <f ca="1">IF(AND(ISNUMBER($BA$561),$B$294=1),$BA$561,HLOOKUP(INDIRECT(ADDRESS(2,COLUMN())),OFFSET($BN$2,0,0,ROW()-1,60),ROW()-1,FALSE))</f>
        <v>43.731664969999997</v>
      </c>
      <c r="BB274">
        <f ca="1">IF(AND(ISNUMBER($BB$561),$B$294=1),$BB$561,HLOOKUP(INDIRECT(ADDRESS(2,COLUMN())),OFFSET($BN$2,0,0,ROW()-1,60),ROW()-1,FALSE))</f>
        <v>58.946503900000003</v>
      </c>
      <c r="BC274">
        <f ca="1">IF(AND(ISNUMBER($BC$561),$B$294=1),$BC$561,HLOOKUP(INDIRECT(ADDRESS(2,COLUMN())),OFFSET($BN$2,0,0,ROW()-1,60),ROW()-1,FALSE))</f>
        <v>177.6413278</v>
      </c>
      <c r="BD274">
        <f ca="1">IF(AND(ISNUMBER($BD$561),$B$294=1),$BD$561,HLOOKUP(INDIRECT(ADDRESS(2,COLUMN())),OFFSET($BN$2,0,0,ROW()-1,60),ROW()-1,FALSE))</f>
        <v>103.6596589</v>
      </c>
      <c r="BE274">
        <f ca="1">IF(AND(ISNUMBER($BE$561),$B$294=1),$BE$561,HLOOKUP(INDIRECT(ADDRESS(2,COLUMN())),OFFSET($BN$2,0,0,ROW()-1,60),ROW()-1,FALSE))</f>
        <v>99.741652669999993</v>
      </c>
      <c r="BF274">
        <f ca="1">IF(AND(ISNUMBER($BF$561),$B$294=1),$BF$561,HLOOKUP(INDIRECT(ADDRESS(2,COLUMN())),OFFSET($BN$2,0,0,ROW()-1,60),ROW()-1,FALSE))</f>
        <v>55.477908800000002</v>
      </c>
      <c r="BG274">
        <f ca="1">IF(AND(ISNUMBER($BG$561),$B$294=1),$BG$561,HLOOKUP(INDIRECT(ADDRESS(2,COLUMN())),OFFSET($BN$2,0,0,ROW()-1,60),ROW()-1,FALSE))</f>
        <v>80.887096769999999</v>
      </c>
      <c r="BH274">
        <f ca="1">IF(AND(ISNUMBER($BH$561),$B$294=1),$BH$561,HLOOKUP(INDIRECT(ADDRESS(2,COLUMN())),OFFSET($BN$2,0,0,ROW()-1,60),ROW()-1,FALSE))</f>
        <v>67.533302430000006</v>
      </c>
      <c r="BI274">
        <f ca="1">IF(AND(ISNUMBER($BI$561),$B$294=1),$BI$561,HLOOKUP(INDIRECT(ADDRESS(2,COLUMN())),OFFSET($BN$2,0,0,ROW()-1,60),ROW()-1,FALSE))</f>
        <v>59.734872780000003</v>
      </c>
      <c r="BJ274">
        <f ca="1">IF(AND(ISNUMBER($BJ$561),$B$294=1),$BJ$561,HLOOKUP(INDIRECT(ADDRESS(2,COLUMN())),OFFSET($BN$2,0,0,ROW()-1,60),ROW()-1,FALSE))</f>
        <v>66.415346439999993</v>
      </c>
      <c r="BK274">
        <f ca="1">IF(AND(ISNUMBER($BK$561),$B$294=1),$BK$561,HLOOKUP(INDIRECT(ADDRESS(2,COLUMN())),OFFSET($BN$2,0,0,ROW()-1,60),ROW()-1,FALSE))</f>
        <v>68.480467309999995</v>
      </c>
      <c r="BL274">
        <f ca="1">IF(AND(ISNUMBER($BL$561),$B$294=1),$BL$561,HLOOKUP(INDIRECT(ADDRESS(2,COLUMN())),OFFSET($BN$2,0,0,ROW()-1,60),ROW()-1,FALSE))</f>
        <v>36.436598109999998</v>
      </c>
      <c r="BM274">
        <f ca="1">IF(AND(ISNUMBER($BM$561),$B$294=1),$BM$561,HLOOKUP(INDIRECT(ADDRESS(2,COLUMN())),OFFSET($BN$2,0,0,ROW()-1,60),ROW()-1,FALSE))</f>
        <v>54.395339489999998</v>
      </c>
      <c r="BN274" t="str">
        <f>""</f>
        <v/>
      </c>
      <c r="BO274">
        <f>48.33681924</f>
        <v>48.336819239999997</v>
      </c>
      <c r="BP274">
        <f>46.67901669</f>
        <v>46.679016689999997</v>
      </c>
      <c r="BQ274">
        <f>47.05248029</f>
        <v>47.052480289999998</v>
      </c>
      <c r="BR274">
        <f>44.57313371</f>
        <v>44.57313371</v>
      </c>
      <c r="BS274">
        <f>41.24323779</f>
        <v>41.243237790000002</v>
      </c>
      <c r="BT274">
        <f>39.06379511</f>
        <v>39.063795110000001</v>
      </c>
      <c r="BU274">
        <f>41.80113286</f>
        <v>41.801132860000003</v>
      </c>
      <c r="BV274">
        <f>41.28065517</f>
        <v>41.280655170000003</v>
      </c>
      <c r="BW274">
        <f>42.06956817</f>
        <v>42.069568169999997</v>
      </c>
      <c r="BX274">
        <f>43.82863966</f>
        <v>43.82863966</v>
      </c>
      <c r="BY274">
        <f>41.22504371</f>
        <v>41.225043710000001</v>
      </c>
      <c r="BZ274">
        <f>33.22758336</f>
        <v>33.227583359999997</v>
      </c>
      <c r="CA274">
        <f>42.49459301</f>
        <v>42.494593010000003</v>
      </c>
      <c r="CB274">
        <f>48.19030621</f>
        <v>48.190306210000003</v>
      </c>
      <c r="CC274">
        <f>45.48824893</f>
        <v>45.488248929999997</v>
      </c>
      <c r="CD274">
        <f>50.23258646</f>
        <v>50.23258646</v>
      </c>
      <c r="CE274">
        <f>49.11742074</f>
        <v>49.11742074</v>
      </c>
      <c r="CF274">
        <f>48.06725085</f>
        <v>48.067250850000001</v>
      </c>
      <c r="CG274">
        <f>47.90265983</f>
        <v>47.902659829999997</v>
      </c>
      <c r="CH274">
        <f>55.84484374</f>
        <v>55.844843740000002</v>
      </c>
      <c r="CI274">
        <f>52.41112115</f>
        <v>52.41112115</v>
      </c>
      <c r="CJ274">
        <f>58.32209042</f>
        <v>58.322090420000002</v>
      </c>
      <c r="CK274">
        <f>60.54636251</f>
        <v>60.546362510000002</v>
      </c>
      <c r="CL274">
        <f>67.52666384</f>
        <v>67.526663839999998</v>
      </c>
      <c r="CM274">
        <f>50.47254781</f>
        <v>50.472547810000002</v>
      </c>
      <c r="CN274">
        <f>60.28778101</f>
        <v>60.287781010000003</v>
      </c>
      <c r="CO274">
        <f>67.4777992</f>
        <v>67.477799200000007</v>
      </c>
      <c r="CP274">
        <f>63.83974508</f>
        <v>63.83974508</v>
      </c>
      <c r="CQ274">
        <f>62.05155164</f>
        <v>62.05155164</v>
      </c>
      <c r="CR274">
        <f>64.45604581</f>
        <v>64.456045810000006</v>
      </c>
      <c r="CS274">
        <f>88.58620371</f>
        <v>88.586203710000007</v>
      </c>
      <c r="CT274">
        <f>61.8344571</f>
        <v>61.834457100000002</v>
      </c>
      <c r="CU274">
        <f>85.0121627</f>
        <v>85.012162700000005</v>
      </c>
      <c r="CV274">
        <f>49.77864913</f>
        <v>49.778649129999998</v>
      </c>
      <c r="CW274">
        <f>41.50099469</f>
        <v>41.500994689999999</v>
      </c>
      <c r="CX274">
        <f>70.86771866</f>
        <v>70.867718659999994</v>
      </c>
      <c r="CY274">
        <f>73.73439018</f>
        <v>73.734390180000005</v>
      </c>
      <c r="CZ274">
        <f>56.33259755</f>
        <v>56.332597550000003</v>
      </c>
      <c r="DA274">
        <f>68.2578303</f>
        <v>68.257830299999995</v>
      </c>
      <c r="DB274">
        <f>69.73869935</f>
        <v>69.738699350000005</v>
      </c>
      <c r="DC274">
        <f>60.65287813</f>
        <v>60.652878129999998</v>
      </c>
      <c r="DD274">
        <f>63.68616738</f>
        <v>63.686167380000001</v>
      </c>
      <c r="DE274">
        <f>67.35400227</f>
        <v>67.354002269999995</v>
      </c>
      <c r="DF274">
        <f>69.73982553</f>
        <v>69.739825530000005</v>
      </c>
      <c r="DG274">
        <f>86.07163795</f>
        <v>86.071637949999996</v>
      </c>
      <c r="DH274">
        <f>64.50199958</f>
        <v>64.501999580000003</v>
      </c>
      <c r="DI274">
        <f>43.73166497</f>
        <v>43.731664969999997</v>
      </c>
      <c r="DJ274">
        <f>58.9465039</f>
        <v>58.946503900000003</v>
      </c>
      <c r="DK274">
        <f>177.6413278</f>
        <v>177.6413278</v>
      </c>
      <c r="DL274">
        <f>103.6596589</f>
        <v>103.6596589</v>
      </c>
      <c r="DM274">
        <f>99.74165267</f>
        <v>99.741652669999993</v>
      </c>
      <c r="DN274">
        <f>55.4779088</f>
        <v>55.477908800000002</v>
      </c>
      <c r="DO274">
        <f>80.88709677</f>
        <v>80.887096769999999</v>
      </c>
      <c r="DP274">
        <f>67.53330243</f>
        <v>67.533302430000006</v>
      </c>
      <c r="DQ274">
        <f>59.73487278</f>
        <v>59.734872780000003</v>
      </c>
      <c r="DR274">
        <f>66.41534644</f>
        <v>66.415346439999993</v>
      </c>
      <c r="DS274">
        <f>68.48046731</f>
        <v>68.480467309999995</v>
      </c>
      <c r="DT274">
        <f>36.43659811</f>
        <v>36.436598109999998</v>
      </c>
      <c r="DU274">
        <f>54.39533949</f>
        <v>54.395339489999998</v>
      </c>
    </row>
    <row r="275" spans="1:125">
      <c r="A275" t="str">
        <f>"    Mack-Cali Realty Corp"</f>
        <v xml:space="preserve">    Mack-Cali Realty Corp</v>
      </c>
      <c r="B275" t="str">
        <f>"CLI US Equity"</f>
        <v>CLI US Equity</v>
      </c>
      <c r="C275" t="str">
        <f t="shared" si="70"/>
        <v>RR106</v>
      </c>
      <c r="D275" t="str">
        <f t="shared" si="71"/>
        <v>FFO_PAYOUT_RATIO</v>
      </c>
      <c r="E275" t="str">
        <f t="shared" si="72"/>
        <v>动态</v>
      </c>
      <c r="F275" t="str">
        <f ca="1">IF(AND(ISNUMBER($F$562),$B$294=1),$F$562,HLOOKUP(INDIRECT(ADDRESS(2,COLUMN())),OFFSET($BN$2,0,0,ROW()-1,60),ROW()-1,FALSE))</f>
        <v/>
      </c>
      <c r="G275">
        <f ca="1">IF(AND(ISNUMBER($G$562),$B$294=1),$G$562,HLOOKUP(INDIRECT(ADDRESS(2,COLUMN())),OFFSET($BN$2,0,0,ROW()-1,60),ROW()-1,FALSE))</f>
        <v>35.99432273</v>
      </c>
      <c r="H275">
        <f ca="1">IF(AND(ISNUMBER($H$562),$B$294=1),$H$562,HLOOKUP(INDIRECT(ADDRESS(2,COLUMN())),OFFSET($BN$2,0,0,ROW()-1,60),ROW()-1,FALSE))</f>
        <v>31.153060870000001</v>
      </c>
      <c r="I275">
        <f ca="1">IF(AND(ISNUMBER($I$562),$B$294=1),$I$562,HLOOKUP(INDIRECT(ADDRESS(2,COLUMN())),OFFSET($BN$2,0,0,ROW()-1,60),ROW()-1,FALSE))</f>
        <v>29.763573839999999</v>
      </c>
      <c r="J275">
        <f ca="1">IF(AND(ISNUMBER($J$562),$B$294=1),$J$562,HLOOKUP(INDIRECT(ADDRESS(2,COLUMN())),OFFSET($BN$2,0,0,ROW()-1,60),ROW()-1,FALSE))</f>
        <v>24.154613149999999</v>
      </c>
      <c r="K275">
        <f ca="1">IF(AND(ISNUMBER($K$562),$B$294=1),$K$562,HLOOKUP(INDIRECT(ADDRESS(2,COLUMN())),OFFSET($BN$2,0,0,ROW()-1,60),ROW()-1,FALSE))</f>
        <v>41.018216709999997</v>
      </c>
      <c r="L275">
        <f ca="1">IF(AND(ISNUMBER($L$562),$B$294=1),$L$562,HLOOKUP(INDIRECT(ADDRESS(2,COLUMN())),OFFSET($BN$2,0,0,ROW()-1,60),ROW()-1,FALSE))</f>
        <v>22.482215620000002</v>
      </c>
      <c r="M275">
        <f ca="1">IF(AND(ISNUMBER($M$562),$B$294=1),$M$562,HLOOKUP(INDIRECT(ADDRESS(2,COLUMN())),OFFSET($BN$2,0,0,ROW()-1,60),ROW()-1,FALSE))</f>
        <v>20.9937772</v>
      </c>
      <c r="N275">
        <f ca="1">IF(AND(ISNUMBER($N$562),$B$294=1),$N$562,HLOOKUP(INDIRECT(ADDRESS(2,COLUMN())),OFFSET($BN$2,0,0,ROW()-1,60),ROW()-1,FALSE))</f>
        <v>27.93422309</v>
      </c>
      <c r="O275">
        <f ca="1">IF(AND(ISNUMBER($O$562),$B$294=1),$O$562,HLOOKUP(INDIRECT(ADDRESS(2,COLUMN())),OFFSET($BN$2,0,0,ROW()-1,60),ROW()-1,FALSE))</f>
        <v>28.594179430000001</v>
      </c>
      <c r="P275">
        <f ca="1">IF(AND(ISNUMBER($P$562),$B$294=1),$P$562,HLOOKUP(INDIRECT(ADDRESS(2,COLUMN())),OFFSET($BN$2,0,0,ROW()-1,60),ROW()-1,FALSE))</f>
        <v>25.97518384</v>
      </c>
      <c r="Q275">
        <f ca="1">IF(AND(ISNUMBER($Q$562),$B$294=1),$Q$562,HLOOKUP(INDIRECT(ADDRESS(2,COLUMN())),OFFSET($BN$2,0,0,ROW()-1,60),ROW()-1,FALSE))</f>
        <v>28.75808288</v>
      </c>
      <c r="R275">
        <f ca="1">IF(AND(ISNUMBER($R$562),$B$294=1),$R$562,HLOOKUP(INDIRECT(ADDRESS(2,COLUMN())),OFFSET($BN$2,0,0,ROW()-1,60),ROW()-1,FALSE))</f>
        <v>31.075908200000001</v>
      </c>
      <c r="S275">
        <f ca="1">IF(AND(ISNUMBER($S$562),$B$294=1),$S$562,HLOOKUP(INDIRECT(ADDRESS(2,COLUMN())),OFFSET($BN$2,0,0,ROW()-1,60),ROW()-1,FALSE))</f>
        <v>39.126461020000001</v>
      </c>
      <c r="T275">
        <f ca="1">IF(AND(ISNUMBER($T$562),$B$294=1),$T$562,HLOOKUP(INDIRECT(ADDRESS(2,COLUMN())),OFFSET($BN$2,0,0,ROW()-1,60),ROW()-1,FALSE))</f>
        <v>27.752045299999999</v>
      </c>
      <c r="U275">
        <f ca="1">IF(AND(ISNUMBER($U$562),$B$294=1),$U$562,HLOOKUP(INDIRECT(ADDRESS(2,COLUMN())),OFFSET($BN$2,0,0,ROW()-1,60),ROW()-1,FALSE))</f>
        <v>26.461941840000001</v>
      </c>
      <c r="V275">
        <f ca="1">IF(AND(ISNUMBER($V$562),$B$294=1),$V$562,HLOOKUP(INDIRECT(ADDRESS(2,COLUMN())),OFFSET($BN$2,0,0,ROW()-1,60),ROW()-1,FALSE))</f>
        <v>88.547541640000006</v>
      </c>
      <c r="W275">
        <f ca="1">IF(AND(ISNUMBER($W$562),$B$294=1),$W$562,HLOOKUP(INDIRECT(ADDRESS(2,COLUMN())),OFFSET($BN$2,0,0,ROW()-1,60),ROW()-1,FALSE))</f>
        <v>50.593191060000002</v>
      </c>
      <c r="X275">
        <f ca="1">IF(AND(ISNUMBER($X$562),$B$294=1),$X$562,HLOOKUP(INDIRECT(ADDRESS(2,COLUMN())),OFFSET($BN$2,0,0,ROW()-1,60),ROW()-1,FALSE))</f>
        <v>46.117842760000002</v>
      </c>
      <c r="Y275">
        <f ca="1">IF(AND(ISNUMBER($Y$562),$B$294=1),$Y$562,HLOOKUP(INDIRECT(ADDRESS(2,COLUMN())),OFFSET($BN$2,0,0,ROW()-1,60),ROW()-1,FALSE))</f>
        <v>40.36944415</v>
      </c>
      <c r="Z275">
        <f ca="1">IF(AND(ISNUMBER($Z$562),$B$294=1),$Z$562,HLOOKUP(INDIRECT(ADDRESS(2,COLUMN())),OFFSET($BN$2,0,0,ROW()-1,60),ROW()-1,FALSE))</f>
        <v>62.584951459999999</v>
      </c>
      <c r="AA275">
        <f ca="1">IF(AND(ISNUMBER($AA$562),$B$294=1),$AA$562,HLOOKUP(INDIRECT(ADDRESS(2,COLUMN())),OFFSET($BN$2,0,0,ROW()-1,60),ROW()-1,FALSE))</f>
        <v>60.226841800000003</v>
      </c>
      <c r="AB275">
        <f ca="1">IF(AND(ISNUMBER($AB$562),$B$294=1),$AB$562,HLOOKUP(INDIRECT(ADDRESS(2,COLUMN())),OFFSET($BN$2,0,0,ROW()-1,60),ROW()-1,FALSE))</f>
        <v>60.788777459999999</v>
      </c>
      <c r="AC275">
        <f ca="1">IF(AND(ISNUMBER($AC$562),$B$294=1),$AC$562,HLOOKUP(INDIRECT(ADDRESS(2,COLUMN())),OFFSET($BN$2,0,0,ROW()-1,60),ROW()-1,FALSE))</f>
        <v>63.661135719999997</v>
      </c>
      <c r="AD275">
        <f ca="1">IF(AND(ISNUMBER($AD$562),$B$294=1),$AD$562,HLOOKUP(INDIRECT(ADDRESS(2,COLUMN())),OFFSET($BN$2,0,0,ROW()-1,60),ROW()-1,FALSE))</f>
        <v>53.05522362</v>
      </c>
      <c r="AE275">
        <f ca="1">IF(AND(ISNUMBER($AE$562),$B$294=1),$AE$562,HLOOKUP(INDIRECT(ADDRESS(2,COLUMN())),OFFSET($BN$2,0,0,ROW()-1,60),ROW()-1,FALSE))</f>
        <v>57.66881171</v>
      </c>
      <c r="AF275">
        <f ca="1">IF(AND(ISNUMBER($AF$562),$B$294=1),$AF$562,HLOOKUP(INDIRECT(ADDRESS(2,COLUMN())),OFFSET($BN$2,0,0,ROW()-1,60),ROW()-1,FALSE))</f>
        <v>53.679351330000003</v>
      </c>
      <c r="AG275">
        <f ca="1">IF(AND(ISNUMBER($AG$562),$B$294=1),$AG$562,HLOOKUP(INDIRECT(ADDRESS(2,COLUMN())),OFFSET($BN$2,0,0,ROW()-1,60),ROW()-1,FALSE))</f>
        <v>59.259087819999998</v>
      </c>
      <c r="AH275">
        <f ca="1">IF(AND(ISNUMBER($AH$562),$B$294=1),$AH$562,HLOOKUP(INDIRECT(ADDRESS(2,COLUMN())),OFFSET($BN$2,0,0,ROW()-1,60),ROW()-1,FALSE))</f>
        <v>58.127786030000003</v>
      </c>
      <c r="AI275">
        <f ca="1">IF(AND(ISNUMBER($AI$562),$B$294=1),$AI$562,HLOOKUP(INDIRECT(ADDRESS(2,COLUMN())),OFFSET($BN$2,0,0,ROW()-1,60),ROW()-1,FALSE))</f>
        <v>55.682565410000002</v>
      </c>
      <c r="AJ275">
        <f ca="1">IF(AND(ISNUMBER($AJ$562),$B$294=1),$AJ$562,HLOOKUP(INDIRECT(ADDRESS(2,COLUMN())),OFFSET($BN$2,0,0,ROW()-1,60),ROW()-1,FALSE))</f>
        <v>55.542793109999998</v>
      </c>
      <c r="AK275">
        <f ca="1">IF(AND(ISNUMBER($AK$562),$B$294=1),$AK$562,HLOOKUP(INDIRECT(ADDRESS(2,COLUMN())),OFFSET($BN$2,0,0,ROW()-1,60),ROW()-1,FALSE))</f>
        <v>54.0847373</v>
      </c>
      <c r="AL275">
        <f ca="1">IF(AND(ISNUMBER($AL$562),$B$294=1),$AL$562,HLOOKUP(INDIRECT(ADDRESS(2,COLUMN())),OFFSET($BN$2,0,0,ROW()-1,60),ROW()-1,FALSE))</f>
        <v>53.617264280000001</v>
      </c>
      <c r="AM275">
        <f ca="1">IF(AND(ISNUMBER($AM$562),$B$294=1),$AM$562,HLOOKUP(INDIRECT(ADDRESS(2,COLUMN())),OFFSET($BN$2,0,0,ROW()-1,60),ROW()-1,FALSE))</f>
        <v>63.967810229999998</v>
      </c>
      <c r="AN275">
        <f ca="1">IF(AND(ISNUMBER($AN$562),$B$294=1),$AN$562,HLOOKUP(INDIRECT(ADDRESS(2,COLUMN())),OFFSET($BN$2,0,0,ROW()-1,60),ROW()-1,FALSE))</f>
        <v>46.889974799999997</v>
      </c>
      <c r="AO275">
        <f ca="1">IF(AND(ISNUMBER($AO$562),$B$294=1),$AO$562,HLOOKUP(INDIRECT(ADDRESS(2,COLUMN())),OFFSET($BN$2,0,0,ROW()-1,60),ROW()-1,FALSE))</f>
        <v>43.485995610000003</v>
      </c>
      <c r="AP275">
        <f ca="1">IF(AND(ISNUMBER($AP$562),$B$294=1),$AP$562,HLOOKUP(INDIRECT(ADDRESS(2,COLUMN())),OFFSET($BN$2,0,0,ROW()-1,60),ROW()-1,FALSE))</f>
        <v>43.937965370000001</v>
      </c>
      <c r="AQ275">
        <f ca="1">IF(AND(ISNUMBER($AQ$562),$B$294=1),$AQ$562,HLOOKUP(INDIRECT(ADDRESS(2,COLUMN())),OFFSET($BN$2,0,0,ROW()-1,60),ROW()-1,FALSE))</f>
        <v>82.557924729999996</v>
      </c>
      <c r="AR275">
        <f ca="1">IF(AND(ISNUMBER($AR$562),$B$294=1),$AR$562,HLOOKUP(INDIRECT(ADDRESS(2,COLUMN())),OFFSET($BN$2,0,0,ROW()-1,60),ROW()-1,FALSE))</f>
        <v>51.609236840000001</v>
      </c>
      <c r="AS275">
        <f ca="1">IF(AND(ISNUMBER($AS$562),$B$294=1),$AS$562,HLOOKUP(INDIRECT(ADDRESS(2,COLUMN())),OFFSET($BN$2,0,0,ROW()-1,60),ROW()-1,FALSE))</f>
        <v>55.653986230000001</v>
      </c>
      <c r="AT275">
        <f ca="1">IF(AND(ISNUMBER($AT$562),$B$294=1),$AT$562,HLOOKUP(INDIRECT(ADDRESS(2,COLUMN())),OFFSET($BN$2,0,0,ROW()-1,60),ROW()-1,FALSE))</f>
        <v>59.313711660000003</v>
      </c>
      <c r="AU275">
        <f ca="1">IF(AND(ISNUMBER($AU$562),$B$294=1),$AU$562,HLOOKUP(INDIRECT(ADDRESS(2,COLUMN())),OFFSET($BN$2,0,0,ROW()-1,60),ROW()-1,FALSE))</f>
        <v>58.647454420000003</v>
      </c>
      <c r="AV275">
        <f ca="1">IF(AND(ISNUMBER($AV$562),$B$294=1),$AV$562,HLOOKUP(INDIRECT(ADDRESS(2,COLUMN())),OFFSET($BN$2,0,0,ROW()-1,60),ROW()-1,FALSE))</f>
        <v>55.867631320000001</v>
      </c>
      <c r="AW275">
        <f ca="1">IF(AND(ISNUMBER($AW$562),$B$294=1),$AW$562,HLOOKUP(INDIRECT(ADDRESS(2,COLUMN())),OFFSET($BN$2,0,0,ROW()-1,60),ROW()-1,FALSE))</f>
        <v>59.23816025</v>
      </c>
      <c r="AX275">
        <f ca="1">IF(AND(ISNUMBER($AX$562),$B$294=1),$AX$562,HLOOKUP(INDIRECT(ADDRESS(2,COLUMN())),OFFSET($BN$2,0,0,ROW()-1,60),ROW()-1,FALSE))</f>
        <v>61.931113170000003</v>
      </c>
      <c r="AY275">
        <f ca="1">IF(AND(ISNUMBER($AY$562),$B$294=1),$AY$562,HLOOKUP(INDIRECT(ADDRESS(2,COLUMN())),OFFSET($BN$2,0,0,ROW()-1,60),ROW()-1,FALSE))</f>
        <v>58.622093190000001</v>
      </c>
      <c r="AZ275">
        <f ca="1">IF(AND(ISNUMBER($AZ$562),$B$294=1),$AZ$562,HLOOKUP(INDIRECT(ADDRESS(2,COLUMN())),OFFSET($BN$2,0,0,ROW()-1,60),ROW()-1,FALSE))</f>
        <v>59.422780580000001</v>
      </c>
      <c r="BA275">
        <f ca="1">IF(AND(ISNUMBER($BA$562),$B$294=1),$BA$562,HLOOKUP(INDIRECT(ADDRESS(2,COLUMN())),OFFSET($BN$2,0,0,ROW()-1,60),ROW()-1,FALSE))</f>
        <v>52.640669719999998</v>
      </c>
      <c r="BB275">
        <f ca="1">IF(AND(ISNUMBER($BB$562),$B$294=1),$BB$562,HLOOKUP(INDIRECT(ADDRESS(2,COLUMN())),OFFSET($BN$2,0,0,ROW()-1,60),ROW()-1,FALSE))</f>
        <v>48.352574099999998</v>
      </c>
      <c r="BC275">
        <f ca="1">IF(AND(ISNUMBER($BC$562),$B$294=1),$BC$562,HLOOKUP(INDIRECT(ADDRESS(2,COLUMN())),OFFSET($BN$2,0,0,ROW()-1,60),ROW()-1,FALSE))</f>
        <v>60.555651079999997</v>
      </c>
      <c r="BD275">
        <f ca="1">IF(AND(ISNUMBER($BD$562),$B$294=1),$BD$562,HLOOKUP(INDIRECT(ADDRESS(2,COLUMN())),OFFSET($BN$2,0,0,ROW()-1,60),ROW()-1,FALSE))</f>
        <v>58.207117359999998</v>
      </c>
      <c r="BE275">
        <f ca="1">IF(AND(ISNUMBER($BE$562),$B$294=1),$BE$562,HLOOKUP(INDIRECT(ADDRESS(2,COLUMN())),OFFSET($BN$2,0,0,ROW()-1,60),ROW()-1,FALSE))</f>
        <v>54.136932420000001</v>
      </c>
      <c r="BF275">
        <f ca="1">IF(AND(ISNUMBER($BF$562),$B$294=1),$BF$562,HLOOKUP(INDIRECT(ADDRESS(2,COLUMN())),OFFSET($BN$2,0,0,ROW()-1,60),ROW()-1,FALSE))</f>
        <v>57.799314150000001</v>
      </c>
      <c r="BG275">
        <f ca="1">IF(AND(ISNUMBER($BG$562),$B$294=1),$BG$562,HLOOKUP(INDIRECT(ADDRESS(2,COLUMN())),OFFSET($BN$2,0,0,ROW()-1,60),ROW()-1,FALSE))</f>
        <v>57.824269999999999</v>
      </c>
      <c r="BH275">
        <f ca="1">IF(AND(ISNUMBER($BH$562),$B$294=1),$BH$562,HLOOKUP(INDIRECT(ADDRESS(2,COLUMN())),OFFSET($BN$2,0,0,ROW()-1,60),ROW()-1,FALSE))</f>
        <v>54.665366130000002</v>
      </c>
      <c r="BI275">
        <f ca="1">IF(AND(ISNUMBER($BI$562),$B$294=1),$BI$562,HLOOKUP(INDIRECT(ADDRESS(2,COLUMN())),OFFSET($BN$2,0,0,ROW()-1,60),ROW()-1,FALSE))</f>
        <v>56.315593219999997</v>
      </c>
      <c r="BJ275">
        <f ca="1">IF(AND(ISNUMBER($BJ$562),$B$294=1),$BJ$562,HLOOKUP(INDIRECT(ADDRESS(2,COLUMN())),OFFSET($BN$2,0,0,ROW()-1,60),ROW()-1,FALSE))</f>
        <v>58.005514699999999</v>
      </c>
      <c r="BK275">
        <f ca="1">IF(AND(ISNUMBER($BK$562),$B$294=1),$BK$562,HLOOKUP(INDIRECT(ADDRESS(2,COLUMN())),OFFSET($BN$2,0,0,ROW()-1,60),ROW()-1,FALSE))</f>
        <v>55.181174310000003</v>
      </c>
      <c r="BL275">
        <f ca="1">IF(AND(ISNUMBER($BL$562),$B$294=1),$BL$562,HLOOKUP(INDIRECT(ADDRESS(2,COLUMN())),OFFSET($BN$2,0,0,ROW()-1,60),ROW()-1,FALSE))</f>
        <v>52.39573378</v>
      </c>
      <c r="BM275">
        <f ca="1">IF(AND(ISNUMBER($BM$562),$B$294=1),$BM$562,HLOOKUP(INDIRECT(ADDRESS(2,COLUMN())),OFFSET($BN$2,0,0,ROW()-1,60),ROW()-1,FALSE))</f>
        <v>51.277589130000003</v>
      </c>
      <c r="BN275" t="str">
        <f>""</f>
        <v/>
      </c>
      <c r="BO275">
        <f>35.99432273</f>
        <v>35.99432273</v>
      </c>
      <c r="BP275">
        <f>31.15306087</f>
        <v>31.153060870000001</v>
      </c>
      <c r="BQ275">
        <f>29.76357384</f>
        <v>29.763573839999999</v>
      </c>
      <c r="BR275">
        <f>24.15461315</f>
        <v>24.154613149999999</v>
      </c>
      <c r="BS275">
        <f>41.01821671</f>
        <v>41.018216709999997</v>
      </c>
      <c r="BT275">
        <f>22.48221562</f>
        <v>22.482215620000002</v>
      </c>
      <c r="BU275">
        <f>20.9937772</f>
        <v>20.9937772</v>
      </c>
      <c r="BV275">
        <f>27.93422309</f>
        <v>27.93422309</v>
      </c>
      <c r="BW275">
        <f>28.59417943</f>
        <v>28.594179430000001</v>
      </c>
      <c r="BX275">
        <f>25.97518384</f>
        <v>25.97518384</v>
      </c>
      <c r="BY275">
        <f>28.75808288</f>
        <v>28.75808288</v>
      </c>
      <c r="BZ275">
        <f>31.0759082</f>
        <v>31.075908200000001</v>
      </c>
      <c r="CA275">
        <f>39.12646102</f>
        <v>39.126461020000001</v>
      </c>
      <c r="CB275">
        <f>27.7520453</f>
        <v>27.752045299999999</v>
      </c>
      <c r="CC275">
        <f>26.46194184</f>
        <v>26.461941840000001</v>
      </c>
      <c r="CD275">
        <f>88.54754164</f>
        <v>88.547541640000006</v>
      </c>
      <c r="CE275">
        <f>50.59319106</f>
        <v>50.593191060000002</v>
      </c>
      <c r="CF275">
        <f>46.11784276</f>
        <v>46.117842760000002</v>
      </c>
      <c r="CG275">
        <f>40.36944415</f>
        <v>40.36944415</v>
      </c>
      <c r="CH275">
        <f>62.58495146</f>
        <v>62.584951459999999</v>
      </c>
      <c r="CI275">
        <f>60.2268418</f>
        <v>60.226841800000003</v>
      </c>
      <c r="CJ275">
        <f>60.78877746</f>
        <v>60.788777459999999</v>
      </c>
      <c r="CK275">
        <f>63.66113572</f>
        <v>63.661135719999997</v>
      </c>
      <c r="CL275">
        <f>53.05522362</f>
        <v>53.05522362</v>
      </c>
      <c r="CM275">
        <f>57.66881171</f>
        <v>57.66881171</v>
      </c>
      <c r="CN275">
        <f>53.67935133</f>
        <v>53.679351330000003</v>
      </c>
      <c r="CO275">
        <f>59.25908782</f>
        <v>59.259087819999998</v>
      </c>
      <c r="CP275">
        <f>58.12778603</f>
        <v>58.127786030000003</v>
      </c>
      <c r="CQ275">
        <f>55.68256541</f>
        <v>55.682565410000002</v>
      </c>
      <c r="CR275">
        <f>55.54279311</f>
        <v>55.542793109999998</v>
      </c>
      <c r="CS275">
        <f>54.0847373</f>
        <v>54.0847373</v>
      </c>
      <c r="CT275">
        <f>53.61726428</f>
        <v>53.617264280000001</v>
      </c>
      <c r="CU275">
        <f>63.96781023</f>
        <v>63.967810229999998</v>
      </c>
      <c r="CV275">
        <f>46.8899748</f>
        <v>46.889974799999997</v>
      </c>
      <c r="CW275">
        <f>43.48599561</f>
        <v>43.485995610000003</v>
      </c>
      <c r="CX275">
        <f>43.93796537</f>
        <v>43.937965370000001</v>
      </c>
      <c r="CY275">
        <f>82.55792473</f>
        <v>82.557924729999996</v>
      </c>
      <c r="CZ275">
        <f>51.60923684</f>
        <v>51.609236840000001</v>
      </c>
      <c r="DA275">
        <f>55.65398623</f>
        <v>55.653986230000001</v>
      </c>
      <c r="DB275">
        <f>59.31371166</f>
        <v>59.313711660000003</v>
      </c>
      <c r="DC275">
        <f>58.64745442</f>
        <v>58.647454420000003</v>
      </c>
      <c r="DD275">
        <f>55.86763132</f>
        <v>55.867631320000001</v>
      </c>
      <c r="DE275">
        <f>59.23816025</f>
        <v>59.23816025</v>
      </c>
      <c r="DF275">
        <f>61.93111317</f>
        <v>61.931113170000003</v>
      </c>
      <c r="DG275">
        <f>58.62209319</f>
        <v>58.622093190000001</v>
      </c>
      <c r="DH275">
        <f>59.42278058</f>
        <v>59.422780580000001</v>
      </c>
      <c r="DI275">
        <f>52.64066972</f>
        <v>52.640669719999998</v>
      </c>
      <c r="DJ275">
        <f>48.3525741</f>
        <v>48.352574099999998</v>
      </c>
      <c r="DK275">
        <f>60.55565108</f>
        <v>60.555651079999997</v>
      </c>
      <c r="DL275">
        <f>58.20711736</f>
        <v>58.207117359999998</v>
      </c>
      <c r="DM275">
        <f>54.13693242</f>
        <v>54.136932420000001</v>
      </c>
      <c r="DN275">
        <f>57.79931415</f>
        <v>57.799314150000001</v>
      </c>
      <c r="DO275">
        <f>57.82427</f>
        <v>57.824269999999999</v>
      </c>
      <c r="DP275">
        <f>54.66536613</f>
        <v>54.665366130000002</v>
      </c>
      <c r="DQ275">
        <f>56.31559322</f>
        <v>56.315593219999997</v>
      </c>
      <c r="DR275">
        <f>58.0055147</f>
        <v>58.005514699999999</v>
      </c>
      <c r="DS275">
        <f>55.18117431</f>
        <v>55.181174310000003</v>
      </c>
      <c r="DT275">
        <f>52.39573378</f>
        <v>52.39573378</v>
      </c>
      <c r="DU275">
        <f>51.27758913</f>
        <v>51.277589130000003</v>
      </c>
    </row>
    <row r="276" spans="1:125">
      <c r="A276" t="str">
        <f>"    Piedmont Office Realty Trust I"</f>
        <v xml:space="preserve">    Piedmont Office Realty Trust I</v>
      </c>
      <c r="B276" t="str">
        <f>"PDM US Equity"</f>
        <v>PDM US Equity</v>
      </c>
      <c r="C276" t="str">
        <f t="shared" si="70"/>
        <v>RR106</v>
      </c>
      <c r="D276" t="str">
        <f t="shared" si="71"/>
        <v>FFO_PAYOUT_RATIO</v>
      </c>
      <c r="E276" t="str">
        <f t="shared" si="72"/>
        <v>动态</v>
      </c>
      <c r="F276" t="str">
        <f ca="1">IF(AND(ISNUMBER($F$563),$B$294=1),$F$563,HLOOKUP(INDIRECT(ADDRESS(2,COLUMN())),OFFSET($BN$2,0,0,ROW()-1,60),ROW()-1,FALSE))</f>
        <v/>
      </c>
      <c r="G276">
        <f ca="1">IF(AND(ISNUMBER($G$563),$B$294=1),$G$563,HLOOKUP(INDIRECT(ADDRESS(2,COLUMN())),OFFSET($BN$2,0,0,ROW()-1,60),ROW()-1,FALSE))</f>
        <v>49.831893719999997</v>
      </c>
      <c r="H276">
        <f ca="1">IF(AND(ISNUMBER($H$563),$B$294=1),$H$563,HLOOKUP(INDIRECT(ADDRESS(2,COLUMN())),OFFSET($BN$2,0,0,ROW()-1,60),ROW()-1,FALSE))</f>
        <v>50.210119169999999</v>
      </c>
      <c r="I276">
        <f ca="1">IF(AND(ISNUMBER($I$563),$B$294=1),$I$563,HLOOKUP(INDIRECT(ADDRESS(2,COLUMN())),OFFSET($BN$2,0,0,ROW()-1,60),ROW()-1,FALSE))</f>
        <v>46.015195970000001</v>
      </c>
      <c r="J276">
        <f ca="1">IF(AND(ISNUMBER($J$563),$B$294=1),$J$563,HLOOKUP(INDIRECT(ADDRESS(2,COLUMN())),OFFSET($BN$2,0,0,ROW()-1,60),ROW()-1,FALSE))</f>
        <v>46.15059222</v>
      </c>
      <c r="K276">
        <f ca="1">IF(AND(ISNUMBER($K$563),$B$294=1),$K$563,HLOOKUP(INDIRECT(ADDRESS(2,COLUMN())),OFFSET($BN$2,0,0,ROW()-1,60),ROW()-1,FALSE))</f>
        <v>47.536906190000003</v>
      </c>
      <c r="L276">
        <f ca="1">IF(AND(ISNUMBER($L$563),$B$294=1),$L$563,HLOOKUP(INDIRECT(ADDRESS(2,COLUMN())),OFFSET($BN$2,0,0,ROW()-1,60),ROW()-1,FALSE))</f>
        <v>50.837684359999997</v>
      </c>
      <c r="M276">
        <f ca="1">IF(AND(ISNUMBER($M$563),$B$294=1),$M$563,HLOOKUP(INDIRECT(ADDRESS(2,COLUMN())),OFFSET($BN$2,0,0,ROW()-1,60),ROW()-1,FALSE))</f>
        <v>52.429917770000003</v>
      </c>
      <c r="N276">
        <f ca="1">IF(AND(ISNUMBER($N$563),$B$294=1),$N$563,HLOOKUP(INDIRECT(ADDRESS(2,COLUMN())),OFFSET($BN$2,0,0,ROW()-1,60),ROW()-1,FALSE))</f>
        <v>51.01331596</v>
      </c>
      <c r="O276">
        <f ca="1">IF(AND(ISNUMBER($O$563),$B$294=1),$O$563,HLOOKUP(INDIRECT(ADDRESS(2,COLUMN())),OFFSET($BN$2,0,0,ROW()-1,60),ROW()-1,FALSE))</f>
        <v>51.588718919999998</v>
      </c>
      <c r="P276">
        <f ca="1">IF(AND(ISNUMBER($P$563),$B$294=1),$P$563,HLOOKUP(INDIRECT(ADDRESS(2,COLUMN())),OFFSET($BN$2,0,0,ROW()-1,60),ROW()-1,FALSE))</f>
        <v>51.304153229999997</v>
      </c>
      <c r="Q276">
        <f ca="1">IF(AND(ISNUMBER($Q$563),$B$294=1),$Q$563,HLOOKUP(INDIRECT(ADDRESS(2,COLUMN())),OFFSET($BN$2,0,0,ROW()-1,60),ROW()-1,FALSE))</f>
        <v>54.083699719999998</v>
      </c>
      <c r="R276">
        <f ca="1">IF(AND(ISNUMBER($R$563),$B$294=1),$R$563,HLOOKUP(INDIRECT(ADDRESS(2,COLUMN())),OFFSET($BN$2,0,0,ROW()-1,60),ROW()-1,FALSE))</f>
        <v>54.168960050000003</v>
      </c>
      <c r="S276">
        <f ca="1">IF(AND(ISNUMBER($S$563),$B$294=1),$S$563,HLOOKUP(INDIRECT(ADDRESS(2,COLUMN())),OFFSET($BN$2,0,0,ROW()-1,60),ROW()-1,FALSE))</f>
        <v>52.296415629999998</v>
      </c>
      <c r="T276">
        <f ca="1">IF(AND(ISNUMBER($T$563),$B$294=1),$T$563,HLOOKUP(INDIRECT(ADDRESS(2,COLUMN())),OFFSET($BN$2,0,0,ROW()-1,60),ROW()-1,FALSE))</f>
        <v>52.584528079999998</v>
      </c>
      <c r="U276">
        <f ca="1">IF(AND(ISNUMBER($U$563),$B$294=1),$U$563,HLOOKUP(INDIRECT(ADDRESS(2,COLUMN())),OFFSET($BN$2,0,0,ROW()-1,60),ROW()-1,FALSE))</f>
        <v>53.461257209999999</v>
      </c>
      <c r="V276">
        <f ca="1">IF(AND(ISNUMBER($V$563),$B$294=1),$V$563,HLOOKUP(INDIRECT(ADDRESS(2,COLUMN())),OFFSET($BN$2,0,0,ROW()-1,60),ROW()-1,FALSE))</f>
        <v>53.256936070000002</v>
      </c>
      <c r="W276">
        <f ca="1">IF(AND(ISNUMBER($W$563),$B$294=1),$W$563,HLOOKUP(INDIRECT(ADDRESS(2,COLUMN())),OFFSET($BN$2,0,0,ROW()-1,60),ROW()-1,FALSE))</f>
        <v>50.158650770000001</v>
      </c>
      <c r="X276">
        <f ca="1">IF(AND(ISNUMBER($X$563),$B$294=1),$X$563,HLOOKUP(INDIRECT(ADDRESS(2,COLUMN())),OFFSET($BN$2,0,0,ROW()-1,60),ROW()-1,FALSE))</f>
        <v>50.685001620000001</v>
      </c>
      <c r="Y276">
        <f ca="1">IF(AND(ISNUMBER($Y$563),$B$294=1),$Y$563,HLOOKUP(INDIRECT(ADDRESS(2,COLUMN())),OFFSET($BN$2,0,0,ROW()-1,60),ROW()-1,FALSE))</f>
        <v>54.571292919999998</v>
      </c>
      <c r="Z276">
        <f ca="1">IF(AND(ISNUMBER($Z$563),$B$294=1),$Z$563,HLOOKUP(INDIRECT(ADDRESS(2,COLUMN())),OFFSET($BN$2,0,0,ROW()-1,60),ROW()-1,FALSE))</f>
        <v>55.704186239999999</v>
      </c>
      <c r="AA276">
        <f ca="1">IF(AND(ISNUMBER($AA$563),$B$294=1),$AA$563,HLOOKUP(INDIRECT(ADDRESS(2,COLUMN())),OFFSET($BN$2,0,0,ROW()-1,60),ROW()-1,FALSE))</f>
        <v>61.245692409999997</v>
      </c>
      <c r="AB276">
        <f ca="1">IF(AND(ISNUMBER($AB$563),$B$294=1),$AB$563,HLOOKUP(INDIRECT(ADDRESS(2,COLUMN())),OFFSET($BN$2,0,0,ROW()-1,60),ROW()-1,FALSE))</f>
        <v>61.06603398</v>
      </c>
      <c r="AC276">
        <f ca="1">IF(AND(ISNUMBER($AC$563),$B$294=1),$AC$563,HLOOKUP(INDIRECT(ADDRESS(2,COLUMN())),OFFSET($BN$2,0,0,ROW()-1,60),ROW()-1,FALSE))</f>
        <v>57.100280400000003</v>
      </c>
      <c r="AD276">
        <f ca="1">IF(AND(ISNUMBER($AD$563),$B$294=1),$AD$563,HLOOKUP(INDIRECT(ADDRESS(2,COLUMN())),OFFSET($BN$2,0,0,ROW()-1,60),ROW()-1,FALSE))</f>
        <v>57.570862339999998</v>
      </c>
      <c r="AE276">
        <f ca="1">IF(AND(ISNUMBER($AE$563),$B$294=1),$AE$563,HLOOKUP(INDIRECT(ADDRESS(2,COLUMN())),OFFSET($BN$2,0,0,ROW()-1,60),ROW()-1,FALSE))</f>
        <v>82.664270439999996</v>
      </c>
      <c r="AF276">
        <f ca="1">IF(AND(ISNUMBER($AF$563),$B$294=1),$AF$563,HLOOKUP(INDIRECT(ADDRESS(2,COLUMN())),OFFSET($BN$2,0,0,ROW()-1,60),ROW()-1,FALSE))</f>
        <v>81.578107320000001</v>
      </c>
      <c r="AG276">
        <f ca="1">IF(AND(ISNUMBER($AG$563),$B$294=1),$AG$563,HLOOKUP(INDIRECT(ADDRESS(2,COLUMN())),OFFSET($BN$2,0,0,ROW()-1,60),ROW()-1,FALSE))</f>
        <v>84.267661649999994</v>
      </c>
      <c r="AH276">
        <f ca="1">IF(AND(ISNUMBER($AH$563),$B$294=1),$AH$563,HLOOKUP(INDIRECT(ADDRESS(2,COLUMN())),OFFSET($BN$2,0,0,ROW()-1,60),ROW()-1,FALSE))</f>
        <v>76.476362769999994</v>
      </c>
      <c r="AI276">
        <f ca="1">IF(AND(ISNUMBER($AI$563),$B$294=1),$AI$563,HLOOKUP(INDIRECT(ADDRESS(2,COLUMN())),OFFSET($BN$2,0,0,ROW()-1,60),ROW()-1,FALSE))</f>
        <v>80.213347859999999</v>
      </c>
      <c r="AJ276">
        <f ca="1">IF(AND(ISNUMBER($AJ$563),$B$294=1),$AJ$563,HLOOKUP(INDIRECT(ADDRESS(2,COLUMN())),OFFSET($BN$2,0,0,ROW()-1,60),ROW()-1,FALSE))</f>
        <v>69.847461069999994</v>
      </c>
      <c r="AK276">
        <f ca="1">IF(AND(ISNUMBER($AK$563),$B$294=1),$AK$563,HLOOKUP(INDIRECT(ADDRESS(2,COLUMN())),OFFSET($BN$2,0,0,ROW()-1,60),ROW()-1,FALSE))</f>
        <v>96.087401959999994</v>
      </c>
      <c r="AL276">
        <f ca="1">IF(AND(ISNUMBER($AL$563),$B$294=1),$AL$563,HLOOKUP(INDIRECT(ADDRESS(2,COLUMN())),OFFSET($BN$2,0,0,ROW()-1,60),ROW()-1,FALSE))</f>
        <v>77.714673829999995</v>
      </c>
      <c r="AM276">
        <f ca="1">IF(AND(ISNUMBER($AM$563),$B$294=1),$AM$563,HLOOKUP(INDIRECT(ADDRESS(2,COLUMN())),OFFSET($BN$2,0,0,ROW()-1,60),ROW()-1,FALSE))</f>
        <v>71.586264459999995</v>
      </c>
      <c r="AN276">
        <f ca="1">IF(AND(ISNUMBER($AN$563),$B$294=1),$AN$563,HLOOKUP(INDIRECT(ADDRESS(2,COLUMN())),OFFSET($BN$2,0,0,ROW()-1,60),ROW()-1,FALSE))</f>
        <v>151.18112669999999</v>
      </c>
      <c r="AO276">
        <f ca="1">IF(AND(ISNUMBER($AO$563),$B$294=1),$AO$563,HLOOKUP(INDIRECT(ADDRESS(2,COLUMN())),OFFSET($BN$2,0,0,ROW()-1,60),ROW()-1,FALSE))</f>
        <v>72.694901400000006</v>
      </c>
      <c r="AP276">
        <f ca="1">IF(AND(ISNUMBER($AP$563),$B$294=1),$AP$563,HLOOKUP(INDIRECT(ADDRESS(2,COLUMN())),OFFSET($BN$2,0,0,ROW()-1,60),ROW()-1,FALSE))</f>
        <v>73.442661290000004</v>
      </c>
      <c r="AQ276">
        <f ca="1">IF(AND(ISNUMBER($AQ$563),$B$294=1),$AQ$563,HLOOKUP(INDIRECT(ADDRESS(2,COLUMN())),OFFSET($BN$2,0,0,ROW()-1,60),ROW()-1,FALSE))</f>
        <v>95.941894509999997</v>
      </c>
      <c r="AR276">
        <f ca="1">IF(AND(ISNUMBER($AR$563),$B$294=1),$AR$563,HLOOKUP(INDIRECT(ADDRESS(2,COLUMN())),OFFSET($BN$2,0,0,ROW()-1,60),ROW()-1,FALSE))</f>
        <v>287.74839600000001</v>
      </c>
      <c r="AS276">
        <f ca="1">IF(AND(ISNUMBER($AS$563),$B$294=1),$AS$563,HLOOKUP(INDIRECT(ADDRESS(2,COLUMN())),OFFSET($BN$2,0,0,ROW()-1,60),ROW()-1,FALSE))</f>
        <v>197.48740889999999</v>
      </c>
      <c r="AT276">
        <f ca="1">IF(AND(ISNUMBER($AT$563),$B$294=1),$AT$563,HLOOKUP(INDIRECT(ADDRESS(2,COLUMN())),OFFSET($BN$2,0,0,ROW()-1,60),ROW()-1,FALSE))</f>
        <v>89.964732690000005</v>
      </c>
      <c r="AU276">
        <f ca="1">IF(AND(ISNUMBER($AU$563),$B$294=1),$AU$563,HLOOKUP(INDIRECT(ADDRESS(2,COLUMN())),OFFSET($BN$2,0,0,ROW()-1,60),ROW()-1,FALSE))</f>
        <v>96.978027699999998</v>
      </c>
      <c r="AV276">
        <f ca="1">IF(AND(ISNUMBER($AV$563),$B$294=1),$AV$563,HLOOKUP(INDIRECT(ADDRESS(2,COLUMN())),OFFSET($BN$2,0,0,ROW()-1,60),ROW()-1,FALSE))</f>
        <v>100.58671440000001</v>
      </c>
      <c r="AW276">
        <f ca="1">IF(AND(ISNUMBER($AW$563),$B$294=1),$AW$563,HLOOKUP(INDIRECT(ADDRESS(2,COLUMN())),OFFSET($BN$2,0,0,ROW()-1,60),ROW()-1,FALSE))</f>
        <v>102.78431329999999</v>
      </c>
      <c r="AX276">
        <f ca="1">IF(AND(ISNUMBER($AX$563),$B$294=1),$AX$563,HLOOKUP(INDIRECT(ADDRESS(2,COLUMN())),OFFSET($BN$2,0,0,ROW()-1,60),ROW()-1,FALSE))</f>
        <v>96.217125870000004</v>
      </c>
      <c r="AY276">
        <f ca="1">IF(AND(ISNUMBER($AY$563),$B$294=1),$AY$563,HLOOKUP(INDIRECT(ADDRESS(2,COLUMN())),OFFSET($BN$2,0,0,ROW()-1,60),ROW()-1,FALSE))</f>
        <v>117.9027773</v>
      </c>
      <c r="AZ276">
        <f ca="1">IF(AND(ISNUMBER($AZ$563),$B$294=1),$AZ$563,HLOOKUP(INDIRECT(ADDRESS(2,COLUMN())),OFFSET($BN$2,0,0,ROW()-1,60),ROW()-1,FALSE))</f>
        <v>86.410811769999995</v>
      </c>
      <c r="BA276">
        <f ca="1">IF(AND(ISNUMBER($BA$563),$B$294=1),$BA$563,HLOOKUP(INDIRECT(ADDRESS(2,COLUMN())),OFFSET($BN$2,0,0,ROW()-1,60),ROW()-1,FALSE))</f>
        <v>98.877454740000005</v>
      </c>
      <c r="BB276">
        <f ca="1">IF(AND(ISNUMBER($BB$563),$B$294=1),$BB$563,HLOOKUP(INDIRECT(ADDRESS(2,COLUMN())),OFFSET($BN$2,0,0,ROW()-1,60),ROW()-1,FALSE))</f>
        <v>92.725166029999997</v>
      </c>
      <c r="BC276">
        <f ca="1">IF(AND(ISNUMBER($BC$563),$B$294=1),$BC$563,HLOOKUP(INDIRECT(ADDRESS(2,COLUMN())),OFFSET($BN$2,0,0,ROW()-1,60),ROW()-1,FALSE))</f>
        <v>88.889215269999994</v>
      </c>
      <c r="BD276">
        <f ca="1">IF(AND(ISNUMBER($BD$563),$B$294=1),$BD$563,HLOOKUP(INDIRECT(ADDRESS(2,COLUMN())),OFFSET($BN$2,0,0,ROW()-1,60),ROW()-1,FALSE))</f>
        <v>94.896125960000006</v>
      </c>
      <c r="BE276">
        <f ca="1">IF(AND(ISNUMBER($BE$563),$B$294=1),$BE$563,HLOOKUP(INDIRECT(ADDRESS(2,COLUMN())),OFFSET($BN$2,0,0,ROW()-1,60),ROW()-1,FALSE))</f>
        <v>101.5947305</v>
      </c>
      <c r="BF276">
        <f ca="1">IF(AND(ISNUMBER($BF$563),$B$294=1),$BF$563,HLOOKUP(INDIRECT(ADDRESS(2,COLUMN())),OFFSET($BN$2,0,0,ROW()-1,60),ROW()-1,FALSE))</f>
        <v>89.118492720000006</v>
      </c>
      <c r="BG276">
        <f ca="1">IF(AND(ISNUMBER($BG$563),$B$294=1),$BG$563,HLOOKUP(INDIRECT(ADDRESS(2,COLUMN())),OFFSET($BN$2,0,0,ROW()-1,60),ROW()-1,FALSE))</f>
        <v>64.857970679999994</v>
      </c>
      <c r="BH276">
        <f ca="1">IF(AND(ISNUMBER($BH$563),$B$294=1),$BH$563,HLOOKUP(INDIRECT(ADDRESS(2,COLUMN())),OFFSET($BN$2,0,0,ROW()-1,60),ROW()-1,FALSE))</f>
        <v>95.215798890000002</v>
      </c>
      <c r="BI276">
        <f ca="1">IF(AND(ISNUMBER($BI$563),$B$294=1),$BI$563,HLOOKUP(INDIRECT(ADDRESS(2,COLUMN())),OFFSET($BN$2,0,0,ROW()-1,60),ROW()-1,FALSE))</f>
        <v>87.756921030000001</v>
      </c>
      <c r="BJ276">
        <f ca="1">IF(AND(ISNUMBER($BJ$563),$B$294=1),$BJ$563,HLOOKUP(INDIRECT(ADDRESS(2,COLUMN())),OFFSET($BN$2,0,0,ROW()-1,60),ROW()-1,FALSE))</f>
        <v>99.746483639999994</v>
      </c>
      <c r="BK276">
        <f ca="1">IF(AND(ISNUMBER($BK$563),$B$294=1),$BK$563,HLOOKUP(INDIRECT(ADDRESS(2,COLUMN())),OFFSET($BN$2,0,0,ROW()-1,60),ROW()-1,FALSE))</f>
        <v>105.038805</v>
      </c>
      <c r="BL276">
        <f ca="1">IF(AND(ISNUMBER($BL$563),$B$294=1),$BL$563,HLOOKUP(INDIRECT(ADDRESS(2,COLUMN())),OFFSET($BN$2,0,0,ROW()-1,60),ROW()-1,FALSE))</f>
        <v>97.906421460000004</v>
      </c>
      <c r="BM276">
        <f ca="1">IF(AND(ISNUMBER($BM$563),$B$294=1),$BM$563,HLOOKUP(INDIRECT(ADDRESS(2,COLUMN())),OFFSET($BN$2,0,0,ROW()-1,60),ROW()-1,FALSE))</f>
        <v>94.468988789999997</v>
      </c>
      <c r="BN276" t="str">
        <f>""</f>
        <v/>
      </c>
      <c r="BO276">
        <f>49.83189372</f>
        <v>49.831893719999997</v>
      </c>
      <c r="BP276">
        <f>50.21011917</f>
        <v>50.210119169999999</v>
      </c>
      <c r="BQ276">
        <f>46.01519597</f>
        <v>46.015195970000001</v>
      </c>
      <c r="BR276">
        <f>46.15059222</f>
        <v>46.15059222</v>
      </c>
      <c r="BS276">
        <f>47.53690619</f>
        <v>47.536906190000003</v>
      </c>
      <c r="BT276">
        <f>50.83768436</f>
        <v>50.837684359999997</v>
      </c>
      <c r="BU276">
        <f>52.42991777</f>
        <v>52.429917770000003</v>
      </c>
      <c r="BV276">
        <f>51.01331596</f>
        <v>51.01331596</v>
      </c>
      <c r="BW276">
        <f>51.58871892</f>
        <v>51.588718919999998</v>
      </c>
      <c r="BX276">
        <f>51.30415323</f>
        <v>51.304153229999997</v>
      </c>
      <c r="BY276">
        <f>54.08369972</f>
        <v>54.083699719999998</v>
      </c>
      <c r="BZ276">
        <f>54.16896005</f>
        <v>54.168960050000003</v>
      </c>
      <c r="CA276">
        <f>52.29641563</f>
        <v>52.296415629999998</v>
      </c>
      <c r="CB276">
        <f>52.58452808</f>
        <v>52.584528079999998</v>
      </c>
      <c r="CC276">
        <f>53.46125721</f>
        <v>53.461257209999999</v>
      </c>
      <c r="CD276">
        <f>53.25693607</f>
        <v>53.256936070000002</v>
      </c>
      <c r="CE276">
        <f>50.15865077</f>
        <v>50.158650770000001</v>
      </c>
      <c r="CF276">
        <f>50.68500162</f>
        <v>50.685001620000001</v>
      </c>
      <c r="CG276">
        <f>54.57129292</f>
        <v>54.571292919999998</v>
      </c>
      <c r="CH276">
        <f>55.70418624</f>
        <v>55.704186239999999</v>
      </c>
      <c r="CI276">
        <f>61.24569241</f>
        <v>61.245692409999997</v>
      </c>
      <c r="CJ276">
        <f>61.06603398</f>
        <v>61.06603398</v>
      </c>
      <c r="CK276">
        <f>57.1002804</f>
        <v>57.100280400000003</v>
      </c>
      <c r="CL276">
        <f>57.57086234</f>
        <v>57.570862339999998</v>
      </c>
      <c r="CM276">
        <f>82.66427044</f>
        <v>82.664270439999996</v>
      </c>
      <c r="CN276">
        <f>81.57810732</f>
        <v>81.578107320000001</v>
      </c>
      <c r="CO276">
        <f>84.26766165</f>
        <v>84.267661649999994</v>
      </c>
      <c r="CP276">
        <f>76.47636277</f>
        <v>76.476362769999994</v>
      </c>
      <c r="CQ276">
        <f>80.21334786</f>
        <v>80.213347859999999</v>
      </c>
      <c r="CR276">
        <f>69.84746107</f>
        <v>69.847461069999994</v>
      </c>
      <c r="CS276">
        <f>96.08740196</f>
        <v>96.087401959999994</v>
      </c>
      <c r="CT276">
        <f>77.71467383</f>
        <v>77.714673829999995</v>
      </c>
      <c r="CU276">
        <f>71.58626446</f>
        <v>71.586264459999995</v>
      </c>
      <c r="CV276">
        <f>151.1811267</f>
        <v>151.18112669999999</v>
      </c>
      <c r="CW276">
        <f>72.6949014</f>
        <v>72.694901400000006</v>
      </c>
      <c r="CX276">
        <f>73.44266129</f>
        <v>73.442661290000004</v>
      </c>
      <c r="CY276">
        <f>95.94189451</f>
        <v>95.941894509999997</v>
      </c>
      <c r="CZ276">
        <f>287.748396</f>
        <v>287.74839600000001</v>
      </c>
      <c r="DA276">
        <f>197.4874089</f>
        <v>197.48740889999999</v>
      </c>
      <c r="DB276">
        <f>89.96473269</f>
        <v>89.964732690000005</v>
      </c>
      <c r="DC276">
        <f>96.9780277</f>
        <v>96.978027699999998</v>
      </c>
      <c r="DD276">
        <f>100.5867144</f>
        <v>100.58671440000001</v>
      </c>
      <c r="DE276">
        <f>102.7843133</f>
        <v>102.78431329999999</v>
      </c>
      <c r="DF276">
        <f>96.21712587</f>
        <v>96.217125870000004</v>
      </c>
      <c r="DG276">
        <f>117.9027773</f>
        <v>117.9027773</v>
      </c>
      <c r="DH276">
        <f>86.41081177</f>
        <v>86.410811769999995</v>
      </c>
      <c r="DI276">
        <f>98.87745474</f>
        <v>98.877454740000005</v>
      </c>
      <c r="DJ276">
        <f>92.72516603</f>
        <v>92.725166029999997</v>
      </c>
      <c r="DK276">
        <f>88.88921527</f>
        <v>88.889215269999994</v>
      </c>
      <c r="DL276">
        <f>94.89612596</f>
        <v>94.896125960000006</v>
      </c>
      <c r="DM276">
        <f>101.5947305</f>
        <v>101.5947305</v>
      </c>
      <c r="DN276">
        <f>89.11849272</f>
        <v>89.118492720000006</v>
      </c>
      <c r="DO276">
        <f>64.85797068</f>
        <v>64.857970679999994</v>
      </c>
      <c r="DP276">
        <f>95.21579889</f>
        <v>95.215798890000002</v>
      </c>
      <c r="DQ276">
        <f>87.75692103</f>
        <v>87.756921030000001</v>
      </c>
      <c r="DR276">
        <f>99.74648364</f>
        <v>99.746483639999994</v>
      </c>
      <c r="DS276">
        <f>105.038805</f>
        <v>105.038805</v>
      </c>
      <c r="DT276">
        <f>97.90642146</f>
        <v>97.906421460000004</v>
      </c>
      <c r="DU276">
        <f>94.46898879</f>
        <v>94.468988789999997</v>
      </c>
    </row>
    <row r="277" spans="1:125">
      <c r="A277" t="str">
        <f>"    SL Green Realty Corp"</f>
        <v xml:space="preserve">    SL Green Realty Corp</v>
      </c>
      <c r="B277" t="str">
        <f>"SLG US Equity"</f>
        <v>SLG US Equity</v>
      </c>
      <c r="C277" t="str">
        <f t="shared" si="70"/>
        <v>RR106</v>
      </c>
      <c r="D277" t="str">
        <f t="shared" si="71"/>
        <v>FFO_PAYOUT_RATIO</v>
      </c>
      <c r="E277" t="str">
        <f t="shared" si="72"/>
        <v>动态</v>
      </c>
      <c r="F277" t="str">
        <f ca="1">IF(AND(ISNUMBER($F$564),$B$294=1),$F$564,HLOOKUP(INDIRECT(ADDRESS(2,COLUMN())),OFFSET($BN$2,0,0,ROW()-1,60),ROW()-1,FALSE))</f>
        <v/>
      </c>
      <c r="G277">
        <f ca="1">IF(AND(ISNUMBER($G$564),$B$294=1),$G$564,HLOOKUP(INDIRECT(ADDRESS(2,COLUMN())),OFFSET($BN$2,0,0,ROW()-1,60),ROW()-1,FALSE))</f>
        <v>48.251892599999998</v>
      </c>
      <c r="H277">
        <f ca="1">IF(AND(ISNUMBER($H$564),$B$294=1),$H$564,HLOOKUP(INDIRECT(ADDRESS(2,COLUMN())),OFFSET($BN$2,0,0,ROW()-1,60),ROW()-1,FALSE))</f>
        <v>49.298400549999997</v>
      </c>
      <c r="I277">
        <f ca="1">IF(AND(ISNUMBER($I$564),$B$294=1),$I$564,HLOOKUP(INDIRECT(ADDRESS(2,COLUMN())),OFFSET($BN$2,0,0,ROW()-1,60),ROW()-1,FALSE))</f>
        <v>40.885755430000003</v>
      </c>
      <c r="J277">
        <f ca="1">IF(AND(ISNUMBER($J$564),$B$294=1),$J$564,HLOOKUP(INDIRECT(ADDRESS(2,COLUMN())),OFFSET($BN$2,0,0,ROW()-1,60),ROW()-1,FALSE))</f>
        <v>46.979999280000001</v>
      </c>
      <c r="K277">
        <f ca="1">IF(AND(ISNUMBER($K$564),$B$294=1),$K$564,HLOOKUP(INDIRECT(ADDRESS(2,COLUMN())),OFFSET($BN$2,0,0,ROW()-1,60),ROW()-1,FALSE))</f>
        <v>51.571564549999998</v>
      </c>
      <c r="L277">
        <f ca="1">IF(AND(ISNUMBER($L$564),$B$294=1),$L$564,HLOOKUP(INDIRECT(ADDRESS(2,COLUMN())),OFFSET($BN$2,0,0,ROW()-1,60),ROW()-1,FALSE))</f>
        <v>42.422829980000003</v>
      </c>
      <c r="M277">
        <f ca="1">IF(AND(ISNUMBER($M$564),$B$294=1),$M$564,HLOOKUP(INDIRECT(ADDRESS(2,COLUMN())),OFFSET($BN$2,0,0,ROW()-1,60),ROW()-1,FALSE))</f>
        <v>20.250655739999999</v>
      </c>
      <c r="N277">
        <f ca="1">IF(AND(ISNUMBER($N$564),$B$294=1),$N$564,HLOOKUP(INDIRECT(ADDRESS(2,COLUMN())),OFFSET($BN$2,0,0,ROW()-1,60),ROW()-1,FALSE))</f>
        <v>37.529660239999998</v>
      </c>
      <c r="O277">
        <f ca="1">IF(AND(ISNUMBER($O$564),$B$294=1),$O$564,HLOOKUP(INDIRECT(ADDRESS(2,COLUMN())),OFFSET($BN$2,0,0,ROW()-1,60),ROW()-1,FALSE))</f>
        <v>42.94745906</v>
      </c>
      <c r="P277">
        <f ca="1">IF(AND(ISNUMBER($P$564),$B$294=1),$P$564,HLOOKUP(INDIRECT(ADDRESS(2,COLUMN())),OFFSET($BN$2,0,0,ROW()-1,60),ROW()-1,FALSE))</f>
        <v>34.850389479999997</v>
      </c>
      <c r="Q277">
        <f ca="1">IF(AND(ISNUMBER($Q$564),$B$294=1),$Q$564,HLOOKUP(INDIRECT(ADDRESS(2,COLUMN())),OFFSET($BN$2,0,0,ROW()-1,60),ROW()-1,FALSE))</f>
        <v>35.386010880000001</v>
      </c>
      <c r="R277">
        <f ca="1">IF(AND(ISNUMBER($R$564),$B$294=1),$R$564,HLOOKUP(INDIRECT(ADDRESS(2,COLUMN())),OFFSET($BN$2,0,0,ROW()-1,60),ROW()-1,FALSE))</f>
        <v>38.6319771</v>
      </c>
      <c r="S277">
        <f ca="1">IF(AND(ISNUMBER($S$564),$B$294=1),$S$564,HLOOKUP(INDIRECT(ADDRESS(2,COLUMN())),OFFSET($BN$2,0,0,ROW()-1,60),ROW()-1,FALSE))</f>
        <v>40.125777470000003</v>
      </c>
      <c r="T277">
        <f ca="1">IF(AND(ISNUMBER($T$564),$B$294=1),$T$564,HLOOKUP(INDIRECT(ADDRESS(2,COLUMN())),OFFSET($BN$2,0,0,ROW()-1,60),ROW()-1,FALSE))</f>
        <v>37.548045999999999</v>
      </c>
      <c r="U277">
        <f ca="1">IF(AND(ISNUMBER($U$564),$B$294=1),$U$564,HLOOKUP(INDIRECT(ADDRESS(2,COLUMN())),OFFSET($BN$2,0,0,ROW()-1,60),ROW()-1,FALSE))</f>
        <v>29.662834060000002</v>
      </c>
      <c r="V277">
        <f ca="1">IF(AND(ISNUMBER($V$564),$B$294=1),$V$564,HLOOKUP(INDIRECT(ADDRESS(2,COLUMN())),OFFSET($BN$2,0,0,ROW()-1,60),ROW()-1,FALSE))</f>
        <v>31.719727379999998</v>
      </c>
      <c r="W277">
        <f ca="1">IF(AND(ISNUMBER($W$564),$B$294=1),$W$564,HLOOKUP(INDIRECT(ADDRESS(2,COLUMN())),OFFSET($BN$2,0,0,ROW()-1,60),ROW()-1,FALSE))</f>
        <v>34.941308530000001</v>
      </c>
      <c r="X277">
        <f ca="1">IF(AND(ISNUMBER($X$564),$B$294=1),$X$564,HLOOKUP(INDIRECT(ADDRESS(2,COLUMN())),OFFSET($BN$2,0,0,ROW()-1,60),ROW()-1,FALSE))</f>
        <v>23.831088080000001</v>
      </c>
      <c r="Y277">
        <f ca="1">IF(AND(ISNUMBER($Y$564),$B$294=1),$Y$564,HLOOKUP(INDIRECT(ADDRESS(2,COLUMN())),OFFSET($BN$2,0,0,ROW()-1,60),ROW()-1,FALSE))</f>
        <v>25.106909259999998</v>
      </c>
      <c r="Z277">
        <f ca="1">IF(AND(ISNUMBER($Z$564),$B$294=1),$Z$564,HLOOKUP(INDIRECT(ADDRESS(2,COLUMN())),OFFSET($BN$2,0,0,ROW()-1,60),ROW()-1,FALSE))</f>
        <v>27.939830069999999</v>
      </c>
      <c r="AA277">
        <f ca="1">IF(AND(ISNUMBER($AA$564),$B$294=1),$AA$564,HLOOKUP(INDIRECT(ADDRESS(2,COLUMN())),OFFSET($BN$2,0,0,ROW()-1,60),ROW()-1,FALSE))</f>
        <v>27.86316978</v>
      </c>
      <c r="AB277">
        <f ca="1">IF(AND(ISNUMBER($AB$564),$B$294=1),$AB$564,HLOOKUP(INDIRECT(ADDRESS(2,COLUMN())),OFFSET($BN$2,0,0,ROW()-1,60),ROW()-1,FALSE))</f>
        <v>22.277449699999998</v>
      </c>
      <c r="AC277">
        <f ca="1">IF(AND(ISNUMBER($AC$564),$B$294=1),$AC$564,HLOOKUP(INDIRECT(ADDRESS(2,COLUMN())),OFFSET($BN$2,0,0,ROW()-1,60),ROW()-1,FALSE))</f>
        <v>12.540783490000001</v>
      </c>
      <c r="AD277">
        <f ca="1">IF(AND(ISNUMBER($AD$564),$B$294=1),$AD$564,HLOOKUP(INDIRECT(ADDRESS(2,COLUMN())),OFFSET($BN$2,0,0,ROW()-1,60),ROW()-1,FALSE))</f>
        <v>21.842171530000002</v>
      </c>
      <c r="AE277">
        <f ca="1">IF(AND(ISNUMBER($AE$564),$B$294=1),$AE$564,HLOOKUP(INDIRECT(ADDRESS(2,COLUMN())),OFFSET($BN$2,0,0,ROW()-1,60),ROW()-1,FALSE))</f>
        <v>23.81268755</v>
      </c>
      <c r="AF277">
        <f ca="1">IF(AND(ISNUMBER($AF$564),$B$294=1),$AF$564,HLOOKUP(INDIRECT(ADDRESS(2,COLUMN())),OFFSET($BN$2,0,0,ROW()-1,60),ROW()-1,FALSE))</f>
        <v>9.7500369770000006</v>
      </c>
      <c r="AG277">
        <f ca="1">IF(AND(ISNUMBER($AG$564),$B$294=1),$AG$564,HLOOKUP(INDIRECT(ADDRESS(2,COLUMN())),OFFSET($BN$2,0,0,ROW()-1,60),ROW()-1,FALSE))</f>
        <v>9.0008184720000006</v>
      </c>
      <c r="AH277">
        <f ca="1">IF(AND(ISNUMBER($AH$564),$B$294=1),$AH$564,HLOOKUP(INDIRECT(ADDRESS(2,COLUMN())),OFFSET($BN$2,0,0,ROW()-1,60),ROW()-1,FALSE))</f>
        <v>5.562046864</v>
      </c>
      <c r="AI277">
        <f ca="1">IF(AND(ISNUMBER($AI$564),$B$294=1),$AI$564,HLOOKUP(INDIRECT(ADDRESS(2,COLUMN())),OFFSET($BN$2,0,0,ROW()-1,60),ROW()-1,FALSE))</f>
        <v>10.11092315</v>
      </c>
      <c r="AJ277">
        <f ca="1">IF(AND(ISNUMBER($AJ$564),$B$294=1),$AJ$564,HLOOKUP(INDIRECT(ADDRESS(2,COLUMN())),OFFSET($BN$2,0,0,ROW()-1,60),ROW()-1,FALSE))</f>
        <v>5.3833078710000004</v>
      </c>
      <c r="AK277">
        <f ca="1">IF(AND(ISNUMBER($AK$564),$B$294=1),$AK$564,HLOOKUP(INDIRECT(ADDRESS(2,COLUMN())),OFFSET($BN$2,0,0,ROW()-1,60),ROW()-1,FALSE))</f>
        <v>9.5817219750000007</v>
      </c>
      <c r="AL277">
        <f ca="1">IF(AND(ISNUMBER($AL$564),$B$294=1),$AL$564,HLOOKUP(INDIRECT(ADDRESS(2,COLUMN())),OFFSET($BN$2,0,0,ROW()-1,60),ROW()-1,FALSE))</f>
        <v>9.1607123940000008</v>
      </c>
      <c r="AM277">
        <f ca="1">IF(AND(ISNUMBER($AM$564),$B$294=1),$AM$564,HLOOKUP(INDIRECT(ADDRESS(2,COLUMN())),OFFSET($BN$2,0,0,ROW()-1,60),ROW()-1,FALSE))</f>
        <v>11.17707474</v>
      </c>
      <c r="AN277">
        <f ca="1">IF(AND(ISNUMBER($AN$564),$B$294=1),$AN$564,HLOOKUP(INDIRECT(ADDRESS(2,COLUMN())),OFFSET($BN$2,0,0,ROW()-1,60),ROW()-1,FALSE))</f>
        <v>9.8430634020000003</v>
      </c>
      <c r="AO277">
        <f ca="1">IF(AND(ISNUMBER($AO$564),$B$294=1),$AO$564,HLOOKUP(INDIRECT(ADDRESS(2,COLUMN())),OFFSET($BN$2,0,0,ROW()-1,60),ROW()-1,FALSE))</f>
        <v>8.066169339</v>
      </c>
      <c r="AP277">
        <f ca="1">IF(AND(ISNUMBER($AP$564),$B$294=1),$AP$564,HLOOKUP(INDIRECT(ADDRESS(2,COLUMN())),OFFSET($BN$2,0,0,ROW()-1,60),ROW()-1,FALSE))</f>
        <v>24.332996659999999</v>
      </c>
      <c r="AQ277">
        <f ca="1">IF(AND(ISNUMBER($AQ$564),$B$294=1),$AQ$564,HLOOKUP(INDIRECT(ADDRESS(2,COLUMN())),OFFSET($BN$2,0,0,ROW()-1,60),ROW()-1,FALSE))</f>
        <v>34.813984099999999</v>
      </c>
      <c r="AR277">
        <f ca="1">IF(AND(ISNUMBER($AR$564),$B$294=1),$AR$564,HLOOKUP(INDIRECT(ADDRESS(2,COLUMN())),OFFSET($BN$2,0,0,ROW()-1,60),ROW()-1,FALSE))</f>
        <v>55.079600300000003</v>
      </c>
      <c r="AS277">
        <f ca="1">IF(AND(ISNUMBER($AS$564),$B$294=1),$AS$564,HLOOKUP(INDIRECT(ADDRESS(2,COLUMN())),OFFSET($BN$2,0,0,ROW()-1,60),ROW()-1,FALSE))</f>
        <v>39.227381999999999</v>
      </c>
      <c r="AT277">
        <f ca="1">IF(AND(ISNUMBER($AT$564),$B$294=1),$AT$564,HLOOKUP(INDIRECT(ADDRESS(2,COLUMN())),OFFSET($BN$2,0,0,ROW()-1,60),ROW()-1,FALSE))</f>
        <v>55.349625959999997</v>
      </c>
      <c r="AU277">
        <f ca="1">IF(AND(ISNUMBER($AU$564),$B$294=1),$AU$564,HLOOKUP(INDIRECT(ADDRESS(2,COLUMN())),OFFSET($BN$2,0,0,ROW()-1,60),ROW()-1,FALSE))</f>
        <v>60.447191340000003</v>
      </c>
      <c r="AV277">
        <f ca="1">IF(AND(ISNUMBER($AV$564),$B$294=1),$AV$564,HLOOKUP(INDIRECT(ADDRESS(2,COLUMN())),OFFSET($BN$2,0,0,ROW()-1,60),ROW()-1,FALSE))</f>
        <v>53.459778980000003</v>
      </c>
      <c r="AW277">
        <f ca="1">IF(AND(ISNUMBER($AW$564),$B$294=1),$AW$564,HLOOKUP(INDIRECT(ADDRESS(2,COLUMN())),OFFSET($BN$2,0,0,ROW()-1,60),ROW()-1,FALSE))</f>
        <v>52.392816269999997</v>
      </c>
      <c r="AX277">
        <f ca="1">IF(AND(ISNUMBER($AX$564),$B$294=1),$AX$564,HLOOKUP(INDIRECT(ADDRESS(2,COLUMN())),OFFSET($BN$2,0,0,ROW()-1,60),ROW()-1,FALSE))</f>
        <v>32.052685179999997</v>
      </c>
      <c r="AY277">
        <f ca="1">IF(AND(ISNUMBER($AY$564),$B$294=1),$AY$564,HLOOKUP(INDIRECT(ADDRESS(2,COLUMN())),OFFSET($BN$2,0,0,ROW()-1,60),ROW()-1,FALSE))</f>
        <v>54.001156450000003</v>
      </c>
      <c r="AZ277">
        <f ca="1">IF(AND(ISNUMBER($AZ$564),$B$294=1),$AZ$564,HLOOKUP(INDIRECT(ADDRESS(2,COLUMN())),OFFSET($BN$2,0,0,ROW()-1,60),ROW()-1,FALSE))</f>
        <v>48.906691629999997</v>
      </c>
      <c r="BA277">
        <f ca="1">IF(AND(ISNUMBER($BA$564),$B$294=1),$BA$564,HLOOKUP(INDIRECT(ADDRESS(2,COLUMN())),OFFSET($BN$2,0,0,ROW()-1,60),ROW()-1,FALSE))</f>
        <v>45.309997549999999</v>
      </c>
      <c r="BB277">
        <f ca="1">IF(AND(ISNUMBER($BB$564),$B$294=1),$BB$564,HLOOKUP(INDIRECT(ADDRESS(2,COLUMN())),OFFSET($BN$2,0,0,ROW()-1,60),ROW()-1,FALSE))</f>
        <v>51.063981890000001</v>
      </c>
      <c r="BC277">
        <f ca="1">IF(AND(ISNUMBER($BC$564),$B$294=1),$BC$564,HLOOKUP(INDIRECT(ADDRESS(2,COLUMN())),OFFSET($BN$2,0,0,ROW()-1,60),ROW()-1,FALSE))</f>
        <v>54.780688650000002</v>
      </c>
      <c r="BD277">
        <f ca="1">IF(AND(ISNUMBER($BD$564),$B$294=1),$BD$564,HLOOKUP(INDIRECT(ADDRESS(2,COLUMN())),OFFSET($BN$2,0,0,ROW()-1,60),ROW()-1,FALSE))</f>
        <v>43.783812009999998</v>
      </c>
      <c r="BE277">
        <f ca="1">IF(AND(ISNUMBER($BE$564),$B$294=1),$BE$564,HLOOKUP(INDIRECT(ADDRESS(2,COLUMN())),OFFSET($BN$2,0,0,ROW()-1,60),ROW()-1,FALSE))</f>
        <v>48.664280169999998</v>
      </c>
      <c r="BF277">
        <f ca="1">IF(AND(ISNUMBER($BF$564),$B$294=1),$BF$564,HLOOKUP(INDIRECT(ADDRESS(2,COLUMN())),OFFSET($BN$2,0,0,ROW()-1,60),ROW()-1,FALSE))</f>
        <v>50.050672110000001</v>
      </c>
      <c r="BG277">
        <f ca="1">IF(AND(ISNUMBER($BG$564),$B$294=1),$BG$564,HLOOKUP(INDIRECT(ADDRESS(2,COLUMN())),OFFSET($BN$2,0,0,ROW()-1,60),ROW()-1,FALSE))</f>
        <v>53.912818829999999</v>
      </c>
      <c r="BH277">
        <f ca="1">IF(AND(ISNUMBER($BH$564),$B$294=1),$BH$564,HLOOKUP(INDIRECT(ADDRESS(2,COLUMN())),OFFSET($BN$2,0,0,ROW()-1,60),ROW()-1,FALSE))</f>
        <v>48.429776459999999</v>
      </c>
      <c r="BI277">
        <f ca="1">IF(AND(ISNUMBER($BI$564),$B$294=1),$BI$564,HLOOKUP(INDIRECT(ADDRESS(2,COLUMN())),OFFSET($BN$2,0,0,ROW()-1,60),ROW()-1,FALSE))</f>
        <v>43.761609210000003</v>
      </c>
      <c r="BJ277">
        <f ca="1">IF(AND(ISNUMBER($BJ$564),$B$294=1),$BJ$564,HLOOKUP(INDIRECT(ADDRESS(2,COLUMN())),OFFSET($BN$2,0,0,ROW()-1,60),ROW()-1,FALSE))</f>
        <v>55.21006002</v>
      </c>
      <c r="BK277">
        <f ca="1">IF(AND(ISNUMBER($BK$564),$B$294=1),$BK$564,HLOOKUP(INDIRECT(ADDRESS(2,COLUMN())),OFFSET($BN$2,0,0,ROW()-1,60),ROW()-1,FALSE))</f>
        <v>50.485215150000002</v>
      </c>
      <c r="BL277" t="str">
        <f ca="1">IF(AND(ISNUMBER($BL$564),$B$294=1),$BL$564,HLOOKUP(INDIRECT(ADDRESS(2,COLUMN())),OFFSET($BN$2,0,0,ROW()-1,60),ROW()-1,FALSE))</f>
        <v/>
      </c>
      <c r="BM277">
        <f ca="1">IF(AND(ISNUMBER($BM$564),$B$294=1),$BM$564,HLOOKUP(INDIRECT(ADDRESS(2,COLUMN())),OFFSET($BN$2,0,0,ROW()-1,60),ROW()-1,FALSE))</f>
        <v>85.122210409999994</v>
      </c>
      <c r="BN277" t="str">
        <f>""</f>
        <v/>
      </c>
      <c r="BO277">
        <f>48.2518926</f>
        <v>48.251892599999998</v>
      </c>
      <c r="BP277">
        <f>49.29840055</f>
        <v>49.298400549999997</v>
      </c>
      <c r="BQ277">
        <f>40.88575543</f>
        <v>40.885755430000003</v>
      </c>
      <c r="BR277">
        <f>46.97999928</f>
        <v>46.979999280000001</v>
      </c>
      <c r="BS277">
        <f>51.57156455</f>
        <v>51.571564549999998</v>
      </c>
      <c r="BT277">
        <f>42.42282998</f>
        <v>42.422829980000003</v>
      </c>
      <c r="BU277">
        <f>20.25065574</f>
        <v>20.250655739999999</v>
      </c>
      <c r="BV277">
        <f>37.52966024</f>
        <v>37.529660239999998</v>
      </c>
      <c r="BW277">
        <f>42.94745906</f>
        <v>42.94745906</v>
      </c>
      <c r="BX277">
        <f>34.85038948</f>
        <v>34.850389479999997</v>
      </c>
      <c r="BY277">
        <f>35.38601088</f>
        <v>35.386010880000001</v>
      </c>
      <c r="BZ277">
        <f>38.6319771</f>
        <v>38.6319771</v>
      </c>
      <c r="CA277">
        <f>40.12577747</f>
        <v>40.125777470000003</v>
      </c>
      <c r="CB277">
        <f>37.548046</f>
        <v>37.548045999999999</v>
      </c>
      <c r="CC277">
        <f>29.66283406</f>
        <v>29.662834060000002</v>
      </c>
      <c r="CD277">
        <f>31.71972738</f>
        <v>31.719727379999998</v>
      </c>
      <c r="CE277">
        <f>34.94130853</f>
        <v>34.941308530000001</v>
      </c>
      <c r="CF277">
        <f>23.83108808</f>
        <v>23.831088080000001</v>
      </c>
      <c r="CG277">
        <f>25.10690926</f>
        <v>25.106909259999998</v>
      </c>
      <c r="CH277">
        <f>27.93983007</f>
        <v>27.939830069999999</v>
      </c>
      <c r="CI277">
        <f>27.86316978</f>
        <v>27.86316978</v>
      </c>
      <c r="CJ277">
        <f>22.2774497</f>
        <v>22.277449699999998</v>
      </c>
      <c r="CK277">
        <f>12.54078349</f>
        <v>12.540783490000001</v>
      </c>
      <c r="CL277">
        <f>21.84217153</f>
        <v>21.842171530000002</v>
      </c>
      <c r="CM277">
        <f>23.81268755</f>
        <v>23.81268755</v>
      </c>
      <c r="CN277">
        <f>9.750036977</f>
        <v>9.7500369770000006</v>
      </c>
      <c r="CO277">
        <f>9.000818472</f>
        <v>9.0008184720000006</v>
      </c>
      <c r="CP277">
        <f>5.562046864</f>
        <v>5.562046864</v>
      </c>
      <c r="CQ277">
        <f>10.11092315</f>
        <v>10.11092315</v>
      </c>
      <c r="CR277">
        <f>5.383307871</f>
        <v>5.3833078710000004</v>
      </c>
      <c r="CS277">
        <f>9.581721975</f>
        <v>9.5817219750000007</v>
      </c>
      <c r="CT277">
        <f>9.160712394</f>
        <v>9.1607123940000008</v>
      </c>
      <c r="CU277">
        <f>11.17707474</f>
        <v>11.17707474</v>
      </c>
      <c r="CV277">
        <f>9.843063402</f>
        <v>9.8430634020000003</v>
      </c>
      <c r="CW277">
        <f>8.066169339</f>
        <v>8.066169339</v>
      </c>
      <c r="CX277">
        <f>24.33299666</f>
        <v>24.332996659999999</v>
      </c>
      <c r="CY277">
        <f>34.8139841</f>
        <v>34.813984099999999</v>
      </c>
      <c r="CZ277">
        <f>55.0796003</f>
        <v>55.079600300000003</v>
      </c>
      <c r="DA277">
        <f>39.227382</f>
        <v>39.227381999999999</v>
      </c>
      <c r="DB277">
        <f>55.34962596</f>
        <v>55.349625959999997</v>
      </c>
      <c r="DC277">
        <f>60.44719134</f>
        <v>60.447191340000003</v>
      </c>
      <c r="DD277">
        <f>53.45977898</f>
        <v>53.459778980000003</v>
      </c>
      <c r="DE277">
        <f>52.39281627</f>
        <v>52.392816269999997</v>
      </c>
      <c r="DF277">
        <f>32.05268518</f>
        <v>32.052685179999997</v>
      </c>
      <c r="DG277">
        <f>54.00115645</f>
        <v>54.001156450000003</v>
      </c>
      <c r="DH277">
        <f>48.90669163</f>
        <v>48.906691629999997</v>
      </c>
      <c r="DI277">
        <f>45.30999755</f>
        <v>45.309997549999999</v>
      </c>
      <c r="DJ277">
        <f>51.06398189</f>
        <v>51.063981890000001</v>
      </c>
      <c r="DK277">
        <f>54.78068865</f>
        <v>54.780688650000002</v>
      </c>
      <c r="DL277">
        <f>43.78381201</f>
        <v>43.783812009999998</v>
      </c>
      <c r="DM277">
        <f>48.66428017</f>
        <v>48.664280169999998</v>
      </c>
      <c r="DN277">
        <f>50.05067211</f>
        <v>50.050672110000001</v>
      </c>
      <c r="DO277">
        <f>53.91281883</f>
        <v>53.912818829999999</v>
      </c>
      <c r="DP277">
        <f>48.42977646</f>
        <v>48.429776459999999</v>
      </c>
      <c r="DQ277">
        <f>43.76160921</f>
        <v>43.761609210000003</v>
      </c>
      <c r="DR277">
        <f>55.21006002</f>
        <v>55.21006002</v>
      </c>
      <c r="DS277">
        <f>50.48521515</f>
        <v>50.485215150000002</v>
      </c>
      <c r="DT277" t="str">
        <f>""</f>
        <v/>
      </c>
      <c r="DU277">
        <f>85.12221041</f>
        <v>85.122210409999994</v>
      </c>
    </row>
    <row r="278" spans="1:125">
      <c r="A278" t="str">
        <f>"    Vornado Realty Trust"</f>
        <v xml:space="preserve">    Vornado Realty Trust</v>
      </c>
      <c r="B278" t="str">
        <f>"VNO US Equity"</f>
        <v>VNO US Equity</v>
      </c>
      <c r="C278" t="str">
        <f t="shared" si="70"/>
        <v>RR106</v>
      </c>
      <c r="D278" t="str">
        <f t="shared" si="71"/>
        <v>FFO_PAYOUT_RATIO</v>
      </c>
      <c r="E278" t="str">
        <f t="shared" si="72"/>
        <v>动态</v>
      </c>
      <c r="F278" t="str">
        <f ca="1">IF(AND(ISNUMBER($F$565),$B$294=1),$F$565,HLOOKUP(INDIRECT(ADDRESS(2,COLUMN())),OFFSET($BN$2,0,0,ROW()-1,60),ROW()-1,FALSE))</f>
        <v/>
      </c>
      <c r="G278">
        <f ca="1">IF(AND(ISNUMBER($G$565),$B$294=1),$G$565,HLOOKUP(INDIRECT(ADDRESS(2,COLUMN())),OFFSET($BN$2,0,0,ROW()-1,60),ROW()-1,FALSE))</f>
        <v>74.396380039999997</v>
      </c>
      <c r="H278">
        <f ca="1">IF(AND(ISNUMBER($H$565),$B$294=1),$H$565,HLOOKUP(INDIRECT(ADDRESS(2,COLUMN())),OFFSET($BN$2,0,0,ROW()-1,60),ROW()-1,FALSE))</f>
        <v>113.5536745</v>
      </c>
      <c r="I278">
        <f ca="1">IF(AND(ISNUMBER($I$565),$B$294=1),$I$565,HLOOKUP(INDIRECT(ADDRESS(2,COLUMN())),OFFSET($BN$2,0,0,ROW()-1,60),ROW()-1,FALSE))</f>
        <v>52.186472780000003</v>
      </c>
      <c r="J278">
        <f ca="1">IF(AND(ISNUMBER($J$565),$B$294=1),$J$565,HLOOKUP(INDIRECT(ADDRESS(2,COLUMN())),OFFSET($BN$2,0,0,ROW()-1,60),ROW()-1,FALSE))</f>
        <v>65.299058470000006</v>
      </c>
      <c r="K278">
        <f ca="1">IF(AND(ISNUMBER($K$565),$B$294=1),$K$565,HLOOKUP(INDIRECT(ADDRESS(2,COLUMN())),OFFSET($BN$2,0,0,ROW()-1,60),ROW()-1,FALSE))</f>
        <v>14.927054630000001</v>
      </c>
      <c r="L278">
        <f ca="1">IF(AND(ISNUMBER($L$565),$B$294=1),$L$565,HLOOKUP(INDIRECT(ADDRESS(2,COLUMN())),OFFSET($BN$2,0,0,ROW()-1,60),ROW()-1,FALSE))</f>
        <v>52.76821606</v>
      </c>
      <c r="M278">
        <f ca="1">IF(AND(ISNUMBER($M$565),$B$294=1),$M$565,HLOOKUP(INDIRECT(ADDRESS(2,COLUMN())),OFFSET($BN$2,0,0,ROW()-1,60),ROW()-1,FALSE))</f>
        <v>51.835123260000003</v>
      </c>
      <c r="N278">
        <f ca="1">IF(AND(ISNUMBER($N$565),$B$294=1),$N$565,HLOOKUP(INDIRECT(ADDRESS(2,COLUMN())),OFFSET($BN$2,0,0,ROW()-1,60),ROW()-1,FALSE))</f>
        <v>58.509547740000002</v>
      </c>
      <c r="O278">
        <f ca="1">IF(AND(ISNUMBER($O$565),$B$294=1),$O$565,HLOOKUP(INDIRECT(ADDRESS(2,COLUMN())),OFFSET($BN$2,0,0,ROW()-1,60),ROW()-1,FALSE))</f>
        <v>45.767050179999998</v>
      </c>
      <c r="P278">
        <f ca="1">IF(AND(ISNUMBER($P$565),$B$294=1),$P$565,HLOOKUP(INDIRECT(ADDRESS(2,COLUMN())),OFFSET($BN$2,0,0,ROW()-1,60),ROW()-1,FALSE))</f>
        <v>50.312668670000001</v>
      </c>
      <c r="Q278">
        <f ca="1">IF(AND(ISNUMBER($Q$565),$B$294=1),$Q$565,HLOOKUP(INDIRECT(ADDRESS(2,COLUMN())),OFFSET($BN$2,0,0,ROW()-1,60),ROW()-1,FALSE))</f>
        <v>36.696636480000002</v>
      </c>
      <c r="R278">
        <f ca="1">IF(AND(ISNUMBER($R$565),$B$294=1),$R$565,HLOOKUP(INDIRECT(ADDRESS(2,COLUMN())),OFFSET($BN$2,0,0,ROW()-1,60),ROW()-1,FALSE))</f>
        <v>53.815529529999999</v>
      </c>
      <c r="S278">
        <f ca="1">IF(AND(ISNUMBER($S$565),$B$294=1),$S$565,HLOOKUP(INDIRECT(ADDRESS(2,COLUMN())),OFFSET($BN$2,0,0,ROW()-1,60),ROW()-1,FALSE))</f>
        <v>59.561437890000001</v>
      </c>
      <c r="T278">
        <f ca="1">IF(AND(ISNUMBER($T$565),$B$294=1),$T$565,HLOOKUP(INDIRECT(ADDRESS(2,COLUMN())),OFFSET($BN$2,0,0,ROW()-1,60),ROW()-1,FALSE))</f>
        <v>63.028418029999997</v>
      </c>
      <c r="U278">
        <f ca="1">IF(AND(ISNUMBER($U$565),$B$294=1),$U$565,HLOOKUP(INDIRECT(ADDRESS(2,COLUMN())),OFFSET($BN$2,0,0,ROW()-1,60),ROW()-1,FALSE))</f>
        <v>63.217089129999998</v>
      </c>
      <c r="V278">
        <f ca="1">IF(AND(ISNUMBER($V$565),$B$294=1),$V$565,HLOOKUP(INDIRECT(ADDRESS(2,COLUMN())),OFFSET($BN$2,0,0,ROW()-1,60),ROW()-1,FALSE))</f>
        <v>55.340239359999998</v>
      </c>
      <c r="W278" t="str">
        <f ca="1">IF(AND(ISNUMBER($W$565),$B$294=1),$W$565,HLOOKUP(INDIRECT(ADDRESS(2,COLUMN())),OFFSET($BN$2,0,0,ROW()-1,60),ROW()-1,FALSE))</f>
        <v/>
      </c>
      <c r="X278">
        <f ca="1">IF(AND(ISNUMBER($X$565),$B$294=1),$X$565,HLOOKUP(INDIRECT(ADDRESS(2,COLUMN())),OFFSET($BN$2,0,0,ROW()-1,60),ROW()-1,FALSE))</f>
        <v>64.800509910000002</v>
      </c>
      <c r="Y278">
        <f ca="1">IF(AND(ISNUMBER($Y$565),$B$294=1),$Y$565,HLOOKUP(INDIRECT(ADDRESS(2,COLUMN())),OFFSET($BN$2,0,0,ROW()-1,60),ROW()-1,FALSE))</f>
        <v>57.982064860000001</v>
      </c>
      <c r="Z278">
        <f ca="1">IF(AND(ISNUMBER($Z$565),$B$294=1),$Z$565,HLOOKUP(INDIRECT(ADDRESS(2,COLUMN())),OFFSET($BN$2,0,0,ROW()-1,60),ROW()-1,FALSE))</f>
        <v>67.556238230000005</v>
      </c>
      <c r="AA278">
        <f ca="1">IF(AND(ISNUMBER($AA$565),$B$294=1),$AA$565,HLOOKUP(INDIRECT(ADDRESS(2,COLUMN())),OFFSET($BN$2,0,0,ROW()-1,60),ROW()-1,FALSE))</f>
        <v>563.23354800000004</v>
      </c>
      <c r="AB278">
        <f ca="1">IF(AND(ISNUMBER($AB$565),$B$294=1),$AB$565,HLOOKUP(INDIRECT(ADDRESS(2,COLUMN())),OFFSET($BN$2,0,0,ROW()-1,60),ROW()-1,FALSE))</f>
        <v>51.106713040000002</v>
      </c>
      <c r="AC278">
        <f ca="1">IF(AND(ISNUMBER($AC$565),$B$294=1),$AC$565,HLOOKUP(INDIRECT(ADDRESS(2,COLUMN())),OFFSET($BN$2,0,0,ROW()-1,60),ROW()-1,FALSE))</f>
        <v>76.866162279999998</v>
      </c>
      <c r="AD278">
        <f ca="1">IF(AND(ISNUMBER($AD$565),$B$294=1),$AD$565,HLOOKUP(INDIRECT(ADDRESS(2,COLUMN())),OFFSET($BN$2,0,0,ROW()-1,60),ROW()-1,FALSE))</f>
        <v>36.726148799999997</v>
      </c>
      <c r="AE278">
        <f ca="1">IF(AND(ISNUMBER($AE$565),$B$294=1),$AE$565,HLOOKUP(INDIRECT(ADDRESS(2,COLUMN())),OFFSET($BN$2,0,0,ROW()-1,60),ROW()-1,FALSE))</f>
        <v>90.847411800000003</v>
      </c>
      <c r="AF278">
        <f ca="1">IF(AND(ISNUMBER($AF$565),$B$294=1),$AF$565,HLOOKUP(INDIRECT(ADDRESS(2,COLUMN())),OFFSET($BN$2,0,0,ROW()-1,60),ROW()-1,FALSE))</f>
        <v>65.206723890000006</v>
      </c>
      <c r="AG278">
        <f ca="1">IF(AND(ISNUMBER($AG$565),$B$294=1),$AG$565,HLOOKUP(INDIRECT(ADDRESS(2,COLUMN())),OFFSET($BN$2,0,0,ROW()-1,60),ROW()-1,FALSE))</f>
        <v>52.233162710000002</v>
      </c>
      <c r="AH278">
        <f ca="1">IF(AND(ISNUMBER($AH$565),$B$294=1),$AH$565,HLOOKUP(INDIRECT(ADDRESS(2,COLUMN())),OFFSET($BN$2,0,0,ROW()-1,60),ROW()-1,FALSE))</f>
        <v>25.08958732</v>
      </c>
      <c r="AI278">
        <f ca="1">IF(AND(ISNUMBER($AI$565),$B$294=1),$AI$565,HLOOKUP(INDIRECT(ADDRESS(2,COLUMN())),OFFSET($BN$2,0,0,ROW()-1,60),ROW()-1,FALSE))</f>
        <v>27.526267149999999</v>
      </c>
      <c r="AJ278">
        <f ca="1">IF(AND(ISNUMBER($AJ$565),$B$294=1),$AJ$565,HLOOKUP(INDIRECT(ADDRESS(2,COLUMN())),OFFSET($BN$2,0,0,ROW()-1,60),ROW()-1,FALSE))</f>
        <v>47.637529919999999</v>
      </c>
      <c r="AK278">
        <f ca="1">IF(AND(ISNUMBER($AK$565),$B$294=1),$AK$565,HLOOKUP(INDIRECT(ADDRESS(2,COLUMN())),OFFSET($BN$2,0,0,ROW()-1,60),ROW()-1,FALSE))</f>
        <v>57.780140840000001</v>
      </c>
      <c r="AL278">
        <f ca="1">IF(AND(ISNUMBER($AL$565),$B$294=1),$AL$565,HLOOKUP(INDIRECT(ADDRESS(2,COLUMN())),OFFSET($BN$2,0,0,ROW()-1,60),ROW()-1,FALSE))</f>
        <v>33.337855329999996</v>
      </c>
      <c r="AM278">
        <f ca="1">IF(AND(ISNUMBER($AM$565),$B$294=1),$AM$565,HLOOKUP(INDIRECT(ADDRESS(2,COLUMN())),OFFSET($BN$2,0,0,ROW()-1,60),ROW()-1,FALSE))</f>
        <v>584454</v>
      </c>
      <c r="AN278">
        <f ca="1">IF(AND(ISNUMBER($AN$565),$B$294=1),$AN$565,HLOOKUP(INDIRECT(ADDRESS(2,COLUMN())),OFFSET($BN$2,0,0,ROW()-1,60),ROW()-1,FALSE))</f>
        <v>49.58370687</v>
      </c>
      <c r="AO278">
        <f ca="1">IF(AND(ISNUMBER($AO$565),$B$294=1),$AO$565,HLOOKUP(INDIRECT(ADDRESS(2,COLUMN())),OFFSET($BN$2,0,0,ROW()-1,60),ROW()-1,FALSE))</f>
        <v>174.253863</v>
      </c>
      <c r="AP278">
        <f ca="1">IF(AND(ISNUMBER($AP$565),$B$294=1),$AP$565,HLOOKUP(INDIRECT(ADDRESS(2,COLUMN())),OFFSET($BN$2,0,0,ROW()-1,60),ROW()-1,FALSE))</f>
        <v>55.175495750000003</v>
      </c>
      <c r="AQ278" t="str">
        <f ca="1">IF(AND(ISNUMBER($AQ$565),$B$294=1),$AQ$565,HLOOKUP(INDIRECT(ADDRESS(2,COLUMN())),OFFSET($BN$2,0,0,ROW()-1,60),ROW()-1,FALSE))</f>
        <v/>
      </c>
      <c r="AR278">
        <f ca="1">IF(AND(ISNUMBER($AR$565),$B$294=1),$AR$565,HLOOKUP(INDIRECT(ADDRESS(2,COLUMN())),OFFSET($BN$2,0,0,ROW()-1,60),ROW()-1,FALSE))</f>
        <v>89.981976680000002</v>
      </c>
      <c r="AS278">
        <f ca="1">IF(AND(ISNUMBER($AS$565),$B$294=1),$AS$565,HLOOKUP(INDIRECT(ADDRESS(2,COLUMN())),OFFSET($BN$2,0,0,ROW()-1,60),ROW()-1,FALSE))</f>
        <v>73.379416759999998</v>
      </c>
      <c r="AT278">
        <f ca="1">IF(AND(ISNUMBER($AT$565),$B$294=1),$AT$565,HLOOKUP(INDIRECT(ADDRESS(2,COLUMN())),OFFSET($BN$2,0,0,ROW()-1,60),ROW()-1,FALSE))</f>
        <v>26.93606496</v>
      </c>
      <c r="AU278">
        <f ca="1">IF(AND(ISNUMBER($AU$565),$B$294=1),$AU$565,HLOOKUP(INDIRECT(ADDRESS(2,COLUMN())),OFFSET($BN$2,0,0,ROW()-1,60),ROW()-1,FALSE))</f>
        <v>73.005704750000007</v>
      </c>
      <c r="AV278">
        <f ca="1">IF(AND(ISNUMBER($AV$565),$B$294=1),$AV$565,HLOOKUP(INDIRECT(ADDRESS(2,COLUMN())),OFFSET($BN$2,0,0,ROW()-1,60),ROW()-1,FALSE))</f>
        <v>59.811987260000002</v>
      </c>
      <c r="AW278">
        <f ca="1">IF(AND(ISNUMBER($AW$565),$B$294=1),$AW$565,HLOOKUP(INDIRECT(ADDRESS(2,COLUMN())),OFFSET($BN$2,0,0,ROW()-1,60),ROW()-1,FALSE))</f>
        <v>46.668848949999997</v>
      </c>
      <c r="AX278">
        <f ca="1">IF(AND(ISNUMBER($AX$565),$B$294=1),$AX$565,HLOOKUP(INDIRECT(ADDRESS(2,COLUMN())),OFFSET($BN$2,0,0,ROW()-1,60),ROW()-1,FALSE))</f>
        <v>48.611051310000001</v>
      </c>
      <c r="AY278">
        <f ca="1">IF(AND(ISNUMBER($AY$565),$B$294=1),$AY$565,HLOOKUP(INDIRECT(ADDRESS(2,COLUMN())),OFFSET($BN$2,0,0,ROW()-1,60),ROW()-1,FALSE))</f>
        <v>59.22852039</v>
      </c>
      <c r="AZ278">
        <f ca="1">IF(AND(ISNUMBER($AZ$565),$B$294=1),$AZ$565,HLOOKUP(INDIRECT(ADDRESS(2,COLUMN())),OFFSET($BN$2,0,0,ROW()-1,60),ROW()-1,FALSE))</f>
        <v>56.871798220000002</v>
      </c>
      <c r="BA278">
        <f ca="1">IF(AND(ISNUMBER($BA$565),$B$294=1),$BA$565,HLOOKUP(INDIRECT(ADDRESS(2,COLUMN())),OFFSET($BN$2,0,0,ROW()-1,60),ROW()-1,FALSE))</f>
        <v>50.246894390000001</v>
      </c>
      <c r="BB278">
        <f ca="1">IF(AND(ISNUMBER($BB$565),$B$294=1),$BB$565,HLOOKUP(INDIRECT(ADDRESS(2,COLUMN())),OFFSET($BN$2,0,0,ROW()-1,60),ROW()-1,FALSE))</f>
        <v>54.648140890000001</v>
      </c>
      <c r="BC278">
        <f ca="1">IF(AND(ISNUMBER($BC$565),$B$294=1),$BC$565,HLOOKUP(INDIRECT(ADDRESS(2,COLUMN())),OFFSET($BN$2,0,0,ROW()-1,60),ROW()-1,FALSE))</f>
        <v>114.12393299999999</v>
      </c>
      <c r="BD278">
        <f ca="1">IF(AND(ISNUMBER($BD$565),$B$294=1),$BD$565,HLOOKUP(INDIRECT(ADDRESS(2,COLUMN())),OFFSET($BN$2,0,0,ROW()-1,60),ROW()-1,FALSE))</f>
        <v>111.183978</v>
      </c>
      <c r="BE278">
        <f ca="1">IF(AND(ISNUMBER($BE$565),$B$294=1),$BE$565,HLOOKUP(INDIRECT(ADDRESS(2,COLUMN())),OFFSET($BN$2,0,0,ROW()-1,60),ROW()-1,FALSE))</f>
        <v>45.845395320000002</v>
      </c>
      <c r="BF278">
        <f ca="1">IF(AND(ISNUMBER($BF$565),$B$294=1),$BF$565,HLOOKUP(INDIRECT(ADDRESS(2,COLUMN())),OFFSET($BN$2,0,0,ROW()-1,60),ROW()-1,FALSE))</f>
        <v>39.247345760000002</v>
      </c>
      <c r="BG278">
        <f ca="1">IF(AND(ISNUMBER($BG$565),$B$294=1),$BG$565,HLOOKUP(INDIRECT(ADDRESS(2,COLUMN())),OFFSET($BN$2,0,0,ROW()-1,60),ROW()-1,FALSE))</f>
        <v>32.362969669999998</v>
      </c>
      <c r="BH278">
        <f ca="1">IF(AND(ISNUMBER($BH$565),$B$294=1),$BH$565,HLOOKUP(INDIRECT(ADDRESS(2,COLUMN())),OFFSET($BN$2,0,0,ROW()-1,60),ROW()-1,FALSE))</f>
        <v>57.268763200000002</v>
      </c>
      <c r="BI278">
        <f ca="1">IF(AND(ISNUMBER($BI$565),$B$294=1),$BI$565,HLOOKUP(INDIRECT(ADDRESS(2,COLUMN())),OFFSET($BN$2,0,0,ROW()-1,60),ROW()-1,FALSE))</f>
        <v>55.789923989999998</v>
      </c>
      <c r="BJ278">
        <f ca="1">IF(AND(ISNUMBER($BJ$565),$B$294=1),$BJ$565,HLOOKUP(INDIRECT(ADDRESS(2,COLUMN())),OFFSET($BN$2,0,0,ROW()-1,60),ROW()-1,FALSE))</f>
        <v>82.017439879999998</v>
      </c>
      <c r="BK278">
        <f ca="1">IF(AND(ISNUMBER($BK$565),$B$294=1),$BK$565,HLOOKUP(INDIRECT(ADDRESS(2,COLUMN())),OFFSET($BN$2,0,0,ROW()-1,60),ROW()-1,FALSE))</f>
        <v>80.3012291</v>
      </c>
      <c r="BL278">
        <f ca="1">IF(AND(ISNUMBER($BL$565),$B$294=1),$BL$565,HLOOKUP(INDIRECT(ADDRESS(2,COLUMN())),OFFSET($BN$2,0,0,ROW()-1,60),ROW()-1,FALSE))</f>
        <v>62.02608291</v>
      </c>
      <c r="BM278">
        <f ca="1">IF(AND(ISNUMBER($BM$565),$B$294=1),$BM$565,HLOOKUP(INDIRECT(ADDRESS(2,COLUMN())),OFFSET($BN$2,0,0,ROW()-1,60),ROW()-1,FALSE))</f>
        <v>56.821077879999997</v>
      </c>
      <c r="BN278" t="str">
        <f>""</f>
        <v/>
      </c>
      <c r="BO278">
        <f>74.39638004</f>
        <v>74.396380039999997</v>
      </c>
      <c r="BP278">
        <f>113.5536745</f>
        <v>113.5536745</v>
      </c>
      <c r="BQ278">
        <f>52.18647278</f>
        <v>52.186472780000003</v>
      </c>
      <c r="BR278">
        <f>65.29905847</f>
        <v>65.299058470000006</v>
      </c>
      <c r="BS278">
        <f>14.92705463</f>
        <v>14.927054630000001</v>
      </c>
      <c r="BT278">
        <f>52.76821606</f>
        <v>52.76821606</v>
      </c>
      <c r="BU278">
        <f>51.83512326</f>
        <v>51.835123260000003</v>
      </c>
      <c r="BV278">
        <f>58.50954774</f>
        <v>58.509547740000002</v>
      </c>
      <c r="BW278">
        <f>45.76705018</f>
        <v>45.767050179999998</v>
      </c>
      <c r="BX278">
        <f>50.31266867</f>
        <v>50.312668670000001</v>
      </c>
      <c r="BY278">
        <f>36.69663648</f>
        <v>36.696636480000002</v>
      </c>
      <c r="BZ278">
        <f>53.81552953</f>
        <v>53.815529529999999</v>
      </c>
      <c r="CA278">
        <f>59.56143789</f>
        <v>59.561437890000001</v>
      </c>
      <c r="CB278">
        <f>63.02841803</f>
        <v>63.028418029999997</v>
      </c>
      <c r="CC278">
        <f>63.21708913</f>
        <v>63.217089129999998</v>
      </c>
      <c r="CD278">
        <f>55.34023936</f>
        <v>55.340239359999998</v>
      </c>
      <c r="CE278" t="str">
        <f>""</f>
        <v/>
      </c>
      <c r="CF278">
        <f>64.80050991</f>
        <v>64.800509910000002</v>
      </c>
      <c r="CG278">
        <f>57.98206486</f>
        <v>57.982064860000001</v>
      </c>
      <c r="CH278">
        <f>67.55623823</f>
        <v>67.556238230000005</v>
      </c>
      <c r="CI278">
        <f>563.233548</f>
        <v>563.23354800000004</v>
      </c>
      <c r="CJ278">
        <f>51.10671304</f>
        <v>51.106713040000002</v>
      </c>
      <c r="CK278">
        <f>76.86616228</f>
        <v>76.866162279999998</v>
      </c>
      <c r="CL278">
        <f>36.7261488</f>
        <v>36.726148799999997</v>
      </c>
      <c r="CM278">
        <f>90.8474118</f>
        <v>90.847411800000003</v>
      </c>
      <c r="CN278">
        <f>65.20672389</f>
        <v>65.206723890000006</v>
      </c>
      <c r="CO278">
        <f>52.23316271</f>
        <v>52.233162710000002</v>
      </c>
      <c r="CP278">
        <f>25.08958732</f>
        <v>25.08958732</v>
      </c>
      <c r="CQ278">
        <f>27.52626715</f>
        <v>27.526267149999999</v>
      </c>
      <c r="CR278">
        <f>47.63752992</f>
        <v>47.637529919999999</v>
      </c>
      <c r="CS278">
        <f>57.78014084</f>
        <v>57.780140840000001</v>
      </c>
      <c r="CT278">
        <f>33.33785533</f>
        <v>33.337855329999996</v>
      </c>
      <c r="CU278">
        <f>584454</f>
        <v>584454</v>
      </c>
      <c r="CV278">
        <f>49.58370687</f>
        <v>49.58370687</v>
      </c>
      <c r="CW278">
        <f>174.253863</f>
        <v>174.253863</v>
      </c>
      <c r="CX278">
        <f>55.17549575</f>
        <v>55.175495750000003</v>
      </c>
      <c r="CY278" t="str">
        <f>""</f>
        <v/>
      </c>
      <c r="CZ278">
        <f>89.98197668</f>
        <v>89.981976680000002</v>
      </c>
      <c r="DA278">
        <f>73.37941676</f>
        <v>73.379416759999998</v>
      </c>
      <c r="DB278">
        <f>26.93606496</f>
        <v>26.93606496</v>
      </c>
      <c r="DC278">
        <f>73.00570475</f>
        <v>73.005704750000007</v>
      </c>
      <c r="DD278">
        <f>59.81198726</f>
        <v>59.811987260000002</v>
      </c>
      <c r="DE278">
        <f>46.66884895</f>
        <v>46.668848949999997</v>
      </c>
      <c r="DF278">
        <f>48.61105131</f>
        <v>48.611051310000001</v>
      </c>
      <c r="DG278">
        <f>59.22852039</f>
        <v>59.22852039</v>
      </c>
      <c r="DH278">
        <f>56.87179822</f>
        <v>56.871798220000002</v>
      </c>
      <c r="DI278">
        <f>50.24689439</f>
        <v>50.246894390000001</v>
      </c>
      <c r="DJ278">
        <f>54.64814089</f>
        <v>54.648140890000001</v>
      </c>
      <c r="DK278">
        <f>114.123933</f>
        <v>114.12393299999999</v>
      </c>
      <c r="DL278">
        <f>111.183978</f>
        <v>111.183978</v>
      </c>
      <c r="DM278">
        <f>45.84539532</f>
        <v>45.845395320000002</v>
      </c>
      <c r="DN278">
        <f>39.24734576</f>
        <v>39.247345760000002</v>
      </c>
      <c r="DO278">
        <f>32.36296967</f>
        <v>32.362969669999998</v>
      </c>
      <c r="DP278">
        <f>57.2687632</f>
        <v>57.268763200000002</v>
      </c>
      <c r="DQ278">
        <f>55.78992399</f>
        <v>55.789923989999998</v>
      </c>
      <c r="DR278">
        <f>82.01743988</f>
        <v>82.017439879999998</v>
      </c>
      <c r="DS278">
        <f>80.3012291</f>
        <v>80.3012291</v>
      </c>
      <c r="DT278">
        <f>62.02608291</f>
        <v>62.02608291</v>
      </c>
      <c r="DU278">
        <f>56.82107788</f>
        <v>56.821077879999997</v>
      </c>
    </row>
    <row r="279" spans="1:125"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  <c r="CI279" t="str">
        <f>""</f>
        <v/>
      </c>
      <c r="CJ279" t="str">
        <f>""</f>
        <v/>
      </c>
      <c r="CK279" t="str">
        <f>""</f>
        <v/>
      </c>
      <c r="CL279" t="str">
        <f>""</f>
        <v/>
      </c>
      <c r="CM279" t="str">
        <f>""</f>
        <v/>
      </c>
      <c r="CN279" t="str">
        <f>""</f>
        <v/>
      </c>
      <c r="CO279" t="str">
        <f>""</f>
        <v/>
      </c>
      <c r="CP279" t="str">
        <f>""</f>
        <v/>
      </c>
      <c r="CQ279" t="str">
        <f>""</f>
        <v/>
      </c>
      <c r="CR279" t="str">
        <f>""</f>
        <v/>
      </c>
      <c r="CS279" t="str">
        <f>""</f>
        <v/>
      </c>
      <c r="CT279" t="str">
        <f>""</f>
        <v/>
      </c>
      <c r="CU279" t="str">
        <f>""</f>
        <v/>
      </c>
      <c r="CV279" t="str">
        <f>""</f>
        <v/>
      </c>
      <c r="CW279" t="str">
        <f>""</f>
        <v/>
      </c>
      <c r="CX279" t="str">
        <f>""</f>
        <v/>
      </c>
      <c r="CY279" t="str">
        <f>""</f>
        <v/>
      </c>
      <c r="CZ279" t="str">
        <f>""</f>
        <v/>
      </c>
      <c r="DA279" t="str">
        <f>""</f>
        <v/>
      </c>
      <c r="DB279" t="str">
        <f>""</f>
        <v/>
      </c>
      <c r="DC279" t="str">
        <f>""</f>
        <v/>
      </c>
      <c r="DD279" t="str">
        <f>""</f>
        <v/>
      </c>
      <c r="DE279" t="str">
        <f>""</f>
        <v/>
      </c>
      <c r="DF279" t="str">
        <f>""</f>
        <v/>
      </c>
      <c r="DG279" t="str">
        <f>""</f>
        <v/>
      </c>
      <c r="DH279" t="str">
        <f>""</f>
        <v/>
      </c>
      <c r="DI279" t="str">
        <f>""</f>
        <v/>
      </c>
      <c r="DJ279" t="str">
        <f>""</f>
        <v/>
      </c>
      <c r="DK279" t="str">
        <f>""</f>
        <v/>
      </c>
      <c r="DL279" t="str">
        <f>""</f>
        <v/>
      </c>
      <c r="DM279" t="str">
        <f>""</f>
        <v/>
      </c>
      <c r="DN279" t="str">
        <f>""</f>
        <v/>
      </c>
      <c r="DO279" t="str">
        <f>""</f>
        <v/>
      </c>
      <c r="DP279" t="str">
        <f>""</f>
        <v/>
      </c>
      <c r="DQ279" t="str">
        <f>""</f>
        <v/>
      </c>
      <c r="DR279" t="str">
        <f>""</f>
        <v/>
      </c>
      <c r="DS279" t="str">
        <f>""</f>
        <v/>
      </c>
      <c r="DT279" t="str">
        <f>""</f>
        <v/>
      </c>
      <c r="DU279" t="str">
        <f>""</f>
        <v/>
      </c>
    </row>
    <row r="280" spans="1:125"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  <c r="CI280" t="str">
        <f>""</f>
        <v/>
      </c>
      <c r="CJ280" t="str">
        <f>""</f>
        <v/>
      </c>
      <c r="CK280" t="str">
        <f>""</f>
        <v/>
      </c>
      <c r="CL280" t="str">
        <f>""</f>
        <v/>
      </c>
      <c r="CM280" t="str">
        <f>""</f>
        <v/>
      </c>
      <c r="CN280" t="str">
        <f>""</f>
        <v/>
      </c>
      <c r="CO280" t="str">
        <f>""</f>
        <v/>
      </c>
      <c r="CP280" t="str">
        <f>""</f>
        <v/>
      </c>
      <c r="CQ280" t="str">
        <f>""</f>
        <v/>
      </c>
      <c r="CR280" t="str">
        <f>""</f>
        <v/>
      </c>
      <c r="CS280" t="str">
        <f>""</f>
        <v/>
      </c>
      <c r="CT280" t="str">
        <f>""</f>
        <v/>
      </c>
      <c r="CU280" t="str">
        <f>""</f>
        <v/>
      </c>
      <c r="CV280" t="str">
        <f>""</f>
        <v/>
      </c>
      <c r="CW280" t="str">
        <f>""</f>
        <v/>
      </c>
      <c r="CX280" t="str">
        <f>""</f>
        <v/>
      </c>
      <c r="CY280" t="str">
        <f>""</f>
        <v/>
      </c>
      <c r="CZ280" t="str">
        <f>""</f>
        <v/>
      </c>
      <c r="DA280" t="str">
        <f>""</f>
        <v/>
      </c>
      <c r="DB280" t="str">
        <f>""</f>
        <v/>
      </c>
      <c r="DC280" t="str">
        <f>""</f>
        <v/>
      </c>
      <c r="DD280" t="str">
        <f>""</f>
        <v/>
      </c>
      <c r="DE280" t="str">
        <f>""</f>
        <v/>
      </c>
      <c r="DF280" t="str">
        <f>""</f>
        <v/>
      </c>
      <c r="DG280" t="str">
        <f>""</f>
        <v/>
      </c>
      <c r="DH280" t="str">
        <f>""</f>
        <v/>
      </c>
      <c r="DI280" t="str">
        <f>""</f>
        <v/>
      </c>
      <c r="DJ280" t="str">
        <f>""</f>
        <v/>
      </c>
      <c r="DK280" t="str">
        <f>""</f>
        <v/>
      </c>
      <c r="DL280" t="str">
        <f>""</f>
        <v/>
      </c>
      <c r="DM280" t="str">
        <f>""</f>
        <v/>
      </c>
      <c r="DN280" t="str">
        <f>""</f>
        <v/>
      </c>
      <c r="DO280" t="str">
        <f>""</f>
        <v/>
      </c>
      <c r="DP280" t="str">
        <f>""</f>
        <v/>
      </c>
      <c r="DQ280" t="str">
        <f>""</f>
        <v/>
      </c>
      <c r="DR280" t="str">
        <f>""</f>
        <v/>
      </c>
      <c r="DS280" t="str">
        <f>""</f>
        <v/>
      </c>
      <c r="DT280" t="str">
        <f>""</f>
        <v/>
      </c>
      <c r="DU280" t="str">
        <f>""</f>
        <v/>
      </c>
    </row>
    <row r="281" spans="1:125"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  <c r="CI281" t="str">
        <f>""</f>
        <v/>
      </c>
      <c r="CJ281" t="str">
        <f>""</f>
        <v/>
      </c>
      <c r="CK281" t="str">
        <f>""</f>
        <v/>
      </c>
      <c r="CL281" t="str">
        <f>""</f>
        <v/>
      </c>
      <c r="CM281" t="str">
        <f>""</f>
        <v/>
      </c>
      <c r="CN281" t="str">
        <f>""</f>
        <v/>
      </c>
      <c r="CO281" t="str">
        <f>""</f>
        <v/>
      </c>
      <c r="CP281" t="str">
        <f>""</f>
        <v/>
      </c>
      <c r="CQ281" t="str">
        <f>""</f>
        <v/>
      </c>
      <c r="CR281" t="str">
        <f>""</f>
        <v/>
      </c>
      <c r="CS281" t="str">
        <f>""</f>
        <v/>
      </c>
      <c r="CT281" t="str">
        <f>""</f>
        <v/>
      </c>
      <c r="CU281" t="str">
        <f>""</f>
        <v/>
      </c>
      <c r="CV281" t="str">
        <f>""</f>
        <v/>
      </c>
      <c r="CW281" t="str">
        <f>""</f>
        <v/>
      </c>
      <c r="CX281" t="str">
        <f>""</f>
        <v/>
      </c>
      <c r="CY281" t="str">
        <f>""</f>
        <v/>
      </c>
      <c r="CZ281" t="str">
        <f>""</f>
        <v/>
      </c>
      <c r="DA281" t="str">
        <f>""</f>
        <v/>
      </c>
      <c r="DB281" t="str">
        <f>""</f>
        <v/>
      </c>
      <c r="DC281" t="str">
        <f>""</f>
        <v/>
      </c>
      <c r="DD281" t="str">
        <f>""</f>
        <v/>
      </c>
      <c r="DE281" t="str">
        <f>""</f>
        <v/>
      </c>
      <c r="DF281" t="str">
        <f>""</f>
        <v/>
      </c>
      <c r="DG281" t="str">
        <f>""</f>
        <v/>
      </c>
      <c r="DH281" t="str">
        <f>""</f>
        <v/>
      </c>
      <c r="DI281" t="str">
        <f>""</f>
        <v/>
      </c>
      <c r="DJ281" t="str">
        <f>""</f>
        <v/>
      </c>
      <c r="DK281" t="str">
        <f>""</f>
        <v/>
      </c>
      <c r="DL281" t="str">
        <f>""</f>
        <v/>
      </c>
      <c r="DM281" t="str">
        <f>""</f>
        <v/>
      </c>
      <c r="DN281" t="str">
        <f>""</f>
        <v/>
      </c>
      <c r="DO281" t="str">
        <f>""</f>
        <v/>
      </c>
      <c r="DP281" t="str">
        <f>""</f>
        <v/>
      </c>
      <c r="DQ281" t="str">
        <f>""</f>
        <v/>
      </c>
      <c r="DR281" t="str">
        <f>""</f>
        <v/>
      </c>
      <c r="DS281" t="str">
        <f>""</f>
        <v/>
      </c>
      <c r="DT281" t="str">
        <f>""</f>
        <v/>
      </c>
      <c r="DU281" t="str">
        <f>""</f>
        <v/>
      </c>
    </row>
    <row r="282" spans="1:125"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  <c r="CI282" t="str">
        <f>""</f>
        <v/>
      </c>
      <c r="CJ282" t="str">
        <f>""</f>
        <v/>
      </c>
      <c r="CK282" t="str">
        <f>""</f>
        <v/>
      </c>
      <c r="CL282" t="str">
        <f>""</f>
        <v/>
      </c>
      <c r="CM282" t="str">
        <f>""</f>
        <v/>
      </c>
      <c r="CN282" t="str">
        <f>""</f>
        <v/>
      </c>
      <c r="CO282" t="str">
        <f>""</f>
        <v/>
      </c>
      <c r="CP282" t="str">
        <f>""</f>
        <v/>
      </c>
      <c r="CQ282" t="str">
        <f>""</f>
        <v/>
      </c>
      <c r="CR282" t="str">
        <f>""</f>
        <v/>
      </c>
      <c r="CS282" t="str">
        <f>""</f>
        <v/>
      </c>
      <c r="CT282" t="str">
        <f>""</f>
        <v/>
      </c>
      <c r="CU282" t="str">
        <f>""</f>
        <v/>
      </c>
      <c r="CV282" t="str">
        <f>""</f>
        <v/>
      </c>
      <c r="CW282" t="str">
        <f>""</f>
        <v/>
      </c>
      <c r="CX282" t="str">
        <f>""</f>
        <v/>
      </c>
      <c r="CY282" t="str">
        <f>""</f>
        <v/>
      </c>
      <c r="CZ282" t="str">
        <f>""</f>
        <v/>
      </c>
      <c r="DA282" t="str">
        <f>""</f>
        <v/>
      </c>
      <c r="DB282" t="str">
        <f>""</f>
        <v/>
      </c>
      <c r="DC282" t="str">
        <f>""</f>
        <v/>
      </c>
      <c r="DD282" t="str">
        <f>""</f>
        <v/>
      </c>
      <c r="DE282" t="str">
        <f>""</f>
        <v/>
      </c>
      <c r="DF282" t="str">
        <f>""</f>
        <v/>
      </c>
      <c r="DG282" t="str">
        <f>""</f>
        <v/>
      </c>
      <c r="DH282" t="str">
        <f>""</f>
        <v/>
      </c>
      <c r="DI282" t="str">
        <f>""</f>
        <v/>
      </c>
      <c r="DJ282" t="str">
        <f>""</f>
        <v/>
      </c>
      <c r="DK282" t="str">
        <f>""</f>
        <v/>
      </c>
      <c r="DL282" t="str">
        <f>""</f>
        <v/>
      </c>
      <c r="DM282" t="str">
        <f>""</f>
        <v/>
      </c>
      <c r="DN282" t="str">
        <f>""</f>
        <v/>
      </c>
      <c r="DO282" t="str">
        <f>""</f>
        <v/>
      </c>
      <c r="DP282" t="str">
        <f>""</f>
        <v/>
      </c>
      <c r="DQ282" t="str">
        <f>""</f>
        <v/>
      </c>
      <c r="DR282" t="str">
        <f>""</f>
        <v/>
      </c>
      <c r="DS282" t="str">
        <f>""</f>
        <v/>
      </c>
      <c r="DT282" t="str">
        <f>""</f>
        <v/>
      </c>
      <c r="DU282" t="str">
        <f>""</f>
        <v/>
      </c>
    </row>
    <row r="283" spans="1:125"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  <c r="CI283" t="str">
        <f>""</f>
        <v/>
      </c>
      <c r="CJ283" t="str">
        <f>""</f>
        <v/>
      </c>
      <c r="CK283" t="str">
        <f>""</f>
        <v/>
      </c>
      <c r="CL283" t="str">
        <f>""</f>
        <v/>
      </c>
      <c r="CM283" t="str">
        <f>""</f>
        <v/>
      </c>
      <c r="CN283" t="str">
        <f>""</f>
        <v/>
      </c>
      <c r="CO283" t="str">
        <f>""</f>
        <v/>
      </c>
      <c r="CP283" t="str">
        <f>""</f>
        <v/>
      </c>
      <c r="CQ283" t="str">
        <f>""</f>
        <v/>
      </c>
      <c r="CR283" t="str">
        <f>""</f>
        <v/>
      </c>
      <c r="CS283" t="str">
        <f>""</f>
        <v/>
      </c>
      <c r="CT283" t="str">
        <f>""</f>
        <v/>
      </c>
      <c r="CU283" t="str">
        <f>""</f>
        <v/>
      </c>
      <c r="CV283" t="str">
        <f>""</f>
        <v/>
      </c>
      <c r="CW283" t="str">
        <f>""</f>
        <v/>
      </c>
      <c r="CX283" t="str">
        <f>""</f>
        <v/>
      </c>
      <c r="CY283" t="str">
        <f>""</f>
        <v/>
      </c>
      <c r="CZ283" t="str">
        <f>""</f>
        <v/>
      </c>
      <c r="DA283" t="str">
        <f>""</f>
        <v/>
      </c>
      <c r="DB283" t="str">
        <f>""</f>
        <v/>
      </c>
      <c r="DC283" t="str">
        <f>""</f>
        <v/>
      </c>
      <c r="DD283" t="str">
        <f>""</f>
        <v/>
      </c>
      <c r="DE283" t="str">
        <f>""</f>
        <v/>
      </c>
      <c r="DF283" t="str">
        <f>""</f>
        <v/>
      </c>
      <c r="DG283" t="str">
        <f>""</f>
        <v/>
      </c>
      <c r="DH283" t="str">
        <f>""</f>
        <v/>
      </c>
      <c r="DI283" t="str">
        <f>""</f>
        <v/>
      </c>
      <c r="DJ283" t="str">
        <f>""</f>
        <v/>
      </c>
      <c r="DK283" t="str">
        <f>""</f>
        <v/>
      </c>
      <c r="DL283" t="str">
        <f>""</f>
        <v/>
      </c>
      <c r="DM283" t="str">
        <f>""</f>
        <v/>
      </c>
      <c r="DN283" t="str">
        <f>""</f>
        <v/>
      </c>
      <c r="DO283" t="str">
        <f>""</f>
        <v/>
      </c>
      <c r="DP283" t="str">
        <f>""</f>
        <v/>
      </c>
      <c r="DQ283" t="str">
        <f>""</f>
        <v/>
      </c>
      <c r="DR283" t="str">
        <f>""</f>
        <v/>
      </c>
      <c r="DS283" t="str">
        <f>""</f>
        <v/>
      </c>
      <c r="DT283" t="str">
        <f>""</f>
        <v/>
      </c>
      <c r="DU283" t="str">
        <f>""</f>
        <v/>
      </c>
    </row>
    <row r="284" spans="1:125"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  <c r="BT284" t="str">
        <f>""</f>
        <v/>
      </c>
      <c r="BU284" t="str">
        <f>""</f>
        <v/>
      </c>
      <c r="BV284" t="str">
        <f>""</f>
        <v/>
      </c>
      <c r="BW284" t="str">
        <f>""</f>
        <v/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  <c r="CH284" t="str">
        <f>""</f>
        <v/>
      </c>
      <c r="CI284" t="str">
        <f>""</f>
        <v/>
      </c>
      <c r="CJ284" t="str">
        <f>""</f>
        <v/>
      </c>
      <c r="CK284" t="str">
        <f>""</f>
        <v/>
      </c>
      <c r="CL284" t="str">
        <f>""</f>
        <v/>
      </c>
      <c r="CM284" t="str">
        <f>""</f>
        <v/>
      </c>
      <c r="CN284" t="str">
        <f>""</f>
        <v/>
      </c>
      <c r="CO284" t="str">
        <f>""</f>
        <v/>
      </c>
      <c r="CP284" t="str">
        <f>""</f>
        <v/>
      </c>
      <c r="CQ284" t="str">
        <f>""</f>
        <v/>
      </c>
      <c r="CR284" t="str">
        <f>""</f>
        <v/>
      </c>
      <c r="CS284" t="str">
        <f>""</f>
        <v/>
      </c>
      <c r="CT284" t="str">
        <f>""</f>
        <v/>
      </c>
      <c r="CU284" t="str">
        <f>""</f>
        <v/>
      </c>
      <c r="CV284" t="str">
        <f>""</f>
        <v/>
      </c>
      <c r="CW284" t="str">
        <f>""</f>
        <v/>
      </c>
      <c r="CX284" t="str">
        <f>""</f>
        <v/>
      </c>
      <c r="CY284" t="str">
        <f>""</f>
        <v/>
      </c>
      <c r="CZ284" t="str">
        <f>""</f>
        <v/>
      </c>
      <c r="DA284" t="str">
        <f>""</f>
        <v/>
      </c>
      <c r="DB284" t="str">
        <f>""</f>
        <v/>
      </c>
      <c r="DC284" t="str">
        <f>""</f>
        <v/>
      </c>
      <c r="DD284" t="str">
        <f>""</f>
        <v/>
      </c>
      <c r="DE284" t="str">
        <f>""</f>
        <v/>
      </c>
      <c r="DF284" t="str">
        <f>""</f>
        <v/>
      </c>
      <c r="DG284" t="str">
        <f>""</f>
        <v/>
      </c>
      <c r="DH284" t="str">
        <f>""</f>
        <v/>
      </c>
      <c r="DI284" t="str">
        <f>""</f>
        <v/>
      </c>
      <c r="DJ284" t="str">
        <f>""</f>
        <v/>
      </c>
      <c r="DK284" t="str">
        <f>""</f>
        <v/>
      </c>
      <c r="DL284" t="str">
        <f>""</f>
        <v/>
      </c>
      <c r="DM284" t="str">
        <f>""</f>
        <v/>
      </c>
      <c r="DN284" t="str">
        <f>""</f>
        <v/>
      </c>
      <c r="DO284" t="str">
        <f>""</f>
        <v/>
      </c>
      <c r="DP284" t="str">
        <f>""</f>
        <v/>
      </c>
      <c r="DQ284" t="str">
        <f>""</f>
        <v/>
      </c>
      <c r="DR284" t="str">
        <f>""</f>
        <v/>
      </c>
      <c r="DS284" t="str">
        <f>""</f>
        <v/>
      </c>
      <c r="DT284" t="str">
        <f>""</f>
        <v/>
      </c>
      <c r="DU284" t="str">
        <f>""</f>
        <v/>
      </c>
    </row>
    <row r="285" spans="1:125"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  <c r="BT285" t="str">
        <f>""</f>
        <v/>
      </c>
      <c r="BU285" t="str">
        <f>""</f>
        <v/>
      </c>
      <c r="BV285" t="str">
        <f>""</f>
        <v/>
      </c>
      <c r="BW285" t="str">
        <f>""</f>
        <v/>
      </c>
      <c r="BX285" t="str">
        <f>""</f>
        <v/>
      </c>
      <c r="BY285" t="str">
        <f>""</f>
        <v/>
      </c>
      <c r="BZ285" t="str">
        <f>""</f>
        <v/>
      </c>
      <c r="CA285" t="str">
        <f>""</f>
        <v/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  <c r="CH285" t="str">
        <f>""</f>
        <v/>
      </c>
      <c r="CI285" t="str">
        <f>""</f>
        <v/>
      </c>
      <c r="CJ285" t="str">
        <f>""</f>
        <v/>
      </c>
      <c r="CK285" t="str">
        <f>""</f>
        <v/>
      </c>
      <c r="CL285" t="str">
        <f>""</f>
        <v/>
      </c>
      <c r="CM285" t="str">
        <f>""</f>
        <v/>
      </c>
      <c r="CN285" t="str">
        <f>""</f>
        <v/>
      </c>
      <c r="CO285" t="str">
        <f>""</f>
        <v/>
      </c>
      <c r="CP285" t="str">
        <f>""</f>
        <v/>
      </c>
      <c r="CQ285" t="str">
        <f>""</f>
        <v/>
      </c>
      <c r="CR285" t="str">
        <f>""</f>
        <v/>
      </c>
      <c r="CS285" t="str">
        <f>""</f>
        <v/>
      </c>
      <c r="CT285" t="str">
        <f>""</f>
        <v/>
      </c>
      <c r="CU285" t="str">
        <f>""</f>
        <v/>
      </c>
      <c r="CV285" t="str">
        <f>""</f>
        <v/>
      </c>
      <c r="CW285" t="str">
        <f>""</f>
        <v/>
      </c>
      <c r="CX285" t="str">
        <f>""</f>
        <v/>
      </c>
      <c r="CY285" t="str">
        <f>""</f>
        <v/>
      </c>
      <c r="CZ285" t="str">
        <f>""</f>
        <v/>
      </c>
      <c r="DA285" t="str">
        <f>""</f>
        <v/>
      </c>
      <c r="DB285" t="str">
        <f>""</f>
        <v/>
      </c>
      <c r="DC285" t="str">
        <f>""</f>
        <v/>
      </c>
      <c r="DD285" t="str">
        <f>""</f>
        <v/>
      </c>
      <c r="DE285" t="str">
        <f>""</f>
        <v/>
      </c>
      <c r="DF285" t="str">
        <f>""</f>
        <v/>
      </c>
      <c r="DG285" t="str">
        <f>""</f>
        <v/>
      </c>
      <c r="DH285" t="str">
        <f>""</f>
        <v/>
      </c>
      <c r="DI285" t="str">
        <f>""</f>
        <v/>
      </c>
      <c r="DJ285" t="str">
        <f>""</f>
        <v/>
      </c>
      <c r="DK285" t="str">
        <f>""</f>
        <v/>
      </c>
      <c r="DL285" t="str">
        <f>""</f>
        <v/>
      </c>
      <c r="DM285" t="str">
        <f>""</f>
        <v/>
      </c>
      <c r="DN285" t="str">
        <f>""</f>
        <v/>
      </c>
      <c r="DO285" t="str">
        <f>""</f>
        <v/>
      </c>
      <c r="DP285" t="str">
        <f>""</f>
        <v/>
      </c>
      <c r="DQ285" t="str">
        <f>""</f>
        <v/>
      </c>
      <c r="DR285" t="str">
        <f>""</f>
        <v/>
      </c>
      <c r="DS285" t="str">
        <f>""</f>
        <v/>
      </c>
      <c r="DT285" t="str">
        <f>""</f>
        <v/>
      </c>
      <c r="DU285" t="str">
        <f>""</f>
        <v/>
      </c>
    </row>
    <row r="286" spans="1:125">
      <c r="A286" t="str">
        <f t="shared" ref="A286:AF286" si="73">"~~~~~~~~~~"</f>
        <v>~~~~~~~~~~</v>
      </c>
      <c r="B286" t="str">
        <f t="shared" si="73"/>
        <v>~~~~~~~~~~</v>
      </c>
      <c r="C286" t="str">
        <f t="shared" si="73"/>
        <v>~~~~~~~~~~</v>
      </c>
      <c r="D286" t="str">
        <f t="shared" si="73"/>
        <v>~~~~~~~~~~</v>
      </c>
      <c r="E286" t="str">
        <f t="shared" si="73"/>
        <v>~~~~~~~~~~</v>
      </c>
      <c r="F286" t="str">
        <f t="shared" si="73"/>
        <v>~~~~~~~~~~</v>
      </c>
      <c r="G286" t="str">
        <f t="shared" si="73"/>
        <v>~~~~~~~~~~</v>
      </c>
      <c r="H286" t="str">
        <f t="shared" si="73"/>
        <v>~~~~~~~~~~</v>
      </c>
      <c r="I286" t="str">
        <f t="shared" si="73"/>
        <v>~~~~~~~~~~</v>
      </c>
      <c r="J286" t="str">
        <f t="shared" si="73"/>
        <v>~~~~~~~~~~</v>
      </c>
      <c r="K286" t="str">
        <f t="shared" si="73"/>
        <v>~~~~~~~~~~</v>
      </c>
      <c r="L286" t="str">
        <f t="shared" si="73"/>
        <v>~~~~~~~~~~</v>
      </c>
      <c r="M286" t="str">
        <f t="shared" si="73"/>
        <v>~~~~~~~~~~</v>
      </c>
      <c r="N286" t="str">
        <f t="shared" si="73"/>
        <v>~~~~~~~~~~</v>
      </c>
      <c r="O286" t="str">
        <f t="shared" si="73"/>
        <v>~~~~~~~~~~</v>
      </c>
      <c r="P286" t="str">
        <f t="shared" si="73"/>
        <v>~~~~~~~~~~</v>
      </c>
      <c r="Q286" t="str">
        <f t="shared" si="73"/>
        <v>~~~~~~~~~~</v>
      </c>
      <c r="R286" t="str">
        <f t="shared" si="73"/>
        <v>~~~~~~~~~~</v>
      </c>
      <c r="S286" t="str">
        <f t="shared" si="73"/>
        <v>~~~~~~~~~~</v>
      </c>
      <c r="T286" t="str">
        <f t="shared" si="73"/>
        <v>~~~~~~~~~~</v>
      </c>
      <c r="U286" t="str">
        <f t="shared" si="73"/>
        <v>~~~~~~~~~~</v>
      </c>
      <c r="V286" t="str">
        <f t="shared" si="73"/>
        <v>~~~~~~~~~~</v>
      </c>
      <c r="W286" t="str">
        <f t="shared" si="73"/>
        <v>~~~~~~~~~~</v>
      </c>
      <c r="X286" t="str">
        <f t="shared" si="73"/>
        <v>~~~~~~~~~~</v>
      </c>
      <c r="Y286" t="str">
        <f t="shared" si="73"/>
        <v>~~~~~~~~~~</v>
      </c>
      <c r="Z286" t="str">
        <f t="shared" si="73"/>
        <v>~~~~~~~~~~</v>
      </c>
      <c r="AA286" t="str">
        <f t="shared" si="73"/>
        <v>~~~~~~~~~~</v>
      </c>
      <c r="AB286" t="str">
        <f t="shared" si="73"/>
        <v>~~~~~~~~~~</v>
      </c>
      <c r="AC286" t="str">
        <f t="shared" si="73"/>
        <v>~~~~~~~~~~</v>
      </c>
      <c r="AD286" t="str">
        <f t="shared" si="73"/>
        <v>~~~~~~~~~~</v>
      </c>
      <c r="AE286" t="str">
        <f t="shared" si="73"/>
        <v>~~~~~~~~~~</v>
      </c>
      <c r="AF286" t="str">
        <f t="shared" si="73"/>
        <v>~~~~~~~~~~</v>
      </c>
      <c r="AG286" t="str">
        <f t="shared" ref="AG286:BM286" si="74">"~~~~~~~~~~"</f>
        <v>~~~~~~~~~~</v>
      </c>
      <c r="AH286" t="str">
        <f t="shared" si="74"/>
        <v>~~~~~~~~~~</v>
      </c>
      <c r="AI286" t="str">
        <f t="shared" si="74"/>
        <v>~~~~~~~~~~</v>
      </c>
      <c r="AJ286" t="str">
        <f t="shared" si="74"/>
        <v>~~~~~~~~~~</v>
      </c>
      <c r="AK286" t="str">
        <f t="shared" si="74"/>
        <v>~~~~~~~~~~</v>
      </c>
      <c r="AL286" t="str">
        <f t="shared" si="74"/>
        <v>~~~~~~~~~~</v>
      </c>
      <c r="AM286" t="str">
        <f t="shared" si="74"/>
        <v>~~~~~~~~~~</v>
      </c>
      <c r="AN286" t="str">
        <f t="shared" si="74"/>
        <v>~~~~~~~~~~</v>
      </c>
      <c r="AO286" t="str">
        <f t="shared" si="74"/>
        <v>~~~~~~~~~~</v>
      </c>
      <c r="AP286" t="str">
        <f t="shared" si="74"/>
        <v>~~~~~~~~~~</v>
      </c>
      <c r="AQ286" t="str">
        <f t="shared" si="74"/>
        <v>~~~~~~~~~~</v>
      </c>
      <c r="AR286" t="str">
        <f t="shared" si="74"/>
        <v>~~~~~~~~~~</v>
      </c>
      <c r="AS286" t="str">
        <f t="shared" si="74"/>
        <v>~~~~~~~~~~</v>
      </c>
      <c r="AT286" t="str">
        <f t="shared" si="74"/>
        <v>~~~~~~~~~~</v>
      </c>
      <c r="AU286" t="str">
        <f t="shared" si="74"/>
        <v>~~~~~~~~~~</v>
      </c>
      <c r="AV286" t="str">
        <f t="shared" si="74"/>
        <v>~~~~~~~~~~</v>
      </c>
      <c r="AW286" t="str">
        <f t="shared" si="74"/>
        <v>~~~~~~~~~~</v>
      </c>
      <c r="AX286" t="str">
        <f t="shared" si="74"/>
        <v>~~~~~~~~~~</v>
      </c>
      <c r="AY286" t="str">
        <f t="shared" si="74"/>
        <v>~~~~~~~~~~</v>
      </c>
      <c r="AZ286" t="str">
        <f t="shared" si="74"/>
        <v>~~~~~~~~~~</v>
      </c>
      <c r="BA286" t="str">
        <f t="shared" si="74"/>
        <v>~~~~~~~~~~</v>
      </c>
      <c r="BB286" t="str">
        <f t="shared" si="74"/>
        <v>~~~~~~~~~~</v>
      </c>
      <c r="BC286" t="str">
        <f t="shared" si="74"/>
        <v>~~~~~~~~~~</v>
      </c>
      <c r="BD286" t="str">
        <f t="shared" si="74"/>
        <v>~~~~~~~~~~</v>
      </c>
      <c r="BE286" t="str">
        <f t="shared" si="74"/>
        <v>~~~~~~~~~~</v>
      </c>
      <c r="BF286" t="str">
        <f t="shared" si="74"/>
        <v>~~~~~~~~~~</v>
      </c>
      <c r="BG286" t="str">
        <f t="shared" si="74"/>
        <v>~~~~~~~~~~</v>
      </c>
      <c r="BH286" t="str">
        <f t="shared" si="74"/>
        <v>~~~~~~~~~~</v>
      </c>
      <c r="BI286" t="str">
        <f t="shared" si="74"/>
        <v>~~~~~~~~~~</v>
      </c>
      <c r="BJ286" t="str">
        <f t="shared" si="74"/>
        <v>~~~~~~~~~~</v>
      </c>
      <c r="BK286" t="str">
        <f t="shared" si="74"/>
        <v>~~~~~~~~~~</v>
      </c>
      <c r="BL286" t="str">
        <f t="shared" si="74"/>
        <v>~~~~~~~~~~</v>
      </c>
      <c r="BM286" t="str">
        <f t="shared" si="74"/>
        <v>~~~~~~~~~~</v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  <c r="BT286" t="str">
        <f>""</f>
        <v/>
      </c>
      <c r="BU286" t="str">
        <f>""</f>
        <v/>
      </c>
      <c r="BV286" t="str">
        <f>""</f>
        <v/>
      </c>
      <c r="BW286" t="str">
        <f>""</f>
        <v/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  <c r="CH286" t="str">
        <f>""</f>
        <v/>
      </c>
      <c r="CI286" t="str">
        <f>""</f>
        <v/>
      </c>
      <c r="CJ286" t="str">
        <f>""</f>
        <v/>
      </c>
      <c r="CK286" t="str">
        <f>""</f>
        <v/>
      </c>
      <c r="CL286" t="str">
        <f>""</f>
        <v/>
      </c>
      <c r="CM286" t="str">
        <f>""</f>
        <v/>
      </c>
      <c r="CN286" t="str">
        <f>""</f>
        <v/>
      </c>
      <c r="CO286" t="str">
        <f>""</f>
        <v/>
      </c>
      <c r="CP286" t="str">
        <f>""</f>
        <v/>
      </c>
      <c r="CQ286" t="str">
        <f>""</f>
        <v/>
      </c>
      <c r="CR286" t="str">
        <f>""</f>
        <v/>
      </c>
      <c r="CS286" t="str">
        <f>""</f>
        <v/>
      </c>
      <c r="CT286" t="str">
        <f>""</f>
        <v/>
      </c>
      <c r="CU286" t="str">
        <f>""</f>
        <v/>
      </c>
      <c r="CV286" t="str">
        <f>""</f>
        <v/>
      </c>
      <c r="CW286" t="str">
        <f>""</f>
        <v/>
      </c>
      <c r="CX286" t="str">
        <f>""</f>
        <v/>
      </c>
      <c r="CY286" t="str">
        <f>""</f>
        <v/>
      </c>
      <c r="CZ286" t="str">
        <f>""</f>
        <v/>
      </c>
      <c r="DA286" t="str">
        <f>""</f>
        <v/>
      </c>
      <c r="DB286" t="str">
        <f>""</f>
        <v/>
      </c>
      <c r="DC286" t="str">
        <f>""</f>
        <v/>
      </c>
      <c r="DD286" t="str">
        <f>""</f>
        <v/>
      </c>
      <c r="DE286" t="str">
        <f>""</f>
        <v/>
      </c>
      <c r="DF286" t="str">
        <f>""</f>
        <v/>
      </c>
      <c r="DG286" t="str">
        <f>""</f>
        <v/>
      </c>
      <c r="DH286" t="str">
        <f>""</f>
        <v/>
      </c>
      <c r="DI286" t="str">
        <f>""</f>
        <v/>
      </c>
      <c r="DJ286" t="str">
        <f>""</f>
        <v/>
      </c>
      <c r="DK286" t="str">
        <f>""</f>
        <v/>
      </c>
      <c r="DL286" t="str">
        <f>""</f>
        <v/>
      </c>
      <c r="DM286" t="str">
        <f>""</f>
        <v/>
      </c>
      <c r="DN286" t="str">
        <f>""</f>
        <v/>
      </c>
      <c r="DO286" t="str">
        <f>""</f>
        <v/>
      </c>
      <c r="DP286" t="str">
        <f>""</f>
        <v/>
      </c>
      <c r="DQ286" t="str">
        <f>""</f>
        <v/>
      </c>
      <c r="DR286" t="str">
        <f>""</f>
        <v/>
      </c>
      <c r="DS286" t="str">
        <f>""</f>
        <v/>
      </c>
      <c r="DT286" t="str">
        <f>""</f>
        <v/>
      </c>
      <c r="DU286" t="str">
        <f>""</f>
        <v/>
      </c>
    </row>
    <row r="287" spans="1:125">
      <c r="A287" t="str">
        <f>"通过上面公式行而添加下列所有数据行以供参考之用。"</f>
        <v>通过上面公式行而添加下列所有数据行以供参考之用。</v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  <c r="BT287" t="str">
        <f>""</f>
        <v/>
      </c>
      <c r="BU287" t="str">
        <f>""</f>
        <v/>
      </c>
      <c r="BV287" t="str">
        <f>""</f>
        <v/>
      </c>
      <c r="BW287" t="str">
        <f>""</f>
        <v/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""</f>
        <v/>
      </c>
      <c r="CE287" t="str">
        <f>""</f>
        <v/>
      </c>
      <c r="CF287" t="str">
        <f>""</f>
        <v/>
      </c>
      <c r="CG287" t="str">
        <f>""</f>
        <v/>
      </c>
      <c r="CH287" t="str">
        <f>""</f>
        <v/>
      </c>
      <c r="CI287" t="str">
        <f>""</f>
        <v/>
      </c>
      <c r="CJ287" t="str">
        <f>""</f>
        <v/>
      </c>
      <c r="CK287" t="str">
        <f>""</f>
        <v/>
      </c>
      <c r="CL287" t="str">
        <f>""</f>
        <v/>
      </c>
      <c r="CM287" t="str">
        <f>""</f>
        <v/>
      </c>
      <c r="CN287" t="str">
        <f>""</f>
        <v/>
      </c>
      <c r="CO287" t="str">
        <f>""</f>
        <v/>
      </c>
      <c r="CP287" t="str">
        <f>""</f>
        <v/>
      </c>
      <c r="CQ287" t="str">
        <f>""</f>
        <v/>
      </c>
      <c r="CR287" t="str">
        <f>""</f>
        <v/>
      </c>
      <c r="CS287" t="str">
        <f>""</f>
        <v/>
      </c>
      <c r="CT287" t="str">
        <f>""</f>
        <v/>
      </c>
      <c r="CU287" t="str">
        <f>""</f>
        <v/>
      </c>
      <c r="CV287" t="str">
        <f>""</f>
        <v/>
      </c>
      <c r="CW287" t="str">
        <f>""</f>
        <v/>
      </c>
      <c r="CX287" t="str">
        <f>""</f>
        <v/>
      </c>
      <c r="CY287" t="str">
        <f>""</f>
        <v/>
      </c>
      <c r="CZ287" t="str">
        <f>""</f>
        <v/>
      </c>
      <c r="DA287" t="str">
        <f>""</f>
        <v/>
      </c>
      <c r="DB287" t="str">
        <f>""</f>
        <v/>
      </c>
      <c r="DC287" t="str">
        <f>""</f>
        <v/>
      </c>
      <c r="DD287" t="str">
        <f>""</f>
        <v/>
      </c>
      <c r="DE287" t="str">
        <f>""</f>
        <v/>
      </c>
      <c r="DF287" t="str">
        <f>""</f>
        <v/>
      </c>
      <c r="DG287" t="str">
        <f>""</f>
        <v/>
      </c>
      <c r="DH287" t="str">
        <f>""</f>
        <v/>
      </c>
      <c r="DI287" t="str">
        <f>""</f>
        <v/>
      </c>
      <c r="DJ287" t="str">
        <f>""</f>
        <v/>
      </c>
      <c r="DK287" t="str">
        <f>""</f>
        <v/>
      </c>
      <c r="DL287" t="str">
        <f>""</f>
        <v/>
      </c>
      <c r="DM287" t="str">
        <f>""</f>
        <v/>
      </c>
      <c r="DN287" t="str">
        <f>""</f>
        <v/>
      </c>
      <c r="DO287" t="str">
        <f>""</f>
        <v/>
      </c>
      <c r="DP287" t="str">
        <f>""</f>
        <v/>
      </c>
      <c r="DQ287" t="str">
        <f>""</f>
        <v/>
      </c>
      <c r="DR287" t="str">
        <f>""</f>
        <v/>
      </c>
      <c r="DS287" t="str">
        <f>""</f>
        <v/>
      </c>
      <c r="DT287" t="str">
        <f>""</f>
        <v/>
      </c>
      <c r="DU287" t="str">
        <f>""</f>
        <v/>
      </c>
    </row>
    <row r="288" spans="1:125">
      <c r="A288">
        <f>RTD("bloomberg.ccyreader", "", "#track", "DBG", "BIHITX", "1.0","RepeatHit")</f>
        <v>0</v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  <c r="BT288" t="str">
        <f>""</f>
        <v/>
      </c>
      <c r="BU288" t="str">
        <f>""</f>
        <v/>
      </c>
      <c r="BV288" t="str">
        <f>""</f>
        <v/>
      </c>
      <c r="BW288" t="str">
        <f>""</f>
        <v/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  <c r="CH288" t="str">
        <f>""</f>
        <v/>
      </c>
      <c r="CI288" t="str">
        <f>""</f>
        <v/>
      </c>
      <c r="CJ288" t="str">
        <f>""</f>
        <v/>
      </c>
      <c r="CK288" t="str">
        <f>""</f>
        <v/>
      </c>
      <c r="CL288" t="str">
        <f>""</f>
        <v/>
      </c>
      <c r="CM288" t="str">
        <f>""</f>
        <v/>
      </c>
      <c r="CN288" t="str">
        <f>""</f>
        <v/>
      </c>
      <c r="CO288" t="str">
        <f>""</f>
        <v/>
      </c>
      <c r="CP288" t="str">
        <f>""</f>
        <v/>
      </c>
      <c r="CQ288" t="str">
        <f>""</f>
        <v/>
      </c>
      <c r="CR288" t="str">
        <f>""</f>
        <v/>
      </c>
      <c r="CS288" t="str">
        <f>""</f>
        <v/>
      </c>
      <c r="CT288" t="str">
        <f>""</f>
        <v/>
      </c>
      <c r="CU288" t="str">
        <f>""</f>
        <v/>
      </c>
      <c r="CV288" t="str">
        <f>""</f>
        <v/>
      </c>
      <c r="CW288" t="str">
        <f>""</f>
        <v/>
      </c>
      <c r="CX288" t="str">
        <f>""</f>
        <v/>
      </c>
      <c r="CY288" t="str">
        <f>""</f>
        <v/>
      </c>
      <c r="CZ288" t="str">
        <f>""</f>
        <v/>
      </c>
      <c r="DA288" t="str">
        <f>""</f>
        <v/>
      </c>
      <c r="DB288" t="str">
        <f>""</f>
        <v/>
      </c>
      <c r="DC288" t="str">
        <f>""</f>
        <v/>
      </c>
      <c r="DD288" t="str">
        <f>""</f>
        <v/>
      </c>
      <c r="DE288" t="str">
        <f>""</f>
        <v/>
      </c>
      <c r="DF288" t="str">
        <f>""</f>
        <v/>
      </c>
      <c r="DG288" t="str">
        <f>""</f>
        <v/>
      </c>
      <c r="DH288" t="str">
        <f>""</f>
        <v/>
      </c>
      <c r="DI288" t="str">
        <f>""</f>
        <v/>
      </c>
      <c r="DJ288" t="str">
        <f>""</f>
        <v/>
      </c>
      <c r="DK288" t="str">
        <f>""</f>
        <v/>
      </c>
      <c r="DL288" t="str">
        <f>""</f>
        <v/>
      </c>
      <c r="DM288" t="str">
        <f>""</f>
        <v/>
      </c>
      <c r="DN288" t="str">
        <f>""</f>
        <v/>
      </c>
      <c r="DO288" t="str">
        <f>""</f>
        <v/>
      </c>
      <c r="DP288" t="str">
        <f>""</f>
        <v/>
      </c>
      <c r="DQ288" t="str">
        <f>""</f>
        <v/>
      </c>
      <c r="DR288" t="str">
        <f>""</f>
        <v/>
      </c>
      <c r="DS288" t="str">
        <f>""</f>
        <v/>
      </c>
      <c r="DT288" t="str">
        <f>""</f>
        <v/>
      </c>
      <c r="DU288" t="str">
        <f>""</f>
        <v/>
      </c>
    </row>
    <row r="289" spans="1:125">
      <c r="A289" t="str">
        <f>"货币"</f>
        <v>货币</v>
      </c>
      <c r="B289" t="str">
        <f>"USD"</f>
        <v>USD</v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  <c r="BT289" t="str">
        <f>""</f>
        <v/>
      </c>
      <c r="BU289" t="str">
        <f>""</f>
        <v/>
      </c>
      <c r="BV289" t="str">
        <f>""</f>
        <v/>
      </c>
      <c r="BW289" t="str">
        <f>""</f>
        <v/>
      </c>
      <c r="BX289" t="str">
        <f>""</f>
        <v/>
      </c>
      <c r="BY289" t="str">
        <f>""</f>
        <v/>
      </c>
      <c r="BZ289" t="str">
        <f>""</f>
        <v/>
      </c>
      <c r="CA289" t="str">
        <f>""</f>
        <v/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""</f>
        <v/>
      </c>
      <c r="CG289" t="str">
        <f>""</f>
        <v/>
      </c>
      <c r="CH289" t="str">
        <f>""</f>
        <v/>
      </c>
      <c r="CI289" t="str">
        <f>""</f>
        <v/>
      </c>
      <c r="CJ289" t="str">
        <f>""</f>
        <v/>
      </c>
      <c r="CK289" t="str">
        <f>""</f>
        <v/>
      </c>
      <c r="CL289" t="str">
        <f>""</f>
        <v/>
      </c>
      <c r="CM289" t="str">
        <f>""</f>
        <v/>
      </c>
      <c r="CN289" t="str">
        <f>""</f>
        <v/>
      </c>
      <c r="CO289" t="str">
        <f>""</f>
        <v/>
      </c>
      <c r="CP289" t="str">
        <f>""</f>
        <v/>
      </c>
      <c r="CQ289" t="str">
        <f>""</f>
        <v/>
      </c>
      <c r="CR289" t="str">
        <f>""</f>
        <v/>
      </c>
      <c r="CS289" t="str">
        <f>""</f>
        <v/>
      </c>
      <c r="CT289" t="str">
        <f>""</f>
        <v/>
      </c>
      <c r="CU289" t="str">
        <f>""</f>
        <v/>
      </c>
      <c r="CV289" t="str">
        <f>""</f>
        <v/>
      </c>
      <c r="CW289" t="str">
        <f>""</f>
        <v/>
      </c>
      <c r="CX289" t="str">
        <f>""</f>
        <v/>
      </c>
      <c r="CY289" t="str">
        <f>""</f>
        <v/>
      </c>
      <c r="CZ289" t="str">
        <f>""</f>
        <v/>
      </c>
      <c r="DA289" t="str">
        <f>""</f>
        <v/>
      </c>
      <c r="DB289" t="str">
        <f>""</f>
        <v/>
      </c>
      <c r="DC289" t="str">
        <f>""</f>
        <v/>
      </c>
      <c r="DD289" t="str">
        <f>""</f>
        <v/>
      </c>
      <c r="DE289" t="str">
        <f>""</f>
        <v/>
      </c>
      <c r="DF289" t="str">
        <f>""</f>
        <v/>
      </c>
      <c r="DG289" t="str">
        <f>""</f>
        <v/>
      </c>
      <c r="DH289" t="str">
        <f>""</f>
        <v/>
      </c>
      <c r="DI289" t="str">
        <f>""</f>
        <v/>
      </c>
      <c r="DJ289" t="str">
        <f>""</f>
        <v/>
      </c>
      <c r="DK289" t="str">
        <f>""</f>
        <v/>
      </c>
      <c r="DL289" t="str">
        <f>""</f>
        <v/>
      </c>
      <c r="DM289" t="str">
        <f>""</f>
        <v/>
      </c>
      <c r="DN289" t="str">
        <f>""</f>
        <v/>
      </c>
      <c r="DO289" t="str">
        <f>""</f>
        <v/>
      </c>
      <c r="DP289" t="str">
        <f>""</f>
        <v/>
      </c>
      <c r="DQ289" t="str">
        <f>""</f>
        <v/>
      </c>
      <c r="DR289" t="str">
        <f>""</f>
        <v/>
      </c>
      <c r="DS289" t="str">
        <f>""</f>
        <v/>
      </c>
      <c r="DT289" t="str">
        <f>""</f>
        <v/>
      </c>
      <c r="DU289" t="str">
        <f>""</f>
        <v/>
      </c>
    </row>
    <row r="290" spans="1:125">
      <c r="A290" t="str">
        <f>"周期"</f>
        <v>周期</v>
      </c>
      <c r="B290" t="str">
        <f>"CQ"</f>
        <v>CQ</v>
      </c>
      <c r="C290" t="str">
        <f>"AQ"</f>
        <v>AQ</v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  <c r="BT290" t="str">
        <f>""</f>
        <v/>
      </c>
      <c r="BU290" t="str">
        <f>""</f>
        <v/>
      </c>
      <c r="BV290" t="str">
        <f>""</f>
        <v/>
      </c>
      <c r="BW290" t="str">
        <f>""</f>
        <v/>
      </c>
      <c r="BX290" t="str">
        <f>""</f>
        <v/>
      </c>
      <c r="BY290" t="str">
        <f>""</f>
        <v/>
      </c>
      <c r="BZ290" t="str">
        <f>""</f>
        <v/>
      </c>
      <c r="CA290" t="str">
        <f>""</f>
        <v/>
      </c>
      <c r="CB290" t="str">
        <f>""</f>
        <v/>
      </c>
      <c r="CC290" t="str">
        <f>""</f>
        <v/>
      </c>
      <c r="CD290" t="str">
        <f>""</f>
        <v/>
      </c>
      <c r="CE290" t="str">
        <f>""</f>
        <v/>
      </c>
      <c r="CF290" t="str">
        <f>""</f>
        <v/>
      </c>
      <c r="CG290" t="str">
        <f>""</f>
        <v/>
      </c>
      <c r="CH290" t="str">
        <f>""</f>
        <v/>
      </c>
      <c r="CI290" t="str">
        <f>""</f>
        <v/>
      </c>
      <c r="CJ290" t="str">
        <f>""</f>
        <v/>
      </c>
      <c r="CK290" t="str">
        <f>""</f>
        <v/>
      </c>
      <c r="CL290" t="str">
        <f>""</f>
        <v/>
      </c>
      <c r="CM290" t="str">
        <f>""</f>
        <v/>
      </c>
      <c r="CN290" t="str">
        <f>""</f>
        <v/>
      </c>
      <c r="CO290" t="str">
        <f>""</f>
        <v/>
      </c>
      <c r="CP290" t="str">
        <f>""</f>
        <v/>
      </c>
      <c r="CQ290" t="str">
        <f>""</f>
        <v/>
      </c>
      <c r="CR290" t="str">
        <f>""</f>
        <v/>
      </c>
      <c r="CS290" t="str">
        <f>""</f>
        <v/>
      </c>
      <c r="CT290" t="str">
        <f>""</f>
        <v/>
      </c>
      <c r="CU290" t="str">
        <f>""</f>
        <v/>
      </c>
      <c r="CV290" t="str">
        <f>""</f>
        <v/>
      </c>
      <c r="CW290" t="str">
        <f>""</f>
        <v/>
      </c>
      <c r="CX290" t="str">
        <f>""</f>
        <v/>
      </c>
      <c r="CY290" t="str">
        <f>""</f>
        <v/>
      </c>
      <c r="CZ290" t="str">
        <f>""</f>
        <v/>
      </c>
      <c r="DA290" t="str">
        <f>""</f>
        <v/>
      </c>
      <c r="DB290" t="str">
        <f>""</f>
        <v/>
      </c>
      <c r="DC290" t="str">
        <f>""</f>
        <v/>
      </c>
      <c r="DD290" t="str">
        <f>""</f>
        <v/>
      </c>
      <c r="DE290" t="str">
        <f>""</f>
        <v/>
      </c>
      <c r="DF290" t="str">
        <f>""</f>
        <v/>
      </c>
      <c r="DG290" t="str">
        <f>""</f>
        <v/>
      </c>
      <c r="DH290" t="str">
        <f>""</f>
        <v/>
      </c>
      <c r="DI290" t="str">
        <f>""</f>
        <v/>
      </c>
      <c r="DJ290" t="str">
        <f>""</f>
        <v/>
      </c>
      <c r="DK290" t="str">
        <f>""</f>
        <v/>
      </c>
      <c r="DL290" t="str">
        <f>""</f>
        <v/>
      </c>
      <c r="DM290" t="str">
        <f>""</f>
        <v/>
      </c>
      <c r="DN290" t="str">
        <f>""</f>
        <v/>
      </c>
      <c r="DO290" t="str">
        <f>""</f>
        <v/>
      </c>
      <c r="DP290" t="str">
        <f>""</f>
        <v/>
      </c>
      <c r="DQ290" t="str">
        <f>""</f>
        <v/>
      </c>
      <c r="DR290" t="str">
        <f>""</f>
        <v/>
      </c>
      <c r="DS290" t="str">
        <f>""</f>
        <v/>
      </c>
      <c r="DT290" t="str">
        <f>""</f>
        <v/>
      </c>
      <c r="DU290" t="str">
        <f>""</f>
        <v/>
      </c>
    </row>
    <row r="291" spans="1:125">
      <c r="A291" t="str">
        <f>"周期数"</f>
        <v>周期数</v>
      </c>
      <c r="B291">
        <f>60</f>
        <v>60</v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  <c r="BT291" t="str">
        <f>""</f>
        <v/>
      </c>
      <c r="BU291" t="str">
        <f>""</f>
        <v/>
      </c>
      <c r="BV291" t="str">
        <f>""</f>
        <v/>
      </c>
      <c r="BW291" t="str">
        <f>""</f>
        <v/>
      </c>
      <c r="BX291" t="str">
        <f>""</f>
        <v/>
      </c>
      <c r="BY291" t="str">
        <f>""</f>
        <v/>
      </c>
      <c r="BZ291" t="str">
        <f>""</f>
        <v/>
      </c>
      <c r="CA291" t="str">
        <f>""</f>
        <v/>
      </c>
      <c r="CB291" t="str">
        <f>""</f>
        <v/>
      </c>
      <c r="CC291" t="str">
        <f>""</f>
        <v/>
      </c>
      <c r="CD291" t="str">
        <f>""</f>
        <v/>
      </c>
      <c r="CE291" t="str">
        <f>""</f>
        <v/>
      </c>
      <c r="CF291" t="str">
        <f>""</f>
        <v/>
      </c>
      <c r="CG291" t="str">
        <f>""</f>
        <v/>
      </c>
      <c r="CH291" t="str">
        <f>""</f>
        <v/>
      </c>
      <c r="CI291" t="str">
        <f>""</f>
        <v/>
      </c>
      <c r="CJ291" t="str">
        <f>""</f>
        <v/>
      </c>
      <c r="CK291" t="str">
        <f>""</f>
        <v/>
      </c>
      <c r="CL291" t="str">
        <f>""</f>
        <v/>
      </c>
      <c r="CM291" t="str">
        <f>""</f>
        <v/>
      </c>
      <c r="CN291" t="str">
        <f>""</f>
        <v/>
      </c>
      <c r="CO291" t="str">
        <f>""</f>
        <v/>
      </c>
      <c r="CP291" t="str">
        <f>""</f>
        <v/>
      </c>
      <c r="CQ291" t="str">
        <f>""</f>
        <v/>
      </c>
      <c r="CR291" t="str">
        <f>""</f>
        <v/>
      </c>
      <c r="CS291" t="str">
        <f>""</f>
        <v/>
      </c>
      <c r="CT291" t="str">
        <f>""</f>
        <v/>
      </c>
      <c r="CU291" t="str">
        <f>""</f>
        <v/>
      </c>
      <c r="CV291" t="str">
        <f>""</f>
        <v/>
      </c>
      <c r="CW291" t="str">
        <f>""</f>
        <v/>
      </c>
      <c r="CX291" t="str">
        <f>""</f>
        <v/>
      </c>
      <c r="CY291" t="str">
        <f>""</f>
        <v/>
      </c>
      <c r="CZ291" t="str">
        <f>""</f>
        <v/>
      </c>
      <c r="DA291" t="str">
        <f>""</f>
        <v/>
      </c>
      <c r="DB291" t="str">
        <f>""</f>
        <v/>
      </c>
      <c r="DC291" t="str">
        <f>""</f>
        <v/>
      </c>
      <c r="DD291" t="str">
        <f>""</f>
        <v/>
      </c>
      <c r="DE291" t="str">
        <f>""</f>
        <v/>
      </c>
      <c r="DF291" t="str">
        <f>""</f>
        <v/>
      </c>
      <c r="DG291" t="str">
        <f>""</f>
        <v/>
      </c>
      <c r="DH291" t="str">
        <f>""</f>
        <v/>
      </c>
      <c r="DI291" t="str">
        <f>""</f>
        <v/>
      </c>
      <c r="DJ291" t="str">
        <f>""</f>
        <v/>
      </c>
      <c r="DK291" t="str">
        <f>""</f>
        <v/>
      </c>
      <c r="DL291" t="str">
        <f>""</f>
        <v/>
      </c>
      <c r="DM291" t="str">
        <f>""</f>
        <v/>
      </c>
      <c r="DN291" t="str">
        <f>""</f>
        <v/>
      </c>
      <c r="DO291" t="str">
        <f>""</f>
        <v/>
      </c>
      <c r="DP291" t="str">
        <f>""</f>
        <v/>
      </c>
      <c r="DQ291" t="str">
        <f>""</f>
        <v/>
      </c>
      <c r="DR291" t="str">
        <f>""</f>
        <v/>
      </c>
      <c r="DS291" t="str">
        <f>""</f>
        <v/>
      </c>
      <c r="DT291" t="str">
        <f>""</f>
        <v/>
      </c>
      <c r="DU291" t="str">
        <f>""</f>
        <v/>
      </c>
    </row>
    <row r="292" spans="1:125">
      <c r="A292" t="str">
        <f>"起始日期"</f>
        <v>起始日期</v>
      </c>
      <c r="B292" t="str">
        <f>CONCATENATE("-",$B$291,$B$290)</f>
        <v>-60CQ</v>
      </c>
      <c r="C292" t="str">
        <f>CONCATENATE("-",$B$291,$C$290)</f>
        <v>-60AQ</v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  <c r="BT292" t="str">
        <f>""</f>
        <v/>
      </c>
      <c r="BU292" t="str">
        <f>""</f>
        <v/>
      </c>
      <c r="BV292" t="str">
        <f>""</f>
        <v/>
      </c>
      <c r="BW292" t="str">
        <f>""</f>
        <v/>
      </c>
      <c r="BX292" t="str">
        <f>""</f>
        <v/>
      </c>
      <c r="BY292" t="str">
        <f>""</f>
        <v/>
      </c>
      <c r="BZ292" t="str">
        <f>""</f>
        <v/>
      </c>
      <c r="CA292" t="str">
        <f>""</f>
        <v/>
      </c>
      <c r="CB292" t="str">
        <f>""</f>
        <v/>
      </c>
      <c r="CC292" t="str">
        <f>""</f>
        <v/>
      </c>
      <c r="CD292" t="str">
        <f>""</f>
        <v/>
      </c>
      <c r="CE292" t="str">
        <f>""</f>
        <v/>
      </c>
      <c r="CF292" t="str">
        <f>""</f>
        <v/>
      </c>
      <c r="CG292" t="str">
        <f>""</f>
        <v/>
      </c>
      <c r="CH292" t="str">
        <f>""</f>
        <v/>
      </c>
      <c r="CI292" t="str">
        <f>""</f>
        <v/>
      </c>
      <c r="CJ292" t="str">
        <f>""</f>
        <v/>
      </c>
      <c r="CK292" t="str">
        <f>""</f>
        <v/>
      </c>
      <c r="CL292" t="str">
        <f>""</f>
        <v/>
      </c>
      <c r="CM292" t="str">
        <f>""</f>
        <v/>
      </c>
      <c r="CN292" t="str">
        <f>""</f>
        <v/>
      </c>
      <c r="CO292" t="str">
        <f>""</f>
        <v/>
      </c>
      <c r="CP292" t="str">
        <f>""</f>
        <v/>
      </c>
      <c r="CQ292" t="str">
        <f>""</f>
        <v/>
      </c>
      <c r="CR292" t="str">
        <f>""</f>
        <v/>
      </c>
      <c r="CS292" t="str">
        <f>""</f>
        <v/>
      </c>
      <c r="CT292" t="str">
        <f>""</f>
        <v/>
      </c>
      <c r="CU292" t="str">
        <f>""</f>
        <v/>
      </c>
      <c r="CV292" t="str">
        <f>""</f>
        <v/>
      </c>
      <c r="CW292" t="str">
        <f>""</f>
        <v/>
      </c>
      <c r="CX292" t="str">
        <f>""</f>
        <v/>
      </c>
      <c r="CY292" t="str">
        <f>""</f>
        <v/>
      </c>
      <c r="CZ292" t="str">
        <f>""</f>
        <v/>
      </c>
      <c r="DA292" t="str">
        <f>""</f>
        <v/>
      </c>
      <c r="DB292" t="str">
        <f>""</f>
        <v/>
      </c>
      <c r="DC292" t="str">
        <f>""</f>
        <v/>
      </c>
      <c r="DD292" t="str">
        <f>""</f>
        <v/>
      </c>
      <c r="DE292" t="str">
        <f>""</f>
        <v/>
      </c>
      <c r="DF292" t="str">
        <f>""</f>
        <v/>
      </c>
      <c r="DG292" t="str">
        <f>""</f>
        <v/>
      </c>
      <c r="DH292" t="str">
        <f>""</f>
        <v/>
      </c>
      <c r="DI292" t="str">
        <f>""</f>
        <v/>
      </c>
      <c r="DJ292" t="str">
        <f>""</f>
        <v/>
      </c>
      <c r="DK292" t="str">
        <f>""</f>
        <v/>
      </c>
      <c r="DL292" t="str">
        <f>""</f>
        <v/>
      </c>
      <c r="DM292" t="str">
        <f>""</f>
        <v/>
      </c>
      <c r="DN292" t="str">
        <f>""</f>
        <v/>
      </c>
      <c r="DO292" t="str">
        <f>""</f>
        <v/>
      </c>
      <c r="DP292" t="str">
        <f>""</f>
        <v/>
      </c>
      <c r="DQ292" t="str">
        <f>""</f>
        <v/>
      </c>
      <c r="DR292" t="str">
        <f>""</f>
        <v/>
      </c>
      <c r="DS292" t="str">
        <f>""</f>
        <v/>
      </c>
      <c r="DT292" t="str">
        <f>""</f>
        <v/>
      </c>
      <c r="DU292" t="str">
        <f>""</f>
        <v/>
      </c>
    </row>
    <row r="293" spans="1:125">
      <c r="A293" t="str">
        <f>"End Date"</f>
        <v>End Date</v>
      </c>
      <c r="B293">
        <f ca="1">IF(TODAY()&lt;DATE(2018, 3,31),DATE(2018, 3,31),TODAY())</f>
        <v>43190</v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  <c r="BT293" t="str">
        <f>""</f>
        <v/>
      </c>
      <c r="BU293" t="str">
        <f>""</f>
        <v/>
      </c>
      <c r="BV293" t="str">
        <f>""</f>
        <v/>
      </c>
      <c r="BW293" t="str">
        <f>""</f>
        <v/>
      </c>
      <c r="BX293" t="str">
        <f>""</f>
        <v/>
      </c>
      <c r="BY293" t="str">
        <f>""</f>
        <v/>
      </c>
      <c r="BZ293" t="str">
        <f>""</f>
        <v/>
      </c>
      <c r="CA293" t="str">
        <f>""</f>
        <v/>
      </c>
      <c r="CB293" t="str">
        <f>""</f>
        <v/>
      </c>
      <c r="CC293" t="str">
        <f>""</f>
        <v/>
      </c>
      <c r="CD293" t="str">
        <f>""</f>
        <v/>
      </c>
      <c r="CE293" t="str">
        <f>""</f>
        <v/>
      </c>
      <c r="CF293" t="str">
        <f>""</f>
        <v/>
      </c>
      <c r="CG293" t="str">
        <f>""</f>
        <v/>
      </c>
      <c r="CH293" t="str">
        <f>""</f>
        <v/>
      </c>
      <c r="CI293" t="str">
        <f>""</f>
        <v/>
      </c>
      <c r="CJ293" t="str">
        <f>""</f>
        <v/>
      </c>
      <c r="CK293" t="str">
        <f>""</f>
        <v/>
      </c>
      <c r="CL293" t="str">
        <f>""</f>
        <v/>
      </c>
      <c r="CM293" t="str">
        <f>""</f>
        <v/>
      </c>
      <c r="CN293" t="str">
        <f>""</f>
        <v/>
      </c>
      <c r="CO293" t="str">
        <f>""</f>
        <v/>
      </c>
      <c r="CP293" t="str">
        <f>""</f>
        <v/>
      </c>
      <c r="CQ293" t="str">
        <f>""</f>
        <v/>
      </c>
      <c r="CR293" t="str">
        <f>""</f>
        <v/>
      </c>
      <c r="CS293" t="str">
        <f>""</f>
        <v/>
      </c>
      <c r="CT293" t="str">
        <f>""</f>
        <v/>
      </c>
      <c r="CU293" t="str">
        <f>""</f>
        <v/>
      </c>
      <c r="CV293" t="str">
        <f>""</f>
        <v/>
      </c>
      <c r="CW293" t="str">
        <f>""</f>
        <v/>
      </c>
      <c r="CX293" t="str">
        <f>""</f>
        <v/>
      </c>
      <c r="CY293" t="str">
        <f>""</f>
        <v/>
      </c>
      <c r="CZ293" t="str">
        <f>""</f>
        <v/>
      </c>
      <c r="DA293" t="str">
        <f>""</f>
        <v/>
      </c>
      <c r="DB293" t="str">
        <f>""</f>
        <v/>
      </c>
      <c r="DC293" t="str">
        <f>""</f>
        <v/>
      </c>
      <c r="DD293" t="str">
        <f>""</f>
        <v/>
      </c>
      <c r="DE293" t="str">
        <f>""</f>
        <v/>
      </c>
      <c r="DF293" t="str">
        <f>""</f>
        <v/>
      </c>
      <c r="DG293" t="str">
        <f>""</f>
        <v/>
      </c>
      <c r="DH293" t="str">
        <f>""</f>
        <v/>
      </c>
      <c r="DI293" t="str">
        <f>""</f>
        <v/>
      </c>
      <c r="DJ293" t="str">
        <f>""</f>
        <v/>
      </c>
      <c r="DK293" t="str">
        <f>""</f>
        <v/>
      </c>
      <c r="DL293" t="str">
        <f>""</f>
        <v/>
      </c>
      <c r="DM293" t="str">
        <f>""</f>
        <v/>
      </c>
      <c r="DN293" t="str">
        <f>""</f>
        <v/>
      </c>
      <c r="DO293" t="str">
        <f>""</f>
        <v/>
      </c>
      <c r="DP293" t="str">
        <f>""</f>
        <v/>
      </c>
      <c r="DQ293" t="str">
        <f>""</f>
        <v/>
      </c>
      <c r="DR293" t="str">
        <f>""</f>
        <v/>
      </c>
      <c r="DS293" t="str">
        <f>""</f>
        <v/>
      </c>
      <c r="DT293" t="str">
        <f>""</f>
        <v/>
      </c>
      <c r="DU293" t="str">
        <f>""</f>
        <v/>
      </c>
    </row>
    <row r="294" spans="1:125">
      <c r="A294" t="str">
        <f>"HeaderStatus(custom data)"</f>
        <v>HeaderStatus(custom data)</v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  <c r="BT294" t="str">
        <f>""</f>
        <v/>
      </c>
      <c r="BU294" t="str">
        <f>""</f>
        <v/>
      </c>
      <c r="BV294" t="str">
        <f>""</f>
        <v/>
      </c>
      <c r="BW294" t="str">
        <f>""</f>
        <v/>
      </c>
      <c r="BX294" t="str">
        <f>""</f>
        <v/>
      </c>
      <c r="BY294" t="str">
        <f>""</f>
        <v/>
      </c>
      <c r="BZ294" t="str">
        <f>""</f>
        <v/>
      </c>
      <c r="CA294" t="str">
        <f>""</f>
        <v/>
      </c>
      <c r="CB294" t="str">
        <f>""</f>
        <v/>
      </c>
      <c r="CC294" t="str">
        <f>""</f>
        <v/>
      </c>
      <c r="CD294" t="str">
        <f>""</f>
        <v/>
      </c>
      <c r="CE294" t="str">
        <f>""</f>
        <v/>
      </c>
      <c r="CF294" t="str">
        <f>""</f>
        <v/>
      </c>
      <c r="CG294" t="str">
        <f>""</f>
        <v/>
      </c>
      <c r="CH294" t="str">
        <f>""</f>
        <v/>
      </c>
      <c r="CI294" t="str">
        <f>""</f>
        <v/>
      </c>
      <c r="CJ294" t="str">
        <f>""</f>
        <v/>
      </c>
      <c r="CK294" t="str">
        <f>""</f>
        <v/>
      </c>
      <c r="CL294" t="str">
        <f>""</f>
        <v/>
      </c>
      <c r="CM294" t="str">
        <f>""</f>
        <v/>
      </c>
      <c r="CN294" t="str">
        <f>""</f>
        <v/>
      </c>
      <c r="CO294" t="str">
        <f>""</f>
        <v/>
      </c>
      <c r="CP294" t="str">
        <f>""</f>
        <v/>
      </c>
      <c r="CQ294" t="str">
        <f>""</f>
        <v/>
      </c>
      <c r="CR294" t="str">
        <f>""</f>
        <v/>
      </c>
      <c r="CS294" t="str">
        <f>""</f>
        <v/>
      </c>
      <c r="CT294" t="str">
        <f>""</f>
        <v/>
      </c>
      <c r="CU294" t="str">
        <f>""</f>
        <v/>
      </c>
      <c r="CV294" t="str">
        <f>""</f>
        <v/>
      </c>
      <c r="CW294" t="str">
        <f>""</f>
        <v/>
      </c>
      <c r="CX294" t="str">
        <f>""</f>
        <v/>
      </c>
      <c r="CY294" t="str">
        <f>""</f>
        <v/>
      </c>
      <c r="CZ294" t="str">
        <f>""</f>
        <v/>
      </c>
      <c r="DA294" t="str">
        <f>""</f>
        <v/>
      </c>
      <c r="DB294" t="str">
        <f>""</f>
        <v/>
      </c>
      <c r="DC294" t="str">
        <f>""</f>
        <v/>
      </c>
      <c r="DD294" t="str">
        <f>""</f>
        <v/>
      </c>
      <c r="DE294" t="str">
        <f>""</f>
        <v/>
      </c>
      <c r="DF294" t="str">
        <f>""</f>
        <v/>
      </c>
      <c r="DG294" t="str">
        <f>""</f>
        <v/>
      </c>
      <c r="DH294" t="str">
        <f>""</f>
        <v/>
      </c>
      <c r="DI294" t="str">
        <f>""</f>
        <v/>
      </c>
      <c r="DJ294" t="str">
        <f>""</f>
        <v/>
      </c>
      <c r="DK294" t="str">
        <f>""</f>
        <v/>
      </c>
      <c r="DL294" t="str">
        <f>""</f>
        <v/>
      </c>
      <c r="DM294" t="str">
        <f>""</f>
        <v/>
      </c>
      <c r="DN294" t="str">
        <f>""</f>
        <v/>
      </c>
      <c r="DO294" t="str">
        <f>""</f>
        <v/>
      </c>
      <c r="DP294" t="str">
        <f>""</f>
        <v/>
      </c>
      <c r="DQ294" t="str">
        <f>""</f>
        <v/>
      </c>
      <c r="DR294" t="str">
        <f>""</f>
        <v/>
      </c>
      <c r="DS294" t="str">
        <f>""</f>
        <v/>
      </c>
      <c r="DT294" t="str">
        <f>""</f>
        <v/>
      </c>
      <c r="DU294" t="str">
        <f>""</f>
        <v/>
      </c>
    </row>
    <row r="295" spans="1:125"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  <c r="BT295" t="str">
        <f>""</f>
        <v/>
      </c>
      <c r="BU295" t="str">
        <f>""</f>
        <v/>
      </c>
      <c r="BV295" t="str">
        <f>""</f>
        <v/>
      </c>
      <c r="BW295" t="str">
        <f>""</f>
        <v/>
      </c>
      <c r="BX295" t="str">
        <f>""</f>
        <v/>
      </c>
      <c r="BY295" t="str">
        <f>""</f>
        <v/>
      </c>
      <c r="BZ295" t="str">
        <f>""</f>
        <v/>
      </c>
      <c r="CA295" t="str">
        <f>""</f>
        <v/>
      </c>
      <c r="CB295" t="str">
        <f>""</f>
        <v/>
      </c>
      <c r="CC295" t="str">
        <f>""</f>
        <v/>
      </c>
      <c r="CD295" t="str">
        <f>""</f>
        <v/>
      </c>
      <c r="CE295" t="str">
        <f>""</f>
        <v/>
      </c>
      <c r="CF295" t="str">
        <f>""</f>
        <v/>
      </c>
      <c r="CG295" t="str">
        <f>""</f>
        <v/>
      </c>
      <c r="CH295" t="str">
        <f>""</f>
        <v/>
      </c>
      <c r="CI295" t="str">
        <f>""</f>
        <v/>
      </c>
      <c r="CJ295" t="str">
        <f>""</f>
        <v/>
      </c>
      <c r="CK295" t="str">
        <f>""</f>
        <v/>
      </c>
      <c r="CL295" t="str">
        <f>""</f>
        <v/>
      </c>
      <c r="CM295" t="str">
        <f>""</f>
        <v/>
      </c>
      <c r="CN295" t="str">
        <f>""</f>
        <v/>
      </c>
      <c r="CO295" t="str">
        <f>""</f>
        <v/>
      </c>
      <c r="CP295" t="str">
        <f>""</f>
        <v/>
      </c>
      <c r="CQ295" t="str">
        <f>""</f>
        <v/>
      </c>
      <c r="CR295" t="str">
        <f>""</f>
        <v/>
      </c>
      <c r="CS295" t="str">
        <f>""</f>
        <v/>
      </c>
      <c r="CT295" t="str">
        <f>""</f>
        <v/>
      </c>
      <c r="CU295" t="str">
        <f>""</f>
        <v/>
      </c>
      <c r="CV295" t="str">
        <f>""</f>
        <v/>
      </c>
      <c r="CW295" t="str">
        <f>""</f>
        <v/>
      </c>
      <c r="CX295" t="str">
        <f>""</f>
        <v/>
      </c>
      <c r="CY295" t="str">
        <f>""</f>
        <v/>
      </c>
      <c r="CZ295" t="str">
        <f>""</f>
        <v/>
      </c>
      <c r="DA295" t="str">
        <f>""</f>
        <v/>
      </c>
      <c r="DB295" t="str">
        <f>""</f>
        <v/>
      </c>
      <c r="DC295" t="str">
        <f>""</f>
        <v/>
      </c>
      <c r="DD295" t="str">
        <f>""</f>
        <v/>
      </c>
      <c r="DE295" t="str">
        <f>""</f>
        <v/>
      </c>
      <c r="DF295" t="str">
        <f>""</f>
        <v/>
      </c>
      <c r="DG295" t="str">
        <f>""</f>
        <v/>
      </c>
      <c r="DH295" t="str">
        <f>""</f>
        <v/>
      </c>
      <c r="DI295" t="str">
        <f>""</f>
        <v/>
      </c>
      <c r="DJ295" t="str">
        <f>""</f>
        <v/>
      </c>
      <c r="DK295" t="str">
        <f>""</f>
        <v/>
      </c>
      <c r="DL295" t="str">
        <f>""</f>
        <v/>
      </c>
      <c r="DM295" t="str">
        <f>""</f>
        <v/>
      </c>
      <c r="DN295" t="str">
        <f>""</f>
        <v/>
      </c>
      <c r="DO295" t="str">
        <f>""</f>
        <v/>
      </c>
      <c r="DP295" t="str">
        <f>""</f>
        <v/>
      </c>
      <c r="DQ295" t="str">
        <f>""</f>
        <v/>
      </c>
      <c r="DR295" t="str">
        <f>""</f>
        <v/>
      </c>
      <c r="DS295" t="str">
        <f>""</f>
        <v/>
      </c>
      <c r="DT295" t="str">
        <f>""</f>
        <v/>
      </c>
      <c r="DU295" t="str">
        <f>""</f>
        <v/>
      </c>
    </row>
    <row r="296" spans="1:125">
      <c r="B296" t="str">
        <f>"BXP US Equity"</f>
        <v>BXP US Equity</v>
      </c>
      <c r="C296" t="str">
        <f>"RR253"</f>
        <v>RR253</v>
      </c>
      <c r="D296" t="str">
        <f>"CASH_AND_MARKETABLE_SECURITIES"</f>
        <v>CASH_AND_MARKETABLE_SECURITIES</v>
      </c>
      <c r="E296" t="str">
        <f t="shared" ref="E296:E325" si="75">"动态"</f>
        <v>动态</v>
      </c>
      <c r="F296" t="str">
        <f ca="1">BDH($B$296,$C$296,$B$292,$B$293,CONCATENATE("Per=",$B$290),"Dts=H","Dir=H",CONCATENATE("Points=",$B$291),"Sort=R","Days=A","Fill=B",CONCATENATE("FX=", $B$289) )</f>
        <v>#N/A Authorization</v>
      </c>
      <c r="BN296" t="str">
        <f>""</f>
        <v/>
      </c>
      <c r="BO296" t="str">
        <f>""</f>
        <v/>
      </c>
      <c r="BP296" t="str">
        <f>""</f>
        <v/>
      </c>
      <c r="BQ296" t="str">
        <f>""</f>
        <v/>
      </c>
      <c r="BR296" t="str">
        <f>""</f>
        <v/>
      </c>
      <c r="BS296" t="str">
        <f>""</f>
        <v/>
      </c>
      <c r="BT296" t="str">
        <f>""</f>
        <v/>
      </c>
      <c r="BU296" t="str">
        <f>""</f>
        <v/>
      </c>
      <c r="BV296" t="str">
        <f>""</f>
        <v/>
      </c>
      <c r="BW296" t="str">
        <f>""</f>
        <v/>
      </c>
      <c r="BX296" t="str">
        <f>""</f>
        <v/>
      </c>
      <c r="BY296" t="str">
        <f>""</f>
        <v/>
      </c>
      <c r="BZ296" t="str">
        <f>""</f>
        <v/>
      </c>
      <c r="CA296" t="str">
        <f>""</f>
        <v/>
      </c>
      <c r="CB296" t="str">
        <f>""</f>
        <v/>
      </c>
      <c r="CC296" t="str">
        <f>""</f>
        <v/>
      </c>
      <c r="CD296" t="str">
        <f>""</f>
        <v/>
      </c>
      <c r="CE296" t="str">
        <f>""</f>
        <v/>
      </c>
      <c r="CF296" t="str">
        <f>""</f>
        <v/>
      </c>
      <c r="CG296" t="str">
        <f>""</f>
        <v/>
      </c>
      <c r="CH296" t="str">
        <f>""</f>
        <v/>
      </c>
      <c r="CI296" t="str">
        <f>""</f>
        <v/>
      </c>
      <c r="CJ296" t="str">
        <f>""</f>
        <v/>
      </c>
      <c r="CK296" t="str">
        <f>""</f>
        <v/>
      </c>
      <c r="CL296" t="str">
        <f>""</f>
        <v/>
      </c>
      <c r="CM296" t="str">
        <f>""</f>
        <v/>
      </c>
      <c r="CN296" t="str">
        <f>""</f>
        <v/>
      </c>
      <c r="CO296" t="str">
        <f>""</f>
        <v/>
      </c>
      <c r="CP296" t="str">
        <f>""</f>
        <v/>
      </c>
      <c r="CQ296" t="str">
        <f>""</f>
        <v/>
      </c>
      <c r="CR296" t="str">
        <f>""</f>
        <v/>
      </c>
      <c r="CS296" t="str">
        <f>""</f>
        <v/>
      </c>
      <c r="CT296" t="str">
        <f>""</f>
        <v/>
      </c>
      <c r="CU296" t="str">
        <f>""</f>
        <v/>
      </c>
      <c r="CV296" t="str">
        <f>""</f>
        <v/>
      </c>
      <c r="CW296" t="str">
        <f>""</f>
        <v/>
      </c>
      <c r="CX296" t="str">
        <f>""</f>
        <v/>
      </c>
      <c r="CY296" t="str">
        <f>""</f>
        <v/>
      </c>
      <c r="CZ296" t="str">
        <f>""</f>
        <v/>
      </c>
      <c r="DA296" t="str">
        <f>""</f>
        <v/>
      </c>
      <c r="DB296" t="str">
        <f>""</f>
        <v/>
      </c>
      <c r="DC296" t="str">
        <f>""</f>
        <v/>
      </c>
      <c r="DD296" t="str">
        <f>""</f>
        <v/>
      </c>
      <c r="DE296" t="str">
        <f>""</f>
        <v/>
      </c>
      <c r="DF296" t="str">
        <f>""</f>
        <v/>
      </c>
      <c r="DG296" t="str">
        <f>""</f>
        <v/>
      </c>
      <c r="DH296" t="str">
        <f>""</f>
        <v/>
      </c>
      <c r="DI296" t="str">
        <f>""</f>
        <v/>
      </c>
      <c r="DJ296" t="str">
        <f>""</f>
        <v/>
      </c>
      <c r="DK296" t="str">
        <f>""</f>
        <v/>
      </c>
      <c r="DL296" t="str">
        <f>""</f>
        <v/>
      </c>
      <c r="DM296" t="str">
        <f>""</f>
        <v/>
      </c>
      <c r="DN296" t="str">
        <f>""</f>
        <v/>
      </c>
      <c r="DO296" t="str">
        <f>""</f>
        <v/>
      </c>
      <c r="DP296" t="str">
        <f>""</f>
        <v/>
      </c>
      <c r="DQ296" t="str">
        <f>""</f>
        <v/>
      </c>
      <c r="DR296" t="str">
        <f>""</f>
        <v/>
      </c>
      <c r="DS296" t="str">
        <f>""</f>
        <v/>
      </c>
      <c r="DT296" t="str">
        <f>""</f>
        <v/>
      </c>
      <c r="DU296" t="str">
        <f>""</f>
        <v/>
      </c>
    </row>
    <row r="297" spans="1:125">
      <c r="B297" t="str">
        <f>"BXP US Equity"</f>
        <v>BXP US Equity</v>
      </c>
      <c r="C297" t="str">
        <f>"BS189"</f>
        <v>BS189</v>
      </c>
      <c r="D297" t="str">
        <f>"BS_TOTAL_AVAIL_LINE_OF_CREDIT"</f>
        <v>BS_TOTAL_AVAIL_LINE_OF_CREDIT</v>
      </c>
      <c r="E297" t="str">
        <f t="shared" si="75"/>
        <v>动态</v>
      </c>
      <c r="F297" t="str">
        <f ca="1">BDH($B$297,$C$297,$B$292,$B$293,CONCATENATE("Per=",$B$290),"Dts=H","Dir=H",CONCATENATE("Points=",$B$291),"Sort=R","Days=A","Fill=B",CONCATENATE("FX=", $B$289) )</f>
        <v>#N/A Authorization</v>
      </c>
      <c r="BN297" t="str">
        <f>""</f>
        <v/>
      </c>
      <c r="BO297" t="str">
        <f>""</f>
        <v/>
      </c>
      <c r="BP297" t="str">
        <f>""</f>
        <v/>
      </c>
      <c r="BQ297" t="str">
        <f>""</f>
        <v/>
      </c>
      <c r="BR297" t="str">
        <f>""</f>
        <v/>
      </c>
      <c r="BS297" t="str">
        <f>""</f>
        <v/>
      </c>
      <c r="BT297" t="str">
        <f>""</f>
        <v/>
      </c>
      <c r="BU297" t="str">
        <f>""</f>
        <v/>
      </c>
      <c r="BV297" t="str">
        <f>""</f>
        <v/>
      </c>
      <c r="BW297" t="str">
        <f>""</f>
        <v/>
      </c>
      <c r="BX297" t="str">
        <f>""</f>
        <v/>
      </c>
      <c r="BY297" t="str">
        <f>""</f>
        <v/>
      </c>
      <c r="BZ297" t="str">
        <f>""</f>
        <v/>
      </c>
      <c r="CA297" t="str">
        <f>""</f>
        <v/>
      </c>
      <c r="CB297" t="str">
        <f>""</f>
        <v/>
      </c>
      <c r="CC297" t="str">
        <f>""</f>
        <v/>
      </c>
      <c r="CD297" t="str">
        <f>""</f>
        <v/>
      </c>
      <c r="CE297" t="str">
        <f>""</f>
        <v/>
      </c>
      <c r="CF297" t="str">
        <f>""</f>
        <v/>
      </c>
      <c r="CG297" t="str">
        <f>""</f>
        <v/>
      </c>
      <c r="CH297" t="str">
        <f>""</f>
        <v/>
      </c>
      <c r="CI297" t="str">
        <f>""</f>
        <v/>
      </c>
      <c r="CJ297" t="str">
        <f>""</f>
        <v/>
      </c>
      <c r="CK297" t="str">
        <f>""</f>
        <v/>
      </c>
      <c r="CL297" t="str">
        <f>""</f>
        <v/>
      </c>
      <c r="CM297" t="str">
        <f>""</f>
        <v/>
      </c>
      <c r="CN297" t="str">
        <f>""</f>
        <v/>
      </c>
      <c r="CO297" t="str">
        <f>""</f>
        <v/>
      </c>
      <c r="CP297" t="str">
        <f>""</f>
        <v/>
      </c>
      <c r="CQ297" t="str">
        <f>""</f>
        <v/>
      </c>
      <c r="CR297" t="str">
        <f>""</f>
        <v/>
      </c>
      <c r="CS297" t="str">
        <f>""</f>
        <v/>
      </c>
      <c r="CT297" t="str">
        <f>""</f>
        <v/>
      </c>
      <c r="CU297" t="str">
        <f>""</f>
        <v/>
      </c>
      <c r="CV297" t="str">
        <f>""</f>
        <v/>
      </c>
      <c r="CW297" t="str">
        <f>""</f>
        <v/>
      </c>
      <c r="CX297" t="str">
        <f>""</f>
        <v/>
      </c>
      <c r="CY297" t="str">
        <f>""</f>
        <v/>
      </c>
      <c r="CZ297" t="str">
        <f>""</f>
        <v/>
      </c>
      <c r="DA297" t="str">
        <f>""</f>
        <v/>
      </c>
      <c r="DB297" t="str">
        <f>""</f>
        <v/>
      </c>
      <c r="DC297" t="str">
        <f>""</f>
        <v/>
      </c>
      <c r="DD297" t="str">
        <f>""</f>
        <v/>
      </c>
      <c r="DE297" t="str">
        <f>""</f>
        <v/>
      </c>
      <c r="DF297" t="str">
        <f>""</f>
        <v/>
      </c>
      <c r="DG297" t="str">
        <f>""</f>
        <v/>
      </c>
      <c r="DH297" t="str">
        <f>""</f>
        <v/>
      </c>
      <c r="DI297" t="str">
        <f>""</f>
        <v/>
      </c>
      <c r="DJ297" t="str">
        <f>""</f>
        <v/>
      </c>
      <c r="DK297" t="str">
        <f>""</f>
        <v/>
      </c>
      <c r="DL297" t="str">
        <f>""</f>
        <v/>
      </c>
      <c r="DM297" t="str">
        <f>""</f>
        <v/>
      </c>
      <c r="DN297" t="str">
        <f>""</f>
        <v/>
      </c>
      <c r="DO297" t="str">
        <f>""</f>
        <v/>
      </c>
      <c r="DP297" t="str">
        <f>""</f>
        <v/>
      </c>
      <c r="DQ297" t="str">
        <f>""</f>
        <v/>
      </c>
      <c r="DR297" t="str">
        <f>""</f>
        <v/>
      </c>
      <c r="DS297" t="str">
        <f>""</f>
        <v/>
      </c>
      <c r="DT297" t="str">
        <f>""</f>
        <v/>
      </c>
      <c r="DU297" t="str">
        <f>""</f>
        <v/>
      </c>
    </row>
    <row r="298" spans="1:125">
      <c r="B298" t="str">
        <f>"BXP US Equity"</f>
        <v>BXP US Equity</v>
      </c>
      <c r="C298" t="str">
        <f>"BS658"</f>
        <v>BS658</v>
      </c>
      <c r="D298" t="str">
        <f>"BS_YEAR_1_PRINCIPAL"</f>
        <v>BS_YEAR_1_PRINCIPAL</v>
      </c>
      <c r="E298" t="str">
        <f t="shared" si="75"/>
        <v>动态</v>
      </c>
      <c r="F298" t="str">
        <f ca="1">BDH($B$298,$C$298,$B$292,$B$293,CONCATENATE("Per=",$B$290),"Dts=H","Dir=H",CONCATENATE("Points=",$B$291),"Sort=R","Days=A","Fill=B",CONCATENATE("FX=", $B$289) )</f>
        <v>#N/A Authorization</v>
      </c>
      <c r="BN298" t="str">
        <f>""</f>
        <v/>
      </c>
      <c r="BO298" t="str">
        <f>""</f>
        <v/>
      </c>
      <c r="BP298" t="str">
        <f>""</f>
        <v/>
      </c>
      <c r="BQ298" t="str">
        <f>""</f>
        <v/>
      </c>
      <c r="BR298" t="str">
        <f>""</f>
        <v/>
      </c>
      <c r="BS298" t="str">
        <f>""</f>
        <v/>
      </c>
      <c r="BT298" t="str">
        <f>""</f>
        <v/>
      </c>
      <c r="BU298" t="str">
        <f>""</f>
        <v/>
      </c>
      <c r="BV298" t="str">
        <f>""</f>
        <v/>
      </c>
      <c r="BW298" t="str">
        <f>""</f>
        <v/>
      </c>
      <c r="BX298" t="str">
        <f>""</f>
        <v/>
      </c>
      <c r="BY298" t="str">
        <f>""</f>
        <v/>
      </c>
      <c r="BZ298" t="str">
        <f>""</f>
        <v/>
      </c>
      <c r="CA298" t="str">
        <f>""</f>
        <v/>
      </c>
      <c r="CB298" t="str">
        <f>""</f>
        <v/>
      </c>
      <c r="CC298" t="str">
        <f>""</f>
        <v/>
      </c>
      <c r="CD298" t="str">
        <f>""</f>
        <v/>
      </c>
      <c r="CE298" t="str">
        <f>""</f>
        <v/>
      </c>
      <c r="CF298" t="str">
        <f>""</f>
        <v/>
      </c>
      <c r="CG298" t="str">
        <f>""</f>
        <v/>
      </c>
      <c r="CH298" t="str">
        <f>""</f>
        <v/>
      </c>
      <c r="CI298" t="str">
        <f>""</f>
        <v/>
      </c>
      <c r="CJ298" t="str">
        <f>""</f>
        <v/>
      </c>
      <c r="CK298" t="str">
        <f>""</f>
        <v/>
      </c>
      <c r="CL298" t="str">
        <f>""</f>
        <v/>
      </c>
      <c r="CM298" t="str">
        <f>""</f>
        <v/>
      </c>
      <c r="CN298" t="str">
        <f>""</f>
        <v/>
      </c>
      <c r="CO298" t="str">
        <f>""</f>
        <v/>
      </c>
      <c r="CP298" t="str">
        <f>""</f>
        <v/>
      </c>
      <c r="CQ298" t="str">
        <f>""</f>
        <v/>
      </c>
      <c r="CR298" t="str">
        <f>""</f>
        <v/>
      </c>
      <c r="CS298" t="str">
        <f>""</f>
        <v/>
      </c>
      <c r="CT298" t="str">
        <f>""</f>
        <v/>
      </c>
      <c r="CU298" t="str">
        <f>""</f>
        <v/>
      </c>
      <c r="CV298" t="str">
        <f>""</f>
        <v/>
      </c>
      <c r="CW298" t="str">
        <f>""</f>
        <v/>
      </c>
      <c r="CX298" t="str">
        <f>""</f>
        <v/>
      </c>
      <c r="CY298" t="str">
        <f>""</f>
        <v/>
      </c>
      <c r="CZ298" t="str">
        <f>""</f>
        <v/>
      </c>
      <c r="DA298" t="str">
        <f>""</f>
        <v/>
      </c>
      <c r="DB298" t="str">
        <f>""</f>
        <v/>
      </c>
      <c r="DC298" t="str">
        <f>""</f>
        <v/>
      </c>
      <c r="DD298" t="str">
        <f>""</f>
        <v/>
      </c>
      <c r="DE298" t="str">
        <f>""</f>
        <v/>
      </c>
      <c r="DF298" t="str">
        <f>""</f>
        <v/>
      </c>
      <c r="DG298" t="str">
        <f>""</f>
        <v/>
      </c>
      <c r="DH298" t="str">
        <f>""</f>
        <v/>
      </c>
      <c r="DI298" t="str">
        <f>""</f>
        <v/>
      </c>
      <c r="DJ298" t="str">
        <f>""</f>
        <v/>
      </c>
      <c r="DK298" t="str">
        <f>""</f>
        <v/>
      </c>
      <c r="DL298" t="str">
        <f>""</f>
        <v/>
      </c>
      <c r="DM298" t="str">
        <f>""</f>
        <v/>
      </c>
      <c r="DN298" t="str">
        <f>""</f>
        <v/>
      </c>
      <c r="DO298" t="str">
        <f>""</f>
        <v/>
      </c>
      <c r="DP298" t="str">
        <f>""</f>
        <v/>
      </c>
      <c r="DQ298" t="str">
        <f>""</f>
        <v/>
      </c>
      <c r="DR298" t="str">
        <f>""</f>
        <v/>
      </c>
      <c r="DS298" t="str">
        <f>""</f>
        <v/>
      </c>
      <c r="DT298" t="str">
        <f>""</f>
        <v/>
      </c>
      <c r="DU298" t="str">
        <f>""</f>
        <v/>
      </c>
    </row>
    <row r="299" spans="1:125">
      <c r="B299" t="str">
        <f>"BDN US Equity"</f>
        <v>BDN US Equity</v>
      </c>
      <c r="C299" t="str">
        <f>"RR253"</f>
        <v>RR253</v>
      </c>
      <c r="D299" t="str">
        <f>"CASH_AND_MARKETABLE_SECURITIES"</f>
        <v>CASH_AND_MARKETABLE_SECURITIES</v>
      </c>
      <c r="E299" t="str">
        <f t="shared" si="75"/>
        <v>动态</v>
      </c>
      <c r="F299" t="str">
        <f ca="1">BDH($B$299,$C$299,$B$292,$B$293,CONCATENATE("Per=",$B$290),"Dts=H","Dir=H",CONCATENATE("Points=",$B$291),"Sort=R","Days=A","Fill=B",CONCATENATE("FX=", $B$289) )</f>
        <v>#N/A Authorization</v>
      </c>
      <c r="BN299" t="str">
        <f>""</f>
        <v/>
      </c>
      <c r="BO299" t="str">
        <f>""</f>
        <v/>
      </c>
      <c r="BP299" t="str">
        <f>""</f>
        <v/>
      </c>
      <c r="BQ299" t="str">
        <f>""</f>
        <v/>
      </c>
      <c r="BR299" t="str">
        <f>""</f>
        <v/>
      </c>
      <c r="BS299" t="str">
        <f>""</f>
        <v/>
      </c>
      <c r="BT299" t="str">
        <f>""</f>
        <v/>
      </c>
      <c r="BU299" t="str">
        <f>""</f>
        <v/>
      </c>
      <c r="BV299" t="str">
        <f>""</f>
        <v/>
      </c>
      <c r="BW299" t="str">
        <f>""</f>
        <v/>
      </c>
      <c r="BX299" t="str">
        <f>""</f>
        <v/>
      </c>
      <c r="BY299" t="str">
        <f>""</f>
        <v/>
      </c>
      <c r="BZ299" t="str">
        <f>""</f>
        <v/>
      </c>
      <c r="CA299" t="str">
        <f>""</f>
        <v/>
      </c>
      <c r="CB299" t="str">
        <f>""</f>
        <v/>
      </c>
      <c r="CC299" t="str">
        <f>""</f>
        <v/>
      </c>
      <c r="CD299" t="str">
        <f>""</f>
        <v/>
      </c>
      <c r="CE299" t="str">
        <f>""</f>
        <v/>
      </c>
      <c r="CF299" t="str">
        <f>""</f>
        <v/>
      </c>
      <c r="CG299" t="str">
        <f>""</f>
        <v/>
      </c>
      <c r="CH299" t="str">
        <f>""</f>
        <v/>
      </c>
      <c r="CI299" t="str">
        <f>""</f>
        <v/>
      </c>
      <c r="CJ299" t="str">
        <f>""</f>
        <v/>
      </c>
      <c r="CK299" t="str">
        <f>""</f>
        <v/>
      </c>
      <c r="CL299" t="str">
        <f>""</f>
        <v/>
      </c>
      <c r="CM299" t="str">
        <f>""</f>
        <v/>
      </c>
      <c r="CN299" t="str">
        <f>""</f>
        <v/>
      </c>
      <c r="CO299" t="str">
        <f>""</f>
        <v/>
      </c>
      <c r="CP299" t="str">
        <f>""</f>
        <v/>
      </c>
      <c r="CQ299" t="str">
        <f>""</f>
        <v/>
      </c>
      <c r="CR299" t="str">
        <f>""</f>
        <v/>
      </c>
      <c r="CS299" t="str">
        <f>""</f>
        <v/>
      </c>
      <c r="CT299" t="str">
        <f>""</f>
        <v/>
      </c>
      <c r="CU299" t="str">
        <f>""</f>
        <v/>
      </c>
      <c r="CV299" t="str">
        <f>""</f>
        <v/>
      </c>
      <c r="CW299" t="str">
        <f>""</f>
        <v/>
      </c>
      <c r="CX299" t="str">
        <f>""</f>
        <v/>
      </c>
      <c r="CY299" t="str">
        <f>""</f>
        <v/>
      </c>
      <c r="CZ299" t="str">
        <f>""</f>
        <v/>
      </c>
      <c r="DA299" t="str">
        <f>""</f>
        <v/>
      </c>
      <c r="DB299" t="str">
        <f>""</f>
        <v/>
      </c>
      <c r="DC299" t="str">
        <f>""</f>
        <v/>
      </c>
      <c r="DD299" t="str">
        <f>""</f>
        <v/>
      </c>
      <c r="DE299" t="str">
        <f>""</f>
        <v/>
      </c>
      <c r="DF299" t="str">
        <f>""</f>
        <v/>
      </c>
      <c r="DG299" t="str">
        <f>""</f>
        <v/>
      </c>
      <c r="DH299" t="str">
        <f>""</f>
        <v/>
      </c>
      <c r="DI299" t="str">
        <f>""</f>
        <v/>
      </c>
      <c r="DJ299" t="str">
        <f>""</f>
        <v/>
      </c>
      <c r="DK299" t="str">
        <f>""</f>
        <v/>
      </c>
      <c r="DL299" t="str">
        <f>""</f>
        <v/>
      </c>
      <c r="DM299" t="str">
        <f>""</f>
        <v/>
      </c>
      <c r="DN299" t="str">
        <f>""</f>
        <v/>
      </c>
      <c r="DO299" t="str">
        <f>""</f>
        <v/>
      </c>
      <c r="DP299" t="str">
        <f>""</f>
        <v/>
      </c>
      <c r="DQ299" t="str">
        <f>""</f>
        <v/>
      </c>
      <c r="DR299" t="str">
        <f>""</f>
        <v/>
      </c>
      <c r="DS299" t="str">
        <f>""</f>
        <v/>
      </c>
      <c r="DT299" t="str">
        <f>""</f>
        <v/>
      </c>
      <c r="DU299" t="str">
        <f>""</f>
        <v/>
      </c>
    </row>
    <row r="300" spans="1:125">
      <c r="B300" t="str">
        <f>"BDN US Equity"</f>
        <v>BDN US Equity</v>
      </c>
      <c r="C300" t="str">
        <f>"BS189"</f>
        <v>BS189</v>
      </c>
      <c r="D300" t="str">
        <f>"BS_TOTAL_AVAIL_LINE_OF_CREDIT"</f>
        <v>BS_TOTAL_AVAIL_LINE_OF_CREDIT</v>
      </c>
      <c r="E300" t="str">
        <f t="shared" si="75"/>
        <v>动态</v>
      </c>
      <c r="F300" t="str">
        <f ca="1">BDH($B$300,$C$300,$B$292,$B$293,CONCATENATE("Per=",$B$290),"Dts=H","Dir=H",CONCATENATE("Points=",$B$291),"Sort=R","Days=A","Fill=B",CONCATENATE("FX=", $B$289) )</f>
        <v>#N/A Authorization</v>
      </c>
      <c r="BN300" t="str">
        <f>""</f>
        <v/>
      </c>
      <c r="BO300" t="str">
        <f>""</f>
        <v/>
      </c>
      <c r="BP300" t="str">
        <f>""</f>
        <v/>
      </c>
      <c r="BQ300" t="str">
        <f>""</f>
        <v/>
      </c>
      <c r="BR300" t="str">
        <f>""</f>
        <v/>
      </c>
      <c r="BS300" t="str">
        <f>""</f>
        <v/>
      </c>
      <c r="BT300" t="str">
        <f>""</f>
        <v/>
      </c>
      <c r="BU300" t="str">
        <f>""</f>
        <v/>
      </c>
      <c r="BV300" t="str">
        <f>""</f>
        <v/>
      </c>
      <c r="BW300" t="str">
        <f>""</f>
        <v/>
      </c>
      <c r="BX300" t="str">
        <f>""</f>
        <v/>
      </c>
      <c r="BY300" t="str">
        <f>""</f>
        <v/>
      </c>
      <c r="BZ300" t="str">
        <f>""</f>
        <v/>
      </c>
      <c r="CA300" t="str">
        <f>""</f>
        <v/>
      </c>
      <c r="CB300" t="str">
        <f>""</f>
        <v/>
      </c>
      <c r="CC300" t="str">
        <f>""</f>
        <v/>
      </c>
      <c r="CD300" t="str">
        <f>""</f>
        <v/>
      </c>
      <c r="CE300" t="str">
        <f>""</f>
        <v/>
      </c>
      <c r="CF300" t="str">
        <f>""</f>
        <v/>
      </c>
      <c r="CG300" t="str">
        <f>""</f>
        <v/>
      </c>
      <c r="CH300" t="str">
        <f>""</f>
        <v/>
      </c>
      <c r="CI300" t="str">
        <f>""</f>
        <v/>
      </c>
      <c r="CJ300" t="str">
        <f>""</f>
        <v/>
      </c>
      <c r="CK300" t="str">
        <f>""</f>
        <v/>
      </c>
      <c r="CL300" t="str">
        <f>""</f>
        <v/>
      </c>
      <c r="CM300" t="str">
        <f>""</f>
        <v/>
      </c>
      <c r="CN300" t="str">
        <f>""</f>
        <v/>
      </c>
      <c r="CO300" t="str">
        <f>""</f>
        <v/>
      </c>
      <c r="CP300" t="str">
        <f>""</f>
        <v/>
      </c>
      <c r="CQ300" t="str">
        <f>""</f>
        <v/>
      </c>
      <c r="CR300" t="str">
        <f>""</f>
        <v/>
      </c>
      <c r="CS300" t="str">
        <f>""</f>
        <v/>
      </c>
      <c r="CT300" t="str">
        <f>""</f>
        <v/>
      </c>
      <c r="CU300" t="str">
        <f>""</f>
        <v/>
      </c>
      <c r="CV300" t="str">
        <f>""</f>
        <v/>
      </c>
      <c r="CW300" t="str">
        <f>""</f>
        <v/>
      </c>
      <c r="CX300" t="str">
        <f>""</f>
        <v/>
      </c>
      <c r="CY300" t="str">
        <f>""</f>
        <v/>
      </c>
      <c r="CZ300" t="str">
        <f>""</f>
        <v/>
      </c>
      <c r="DA300" t="str">
        <f>""</f>
        <v/>
      </c>
      <c r="DB300" t="str">
        <f>""</f>
        <v/>
      </c>
      <c r="DC300" t="str">
        <f>""</f>
        <v/>
      </c>
      <c r="DD300" t="str">
        <f>""</f>
        <v/>
      </c>
      <c r="DE300" t="str">
        <f>""</f>
        <v/>
      </c>
      <c r="DF300" t="str">
        <f>""</f>
        <v/>
      </c>
      <c r="DG300" t="str">
        <f>""</f>
        <v/>
      </c>
      <c r="DH300" t="str">
        <f>""</f>
        <v/>
      </c>
      <c r="DI300" t="str">
        <f>""</f>
        <v/>
      </c>
      <c r="DJ300" t="str">
        <f>""</f>
        <v/>
      </c>
      <c r="DK300" t="str">
        <f>""</f>
        <v/>
      </c>
      <c r="DL300" t="str">
        <f>""</f>
        <v/>
      </c>
      <c r="DM300" t="str">
        <f>""</f>
        <v/>
      </c>
      <c r="DN300" t="str">
        <f>""</f>
        <v/>
      </c>
      <c r="DO300" t="str">
        <f>""</f>
        <v/>
      </c>
      <c r="DP300" t="str">
        <f>""</f>
        <v/>
      </c>
      <c r="DQ300" t="str">
        <f>""</f>
        <v/>
      </c>
      <c r="DR300" t="str">
        <f>""</f>
        <v/>
      </c>
      <c r="DS300" t="str">
        <f>""</f>
        <v/>
      </c>
      <c r="DT300" t="str">
        <f>""</f>
        <v/>
      </c>
      <c r="DU300" t="str">
        <f>""</f>
        <v/>
      </c>
    </row>
    <row r="301" spans="1:125">
      <c r="B301" t="str">
        <f>"BDN US Equity"</f>
        <v>BDN US Equity</v>
      </c>
      <c r="C301" t="str">
        <f>"BS658"</f>
        <v>BS658</v>
      </c>
      <c r="D301" t="str">
        <f>"BS_YEAR_1_PRINCIPAL"</f>
        <v>BS_YEAR_1_PRINCIPAL</v>
      </c>
      <c r="E301" t="str">
        <f t="shared" si="75"/>
        <v>动态</v>
      </c>
      <c r="F301" t="str">
        <f ca="1">BDH($B$301,$C$301,$B$292,$B$293,CONCATENATE("Per=",$B$290),"Dts=H","Dir=H",CONCATENATE("Points=",$B$291),"Sort=R","Days=A","Fill=B",CONCATENATE("FX=", $B$289) )</f>
        <v>#N/A Authorization</v>
      </c>
      <c r="BN301" t="str">
        <f>""</f>
        <v/>
      </c>
      <c r="BO301" t="str">
        <f>""</f>
        <v/>
      </c>
      <c r="BP301" t="str">
        <f>""</f>
        <v/>
      </c>
      <c r="BQ301" t="str">
        <f>""</f>
        <v/>
      </c>
      <c r="BR301" t="str">
        <f>""</f>
        <v/>
      </c>
      <c r="BS301" t="str">
        <f>""</f>
        <v/>
      </c>
      <c r="BT301" t="str">
        <f>""</f>
        <v/>
      </c>
      <c r="BU301" t="str">
        <f>""</f>
        <v/>
      </c>
      <c r="BV301" t="str">
        <f>""</f>
        <v/>
      </c>
      <c r="BW301" t="str">
        <f>""</f>
        <v/>
      </c>
      <c r="BX301" t="str">
        <f>""</f>
        <v/>
      </c>
      <c r="BY301" t="str">
        <f>""</f>
        <v/>
      </c>
      <c r="BZ301" t="str">
        <f>""</f>
        <v/>
      </c>
      <c r="CA301" t="str">
        <f>""</f>
        <v/>
      </c>
      <c r="CB301" t="str">
        <f>""</f>
        <v/>
      </c>
      <c r="CC301" t="str">
        <f>""</f>
        <v/>
      </c>
      <c r="CD301" t="str">
        <f>""</f>
        <v/>
      </c>
      <c r="CE301" t="str">
        <f>""</f>
        <v/>
      </c>
      <c r="CF301" t="str">
        <f>""</f>
        <v/>
      </c>
      <c r="CG301" t="str">
        <f>""</f>
        <v/>
      </c>
      <c r="CH301" t="str">
        <f>""</f>
        <v/>
      </c>
      <c r="CI301" t="str">
        <f>""</f>
        <v/>
      </c>
      <c r="CJ301" t="str">
        <f>""</f>
        <v/>
      </c>
      <c r="CK301" t="str">
        <f>""</f>
        <v/>
      </c>
      <c r="CL301" t="str">
        <f>""</f>
        <v/>
      </c>
      <c r="CM301" t="str">
        <f>""</f>
        <v/>
      </c>
      <c r="CN301" t="str">
        <f>""</f>
        <v/>
      </c>
      <c r="CO301" t="str">
        <f>""</f>
        <v/>
      </c>
      <c r="CP301" t="str">
        <f>""</f>
        <v/>
      </c>
      <c r="CQ301" t="str">
        <f>""</f>
        <v/>
      </c>
      <c r="CR301" t="str">
        <f>""</f>
        <v/>
      </c>
      <c r="CS301" t="str">
        <f>""</f>
        <v/>
      </c>
      <c r="CT301" t="str">
        <f>""</f>
        <v/>
      </c>
      <c r="CU301" t="str">
        <f>""</f>
        <v/>
      </c>
      <c r="CV301" t="str">
        <f>""</f>
        <v/>
      </c>
      <c r="CW301" t="str">
        <f>""</f>
        <v/>
      </c>
      <c r="CX301" t="str">
        <f>""</f>
        <v/>
      </c>
      <c r="CY301" t="str">
        <f>""</f>
        <v/>
      </c>
      <c r="CZ301" t="str">
        <f>""</f>
        <v/>
      </c>
      <c r="DA301" t="str">
        <f>""</f>
        <v/>
      </c>
      <c r="DB301" t="str">
        <f>""</f>
        <v/>
      </c>
      <c r="DC301" t="str">
        <f>""</f>
        <v/>
      </c>
      <c r="DD301" t="str">
        <f>""</f>
        <v/>
      </c>
      <c r="DE301" t="str">
        <f>""</f>
        <v/>
      </c>
      <c r="DF301" t="str">
        <f>""</f>
        <v/>
      </c>
      <c r="DG301" t="str">
        <f>""</f>
        <v/>
      </c>
      <c r="DH301" t="str">
        <f>""</f>
        <v/>
      </c>
      <c r="DI301" t="str">
        <f>""</f>
        <v/>
      </c>
      <c r="DJ301" t="str">
        <f>""</f>
        <v/>
      </c>
      <c r="DK301" t="str">
        <f>""</f>
        <v/>
      </c>
      <c r="DL301" t="str">
        <f>""</f>
        <v/>
      </c>
      <c r="DM301" t="str">
        <f>""</f>
        <v/>
      </c>
      <c r="DN301" t="str">
        <f>""</f>
        <v/>
      </c>
      <c r="DO301" t="str">
        <f>""</f>
        <v/>
      </c>
      <c r="DP301" t="str">
        <f>""</f>
        <v/>
      </c>
      <c r="DQ301" t="str">
        <f>""</f>
        <v/>
      </c>
      <c r="DR301" t="str">
        <f>""</f>
        <v/>
      </c>
      <c r="DS301" t="str">
        <f>""</f>
        <v/>
      </c>
      <c r="DT301" t="str">
        <f>""</f>
        <v/>
      </c>
      <c r="DU301" t="str">
        <f>""</f>
        <v/>
      </c>
    </row>
    <row r="302" spans="1:125">
      <c r="B302" t="str">
        <f>"CXP US Equity"</f>
        <v>CXP US Equity</v>
      </c>
      <c r="C302" t="str">
        <f>"RR253"</f>
        <v>RR253</v>
      </c>
      <c r="D302" t="str">
        <f>"CASH_AND_MARKETABLE_SECURITIES"</f>
        <v>CASH_AND_MARKETABLE_SECURITIES</v>
      </c>
      <c r="E302" t="str">
        <f t="shared" si="75"/>
        <v>动态</v>
      </c>
      <c r="F302" t="str">
        <f ca="1">BDH($B$302,$C$302,$B$292,$B$293,CONCATENATE("Per=",$B$290),"Dts=H","Dir=H",CONCATENATE("Points=",$B$291),"Sort=R","Days=A","Fill=B",CONCATENATE("FX=", $B$289) )</f>
        <v>#N/A Authorization</v>
      </c>
      <c r="BN302" t="str">
        <f>""</f>
        <v/>
      </c>
      <c r="BO302" t="str">
        <f>""</f>
        <v/>
      </c>
      <c r="BP302" t="str">
        <f>""</f>
        <v/>
      </c>
      <c r="BQ302" t="str">
        <f>""</f>
        <v/>
      </c>
      <c r="BR302" t="str">
        <f>""</f>
        <v/>
      </c>
      <c r="BS302" t="str">
        <f>""</f>
        <v/>
      </c>
      <c r="BT302" t="str">
        <f>""</f>
        <v/>
      </c>
      <c r="BU302" t="str">
        <f>""</f>
        <v/>
      </c>
      <c r="BV302" t="str">
        <f>""</f>
        <v/>
      </c>
      <c r="BW302" t="str">
        <f>""</f>
        <v/>
      </c>
      <c r="BX302" t="str">
        <f>""</f>
        <v/>
      </c>
      <c r="BY302" t="str">
        <f>""</f>
        <v/>
      </c>
      <c r="BZ302" t="str">
        <f>""</f>
        <v/>
      </c>
      <c r="CA302" t="str">
        <f>""</f>
        <v/>
      </c>
      <c r="CB302" t="str">
        <f>""</f>
        <v/>
      </c>
      <c r="CC302" t="str">
        <f>""</f>
        <v/>
      </c>
      <c r="CD302" t="str">
        <f>""</f>
        <v/>
      </c>
      <c r="CE302" t="str">
        <f>""</f>
        <v/>
      </c>
      <c r="CF302" t="str">
        <f>""</f>
        <v/>
      </c>
      <c r="CG302" t="str">
        <f>""</f>
        <v/>
      </c>
      <c r="CH302" t="str">
        <f>""</f>
        <v/>
      </c>
      <c r="CI302" t="str">
        <f>""</f>
        <v/>
      </c>
      <c r="CJ302" t="str">
        <f>""</f>
        <v/>
      </c>
      <c r="CK302" t="str">
        <f>""</f>
        <v/>
      </c>
      <c r="CL302" t="str">
        <f>""</f>
        <v/>
      </c>
      <c r="CM302" t="str">
        <f>""</f>
        <v/>
      </c>
      <c r="CN302" t="str">
        <f>""</f>
        <v/>
      </c>
      <c r="CO302" t="str">
        <f>""</f>
        <v/>
      </c>
      <c r="CP302" t="str">
        <f>""</f>
        <v/>
      </c>
      <c r="CQ302" t="str">
        <f>""</f>
        <v/>
      </c>
      <c r="CR302" t="str">
        <f>""</f>
        <v/>
      </c>
      <c r="CS302" t="str">
        <f>""</f>
        <v/>
      </c>
      <c r="CT302" t="str">
        <f>""</f>
        <v/>
      </c>
      <c r="CU302" t="str">
        <f>""</f>
        <v/>
      </c>
      <c r="CV302" t="str">
        <f>""</f>
        <v/>
      </c>
      <c r="CW302" t="str">
        <f>""</f>
        <v/>
      </c>
      <c r="CX302" t="str">
        <f>""</f>
        <v/>
      </c>
      <c r="CY302" t="str">
        <f>""</f>
        <v/>
      </c>
      <c r="CZ302" t="str">
        <f>""</f>
        <v/>
      </c>
      <c r="DA302" t="str">
        <f>""</f>
        <v/>
      </c>
      <c r="DB302" t="str">
        <f>""</f>
        <v/>
      </c>
      <c r="DC302" t="str">
        <f>""</f>
        <v/>
      </c>
      <c r="DD302" t="str">
        <f>""</f>
        <v/>
      </c>
      <c r="DE302" t="str">
        <f>""</f>
        <v/>
      </c>
      <c r="DF302" t="str">
        <f>""</f>
        <v/>
      </c>
      <c r="DG302" t="str">
        <f>""</f>
        <v/>
      </c>
      <c r="DH302" t="str">
        <f>""</f>
        <v/>
      </c>
      <c r="DI302" t="str">
        <f>""</f>
        <v/>
      </c>
      <c r="DJ302" t="str">
        <f>""</f>
        <v/>
      </c>
      <c r="DK302" t="str">
        <f>""</f>
        <v/>
      </c>
      <c r="DL302" t="str">
        <f>""</f>
        <v/>
      </c>
      <c r="DM302" t="str">
        <f>""</f>
        <v/>
      </c>
      <c r="DN302" t="str">
        <f>""</f>
        <v/>
      </c>
      <c r="DO302" t="str">
        <f>""</f>
        <v/>
      </c>
      <c r="DP302" t="str">
        <f>""</f>
        <v/>
      </c>
      <c r="DQ302" t="str">
        <f>""</f>
        <v/>
      </c>
      <c r="DR302" t="str">
        <f>""</f>
        <v/>
      </c>
      <c r="DS302" t="str">
        <f>""</f>
        <v/>
      </c>
      <c r="DT302" t="str">
        <f>""</f>
        <v/>
      </c>
      <c r="DU302" t="str">
        <f>""</f>
        <v/>
      </c>
    </row>
    <row r="303" spans="1:125">
      <c r="B303" t="str">
        <f>"CXP US Equity"</f>
        <v>CXP US Equity</v>
      </c>
      <c r="C303" t="str">
        <f>"BS189"</f>
        <v>BS189</v>
      </c>
      <c r="D303" t="str">
        <f>"BS_TOTAL_AVAIL_LINE_OF_CREDIT"</f>
        <v>BS_TOTAL_AVAIL_LINE_OF_CREDIT</v>
      </c>
      <c r="E303" t="str">
        <f t="shared" si="75"/>
        <v>动态</v>
      </c>
      <c r="F303" t="str">
        <f ca="1">BDH($B$303,$C$303,$B$292,$B$293,CONCATENATE("Per=",$B$290),"Dts=H","Dir=H",CONCATENATE("Points=",$B$291),"Sort=R","Days=A","Fill=B",CONCATENATE("FX=", $B$289) )</f>
        <v>#N/A Authorization</v>
      </c>
      <c r="BN303" t="str">
        <f>""</f>
        <v/>
      </c>
      <c r="BO303" t="str">
        <f>""</f>
        <v/>
      </c>
      <c r="BP303" t="str">
        <f>""</f>
        <v/>
      </c>
      <c r="BQ303" t="str">
        <f>""</f>
        <v/>
      </c>
      <c r="BR303" t="str">
        <f>""</f>
        <v/>
      </c>
      <c r="BS303" t="str">
        <f>""</f>
        <v/>
      </c>
      <c r="BT303" t="str">
        <f>""</f>
        <v/>
      </c>
      <c r="BU303" t="str">
        <f>""</f>
        <v/>
      </c>
      <c r="BV303" t="str">
        <f>""</f>
        <v/>
      </c>
      <c r="BW303" t="str">
        <f>""</f>
        <v/>
      </c>
      <c r="BX303" t="str">
        <f>""</f>
        <v/>
      </c>
      <c r="BY303" t="str">
        <f>""</f>
        <v/>
      </c>
      <c r="BZ303" t="str">
        <f>""</f>
        <v/>
      </c>
      <c r="CA303" t="str">
        <f>""</f>
        <v/>
      </c>
      <c r="CB303" t="str">
        <f>""</f>
        <v/>
      </c>
      <c r="CC303" t="str">
        <f>""</f>
        <v/>
      </c>
      <c r="CD303" t="str">
        <f>""</f>
        <v/>
      </c>
      <c r="CE303" t="str">
        <f>""</f>
        <v/>
      </c>
      <c r="CF303" t="str">
        <f>""</f>
        <v/>
      </c>
      <c r="CG303" t="str">
        <f>""</f>
        <v/>
      </c>
      <c r="CH303" t="str">
        <f>""</f>
        <v/>
      </c>
      <c r="CI303" t="str">
        <f>""</f>
        <v/>
      </c>
      <c r="CJ303" t="str">
        <f>""</f>
        <v/>
      </c>
      <c r="CK303" t="str">
        <f>""</f>
        <v/>
      </c>
      <c r="CL303" t="str">
        <f>""</f>
        <v/>
      </c>
      <c r="CM303" t="str">
        <f>""</f>
        <v/>
      </c>
      <c r="CN303" t="str">
        <f>""</f>
        <v/>
      </c>
      <c r="CO303" t="str">
        <f>""</f>
        <v/>
      </c>
      <c r="CP303" t="str">
        <f>""</f>
        <v/>
      </c>
      <c r="CQ303" t="str">
        <f>""</f>
        <v/>
      </c>
      <c r="CR303" t="str">
        <f>""</f>
        <v/>
      </c>
      <c r="CS303" t="str">
        <f>""</f>
        <v/>
      </c>
      <c r="CT303" t="str">
        <f>""</f>
        <v/>
      </c>
      <c r="CU303" t="str">
        <f>""</f>
        <v/>
      </c>
      <c r="CV303" t="str">
        <f>""</f>
        <v/>
      </c>
      <c r="CW303" t="str">
        <f>""</f>
        <v/>
      </c>
      <c r="CX303" t="str">
        <f>""</f>
        <v/>
      </c>
      <c r="CY303" t="str">
        <f>""</f>
        <v/>
      </c>
      <c r="CZ303" t="str">
        <f>""</f>
        <v/>
      </c>
      <c r="DA303" t="str">
        <f>""</f>
        <v/>
      </c>
      <c r="DB303" t="str">
        <f>""</f>
        <v/>
      </c>
      <c r="DC303" t="str">
        <f>""</f>
        <v/>
      </c>
      <c r="DD303" t="str">
        <f>""</f>
        <v/>
      </c>
      <c r="DE303" t="str">
        <f>""</f>
        <v/>
      </c>
      <c r="DF303" t="str">
        <f>""</f>
        <v/>
      </c>
      <c r="DG303" t="str">
        <f>""</f>
        <v/>
      </c>
      <c r="DH303" t="str">
        <f>""</f>
        <v/>
      </c>
      <c r="DI303" t="str">
        <f>""</f>
        <v/>
      </c>
      <c r="DJ303" t="str">
        <f>""</f>
        <v/>
      </c>
      <c r="DK303" t="str">
        <f>""</f>
        <v/>
      </c>
      <c r="DL303" t="str">
        <f>""</f>
        <v/>
      </c>
      <c r="DM303" t="str">
        <f>""</f>
        <v/>
      </c>
      <c r="DN303" t="str">
        <f>""</f>
        <v/>
      </c>
      <c r="DO303" t="str">
        <f>""</f>
        <v/>
      </c>
      <c r="DP303" t="str">
        <f>""</f>
        <v/>
      </c>
      <c r="DQ303" t="str">
        <f>""</f>
        <v/>
      </c>
      <c r="DR303" t="str">
        <f>""</f>
        <v/>
      </c>
      <c r="DS303" t="str">
        <f>""</f>
        <v/>
      </c>
      <c r="DT303" t="str">
        <f>""</f>
        <v/>
      </c>
      <c r="DU303" t="str">
        <f>""</f>
        <v/>
      </c>
    </row>
    <row r="304" spans="1:125">
      <c r="B304" t="str">
        <f>"CXP US Equity"</f>
        <v>CXP US Equity</v>
      </c>
      <c r="C304" t="str">
        <f>"BS658"</f>
        <v>BS658</v>
      </c>
      <c r="D304" t="str">
        <f>"BS_YEAR_1_PRINCIPAL"</f>
        <v>BS_YEAR_1_PRINCIPAL</v>
      </c>
      <c r="E304" t="str">
        <f t="shared" si="75"/>
        <v>动态</v>
      </c>
      <c r="F304" t="str">
        <f ca="1">BDH($B$304,$C$304,$B$292,$B$293,CONCATENATE("Per=",$B$290),"Dts=H","Dir=H",CONCATENATE("Points=",$B$291),"Sort=R","Days=A","Fill=B",CONCATENATE("FX=", $B$289) )</f>
        <v>#N/A Authorization</v>
      </c>
      <c r="BN304" t="str">
        <f>""</f>
        <v/>
      </c>
      <c r="BO304" t="str">
        <f>""</f>
        <v/>
      </c>
      <c r="BP304" t="str">
        <f>""</f>
        <v/>
      </c>
      <c r="BQ304" t="str">
        <f>""</f>
        <v/>
      </c>
      <c r="BR304" t="str">
        <f>""</f>
        <v/>
      </c>
      <c r="BS304" t="str">
        <f>""</f>
        <v/>
      </c>
      <c r="BT304" t="str">
        <f>""</f>
        <v/>
      </c>
      <c r="BU304" t="str">
        <f>""</f>
        <v/>
      </c>
      <c r="BV304" t="str">
        <f>""</f>
        <v/>
      </c>
      <c r="BW304" t="str">
        <f>""</f>
        <v/>
      </c>
      <c r="BX304" t="str">
        <f>""</f>
        <v/>
      </c>
      <c r="BY304" t="str">
        <f>""</f>
        <v/>
      </c>
      <c r="BZ304" t="str">
        <f>""</f>
        <v/>
      </c>
      <c r="CA304" t="str">
        <f>""</f>
        <v/>
      </c>
      <c r="CB304" t="str">
        <f>""</f>
        <v/>
      </c>
      <c r="CC304" t="str">
        <f>""</f>
        <v/>
      </c>
      <c r="CD304" t="str">
        <f>""</f>
        <v/>
      </c>
      <c r="CE304" t="str">
        <f>""</f>
        <v/>
      </c>
      <c r="CF304" t="str">
        <f>""</f>
        <v/>
      </c>
      <c r="CG304" t="str">
        <f>""</f>
        <v/>
      </c>
      <c r="CH304" t="str">
        <f>""</f>
        <v/>
      </c>
      <c r="CI304" t="str">
        <f>""</f>
        <v/>
      </c>
      <c r="CJ304" t="str">
        <f>""</f>
        <v/>
      </c>
      <c r="CK304" t="str">
        <f>""</f>
        <v/>
      </c>
      <c r="CL304" t="str">
        <f>""</f>
        <v/>
      </c>
      <c r="CM304" t="str">
        <f>""</f>
        <v/>
      </c>
      <c r="CN304" t="str">
        <f>""</f>
        <v/>
      </c>
      <c r="CO304" t="str">
        <f>""</f>
        <v/>
      </c>
      <c r="CP304" t="str">
        <f>""</f>
        <v/>
      </c>
      <c r="CQ304" t="str">
        <f>""</f>
        <v/>
      </c>
      <c r="CR304" t="str">
        <f>""</f>
        <v/>
      </c>
      <c r="CS304" t="str">
        <f>""</f>
        <v/>
      </c>
      <c r="CT304" t="str">
        <f>""</f>
        <v/>
      </c>
      <c r="CU304" t="str">
        <f>""</f>
        <v/>
      </c>
      <c r="CV304" t="str">
        <f>""</f>
        <v/>
      </c>
      <c r="CW304" t="str">
        <f>""</f>
        <v/>
      </c>
      <c r="CX304" t="str">
        <f>""</f>
        <v/>
      </c>
      <c r="CY304" t="str">
        <f>""</f>
        <v/>
      </c>
      <c r="CZ304" t="str">
        <f>""</f>
        <v/>
      </c>
      <c r="DA304" t="str">
        <f>""</f>
        <v/>
      </c>
      <c r="DB304" t="str">
        <f>""</f>
        <v/>
      </c>
      <c r="DC304" t="str">
        <f>""</f>
        <v/>
      </c>
      <c r="DD304" t="str">
        <f>""</f>
        <v/>
      </c>
      <c r="DE304" t="str">
        <f>""</f>
        <v/>
      </c>
      <c r="DF304" t="str">
        <f>""</f>
        <v/>
      </c>
      <c r="DG304" t="str">
        <f>""</f>
        <v/>
      </c>
      <c r="DH304" t="str">
        <f>""</f>
        <v/>
      </c>
      <c r="DI304" t="str">
        <f>""</f>
        <v/>
      </c>
      <c r="DJ304" t="str">
        <f>""</f>
        <v/>
      </c>
      <c r="DK304" t="str">
        <f>""</f>
        <v/>
      </c>
      <c r="DL304" t="str">
        <f>""</f>
        <v/>
      </c>
      <c r="DM304" t="str">
        <f>""</f>
        <v/>
      </c>
      <c r="DN304" t="str">
        <f>""</f>
        <v/>
      </c>
      <c r="DO304" t="str">
        <f>""</f>
        <v/>
      </c>
      <c r="DP304" t="str">
        <f>""</f>
        <v/>
      </c>
      <c r="DQ304" t="str">
        <f>""</f>
        <v/>
      </c>
      <c r="DR304" t="str">
        <f>""</f>
        <v/>
      </c>
      <c r="DS304" t="str">
        <f>""</f>
        <v/>
      </c>
      <c r="DT304" t="str">
        <f>""</f>
        <v/>
      </c>
      <c r="DU304" t="str">
        <f>""</f>
        <v/>
      </c>
    </row>
    <row r="305" spans="2:125">
      <c r="B305" t="str">
        <f>"OFC US Equity"</f>
        <v>OFC US Equity</v>
      </c>
      <c r="C305" t="str">
        <f>"RR253"</f>
        <v>RR253</v>
      </c>
      <c r="D305" t="str">
        <f>"CASH_AND_MARKETABLE_SECURITIES"</f>
        <v>CASH_AND_MARKETABLE_SECURITIES</v>
      </c>
      <c r="E305" t="str">
        <f t="shared" si="75"/>
        <v>动态</v>
      </c>
      <c r="F305" t="str">
        <f ca="1">BDH($B$305,$C$305,$B$292,$B$293,CONCATENATE("Per=",$B$290),"Dts=H","Dir=H",CONCATENATE("Points=",$B$291),"Sort=R","Days=A","Fill=B",CONCATENATE("FX=", $B$289) )</f>
        <v>#N/A Authorization</v>
      </c>
      <c r="BN305" t="str">
        <f>""</f>
        <v/>
      </c>
      <c r="BO305" t="str">
        <f>""</f>
        <v/>
      </c>
      <c r="BP305" t="str">
        <f>""</f>
        <v/>
      </c>
      <c r="BQ305" t="str">
        <f>""</f>
        <v/>
      </c>
      <c r="BR305" t="str">
        <f>""</f>
        <v/>
      </c>
      <c r="BS305" t="str">
        <f>""</f>
        <v/>
      </c>
      <c r="BT305" t="str">
        <f>""</f>
        <v/>
      </c>
      <c r="BU305" t="str">
        <f>""</f>
        <v/>
      </c>
      <c r="BV305" t="str">
        <f>""</f>
        <v/>
      </c>
      <c r="BW305" t="str">
        <f>""</f>
        <v/>
      </c>
      <c r="BX305" t="str">
        <f>""</f>
        <v/>
      </c>
      <c r="BY305" t="str">
        <f>""</f>
        <v/>
      </c>
      <c r="BZ305" t="str">
        <f>""</f>
        <v/>
      </c>
      <c r="CA305" t="str">
        <f>""</f>
        <v/>
      </c>
      <c r="CB305" t="str">
        <f>""</f>
        <v/>
      </c>
      <c r="CC305" t="str">
        <f>""</f>
        <v/>
      </c>
      <c r="CD305" t="str">
        <f>""</f>
        <v/>
      </c>
      <c r="CE305" t="str">
        <f>""</f>
        <v/>
      </c>
      <c r="CF305" t="str">
        <f>""</f>
        <v/>
      </c>
      <c r="CG305" t="str">
        <f>""</f>
        <v/>
      </c>
      <c r="CH305" t="str">
        <f>""</f>
        <v/>
      </c>
      <c r="CI305" t="str">
        <f>""</f>
        <v/>
      </c>
      <c r="CJ305" t="str">
        <f>""</f>
        <v/>
      </c>
      <c r="CK305" t="str">
        <f>""</f>
        <v/>
      </c>
      <c r="CL305" t="str">
        <f>""</f>
        <v/>
      </c>
      <c r="CM305" t="str">
        <f>""</f>
        <v/>
      </c>
      <c r="CN305" t="str">
        <f>""</f>
        <v/>
      </c>
      <c r="CO305" t="str">
        <f>""</f>
        <v/>
      </c>
      <c r="CP305" t="str">
        <f>""</f>
        <v/>
      </c>
      <c r="CQ305" t="str">
        <f>""</f>
        <v/>
      </c>
      <c r="CR305" t="str">
        <f>""</f>
        <v/>
      </c>
      <c r="CS305" t="str">
        <f>""</f>
        <v/>
      </c>
      <c r="CT305" t="str">
        <f>""</f>
        <v/>
      </c>
      <c r="CU305" t="str">
        <f>""</f>
        <v/>
      </c>
      <c r="CV305" t="str">
        <f>""</f>
        <v/>
      </c>
      <c r="CW305" t="str">
        <f>""</f>
        <v/>
      </c>
      <c r="CX305" t="str">
        <f>""</f>
        <v/>
      </c>
      <c r="CY305" t="str">
        <f>""</f>
        <v/>
      </c>
      <c r="CZ305" t="str">
        <f>""</f>
        <v/>
      </c>
      <c r="DA305" t="str">
        <f>""</f>
        <v/>
      </c>
      <c r="DB305" t="str">
        <f>""</f>
        <v/>
      </c>
      <c r="DC305" t="str">
        <f>""</f>
        <v/>
      </c>
      <c r="DD305" t="str">
        <f>""</f>
        <v/>
      </c>
      <c r="DE305" t="str">
        <f>""</f>
        <v/>
      </c>
      <c r="DF305" t="str">
        <f>""</f>
        <v/>
      </c>
      <c r="DG305" t="str">
        <f>""</f>
        <v/>
      </c>
      <c r="DH305" t="str">
        <f>""</f>
        <v/>
      </c>
      <c r="DI305" t="str">
        <f>""</f>
        <v/>
      </c>
      <c r="DJ305" t="str">
        <f>""</f>
        <v/>
      </c>
      <c r="DK305" t="str">
        <f>""</f>
        <v/>
      </c>
      <c r="DL305" t="str">
        <f>""</f>
        <v/>
      </c>
      <c r="DM305" t="str">
        <f>""</f>
        <v/>
      </c>
      <c r="DN305" t="str">
        <f>""</f>
        <v/>
      </c>
      <c r="DO305" t="str">
        <f>""</f>
        <v/>
      </c>
      <c r="DP305" t="str">
        <f>""</f>
        <v/>
      </c>
      <c r="DQ305" t="str">
        <f>""</f>
        <v/>
      </c>
      <c r="DR305" t="str">
        <f>""</f>
        <v/>
      </c>
      <c r="DS305" t="str">
        <f>""</f>
        <v/>
      </c>
      <c r="DT305" t="str">
        <f>""</f>
        <v/>
      </c>
      <c r="DU305" t="str">
        <f>""</f>
        <v/>
      </c>
    </row>
    <row r="306" spans="2:125">
      <c r="B306" t="str">
        <f>"OFC US Equity"</f>
        <v>OFC US Equity</v>
      </c>
      <c r="C306" t="str">
        <f>"BS189"</f>
        <v>BS189</v>
      </c>
      <c r="D306" t="str">
        <f>"BS_TOTAL_AVAIL_LINE_OF_CREDIT"</f>
        <v>BS_TOTAL_AVAIL_LINE_OF_CREDIT</v>
      </c>
      <c r="E306" t="str">
        <f t="shared" si="75"/>
        <v>动态</v>
      </c>
      <c r="F306" t="str">
        <f ca="1">BDH($B$306,$C$306,$B$292,$B$293,CONCATENATE("Per=",$B$290),"Dts=H","Dir=H",CONCATENATE("Points=",$B$291),"Sort=R","Days=A","Fill=B",CONCATENATE("FX=", $B$289) )</f>
        <v>#N/A Authorization</v>
      </c>
      <c r="BN306" t="str">
        <f>""</f>
        <v/>
      </c>
      <c r="BO306" t="str">
        <f>""</f>
        <v/>
      </c>
      <c r="BP306" t="str">
        <f>""</f>
        <v/>
      </c>
      <c r="BQ306" t="str">
        <f>""</f>
        <v/>
      </c>
      <c r="BR306" t="str">
        <f>""</f>
        <v/>
      </c>
      <c r="BS306" t="str">
        <f>""</f>
        <v/>
      </c>
      <c r="BT306" t="str">
        <f>""</f>
        <v/>
      </c>
      <c r="BU306" t="str">
        <f>""</f>
        <v/>
      </c>
      <c r="BV306" t="str">
        <f>""</f>
        <v/>
      </c>
      <c r="BW306" t="str">
        <f>""</f>
        <v/>
      </c>
      <c r="BX306" t="str">
        <f>""</f>
        <v/>
      </c>
      <c r="BY306" t="str">
        <f>""</f>
        <v/>
      </c>
      <c r="BZ306" t="str">
        <f>""</f>
        <v/>
      </c>
      <c r="CA306" t="str">
        <f>""</f>
        <v/>
      </c>
      <c r="CB306" t="str">
        <f>""</f>
        <v/>
      </c>
      <c r="CC306" t="str">
        <f>""</f>
        <v/>
      </c>
      <c r="CD306" t="str">
        <f>""</f>
        <v/>
      </c>
      <c r="CE306" t="str">
        <f>""</f>
        <v/>
      </c>
      <c r="CF306" t="str">
        <f>""</f>
        <v/>
      </c>
      <c r="CG306" t="str">
        <f>""</f>
        <v/>
      </c>
      <c r="CH306" t="str">
        <f>""</f>
        <v/>
      </c>
      <c r="CI306" t="str">
        <f>""</f>
        <v/>
      </c>
      <c r="CJ306" t="str">
        <f>""</f>
        <v/>
      </c>
      <c r="CK306" t="str">
        <f>""</f>
        <v/>
      </c>
      <c r="CL306" t="str">
        <f>""</f>
        <v/>
      </c>
      <c r="CM306" t="str">
        <f>""</f>
        <v/>
      </c>
      <c r="CN306" t="str">
        <f>""</f>
        <v/>
      </c>
      <c r="CO306" t="str">
        <f>""</f>
        <v/>
      </c>
      <c r="CP306" t="str">
        <f>""</f>
        <v/>
      </c>
      <c r="CQ306" t="str">
        <f>""</f>
        <v/>
      </c>
      <c r="CR306" t="str">
        <f>""</f>
        <v/>
      </c>
      <c r="CS306" t="str">
        <f>""</f>
        <v/>
      </c>
      <c r="CT306" t="str">
        <f>""</f>
        <v/>
      </c>
      <c r="CU306" t="str">
        <f>""</f>
        <v/>
      </c>
      <c r="CV306" t="str">
        <f>""</f>
        <v/>
      </c>
      <c r="CW306" t="str">
        <f>""</f>
        <v/>
      </c>
      <c r="CX306" t="str">
        <f>""</f>
        <v/>
      </c>
      <c r="CY306" t="str">
        <f>""</f>
        <v/>
      </c>
      <c r="CZ306" t="str">
        <f>""</f>
        <v/>
      </c>
      <c r="DA306" t="str">
        <f>""</f>
        <v/>
      </c>
      <c r="DB306" t="str">
        <f>""</f>
        <v/>
      </c>
      <c r="DC306" t="str">
        <f>""</f>
        <v/>
      </c>
      <c r="DD306" t="str">
        <f>""</f>
        <v/>
      </c>
      <c r="DE306" t="str">
        <f>""</f>
        <v/>
      </c>
      <c r="DF306" t="str">
        <f>""</f>
        <v/>
      </c>
      <c r="DG306" t="str">
        <f>""</f>
        <v/>
      </c>
      <c r="DH306" t="str">
        <f>""</f>
        <v/>
      </c>
      <c r="DI306" t="str">
        <f>""</f>
        <v/>
      </c>
      <c r="DJ306" t="str">
        <f>""</f>
        <v/>
      </c>
      <c r="DK306" t="str">
        <f>""</f>
        <v/>
      </c>
      <c r="DL306" t="str">
        <f>""</f>
        <v/>
      </c>
      <c r="DM306" t="str">
        <f>""</f>
        <v/>
      </c>
      <c r="DN306" t="str">
        <f>""</f>
        <v/>
      </c>
      <c r="DO306" t="str">
        <f>""</f>
        <v/>
      </c>
      <c r="DP306" t="str">
        <f>""</f>
        <v/>
      </c>
      <c r="DQ306" t="str">
        <f>""</f>
        <v/>
      </c>
      <c r="DR306" t="str">
        <f>""</f>
        <v/>
      </c>
      <c r="DS306" t="str">
        <f>""</f>
        <v/>
      </c>
      <c r="DT306" t="str">
        <f>""</f>
        <v/>
      </c>
      <c r="DU306" t="str">
        <f>""</f>
        <v/>
      </c>
    </row>
    <row r="307" spans="2:125">
      <c r="B307" t="str">
        <f>"OFC US Equity"</f>
        <v>OFC US Equity</v>
      </c>
      <c r="C307" t="str">
        <f>"BS658"</f>
        <v>BS658</v>
      </c>
      <c r="D307" t="str">
        <f>"BS_YEAR_1_PRINCIPAL"</f>
        <v>BS_YEAR_1_PRINCIPAL</v>
      </c>
      <c r="E307" t="str">
        <f t="shared" si="75"/>
        <v>动态</v>
      </c>
      <c r="F307" t="str">
        <f ca="1">BDH($B$307,$C$307,$B$292,$B$293,CONCATENATE("Per=",$B$290),"Dts=H","Dir=H",CONCATENATE("Points=",$B$291),"Sort=R","Days=A","Fill=B",CONCATENATE("FX=", $B$289) )</f>
        <v>#N/A Authorization</v>
      </c>
      <c r="BN307" t="str">
        <f>""</f>
        <v/>
      </c>
      <c r="BO307" t="str">
        <f>""</f>
        <v/>
      </c>
      <c r="BP307" t="str">
        <f>""</f>
        <v/>
      </c>
      <c r="BQ307" t="str">
        <f>""</f>
        <v/>
      </c>
      <c r="BR307" t="str">
        <f>""</f>
        <v/>
      </c>
      <c r="BS307" t="str">
        <f>""</f>
        <v/>
      </c>
      <c r="BT307" t="str">
        <f>""</f>
        <v/>
      </c>
      <c r="BU307" t="str">
        <f>""</f>
        <v/>
      </c>
      <c r="BV307" t="str">
        <f>""</f>
        <v/>
      </c>
      <c r="BW307" t="str">
        <f>""</f>
        <v/>
      </c>
      <c r="BX307" t="str">
        <f>""</f>
        <v/>
      </c>
      <c r="BY307" t="str">
        <f>""</f>
        <v/>
      </c>
      <c r="BZ307" t="str">
        <f>""</f>
        <v/>
      </c>
      <c r="CA307" t="str">
        <f>""</f>
        <v/>
      </c>
      <c r="CB307" t="str">
        <f>""</f>
        <v/>
      </c>
      <c r="CC307" t="str">
        <f>""</f>
        <v/>
      </c>
      <c r="CD307" t="str">
        <f>""</f>
        <v/>
      </c>
      <c r="CE307" t="str">
        <f>""</f>
        <v/>
      </c>
      <c r="CF307" t="str">
        <f>""</f>
        <v/>
      </c>
      <c r="CG307" t="str">
        <f>""</f>
        <v/>
      </c>
      <c r="CH307" t="str">
        <f>""</f>
        <v/>
      </c>
      <c r="CI307" t="str">
        <f>""</f>
        <v/>
      </c>
      <c r="CJ307" t="str">
        <f>""</f>
        <v/>
      </c>
      <c r="CK307" t="str">
        <f>""</f>
        <v/>
      </c>
      <c r="CL307" t="str">
        <f>""</f>
        <v/>
      </c>
      <c r="CM307" t="str">
        <f>""</f>
        <v/>
      </c>
      <c r="CN307" t="str">
        <f>""</f>
        <v/>
      </c>
      <c r="CO307" t="str">
        <f>""</f>
        <v/>
      </c>
      <c r="CP307" t="str">
        <f>""</f>
        <v/>
      </c>
      <c r="CQ307" t="str">
        <f>""</f>
        <v/>
      </c>
      <c r="CR307" t="str">
        <f>""</f>
        <v/>
      </c>
      <c r="CS307" t="str">
        <f>""</f>
        <v/>
      </c>
      <c r="CT307" t="str">
        <f>""</f>
        <v/>
      </c>
      <c r="CU307" t="str">
        <f>""</f>
        <v/>
      </c>
      <c r="CV307" t="str">
        <f>""</f>
        <v/>
      </c>
      <c r="CW307" t="str">
        <f>""</f>
        <v/>
      </c>
      <c r="CX307" t="str">
        <f>""</f>
        <v/>
      </c>
      <c r="CY307" t="str">
        <f>""</f>
        <v/>
      </c>
      <c r="CZ307" t="str">
        <f>""</f>
        <v/>
      </c>
      <c r="DA307" t="str">
        <f>""</f>
        <v/>
      </c>
      <c r="DB307" t="str">
        <f>""</f>
        <v/>
      </c>
      <c r="DC307" t="str">
        <f>""</f>
        <v/>
      </c>
      <c r="DD307" t="str">
        <f>""</f>
        <v/>
      </c>
      <c r="DE307" t="str">
        <f>""</f>
        <v/>
      </c>
      <c r="DF307" t="str">
        <f>""</f>
        <v/>
      </c>
      <c r="DG307" t="str">
        <f>""</f>
        <v/>
      </c>
      <c r="DH307" t="str">
        <f>""</f>
        <v/>
      </c>
      <c r="DI307" t="str">
        <f>""</f>
        <v/>
      </c>
      <c r="DJ307" t="str">
        <f>""</f>
        <v/>
      </c>
      <c r="DK307" t="str">
        <f>""</f>
        <v/>
      </c>
      <c r="DL307" t="str">
        <f>""</f>
        <v/>
      </c>
      <c r="DM307" t="str">
        <f>""</f>
        <v/>
      </c>
      <c r="DN307" t="str">
        <f>""</f>
        <v/>
      </c>
      <c r="DO307" t="str">
        <f>""</f>
        <v/>
      </c>
      <c r="DP307" t="str">
        <f>""</f>
        <v/>
      </c>
      <c r="DQ307" t="str">
        <f>""</f>
        <v/>
      </c>
      <c r="DR307" t="str">
        <f>""</f>
        <v/>
      </c>
      <c r="DS307" t="str">
        <f>""</f>
        <v/>
      </c>
      <c r="DT307" t="str">
        <f>""</f>
        <v/>
      </c>
      <c r="DU307" t="str">
        <f>""</f>
        <v/>
      </c>
    </row>
    <row r="308" spans="2:125">
      <c r="B308" t="str">
        <f>"HIW US Equity"</f>
        <v>HIW US Equity</v>
      </c>
      <c r="C308" t="str">
        <f>"RR253"</f>
        <v>RR253</v>
      </c>
      <c r="D308" t="str">
        <f>"CASH_AND_MARKETABLE_SECURITIES"</f>
        <v>CASH_AND_MARKETABLE_SECURITIES</v>
      </c>
      <c r="E308" t="str">
        <f t="shared" si="75"/>
        <v>动态</v>
      </c>
      <c r="F308" t="str">
        <f ca="1">BDH($B$308,$C$308,$B$292,$B$293,CONCATENATE("Per=",$B$290),"Dts=H","Dir=H",CONCATENATE("Points=",$B$291),"Sort=R","Days=A","Fill=B",CONCATENATE("FX=", $B$289) )</f>
        <v>#N/A Authorization</v>
      </c>
      <c r="BN308" t="str">
        <f>""</f>
        <v/>
      </c>
      <c r="BO308" t="str">
        <f>""</f>
        <v/>
      </c>
      <c r="BP308" t="str">
        <f>""</f>
        <v/>
      </c>
      <c r="BQ308" t="str">
        <f>""</f>
        <v/>
      </c>
      <c r="BR308" t="str">
        <f>""</f>
        <v/>
      </c>
      <c r="BS308" t="str">
        <f>""</f>
        <v/>
      </c>
      <c r="BT308" t="str">
        <f>""</f>
        <v/>
      </c>
      <c r="BU308" t="str">
        <f>""</f>
        <v/>
      </c>
      <c r="BV308" t="str">
        <f>""</f>
        <v/>
      </c>
      <c r="BW308" t="str">
        <f>""</f>
        <v/>
      </c>
      <c r="BX308" t="str">
        <f>""</f>
        <v/>
      </c>
      <c r="BY308" t="str">
        <f>""</f>
        <v/>
      </c>
      <c r="BZ308" t="str">
        <f>""</f>
        <v/>
      </c>
      <c r="CA308" t="str">
        <f>""</f>
        <v/>
      </c>
      <c r="CB308" t="str">
        <f>""</f>
        <v/>
      </c>
      <c r="CC308" t="str">
        <f>""</f>
        <v/>
      </c>
      <c r="CD308" t="str">
        <f>""</f>
        <v/>
      </c>
      <c r="CE308" t="str">
        <f>""</f>
        <v/>
      </c>
      <c r="CF308" t="str">
        <f>""</f>
        <v/>
      </c>
      <c r="CG308" t="str">
        <f>""</f>
        <v/>
      </c>
      <c r="CH308" t="str">
        <f>""</f>
        <v/>
      </c>
      <c r="CI308" t="str">
        <f>""</f>
        <v/>
      </c>
      <c r="CJ308" t="str">
        <f>""</f>
        <v/>
      </c>
      <c r="CK308" t="str">
        <f>""</f>
        <v/>
      </c>
      <c r="CL308" t="str">
        <f>""</f>
        <v/>
      </c>
      <c r="CM308" t="str">
        <f>""</f>
        <v/>
      </c>
      <c r="CN308" t="str">
        <f>""</f>
        <v/>
      </c>
      <c r="CO308" t="str">
        <f>""</f>
        <v/>
      </c>
      <c r="CP308" t="str">
        <f>""</f>
        <v/>
      </c>
      <c r="CQ308" t="str">
        <f>""</f>
        <v/>
      </c>
      <c r="CR308" t="str">
        <f>""</f>
        <v/>
      </c>
      <c r="CS308" t="str">
        <f>""</f>
        <v/>
      </c>
      <c r="CT308" t="str">
        <f>""</f>
        <v/>
      </c>
      <c r="CU308" t="str">
        <f>""</f>
        <v/>
      </c>
      <c r="CV308" t="str">
        <f>""</f>
        <v/>
      </c>
      <c r="CW308" t="str">
        <f>""</f>
        <v/>
      </c>
      <c r="CX308" t="str">
        <f>""</f>
        <v/>
      </c>
      <c r="CY308" t="str">
        <f>""</f>
        <v/>
      </c>
      <c r="CZ308" t="str">
        <f>""</f>
        <v/>
      </c>
      <c r="DA308" t="str">
        <f>""</f>
        <v/>
      </c>
      <c r="DB308" t="str">
        <f>""</f>
        <v/>
      </c>
      <c r="DC308" t="str">
        <f>""</f>
        <v/>
      </c>
      <c r="DD308" t="str">
        <f>""</f>
        <v/>
      </c>
      <c r="DE308" t="str">
        <f>""</f>
        <v/>
      </c>
      <c r="DF308" t="str">
        <f>""</f>
        <v/>
      </c>
      <c r="DG308" t="str">
        <f>""</f>
        <v/>
      </c>
      <c r="DH308" t="str">
        <f>""</f>
        <v/>
      </c>
      <c r="DI308" t="str">
        <f>""</f>
        <v/>
      </c>
      <c r="DJ308" t="str">
        <f>""</f>
        <v/>
      </c>
      <c r="DK308" t="str">
        <f>""</f>
        <v/>
      </c>
      <c r="DL308" t="str">
        <f>""</f>
        <v/>
      </c>
      <c r="DM308" t="str">
        <f>""</f>
        <v/>
      </c>
      <c r="DN308" t="str">
        <f>""</f>
        <v/>
      </c>
      <c r="DO308" t="str">
        <f>""</f>
        <v/>
      </c>
      <c r="DP308" t="str">
        <f>""</f>
        <v/>
      </c>
      <c r="DQ308" t="str">
        <f>""</f>
        <v/>
      </c>
      <c r="DR308" t="str">
        <f>""</f>
        <v/>
      </c>
      <c r="DS308" t="str">
        <f>""</f>
        <v/>
      </c>
      <c r="DT308" t="str">
        <f>""</f>
        <v/>
      </c>
      <c r="DU308" t="str">
        <f>""</f>
        <v/>
      </c>
    </row>
    <row r="309" spans="2:125">
      <c r="B309" t="str">
        <f>"HIW US Equity"</f>
        <v>HIW US Equity</v>
      </c>
      <c r="C309" t="str">
        <f>"BS189"</f>
        <v>BS189</v>
      </c>
      <c r="D309" t="str">
        <f>"BS_TOTAL_AVAIL_LINE_OF_CREDIT"</f>
        <v>BS_TOTAL_AVAIL_LINE_OF_CREDIT</v>
      </c>
      <c r="E309" t="str">
        <f t="shared" si="75"/>
        <v>动态</v>
      </c>
      <c r="F309" t="str">
        <f ca="1">BDH($B$309,$C$309,$B$292,$B$293,CONCATENATE("Per=",$B$290),"Dts=H","Dir=H",CONCATENATE("Points=",$B$291),"Sort=R","Days=A","Fill=B",CONCATENATE("FX=", $B$289) )</f>
        <v>#N/A Authorization</v>
      </c>
      <c r="BN309" t="str">
        <f>""</f>
        <v/>
      </c>
      <c r="BO309" t="str">
        <f>""</f>
        <v/>
      </c>
      <c r="BP309" t="str">
        <f>""</f>
        <v/>
      </c>
      <c r="BQ309" t="str">
        <f>""</f>
        <v/>
      </c>
      <c r="BR309" t="str">
        <f>""</f>
        <v/>
      </c>
      <c r="BS309" t="str">
        <f>""</f>
        <v/>
      </c>
      <c r="BT309" t="str">
        <f>""</f>
        <v/>
      </c>
      <c r="BU309" t="str">
        <f>""</f>
        <v/>
      </c>
      <c r="BV309" t="str">
        <f>""</f>
        <v/>
      </c>
      <c r="BW309" t="str">
        <f>""</f>
        <v/>
      </c>
      <c r="BX309" t="str">
        <f>""</f>
        <v/>
      </c>
      <c r="BY309" t="str">
        <f>""</f>
        <v/>
      </c>
      <c r="BZ309" t="str">
        <f>""</f>
        <v/>
      </c>
      <c r="CA309" t="str">
        <f>""</f>
        <v/>
      </c>
      <c r="CB309" t="str">
        <f>""</f>
        <v/>
      </c>
      <c r="CC309" t="str">
        <f>""</f>
        <v/>
      </c>
      <c r="CD309" t="str">
        <f>""</f>
        <v/>
      </c>
      <c r="CE309" t="str">
        <f>""</f>
        <v/>
      </c>
      <c r="CF309" t="str">
        <f>""</f>
        <v/>
      </c>
      <c r="CG309" t="str">
        <f>""</f>
        <v/>
      </c>
      <c r="CH309" t="str">
        <f>""</f>
        <v/>
      </c>
      <c r="CI309" t="str">
        <f>""</f>
        <v/>
      </c>
      <c r="CJ309" t="str">
        <f>""</f>
        <v/>
      </c>
      <c r="CK309" t="str">
        <f>""</f>
        <v/>
      </c>
      <c r="CL309" t="str">
        <f>""</f>
        <v/>
      </c>
      <c r="CM309" t="str">
        <f>""</f>
        <v/>
      </c>
      <c r="CN309" t="str">
        <f>""</f>
        <v/>
      </c>
      <c r="CO309" t="str">
        <f>""</f>
        <v/>
      </c>
      <c r="CP309" t="str">
        <f>""</f>
        <v/>
      </c>
      <c r="CQ309" t="str">
        <f>""</f>
        <v/>
      </c>
      <c r="CR309" t="str">
        <f>""</f>
        <v/>
      </c>
      <c r="CS309" t="str">
        <f>""</f>
        <v/>
      </c>
      <c r="CT309" t="str">
        <f>""</f>
        <v/>
      </c>
      <c r="CU309" t="str">
        <f>""</f>
        <v/>
      </c>
      <c r="CV309" t="str">
        <f>""</f>
        <v/>
      </c>
      <c r="CW309" t="str">
        <f>""</f>
        <v/>
      </c>
      <c r="CX309" t="str">
        <f>""</f>
        <v/>
      </c>
      <c r="CY309" t="str">
        <f>""</f>
        <v/>
      </c>
      <c r="CZ309" t="str">
        <f>""</f>
        <v/>
      </c>
      <c r="DA309" t="str">
        <f>""</f>
        <v/>
      </c>
      <c r="DB309" t="str">
        <f>""</f>
        <v/>
      </c>
      <c r="DC309" t="str">
        <f>""</f>
        <v/>
      </c>
      <c r="DD309" t="str">
        <f>""</f>
        <v/>
      </c>
      <c r="DE309" t="str">
        <f>""</f>
        <v/>
      </c>
      <c r="DF309" t="str">
        <f>""</f>
        <v/>
      </c>
      <c r="DG309" t="str">
        <f>""</f>
        <v/>
      </c>
      <c r="DH309" t="str">
        <f>""</f>
        <v/>
      </c>
      <c r="DI309" t="str">
        <f>""</f>
        <v/>
      </c>
      <c r="DJ309" t="str">
        <f>""</f>
        <v/>
      </c>
      <c r="DK309" t="str">
        <f>""</f>
        <v/>
      </c>
      <c r="DL309" t="str">
        <f>""</f>
        <v/>
      </c>
      <c r="DM309" t="str">
        <f>""</f>
        <v/>
      </c>
      <c r="DN309" t="str">
        <f>""</f>
        <v/>
      </c>
      <c r="DO309" t="str">
        <f>""</f>
        <v/>
      </c>
      <c r="DP309" t="str">
        <f>""</f>
        <v/>
      </c>
      <c r="DQ309" t="str">
        <f>""</f>
        <v/>
      </c>
      <c r="DR309" t="str">
        <f>""</f>
        <v/>
      </c>
      <c r="DS309" t="str">
        <f>""</f>
        <v/>
      </c>
      <c r="DT309" t="str">
        <f>""</f>
        <v/>
      </c>
      <c r="DU309" t="str">
        <f>""</f>
        <v/>
      </c>
    </row>
    <row r="310" spans="2:125">
      <c r="B310" t="str">
        <f>"HIW US Equity"</f>
        <v>HIW US Equity</v>
      </c>
      <c r="C310" t="str">
        <f>"BS658"</f>
        <v>BS658</v>
      </c>
      <c r="D310" t="str">
        <f>"BS_YEAR_1_PRINCIPAL"</f>
        <v>BS_YEAR_1_PRINCIPAL</v>
      </c>
      <c r="E310" t="str">
        <f t="shared" si="75"/>
        <v>动态</v>
      </c>
      <c r="F310" t="str">
        <f ca="1">BDH($B$310,$C$310,$B$292,$B$293,CONCATENATE("Per=",$B$290),"Dts=H","Dir=H",CONCATENATE("Points=",$B$291),"Sort=R","Days=A","Fill=B",CONCATENATE("FX=", $B$289) )</f>
        <v>#N/A Authorization</v>
      </c>
      <c r="BN310" t="str">
        <f>""</f>
        <v/>
      </c>
      <c r="BO310" t="str">
        <f>""</f>
        <v/>
      </c>
      <c r="BP310" t="str">
        <f>""</f>
        <v/>
      </c>
      <c r="BQ310" t="str">
        <f>""</f>
        <v/>
      </c>
      <c r="BR310" t="str">
        <f>""</f>
        <v/>
      </c>
      <c r="BS310" t="str">
        <f>""</f>
        <v/>
      </c>
      <c r="BT310" t="str">
        <f>""</f>
        <v/>
      </c>
      <c r="BU310" t="str">
        <f>""</f>
        <v/>
      </c>
      <c r="BV310" t="str">
        <f>""</f>
        <v/>
      </c>
      <c r="BW310" t="str">
        <f>""</f>
        <v/>
      </c>
      <c r="BX310" t="str">
        <f>""</f>
        <v/>
      </c>
      <c r="BY310" t="str">
        <f>""</f>
        <v/>
      </c>
      <c r="BZ310" t="str">
        <f>""</f>
        <v/>
      </c>
      <c r="CA310" t="str">
        <f>""</f>
        <v/>
      </c>
      <c r="CB310" t="str">
        <f>""</f>
        <v/>
      </c>
      <c r="CC310" t="str">
        <f>""</f>
        <v/>
      </c>
      <c r="CD310" t="str">
        <f>""</f>
        <v/>
      </c>
      <c r="CE310" t="str">
        <f>""</f>
        <v/>
      </c>
      <c r="CF310" t="str">
        <f>""</f>
        <v/>
      </c>
      <c r="CG310" t="str">
        <f>""</f>
        <v/>
      </c>
      <c r="CH310" t="str">
        <f>""</f>
        <v/>
      </c>
      <c r="CI310" t="str">
        <f>""</f>
        <v/>
      </c>
      <c r="CJ310" t="str">
        <f>""</f>
        <v/>
      </c>
      <c r="CK310" t="str">
        <f>""</f>
        <v/>
      </c>
      <c r="CL310" t="str">
        <f>""</f>
        <v/>
      </c>
      <c r="CM310" t="str">
        <f>""</f>
        <v/>
      </c>
      <c r="CN310" t="str">
        <f>""</f>
        <v/>
      </c>
      <c r="CO310" t="str">
        <f>""</f>
        <v/>
      </c>
      <c r="CP310" t="str">
        <f>""</f>
        <v/>
      </c>
      <c r="CQ310" t="str">
        <f>""</f>
        <v/>
      </c>
      <c r="CR310" t="str">
        <f>""</f>
        <v/>
      </c>
      <c r="CS310" t="str">
        <f>""</f>
        <v/>
      </c>
      <c r="CT310" t="str">
        <f>""</f>
        <v/>
      </c>
      <c r="CU310" t="str">
        <f>""</f>
        <v/>
      </c>
      <c r="CV310" t="str">
        <f>""</f>
        <v/>
      </c>
      <c r="CW310" t="str">
        <f>""</f>
        <v/>
      </c>
      <c r="CX310" t="str">
        <f>""</f>
        <v/>
      </c>
      <c r="CY310" t="str">
        <f>""</f>
        <v/>
      </c>
      <c r="CZ310" t="str">
        <f>""</f>
        <v/>
      </c>
      <c r="DA310" t="str">
        <f>""</f>
        <v/>
      </c>
      <c r="DB310" t="str">
        <f>""</f>
        <v/>
      </c>
      <c r="DC310" t="str">
        <f>""</f>
        <v/>
      </c>
      <c r="DD310" t="str">
        <f>""</f>
        <v/>
      </c>
      <c r="DE310" t="str">
        <f>""</f>
        <v/>
      </c>
      <c r="DF310" t="str">
        <f>""</f>
        <v/>
      </c>
      <c r="DG310" t="str">
        <f>""</f>
        <v/>
      </c>
      <c r="DH310" t="str">
        <f>""</f>
        <v/>
      </c>
      <c r="DI310" t="str">
        <f>""</f>
        <v/>
      </c>
      <c r="DJ310" t="str">
        <f>""</f>
        <v/>
      </c>
      <c r="DK310" t="str">
        <f>""</f>
        <v/>
      </c>
      <c r="DL310" t="str">
        <f>""</f>
        <v/>
      </c>
      <c r="DM310" t="str">
        <f>""</f>
        <v/>
      </c>
      <c r="DN310" t="str">
        <f>""</f>
        <v/>
      </c>
      <c r="DO310" t="str">
        <f>""</f>
        <v/>
      </c>
      <c r="DP310" t="str">
        <f>""</f>
        <v/>
      </c>
      <c r="DQ310" t="str">
        <f>""</f>
        <v/>
      </c>
      <c r="DR310" t="str">
        <f>""</f>
        <v/>
      </c>
      <c r="DS310" t="str">
        <f>""</f>
        <v/>
      </c>
      <c r="DT310" t="str">
        <f>""</f>
        <v/>
      </c>
      <c r="DU310" t="str">
        <f>""</f>
        <v/>
      </c>
    </row>
    <row r="311" spans="2:125">
      <c r="B311" t="str">
        <f>"KRC US Equity"</f>
        <v>KRC US Equity</v>
      </c>
      <c r="C311" t="str">
        <f>"RR253"</f>
        <v>RR253</v>
      </c>
      <c r="D311" t="str">
        <f>"CASH_AND_MARKETABLE_SECURITIES"</f>
        <v>CASH_AND_MARKETABLE_SECURITIES</v>
      </c>
      <c r="E311" t="str">
        <f t="shared" si="75"/>
        <v>动态</v>
      </c>
      <c r="F311" t="str">
        <f ca="1">BDH($B$311,$C$311,$B$292,$B$293,CONCATENATE("Per=",$B$290),"Dts=H","Dir=H",CONCATENATE("Points=",$B$291),"Sort=R","Days=A","Fill=B",CONCATENATE("FX=", $B$289) )</f>
        <v>#N/A Authorization</v>
      </c>
      <c r="BN311" t="str">
        <f>""</f>
        <v/>
      </c>
      <c r="BO311" t="str">
        <f>""</f>
        <v/>
      </c>
      <c r="BP311" t="str">
        <f>""</f>
        <v/>
      </c>
      <c r="BQ311" t="str">
        <f>""</f>
        <v/>
      </c>
      <c r="BR311" t="str">
        <f>""</f>
        <v/>
      </c>
      <c r="BS311" t="str">
        <f>""</f>
        <v/>
      </c>
      <c r="BT311" t="str">
        <f>""</f>
        <v/>
      </c>
      <c r="BU311" t="str">
        <f>""</f>
        <v/>
      </c>
      <c r="BV311" t="str">
        <f>""</f>
        <v/>
      </c>
      <c r="BW311" t="str">
        <f>""</f>
        <v/>
      </c>
      <c r="BX311" t="str">
        <f>""</f>
        <v/>
      </c>
      <c r="BY311" t="str">
        <f>""</f>
        <v/>
      </c>
      <c r="BZ311" t="str">
        <f>""</f>
        <v/>
      </c>
      <c r="CA311" t="str">
        <f>""</f>
        <v/>
      </c>
      <c r="CB311" t="str">
        <f>""</f>
        <v/>
      </c>
      <c r="CC311" t="str">
        <f>""</f>
        <v/>
      </c>
      <c r="CD311" t="str">
        <f>""</f>
        <v/>
      </c>
      <c r="CE311" t="str">
        <f>""</f>
        <v/>
      </c>
      <c r="CF311" t="str">
        <f>""</f>
        <v/>
      </c>
      <c r="CG311" t="str">
        <f>""</f>
        <v/>
      </c>
      <c r="CH311" t="str">
        <f>""</f>
        <v/>
      </c>
      <c r="CI311" t="str">
        <f>""</f>
        <v/>
      </c>
      <c r="CJ311" t="str">
        <f>""</f>
        <v/>
      </c>
      <c r="CK311" t="str">
        <f>""</f>
        <v/>
      </c>
      <c r="CL311" t="str">
        <f>""</f>
        <v/>
      </c>
      <c r="CM311" t="str">
        <f>""</f>
        <v/>
      </c>
      <c r="CN311" t="str">
        <f>""</f>
        <v/>
      </c>
      <c r="CO311" t="str">
        <f>""</f>
        <v/>
      </c>
      <c r="CP311" t="str">
        <f>""</f>
        <v/>
      </c>
      <c r="CQ311" t="str">
        <f>""</f>
        <v/>
      </c>
      <c r="CR311" t="str">
        <f>""</f>
        <v/>
      </c>
      <c r="CS311" t="str">
        <f>""</f>
        <v/>
      </c>
      <c r="CT311" t="str">
        <f>""</f>
        <v/>
      </c>
      <c r="CU311" t="str">
        <f>""</f>
        <v/>
      </c>
      <c r="CV311" t="str">
        <f>""</f>
        <v/>
      </c>
      <c r="CW311" t="str">
        <f>""</f>
        <v/>
      </c>
      <c r="CX311" t="str">
        <f>""</f>
        <v/>
      </c>
      <c r="CY311" t="str">
        <f>""</f>
        <v/>
      </c>
      <c r="CZ311" t="str">
        <f>""</f>
        <v/>
      </c>
      <c r="DA311" t="str">
        <f>""</f>
        <v/>
      </c>
      <c r="DB311" t="str">
        <f>""</f>
        <v/>
      </c>
      <c r="DC311" t="str">
        <f>""</f>
        <v/>
      </c>
      <c r="DD311" t="str">
        <f>""</f>
        <v/>
      </c>
      <c r="DE311" t="str">
        <f>""</f>
        <v/>
      </c>
      <c r="DF311" t="str">
        <f>""</f>
        <v/>
      </c>
      <c r="DG311" t="str">
        <f>""</f>
        <v/>
      </c>
      <c r="DH311" t="str">
        <f>""</f>
        <v/>
      </c>
      <c r="DI311" t="str">
        <f>""</f>
        <v/>
      </c>
      <c r="DJ311" t="str">
        <f>""</f>
        <v/>
      </c>
      <c r="DK311" t="str">
        <f>""</f>
        <v/>
      </c>
      <c r="DL311" t="str">
        <f>""</f>
        <v/>
      </c>
      <c r="DM311" t="str">
        <f>""</f>
        <v/>
      </c>
      <c r="DN311" t="str">
        <f>""</f>
        <v/>
      </c>
      <c r="DO311" t="str">
        <f>""</f>
        <v/>
      </c>
      <c r="DP311" t="str">
        <f>""</f>
        <v/>
      </c>
      <c r="DQ311" t="str">
        <f>""</f>
        <v/>
      </c>
      <c r="DR311" t="str">
        <f>""</f>
        <v/>
      </c>
      <c r="DS311" t="str">
        <f>""</f>
        <v/>
      </c>
      <c r="DT311" t="str">
        <f>""</f>
        <v/>
      </c>
      <c r="DU311" t="str">
        <f>""</f>
        <v/>
      </c>
    </row>
    <row r="312" spans="2:125">
      <c r="B312" t="str">
        <f>"KRC US Equity"</f>
        <v>KRC US Equity</v>
      </c>
      <c r="C312" t="str">
        <f>"BS189"</f>
        <v>BS189</v>
      </c>
      <c r="D312" t="str">
        <f>"BS_TOTAL_AVAIL_LINE_OF_CREDIT"</f>
        <v>BS_TOTAL_AVAIL_LINE_OF_CREDIT</v>
      </c>
      <c r="E312" t="str">
        <f t="shared" si="75"/>
        <v>动态</v>
      </c>
      <c r="F312" t="str">
        <f ca="1">BDH($B$312,$C$312,$B$292,$B$293,CONCATENATE("Per=",$B$290),"Dts=H","Dir=H",CONCATENATE("Points=",$B$291),"Sort=R","Days=A","Fill=B",CONCATENATE("FX=", $B$289) )</f>
        <v>#N/A Authorization</v>
      </c>
      <c r="BN312" t="str">
        <f>""</f>
        <v/>
      </c>
      <c r="BO312" t="str">
        <f>""</f>
        <v/>
      </c>
      <c r="BP312" t="str">
        <f>""</f>
        <v/>
      </c>
      <c r="BQ312" t="str">
        <f>""</f>
        <v/>
      </c>
      <c r="BR312" t="str">
        <f>""</f>
        <v/>
      </c>
      <c r="BS312" t="str">
        <f>""</f>
        <v/>
      </c>
      <c r="BT312" t="str">
        <f>""</f>
        <v/>
      </c>
      <c r="BU312" t="str">
        <f>""</f>
        <v/>
      </c>
      <c r="BV312" t="str">
        <f>""</f>
        <v/>
      </c>
      <c r="BW312" t="str">
        <f>""</f>
        <v/>
      </c>
      <c r="BX312" t="str">
        <f>""</f>
        <v/>
      </c>
      <c r="BY312" t="str">
        <f>""</f>
        <v/>
      </c>
      <c r="BZ312" t="str">
        <f>""</f>
        <v/>
      </c>
      <c r="CA312" t="str">
        <f>""</f>
        <v/>
      </c>
      <c r="CB312" t="str">
        <f>""</f>
        <v/>
      </c>
      <c r="CC312" t="str">
        <f>""</f>
        <v/>
      </c>
      <c r="CD312" t="str">
        <f>""</f>
        <v/>
      </c>
      <c r="CE312" t="str">
        <f>""</f>
        <v/>
      </c>
      <c r="CF312" t="str">
        <f>""</f>
        <v/>
      </c>
      <c r="CG312" t="str">
        <f>""</f>
        <v/>
      </c>
      <c r="CH312" t="str">
        <f>""</f>
        <v/>
      </c>
      <c r="CI312" t="str">
        <f>""</f>
        <v/>
      </c>
      <c r="CJ312" t="str">
        <f>""</f>
        <v/>
      </c>
      <c r="CK312" t="str">
        <f>""</f>
        <v/>
      </c>
      <c r="CL312" t="str">
        <f>""</f>
        <v/>
      </c>
      <c r="CM312" t="str">
        <f>""</f>
        <v/>
      </c>
      <c r="CN312" t="str">
        <f>""</f>
        <v/>
      </c>
      <c r="CO312" t="str">
        <f>""</f>
        <v/>
      </c>
      <c r="CP312" t="str">
        <f>""</f>
        <v/>
      </c>
      <c r="CQ312" t="str">
        <f>""</f>
        <v/>
      </c>
      <c r="CR312" t="str">
        <f>""</f>
        <v/>
      </c>
      <c r="CS312" t="str">
        <f>""</f>
        <v/>
      </c>
      <c r="CT312" t="str">
        <f>""</f>
        <v/>
      </c>
      <c r="CU312" t="str">
        <f>""</f>
        <v/>
      </c>
      <c r="CV312" t="str">
        <f>""</f>
        <v/>
      </c>
      <c r="CW312" t="str">
        <f>""</f>
        <v/>
      </c>
      <c r="CX312" t="str">
        <f>""</f>
        <v/>
      </c>
      <c r="CY312" t="str">
        <f>""</f>
        <v/>
      </c>
      <c r="CZ312" t="str">
        <f>""</f>
        <v/>
      </c>
      <c r="DA312" t="str">
        <f>""</f>
        <v/>
      </c>
      <c r="DB312" t="str">
        <f>""</f>
        <v/>
      </c>
      <c r="DC312" t="str">
        <f>""</f>
        <v/>
      </c>
      <c r="DD312" t="str">
        <f>""</f>
        <v/>
      </c>
      <c r="DE312" t="str">
        <f>""</f>
        <v/>
      </c>
      <c r="DF312" t="str">
        <f>""</f>
        <v/>
      </c>
      <c r="DG312" t="str">
        <f>""</f>
        <v/>
      </c>
      <c r="DH312" t="str">
        <f>""</f>
        <v/>
      </c>
      <c r="DI312" t="str">
        <f>""</f>
        <v/>
      </c>
      <c r="DJ312" t="str">
        <f>""</f>
        <v/>
      </c>
      <c r="DK312" t="str">
        <f>""</f>
        <v/>
      </c>
      <c r="DL312" t="str">
        <f>""</f>
        <v/>
      </c>
      <c r="DM312" t="str">
        <f>""</f>
        <v/>
      </c>
      <c r="DN312" t="str">
        <f>""</f>
        <v/>
      </c>
      <c r="DO312" t="str">
        <f>""</f>
        <v/>
      </c>
      <c r="DP312" t="str">
        <f>""</f>
        <v/>
      </c>
      <c r="DQ312" t="str">
        <f>""</f>
        <v/>
      </c>
      <c r="DR312" t="str">
        <f>""</f>
        <v/>
      </c>
      <c r="DS312" t="str">
        <f>""</f>
        <v/>
      </c>
      <c r="DT312" t="str">
        <f>""</f>
        <v/>
      </c>
      <c r="DU312" t="str">
        <f>""</f>
        <v/>
      </c>
    </row>
    <row r="313" spans="2:125">
      <c r="B313" t="str">
        <f>"KRC US Equity"</f>
        <v>KRC US Equity</v>
      </c>
      <c r="C313" t="str">
        <f>"BS658"</f>
        <v>BS658</v>
      </c>
      <c r="D313" t="str">
        <f>"BS_YEAR_1_PRINCIPAL"</f>
        <v>BS_YEAR_1_PRINCIPAL</v>
      </c>
      <c r="E313" t="str">
        <f t="shared" si="75"/>
        <v>动态</v>
      </c>
      <c r="F313" t="str">
        <f ca="1">BDH($B$313,$C$313,$B$292,$B$293,CONCATENATE("Per=",$B$290),"Dts=H","Dir=H",CONCATENATE("Points=",$B$291),"Sort=R","Days=A","Fill=B",CONCATENATE("FX=", $B$289) )</f>
        <v>#N/A Authorization</v>
      </c>
      <c r="BN313" t="str">
        <f>""</f>
        <v/>
      </c>
      <c r="BO313" t="str">
        <f>""</f>
        <v/>
      </c>
      <c r="BP313" t="str">
        <f>""</f>
        <v/>
      </c>
      <c r="BQ313" t="str">
        <f>""</f>
        <v/>
      </c>
      <c r="BR313" t="str">
        <f>""</f>
        <v/>
      </c>
      <c r="BS313" t="str">
        <f>""</f>
        <v/>
      </c>
      <c r="BT313" t="str">
        <f>""</f>
        <v/>
      </c>
      <c r="BU313" t="str">
        <f>""</f>
        <v/>
      </c>
      <c r="BV313" t="str">
        <f>""</f>
        <v/>
      </c>
      <c r="BW313" t="str">
        <f>""</f>
        <v/>
      </c>
      <c r="BX313" t="str">
        <f>""</f>
        <v/>
      </c>
      <c r="BY313" t="str">
        <f>""</f>
        <v/>
      </c>
      <c r="BZ313" t="str">
        <f>""</f>
        <v/>
      </c>
      <c r="CA313" t="str">
        <f>""</f>
        <v/>
      </c>
      <c r="CB313" t="str">
        <f>""</f>
        <v/>
      </c>
      <c r="CC313" t="str">
        <f>""</f>
        <v/>
      </c>
      <c r="CD313" t="str">
        <f>""</f>
        <v/>
      </c>
      <c r="CE313" t="str">
        <f>""</f>
        <v/>
      </c>
      <c r="CF313" t="str">
        <f>""</f>
        <v/>
      </c>
      <c r="CG313" t="str">
        <f>""</f>
        <v/>
      </c>
      <c r="CH313" t="str">
        <f>""</f>
        <v/>
      </c>
      <c r="CI313" t="str">
        <f>""</f>
        <v/>
      </c>
      <c r="CJ313" t="str">
        <f>""</f>
        <v/>
      </c>
      <c r="CK313" t="str">
        <f>""</f>
        <v/>
      </c>
      <c r="CL313" t="str">
        <f>""</f>
        <v/>
      </c>
      <c r="CM313" t="str">
        <f>""</f>
        <v/>
      </c>
      <c r="CN313" t="str">
        <f>""</f>
        <v/>
      </c>
      <c r="CO313" t="str">
        <f>""</f>
        <v/>
      </c>
      <c r="CP313" t="str">
        <f>""</f>
        <v/>
      </c>
      <c r="CQ313" t="str">
        <f>""</f>
        <v/>
      </c>
      <c r="CR313" t="str">
        <f>""</f>
        <v/>
      </c>
      <c r="CS313" t="str">
        <f>""</f>
        <v/>
      </c>
      <c r="CT313" t="str">
        <f>""</f>
        <v/>
      </c>
      <c r="CU313" t="str">
        <f>""</f>
        <v/>
      </c>
      <c r="CV313" t="str">
        <f>""</f>
        <v/>
      </c>
      <c r="CW313" t="str">
        <f>""</f>
        <v/>
      </c>
      <c r="CX313" t="str">
        <f>""</f>
        <v/>
      </c>
      <c r="CY313" t="str">
        <f>""</f>
        <v/>
      </c>
      <c r="CZ313" t="str">
        <f>""</f>
        <v/>
      </c>
      <c r="DA313" t="str">
        <f>""</f>
        <v/>
      </c>
      <c r="DB313" t="str">
        <f>""</f>
        <v/>
      </c>
      <c r="DC313" t="str">
        <f>""</f>
        <v/>
      </c>
      <c r="DD313" t="str">
        <f>""</f>
        <v/>
      </c>
      <c r="DE313" t="str">
        <f>""</f>
        <v/>
      </c>
      <c r="DF313" t="str">
        <f>""</f>
        <v/>
      </c>
      <c r="DG313" t="str">
        <f>""</f>
        <v/>
      </c>
      <c r="DH313" t="str">
        <f>""</f>
        <v/>
      </c>
      <c r="DI313" t="str">
        <f>""</f>
        <v/>
      </c>
      <c r="DJ313" t="str">
        <f>""</f>
        <v/>
      </c>
      <c r="DK313" t="str">
        <f>""</f>
        <v/>
      </c>
      <c r="DL313" t="str">
        <f>""</f>
        <v/>
      </c>
      <c r="DM313" t="str">
        <f>""</f>
        <v/>
      </c>
      <c r="DN313" t="str">
        <f>""</f>
        <v/>
      </c>
      <c r="DO313" t="str">
        <f>""</f>
        <v/>
      </c>
      <c r="DP313" t="str">
        <f>""</f>
        <v/>
      </c>
      <c r="DQ313" t="str">
        <f>""</f>
        <v/>
      </c>
      <c r="DR313" t="str">
        <f>""</f>
        <v/>
      </c>
      <c r="DS313" t="str">
        <f>""</f>
        <v/>
      </c>
      <c r="DT313" t="str">
        <f>""</f>
        <v/>
      </c>
      <c r="DU313" t="str">
        <f>""</f>
        <v/>
      </c>
    </row>
    <row r="314" spans="2:125">
      <c r="B314" t="str">
        <f>"CLI US Equity"</f>
        <v>CLI US Equity</v>
      </c>
      <c r="C314" t="str">
        <f>"RR253"</f>
        <v>RR253</v>
      </c>
      <c r="D314" t="str">
        <f>"CASH_AND_MARKETABLE_SECURITIES"</f>
        <v>CASH_AND_MARKETABLE_SECURITIES</v>
      </c>
      <c r="E314" t="str">
        <f t="shared" si="75"/>
        <v>动态</v>
      </c>
      <c r="F314" t="str">
        <f ca="1">BDH($B$314,$C$314,$B$292,$B$293,CONCATENATE("Per=",$B$290),"Dts=H","Dir=H",CONCATENATE("Points=",$B$291),"Sort=R","Days=A","Fill=B",CONCATENATE("FX=", $B$289) )</f>
        <v>#N/A Authorization</v>
      </c>
      <c r="BN314" t="str">
        <f>""</f>
        <v/>
      </c>
      <c r="BO314" t="str">
        <f>""</f>
        <v/>
      </c>
      <c r="BP314" t="str">
        <f>""</f>
        <v/>
      </c>
      <c r="BQ314" t="str">
        <f>""</f>
        <v/>
      </c>
      <c r="BR314" t="str">
        <f>""</f>
        <v/>
      </c>
      <c r="BS314" t="str">
        <f>""</f>
        <v/>
      </c>
      <c r="BT314" t="str">
        <f>""</f>
        <v/>
      </c>
      <c r="BU314" t="str">
        <f>""</f>
        <v/>
      </c>
      <c r="BV314" t="str">
        <f>""</f>
        <v/>
      </c>
      <c r="BW314" t="str">
        <f>""</f>
        <v/>
      </c>
      <c r="BX314" t="str">
        <f>""</f>
        <v/>
      </c>
      <c r="BY314" t="str">
        <f>""</f>
        <v/>
      </c>
      <c r="BZ314" t="str">
        <f>""</f>
        <v/>
      </c>
      <c r="CA314" t="str">
        <f>""</f>
        <v/>
      </c>
      <c r="CB314" t="str">
        <f>""</f>
        <v/>
      </c>
      <c r="CC314" t="str">
        <f>""</f>
        <v/>
      </c>
      <c r="CD314" t="str">
        <f>""</f>
        <v/>
      </c>
      <c r="CE314" t="str">
        <f>""</f>
        <v/>
      </c>
      <c r="CF314" t="str">
        <f>""</f>
        <v/>
      </c>
      <c r="CG314" t="str">
        <f>""</f>
        <v/>
      </c>
      <c r="CH314" t="str">
        <f>""</f>
        <v/>
      </c>
      <c r="CI314" t="str">
        <f>""</f>
        <v/>
      </c>
      <c r="CJ314" t="str">
        <f>""</f>
        <v/>
      </c>
      <c r="CK314" t="str">
        <f>""</f>
        <v/>
      </c>
      <c r="CL314" t="str">
        <f>""</f>
        <v/>
      </c>
      <c r="CM314" t="str">
        <f>""</f>
        <v/>
      </c>
      <c r="CN314" t="str">
        <f>""</f>
        <v/>
      </c>
      <c r="CO314" t="str">
        <f>""</f>
        <v/>
      </c>
      <c r="CP314" t="str">
        <f>""</f>
        <v/>
      </c>
      <c r="CQ314" t="str">
        <f>""</f>
        <v/>
      </c>
      <c r="CR314" t="str">
        <f>""</f>
        <v/>
      </c>
      <c r="CS314" t="str">
        <f>""</f>
        <v/>
      </c>
      <c r="CT314" t="str">
        <f>""</f>
        <v/>
      </c>
      <c r="CU314" t="str">
        <f>""</f>
        <v/>
      </c>
      <c r="CV314" t="str">
        <f>""</f>
        <v/>
      </c>
      <c r="CW314" t="str">
        <f>""</f>
        <v/>
      </c>
      <c r="CX314" t="str">
        <f>""</f>
        <v/>
      </c>
      <c r="CY314" t="str">
        <f>""</f>
        <v/>
      </c>
      <c r="CZ314" t="str">
        <f>""</f>
        <v/>
      </c>
      <c r="DA314" t="str">
        <f>""</f>
        <v/>
      </c>
      <c r="DB314" t="str">
        <f>""</f>
        <v/>
      </c>
      <c r="DC314" t="str">
        <f>""</f>
        <v/>
      </c>
      <c r="DD314" t="str">
        <f>""</f>
        <v/>
      </c>
      <c r="DE314" t="str">
        <f>""</f>
        <v/>
      </c>
      <c r="DF314" t="str">
        <f>""</f>
        <v/>
      </c>
      <c r="DG314" t="str">
        <f>""</f>
        <v/>
      </c>
      <c r="DH314" t="str">
        <f>""</f>
        <v/>
      </c>
      <c r="DI314" t="str">
        <f>""</f>
        <v/>
      </c>
      <c r="DJ314" t="str">
        <f>""</f>
        <v/>
      </c>
      <c r="DK314" t="str">
        <f>""</f>
        <v/>
      </c>
      <c r="DL314" t="str">
        <f>""</f>
        <v/>
      </c>
      <c r="DM314" t="str">
        <f>""</f>
        <v/>
      </c>
      <c r="DN314" t="str">
        <f>""</f>
        <v/>
      </c>
      <c r="DO314" t="str">
        <f>""</f>
        <v/>
      </c>
      <c r="DP314" t="str">
        <f>""</f>
        <v/>
      </c>
      <c r="DQ314" t="str">
        <f>""</f>
        <v/>
      </c>
      <c r="DR314" t="str">
        <f>""</f>
        <v/>
      </c>
      <c r="DS314" t="str">
        <f>""</f>
        <v/>
      </c>
      <c r="DT314" t="str">
        <f>""</f>
        <v/>
      </c>
      <c r="DU314" t="str">
        <f>""</f>
        <v/>
      </c>
    </row>
    <row r="315" spans="2:125">
      <c r="B315" t="str">
        <f>"CLI US Equity"</f>
        <v>CLI US Equity</v>
      </c>
      <c r="C315" t="str">
        <f>"BS189"</f>
        <v>BS189</v>
      </c>
      <c r="D315" t="str">
        <f>"BS_TOTAL_AVAIL_LINE_OF_CREDIT"</f>
        <v>BS_TOTAL_AVAIL_LINE_OF_CREDIT</v>
      </c>
      <c r="E315" t="str">
        <f t="shared" si="75"/>
        <v>动态</v>
      </c>
      <c r="F315" t="str">
        <f ca="1">BDH($B$315,$C$315,$B$292,$B$293,CONCATENATE("Per=",$B$290),"Dts=H","Dir=H",CONCATENATE("Points=",$B$291),"Sort=R","Days=A","Fill=B",CONCATENATE("FX=", $B$289) )</f>
        <v>#N/A Authorization</v>
      </c>
      <c r="BN315" t="str">
        <f>""</f>
        <v/>
      </c>
      <c r="BO315" t="str">
        <f>""</f>
        <v/>
      </c>
      <c r="BP315" t="str">
        <f>""</f>
        <v/>
      </c>
      <c r="BQ315" t="str">
        <f>""</f>
        <v/>
      </c>
      <c r="BR315" t="str">
        <f>""</f>
        <v/>
      </c>
      <c r="BS315" t="str">
        <f>""</f>
        <v/>
      </c>
      <c r="BT315" t="str">
        <f>""</f>
        <v/>
      </c>
      <c r="BU315" t="str">
        <f>""</f>
        <v/>
      </c>
      <c r="BV315" t="str">
        <f>""</f>
        <v/>
      </c>
      <c r="BW315" t="str">
        <f>""</f>
        <v/>
      </c>
      <c r="BX315" t="str">
        <f>""</f>
        <v/>
      </c>
      <c r="BY315" t="str">
        <f>""</f>
        <v/>
      </c>
      <c r="BZ315" t="str">
        <f>""</f>
        <v/>
      </c>
      <c r="CA315" t="str">
        <f>""</f>
        <v/>
      </c>
      <c r="CB315" t="str">
        <f>""</f>
        <v/>
      </c>
      <c r="CC315" t="str">
        <f>""</f>
        <v/>
      </c>
      <c r="CD315" t="str">
        <f>""</f>
        <v/>
      </c>
      <c r="CE315" t="str">
        <f>""</f>
        <v/>
      </c>
      <c r="CF315" t="str">
        <f>""</f>
        <v/>
      </c>
      <c r="CG315" t="str">
        <f>""</f>
        <v/>
      </c>
      <c r="CH315" t="str">
        <f>""</f>
        <v/>
      </c>
      <c r="CI315" t="str">
        <f>""</f>
        <v/>
      </c>
      <c r="CJ315" t="str">
        <f>""</f>
        <v/>
      </c>
      <c r="CK315" t="str">
        <f>""</f>
        <v/>
      </c>
      <c r="CL315" t="str">
        <f>""</f>
        <v/>
      </c>
      <c r="CM315" t="str">
        <f>""</f>
        <v/>
      </c>
      <c r="CN315" t="str">
        <f>""</f>
        <v/>
      </c>
      <c r="CO315" t="str">
        <f>""</f>
        <v/>
      </c>
      <c r="CP315" t="str">
        <f>""</f>
        <v/>
      </c>
      <c r="CQ315" t="str">
        <f>""</f>
        <v/>
      </c>
      <c r="CR315" t="str">
        <f>""</f>
        <v/>
      </c>
      <c r="CS315" t="str">
        <f>""</f>
        <v/>
      </c>
      <c r="CT315" t="str">
        <f>""</f>
        <v/>
      </c>
      <c r="CU315" t="str">
        <f>""</f>
        <v/>
      </c>
      <c r="CV315" t="str">
        <f>""</f>
        <v/>
      </c>
      <c r="CW315" t="str">
        <f>""</f>
        <v/>
      </c>
      <c r="CX315" t="str">
        <f>""</f>
        <v/>
      </c>
      <c r="CY315" t="str">
        <f>""</f>
        <v/>
      </c>
      <c r="CZ315" t="str">
        <f>""</f>
        <v/>
      </c>
      <c r="DA315" t="str">
        <f>""</f>
        <v/>
      </c>
      <c r="DB315" t="str">
        <f>""</f>
        <v/>
      </c>
      <c r="DC315" t="str">
        <f>""</f>
        <v/>
      </c>
      <c r="DD315" t="str">
        <f>""</f>
        <v/>
      </c>
      <c r="DE315" t="str">
        <f>""</f>
        <v/>
      </c>
      <c r="DF315" t="str">
        <f>""</f>
        <v/>
      </c>
      <c r="DG315" t="str">
        <f>""</f>
        <v/>
      </c>
      <c r="DH315" t="str">
        <f>""</f>
        <v/>
      </c>
      <c r="DI315" t="str">
        <f>""</f>
        <v/>
      </c>
      <c r="DJ315" t="str">
        <f>""</f>
        <v/>
      </c>
      <c r="DK315" t="str">
        <f>""</f>
        <v/>
      </c>
      <c r="DL315" t="str">
        <f>""</f>
        <v/>
      </c>
      <c r="DM315" t="str">
        <f>""</f>
        <v/>
      </c>
      <c r="DN315" t="str">
        <f>""</f>
        <v/>
      </c>
      <c r="DO315" t="str">
        <f>""</f>
        <v/>
      </c>
      <c r="DP315" t="str">
        <f>""</f>
        <v/>
      </c>
      <c r="DQ315" t="str">
        <f>""</f>
        <v/>
      </c>
      <c r="DR315" t="str">
        <f>""</f>
        <v/>
      </c>
      <c r="DS315" t="str">
        <f>""</f>
        <v/>
      </c>
      <c r="DT315" t="str">
        <f>""</f>
        <v/>
      </c>
      <c r="DU315" t="str">
        <f>""</f>
        <v/>
      </c>
    </row>
    <row r="316" spans="2:125">
      <c r="B316" t="str">
        <f>"CLI US Equity"</f>
        <v>CLI US Equity</v>
      </c>
      <c r="C316" t="str">
        <f>"BS658"</f>
        <v>BS658</v>
      </c>
      <c r="D316" t="str">
        <f>"BS_YEAR_1_PRINCIPAL"</f>
        <v>BS_YEAR_1_PRINCIPAL</v>
      </c>
      <c r="E316" t="str">
        <f t="shared" si="75"/>
        <v>动态</v>
      </c>
      <c r="F316" t="str">
        <f ca="1">BDH($B$316,$C$316,$B$292,$B$293,CONCATENATE("Per=",$B$290),"Dts=H","Dir=H",CONCATENATE("Points=",$B$291),"Sort=R","Days=A","Fill=B",CONCATENATE("FX=", $B$289) )</f>
        <v>#N/A Authorization</v>
      </c>
      <c r="BN316" t="str">
        <f>""</f>
        <v/>
      </c>
      <c r="BO316" t="str">
        <f>""</f>
        <v/>
      </c>
      <c r="BP316" t="str">
        <f>""</f>
        <v/>
      </c>
      <c r="BQ316" t="str">
        <f>""</f>
        <v/>
      </c>
      <c r="BR316" t="str">
        <f>""</f>
        <v/>
      </c>
      <c r="BS316" t="str">
        <f>""</f>
        <v/>
      </c>
      <c r="BT316" t="str">
        <f>""</f>
        <v/>
      </c>
      <c r="BU316" t="str">
        <f>""</f>
        <v/>
      </c>
      <c r="BV316" t="str">
        <f>""</f>
        <v/>
      </c>
      <c r="BW316" t="str">
        <f>""</f>
        <v/>
      </c>
      <c r="BX316" t="str">
        <f>""</f>
        <v/>
      </c>
      <c r="BY316" t="str">
        <f>""</f>
        <v/>
      </c>
      <c r="BZ316" t="str">
        <f>""</f>
        <v/>
      </c>
      <c r="CA316" t="str">
        <f>""</f>
        <v/>
      </c>
      <c r="CB316" t="str">
        <f>""</f>
        <v/>
      </c>
      <c r="CC316" t="str">
        <f>""</f>
        <v/>
      </c>
      <c r="CD316" t="str">
        <f>""</f>
        <v/>
      </c>
      <c r="CE316" t="str">
        <f>""</f>
        <v/>
      </c>
      <c r="CF316" t="str">
        <f>""</f>
        <v/>
      </c>
      <c r="CG316" t="str">
        <f>""</f>
        <v/>
      </c>
      <c r="CH316" t="str">
        <f>""</f>
        <v/>
      </c>
      <c r="CI316" t="str">
        <f>""</f>
        <v/>
      </c>
      <c r="CJ316" t="str">
        <f>""</f>
        <v/>
      </c>
      <c r="CK316" t="str">
        <f>""</f>
        <v/>
      </c>
      <c r="CL316" t="str">
        <f>""</f>
        <v/>
      </c>
      <c r="CM316" t="str">
        <f>""</f>
        <v/>
      </c>
      <c r="CN316" t="str">
        <f>""</f>
        <v/>
      </c>
      <c r="CO316" t="str">
        <f>""</f>
        <v/>
      </c>
      <c r="CP316" t="str">
        <f>""</f>
        <v/>
      </c>
      <c r="CQ316" t="str">
        <f>""</f>
        <v/>
      </c>
      <c r="CR316" t="str">
        <f>""</f>
        <v/>
      </c>
      <c r="CS316" t="str">
        <f>""</f>
        <v/>
      </c>
      <c r="CT316" t="str">
        <f>""</f>
        <v/>
      </c>
      <c r="CU316" t="str">
        <f>""</f>
        <v/>
      </c>
      <c r="CV316" t="str">
        <f>""</f>
        <v/>
      </c>
      <c r="CW316" t="str">
        <f>""</f>
        <v/>
      </c>
      <c r="CX316" t="str">
        <f>""</f>
        <v/>
      </c>
      <c r="CY316" t="str">
        <f>""</f>
        <v/>
      </c>
      <c r="CZ316" t="str">
        <f>""</f>
        <v/>
      </c>
      <c r="DA316" t="str">
        <f>""</f>
        <v/>
      </c>
      <c r="DB316" t="str">
        <f>""</f>
        <v/>
      </c>
      <c r="DC316" t="str">
        <f>""</f>
        <v/>
      </c>
      <c r="DD316" t="str">
        <f>""</f>
        <v/>
      </c>
      <c r="DE316" t="str">
        <f>""</f>
        <v/>
      </c>
      <c r="DF316" t="str">
        <f>""</f>
        <v/>
      </c>
      <c r="DG316" t="str">
        <f>""</f>
        <v/>
      </c>
      <c r="DH316" t="str">
        <f>""</f>
        <v/>
      </c>
      <c r="DI316" t="str">
        <f>""</f>
        <v/>
      </c>
      <c r="DJ316" t="str">
        <f>""</f>
        <v/>
      </c>
      <c r="DK316" t="str">
        <f>""</f>
        <v/>
      </c>
      <c r="DL316" t="str">
        <f>""</f>
        <v/>
      </c>
      <c r="DM316" t="str">
        <f>""</f>
        <v/>
      </c>
      <c r="DN316" t="str">
        <f>""</f>
        <v/>
      </c>
      <c r="DO316" t="str">
        <f>""</f>
        <v/>
      </c>
      <c r="DP316" t="str">
        <f>""</f>
        <v/>
      </c>
      <c r="DQ316" t="str">
        <f>""</f>
        <v/>
      </c>
      <c r="DR316" t="str">
        <f>""</f>
        <v/>
      </c>
      <c r="DS316" t="str">
        <f>""</f>
        <v/>
      </c>
      <c r="DT316" t="str">
        <f>""</f>
        <v/>
      </c>
      <c r="DU316" t="str">
        <f>""</f>
        <v/>
      </c>
    </row>
    <row r="317" spans="2:125">
      <c r="B317" t="str">
        <f>"PDM US Equity"</f>
        <v>PDM US Equity</v>
      </c>
      <c r="C317" t="str">
        <f>"RR253"</f>
        <v>RR253</v>
      </c>
      <c r="D317" t="str">
        <f>"CASH_AND_MARKETABLE_SECURITIES"</f>
        <v>CASH_AND_MARKETABLE_SECURITIES</v>
      </c>
      <c r="E317" t="str">
        <f t="shared" si="75"/>
        <v>动态</v>
      </c>
      <c r="F317" t="str">
        <f ca="1">BDH($B$317,$C$317,$B$292,$B$293,CONCATENATE("Per=",$B$290),"Dts=H","Dir=H",CONCATENATE("Points=",$B$291),"Sort=R","Days=A","Fill=B",CONCATENATE("FX=", $B$289) )</f>
        <v>#N/A Authorization</v>
      </c>
      <c r="BN317" t="str">
        <f>""</f>
        <v/>
      </c>
      <c r="BO317" t="str">
        <f>""</f>
        <v/>
      </c>
      <c r="BP317" t="str">
        <f>""</f>
        <v/>
      </c>
      <c r="BQ317" t="str">
        <f>""</f>
        <v/>
      </c>
      <c r="BR317" t="str">
        <f>""</f>
        <v/>
      </c>
      <c r="BS317" t="str">
        <f>""</f>
        <v/>
      </c>
      <c r="BT317" t="str">
        <f>""</f>
        <v/>
      </c>
      <c r="BU317" t="str">
        <f>""</f>
        <v/>
      </c>
      <c r="BV317" t="str">
        <f>""</f>
        <v/>
      </c>
      <c r="BW317" t="str">
        <f>""</f>
        <v/>
      </c>
      <c r="BX317" t="str">
        <f>""</f>
        <v/>
      </c>
      <c r="BY317" t="str">
        <f>""</f>
        <v/>
      </c>
      <c r="BZ317" t="str">
        <f>""</f>
        <v/>
      </c>
      <c r="CA317" t="str">
        <f>""</f>
        <v/>
      </c>
      <c r="CB317" t="str">
        <f>""</f>
        <v/>
      </c>
      <c r="CC317" t="str">
        <f>""</f>
        <v/>
      </c>
      <c r="CD317" t="str">
        <f>""</f>
        <v/>
      </c>
      <c r="CE317" t="str">
        <f>""</f>
        <v/>
      </c>
      <c r="CF317" t="str">
        <f>""</f>
        <v/>
      </c>
      <c r="CG317" t="str">
        <f>""</f>
        <v/>
      </c>
      <c r="CH317" t="str">
        <f>""</f>
        <v/>
      </c>
      <c r="CI317" t="str">
        <f>""</f>
        <v/>
      </c>
      <c r="CJ317" t="str">
        <f>""</f>
        <v/>
      </c>
      <c r="CK317" t="str">
        <f>""</f>
        <v/>
      </c>
      <c r="CL317" t="str">
        <f>""</f>
        <v/>
      </c>
      <c r="CM317" t="str">
        <f>""</f>
        <v/>
      </c>
      <c r="CN317" t="str">
        <f>""</f>
        <v/>
      </c>
      <c r="CO317" t="str">
        <f>""</f>
        <v/>
      </c>
      <c r="CP317" t="str">
        <f>""</f>
        <v/>
      </c>
      <c r="CQ317" t="str">
        <f>""</f>
        <v/>
      </c>
      <c r="CR317" t="str">
        <f>""</f>
        <v/>
      </c>
      <c r="CS317" t="str">
        <f>""</f>
        <v/>
      </c>
      <c r="CT317" t="str">
        <f>""</f>
        <v/>
      </c>
      <c r="CU317" t="str">
        <f>""</f>
        <v/>
      </c>
      <c r="CV317" t="str">
        <f>""</f>
        <v/>
      </c>
      <c r="CW317" t="str">
        <f>""</f>
        <v/>
      </c>
      <c r="CX317" t="str">
        <f>""</f>
        <v/>
      </c>
      <c r="CY317" t="str">
        <f>""</f>
        <v/>
      </c>
      <c r="CZ317" t="str">
        <f>""</f>
        <v/>
      </c>
      <c r="DA317" t="str">
        <f>""</f>
        <v/>
      </c>
      <c r="DB317" t="str">
        <f>""</f>
        <v/>
      </c>
      <c r="DC317" t="str">
        <f>""</f>
        <v/>
      </c>
      <c r="DD317" t="str">
        <f>""</f>
        <v/>
      </c>
      <c r="DE317" t="str">
        <f>""</f>
        <v/>
      </c>
      <c r="DF317" t="str">
        <f>""</f>
        <v/>
      </c>
      <c r="DG317" t="str">
        <f>""</f>
        <v/>
      </c>
      <c r="DH317" t="str">
        <f>""</f>
        <v/>
      </c>
      <c r="DI317" t="str">
        <f>""</f>
        <v/>
      </c>
      <c r="DJ317" t="str">
        <f>""</f>
        <v/>
      </c>
      <c r="DK317" t="str">
        <f>""</f>
        <v/>
      </c>
      <c r="DL317" t="str">
        <f>""</f>
        <v/>
      </c>
      <c r="DM317" t="str">
        <f>""</f>
        <v/>
      </c>
      <c r="DN317" t="str">
        <f>""</f>
        <v/>
      </c>
      <c r="DO317" t="str">
        <f>""</f>
        <v/>
      </c>
      <c r="DP317" t="str">
        <f>""</f>
        <v/>
      </c>
      <c r="DQ317" t="str">
        <f>""</f>
        <v/>
      </c>
      <c r="DR317" t="str">
        <f>""</f>
        <v/>
      </c>
      <c r="DS317" t="str">
        <f>""</f>
        <v/>
      </c>
      <c r="DT317" t="str">
        <f>""</f>
        <v/>
      </c>
      <c r="DU317" t="str">
        <f>""</f>
        <v/>
      </c>
    </row>
    <row r="318" spans="2:125">
      <c r="B318" t="str">
        <f>"PDM US Equity"</f>
        <v>PDM US Equity</v>
      </c>
      <c r="C318" t="str">
        <f>"BS189"</f>
        <v>BS189</v>
      </c>
      <c r="D318" t="str">
        <f>"BS_TOTAL_AVAIL_LINE_OF_CREDIT"</f>
        <v>BS_TOTAL_AVAIL_LINE_OF_CREDIT</v>
      </c>
      <c r="E318" t="str">
        <f t="shared" si="75"/>
        <v>动态</v>
      </c>
      <c r="F318" t="str">
        <f ca="1">BDH($B$318,$C$318,$B$292,$B$293,CONCATENATE("Per=",$B$290),"Dts=H","Dir=H",CONCATENATE("Points=",$B$291),"Sort=R","Days=A","Fill=B",CONCATENATE("FX=", $B$289) )</f>
        <v>#N/A Authorization</v>
      </c>
      <c r="BN318" t="str">
        <f>""</f>
        <v/>
      </c>
      <c r="BO318" t="str">
        <f>""</f>
        <v/>
      </c>
      <c r="BP318" t="str">
        <f>""</f>
        <v/>
      </c>
      <c r="BQ318" t="str">
        <f>""</f>
        <v/>
      </c>
      <c r="BR318" t="str">
        <f>""</f>
        <v/>
      </c>
      <c r="BS318" t="str">
        <f>""</f>
        <v/>
      </c>
      <c r="BT318" t="str">
        <f>""</f>
        <v/>
      </c>
      <c r="BU318" t="str">
        <f>""</f>
        <v/>
      </c>
      <c r="BV318" t="str">
        <f>""</f>
        <v/>
      </c>
      <c r="BW318" t="str">
        <f>""</f>
        <v/>
      </c>
      <c r="BX318" t="str">
        <f>""</f>
        <v/>
      </c>
      <c r="BY318" t="str">
        <f>""</f>
        <v/>
      </c>
      <c r="BZ318" t="str">
        <f>""</f>
        <v/>
      </c>
      <c r="CA318" t="str">
        <f>""</f>
        <v/>
      </c>
      <c r="CB318" t="str">
        <f>""</f>
        <v/>
      </c>
      <c r="CC318" t="str">
        <f>""</f>
        <v/>
      </c>
      <c r="CD318" t="str">
        <f>""</f>
        <v/>
      </c>
      <c r="CE318" t="str">
        <f>""</f>
        <v/>
      </c>
      <c r="CF318" t="str">
        <f>""</f>
        <v/>
      </c>
      <c r="CG318" t="str">
        <f>""</f>
        <v/>
      </c>
      <c r="CH318" t="str">
        <f>""</f>
        <v/>
      </c>
      <c r="CI318" t="str">
        <f>""</f>
        <v/>
      </c>
      <c r="CJ318" t="str">
        <f>""</f>
        <v/>
      </c>
      <c r="CK318" t="str">
        <f>""</f>
        <v/>
      </c>
      <c r="CL318" t="str">
        <f>""</f>
        <v/>
      </c>
      <c r="CM318" t="str">
        <f>""</f>
        <v/>
      </c>
      <c r="CN318" t="str">
        <f>""</f>
        <v/>
      </c>
      <c r="CO318" t="str">
        <f>""</f>
        <v/>
      </c>
      <c r="CP318" t="str">
        <f>""</f>
        <v/>
      </c>
      <c r="CQ318" t="str">
        <f>""</f>
        <v/>
      </c>
      <c r="CR318" t="str">
        <f>""</f>
        <v/>
      </c>
      <c r="CS318" t="str">
        <f>""</f>
        <v/>
      </c>
      <c r="CT318" t="str">
        <f>""</f>
        <v/>
      </c>
      <c r="CU318" t="str">
        <f>""</f>
        <v/>
      </c>
      <c r="CV318" t="str">
        <f>""</f>
        <v/>
      </c>
      <c r="CW318" t="str">
        <f>""</f>
        <v/>
      </c>
      <c r="CX318" t="str">
        <f>""</f>
        <v/>
      </c>
      <c r="CY318" t="str">
        <f>""</f>
        <v/>
      </c>
      <c r="CZ318" t="str">
        <f>""</f>
        <v/>
      </c>
      <c r="DA318" t="str">
        <f>""</f>
        <v/>
      </c>
      <c r="DB318" t="str">
        <f>""</f>
        <v/>
      </c>
      <c r="DC318" t="str">
        <f>""</f>
        <v/>
      </c>
      <c r="DD318" t="str">
        <f>""</f>
        <v/>
      </c>
      <c r="DE318" t="str">
        <f>""</f>
        <v/>
      </c>
      <c r="DF318" t="str">
        <f>""</f>
        <v/>
      </c>
      <c r="DG318" t="str">
        <f>""</f>
        <v/>
      </c>
      <c r="DH318" t="str">
        <f>""</f>
        <v/>
      </c>
      <c r="DI318" t="str">
        <f>""</f>
        <v/>
      </c>
      <c r="DJ318" t="str">
        <f>""</f>
        <v/>
      </c>
      <c r="DK318" t="str">
        <f>""</f>
        <v/>
      </c>
      <c r="DL318" t="str">
        <f>""</f>
        <v/>
      </c>
      <c r="DM318" t="str">
        <f>""</f>
        <v/>
      </c>
      <c r="DN318" t="str">
        <f>""</f>
        <v/>
      </c>
      <c r="DO318" t="str">
        <f>""</f>
        <v/>
      </c>
      <c r="DP318" t="str">
        <f>""</f>
        <v/>
      </c>
      <c r="DQ318" t="str">
        <f>""</f>
        <v/>
      </c>
      <c r="DR318" t="str">
        <f>""</f>
        <v/>
      </c>
      <c r="DS318" t="str">
        <f>""</f>
        <v/>
      </c>
      <c r="DT318" t="str">
        <f>""</f>
        <v/>
      </c>
      <c r="DU318" t="str">
        <f>""</f>
        <v/>
      </c>
    </row>
    <row r="319" spans="2:125">
      <c r="B319" t="str">
        <f>"PDM US Equity"</f>
        <v>PDM US Equity</v>
      </c>
      <c r="C319" t="str">
        <f>"BS658"</f>
        <v>BS658</v>
      </c>
      <c r="D319" t="str">
        <f>"BS_YEAR_1_PRINCIPAL"</f>
        <v>BS_YEAR_1_PRINCIPAL</v>
      </c>
      <c r="E319" t="str">
        <f t="shared" si="75"/>
        <v>动态</v>
      </c>
      <c r="F319" t="str">
        <f ca="1">BDH($B$319,$C$319,$B$292,$B$293,CONCATENATE("Per=",$B$290),"Dts=H","Dir=H",CONCATENATE("Points=",$B$291),"Sort=R","Days=A","Fill=B",CONCATENATE("FX=", $B$289) )</f>
        <v>#N/A Authorization</v>
      </c>
      <c r="BN319" t="str">
        <f>""</f>
        <v/>
      </c>
      <c r="BO319" t="str">
        <f>""</f>
        <v/>
      </c>
      <c r="BP319" t="str">
        <f>""</f>
        <v/>
      </c>
      <c r="BQ319" t="str">
        <f>""</f>
        <v/>
      </c>
      <c r="BR319" t="str">
        <f>""</f>
        <v/>
      </c>
      <c r="BS319" t="str">
        <f>""</f>
        <v/>
      </c>
      <c r="BT319" t="str">
        <f>""</f>
        <v/>
      </c>
      <c r="BU319" t="str">
        <f>""</f>
        <v/>
      </c>
      <c r="BV319" t="str">
        <f>""</f>
        <v/>
      </c>
      <c r="BW319" t="str">
        <f>""</f>
        <v/>
      </c>
      <c r="BX319" t="str">
        <f>""</f>
        <v/>
      </c>
      <c r="BY319" t="str">
        <f>""</f>
        <v/>
      </c>
      <c r="BZ319" t="str">
        <f>""</f>
        <v/>
      </c>
      <c r="CA319" t="str">
        <f>""</f>
        <v/>
      </c>
      <c r="CB319" t="str">
        <f>""</f>
        <v/>
      </c>
      <c r="CC319" t="str">
        <f>""</f>
        <v/>
      </c>
      <c r="CD319" t="str">
        <f>""</f>
        <v/>
      </c>
      <c r="CE319" t="str">
        <f>""</f>
        <v/>
      </c>
      <c r="CF319" t="str">
        <f>""</f>
        <v/>
      </c>
      <c r="CG319" t="str">
        <f>""</f>
        <v/>
      </c>
      <c r="CH319" t="str">
        <f>""</f>
        <v/>
      </c>
      <c r="CI319" t="str">
        <f>""</f>
        <v/>
      </c>
      <c r="CJ319" t="str">
        <f>""</f>
        <v/>
      </c>
      <c r="CK319" t="str">
        <f>""</f>
        <v/>
      </c>
      <c r="CL319" t="str">
        <f>""</f>
        <v/>
      </c>
      <c r="CM319" t="str">
        <f>""</f>
        <v/>
      </c>
      <c r="CN319" t="str">
        <f>""</f>
        <v/>
      </c>
      <c r="CO319" t="str">
        <f>""</f>
        <v/>
      </c>
      <c r="CP319" t="str">
        <f>""</f>
        <v/>
      </c>
      <c r="CQ319" t="str">
        <f>""</f>
        <v/>
      </c>
      <c r="CR319" t="str">
        <f>""</f>
        <v/>
      </c>
      <c r="CS319" t="str">
        <f>""</f>
        <v/>
      </c>
      <c r="CT319" t="str">
        <f>""</f>
        <v/>
      </c>
      <c r="CU319" t="str">
        <f>""</f>
        <v/>
      </c>
      <c r="CV319" t="str">
        <f>""</f>
        <v/>
      </c>
      <c r="CW319" t="str">
        <f>""</f>
        <v/>
      </c>
      <c r="CX319" t="str">
        <f>""</f>
        <v/>
      </c>
      <c r="CY319" t="str">
        <f>""</f>
        <v/>
      </c>
      <c r="CZ319" t="str">
        <f>""</f>
        <v/>
      </c>
      <c r="DA319" t="str">
        <f>""</f>
        <v/>
      </c>
      <c r="DB319" t="str">
        <f>""</f>
        <v/>
      </c>
      <c r="DC319" t="str">
        <f>""</f>
        <v/>
      </c>
      <c r="DD319" t="str">
        <f>""</f>
        <v/>
      </c>
      <c r="DE319" t="str">
        <f>""</f>
        <v/>
      </c>
      <c r="DF319" t="str">
        <f>""</f>
        <v/>
      </c>
      <c r="DG319" t="str">
        <f>""</f>
        <v/>
      </c>
      <c r="DH319" t="str">
        <f>""</f>
        <v/>
      </c>
      <c r="DI319" t="str">
        <f>""</f>
        <v/>
      </c>
      <c r="DJ319" t="str">
        <f>""</f>
        <v/>
      </c>
      <c r="DK319" t="str">
        <f>""</f>
        <v/>
      </c>
      <c r="DL319" t="str">
        <f>""</f>
        <v/>
      </c>
      <c r="DM319" t="str">
        <f>""</f>
        <v/>
      </c>
      <c r="DN319" t="str">
        <f>""</f>
        <v/>
      </c>
      <c r="DO319" t="str">
        <f>""</f>
        <v/>
      </c>
      <c r="DP319" t="str">
        <f>""</f>
        <v/>
      </c>
      <c r="DQ319" t="str">
        <f>""</f>
        <v/>
      </c>
      <c r="DR319" t="str">
        <f>""</f>
        <v/>
      </c>
      <c r="DS319" t="str">
        <f>""</f>
        <v/>
      </c>
      <c r="DT319" t="str">
        <f>""</f>
        <v/>
      </c>
      <c r="DU319" t="str">
        <f>""</f>
        <v/>
      </c>
    </row>
    <row r="320" spans="2:125">
      <c r="B320" t="str">
        <f>"SLG US Equity"</f>
        <v>SLG US Equity</v>
      </c>
      <c r="C320" t="str">
        <f>"RR253"</f>
        <v>RR253</v>
      </c>
      <c r="D320" t="str">
        <f>"CASH_AND_MARKETABLE_SECURITIES"</f>
        <v>CASH_AND_MARKETABLE_SECURITIES</v>
      </c>
      <c r="E320" t="str">
        <f t="shared" si="75"/>
        <v>动态</v>
      </c>
      <c r="F320" t="str">
        <f ca="1">BDH($B$320,$C$320,$B$292,$B$293,CONCATENATE("Per=",$B$290),"Dts=H","Dir=H",CONCATENATE("Points=",$B$291),"Sort=R","Days=A","Fill=B",CONCATENATE("FX=", $B$289) )</f>
        <v>#N/A Authorization</v>
      </c>
      <c r="BN320" t="str">
        <f>""</f>
        <v/>
      </c>
      <c r="BO320" t="str">
        <f>""</f>
        <v/>
      </c>
      <c r="BP320" t="str">
        <f>""</f>
        <v/>
      </c>
      <c r="BQ320" t="str">
        <f>""</f>
        <v/>
      </c>
      <c r="BR320" t="str">
        <f>""</f>
        <v/>
      </c>
      <c r="BS320" t="str">
        <f>""</f>
        <v/>
      </c>
      <c r="BT320" t="str">
        <f>""</f>
        <v/>
      </c>
      <c r="BU320" t="str">
        <f>""</f>
        <v/>
      </c>
      <c r="BV320" t="str">
        <f>""</f>
        <v/>
      </c>
      <c r="BW320" t="str">
        <f>""</f>
        <v/>
      </c>
      <c r="BX320" t="str">
        <f>""</f>
        <v/>
      </c>
      <c r="BY320" t="str">
        <f>""</f>
        <v/>
      </c>
      <c r="BZ320" t="str">
        <f>""</f>
        <v/>
      </c>
      <c r="CA320" t="str">
        <f>""</f>
        <v/>
      </c>
      <c r="CB320" t="str">
        <f>""</f>
        <v/>
      </c>
      <c r="CC320" t="str">
        <f>""</f>
        <v/>
      </c>
      <c r="CD320" t="str">
        <f>""</f>
        <v/>
      </c>
      <c r="CE320" t="str">
        <f>""</f>
        <v/>
      </c>
      <c r="CF320" t="str">
        <f>""</f>
        <v/>
      </c>
      <c r="CG320" t="str">
        <f>""</f>
        <v/>
      </c>
      <c r="CH320" t="str">
        <f>""</f>
        <v/>
      </c>
      <c r="CI320" t="str">
        <f>""</f>
        <v/>
      </c>
      <c r="CJ320" t="str">
        <f>""</f>
        <v/>
      </c>
      <c r="CK320" t="str">
        <f>""</f>
        <v/>
      </c>
      <c r="CL320" t="str">
        <f>""</f>
        <v/>
      </c>
      <c r="CM320" t="str">
        <f>""</f>
        <v/>
      </c>
      <c r="CN320" t="str">
        <f>""</f>
        <v/>
      </c>
      <c r="CO320" t="str">
        <f>""</f>
        <v/>
      </c>
      <c r="CP320" t="str">
        <f>""</f>
        <v/>
      </c>
      <c r="CQ320" t="str">
        <f>""</f>
        <v/>
      </c>
      <c r="CR320" t="str">
        <f>""</f>
        <v/>
      </c>
      <c r="CS320" t="str">
        <f>""</f>
        <v/>
      </c>
      <c r="CT320" t="str">
        <f>""</f>
        <v/>
      </c>
      <c r="CU320" t="str">
        <f>""</f>
        <v/>
      </c>
      <c r="CV320" t="str">
        <f>""</f>
        <v/>
      </c>
      <c r="CW320" t="str">
        <f>""</f>
        <v/>
      </c>
      <c r="CX320" t="str">
        <f>""</f>
        <v/>
      </c>
      <c r="CY320" t="str">
        <f>""</f>
        <v/>
      </c>
      <c r="CZ320" t="str">
        <f>""</f>
        <v/>
      </c>
      <c r="DA320" t="str">
        <f>""</f>
        <v/>
      </c>
      <c r="DB320" t="str">
        <f>""</f>
        <v/>
      </c>
      <c r="DC320" t="str">
        <f>""</f>
        <v/>
      </c>
      <c r="DD320" t="str">
        <f>""</f>
        <v/>
      </c>
      <c r="DE320" t="str">
        <f>""</f>
        <v/>
      </c>
      <c r="DF320" t="str">
        <f>""</f>
        <v/>
      </c>
      <c r="DG320" t="str">
        <f>""</f>
        <v/>
      </c>
      <c r="DH320" t="str">
        <f>""</f>
        <v/>
      </c>
      <c r="DI320" t="str">
        <f>""</f>
        <v/>
      </c>
      <c r="DJ320" t="str">
        <f>""</f>
        <v/>
      </c>
      <c r="DK320" t="str">
        <f>""</f>
        <v/>
      </c>
      <c r="DL320" t="str">
        <f>""</f>
        <v/>
      </c>
      <c r="DM320" t="str">
        <f>""</f>
        <v/>
      </c>
      <c r="DN320" t="str">
        <f>""</f>
        <v/>
      </c>
      <c r="DO320" t="str">
        <f>""</f>
        <v/>
      </c>
      <c r="DP320" t="str">
        <f>""</f>
        <v/>
      </c>
      <c r="DQ320" t="str">
        <f>""</f>
        <v/>
      </c>
      <c r="DR320" t="str">
        <f>""</f>
        <v/>
      </c>
      <c r="DS320" t="str">
        <f>""</f>
        <v/>
      </c>
      <c r="DT320" t="str">
        <f>""</f>
        <v/>
      </c>
      <c r="DU320" t="str">
        <f>""</f>
        <v/>
      </c>
    </row>
    <row r="321" spans="1:125">
      <c r="B321" t="str">
        <f>"SLG US Equity"</f>
        <v>SLG US Equity</v>
      </c>
      <c r="C321" t="str">
        <f>"BS189"</f>
        <v>BS189</v>
      </c>
      <c r="D321" t="str">
        <f>"BS_TOTAL_AVAIL_LINE_OF_CREDIT"</f>
        <v>BS_TOTAL_AVAIL_LINE_OF_CREDIT</v>
      </c>
      <c r="E321" t="str">
        <f t="shared" si="75"/>
        <v>动态</v>
      </c>
      <c r="F321" t="str">
        <f ca="1">BDH($B$321,$C$321,$B$292,$B$293,CONCATENATE("Per=",$B$290),"Dts=H","Dir=H",CONCATENATE("Points=",$B$291),"Sort=R","Days=A","Fill=B",CONCATENATE("FX=", $B$289) )</f>
        <v>#N/A Authorization</v>
      </c>
      <c r="BN321" t="str">
        <f>""</f>
        <v/>
      </c>
      <c r="BO321" t="str">
        <f>""</f>
        <v/>
      </c>
      <c r="BP321" t="str">
        <f>""</f>
        <v/>
      </c>
      <c r="BQ321" t="str">
        <f>""</f>
        <v/>
      </c>
      <c r="BR321" t="str">
        <f>""</f>
        <v/>
      </c>
      <c r="BS321" t="str">
        <f>""</f>
        <v/>
      </c>
      <c r="BT321" t="str">
        <f>""</f>
        <v/>
      </c>
      <c r="BU321" t="str">
        <f>""</f>
        <v/>
      </c>
      <c r="BV321" t="str">
        <f>""</f>
        <v/>
      </c>
      <c r="BW321" t="str">
        <f>""</f>
        <v/>
      </c>
      <c r="BX321" t="str">
        <f>""</f>
        <v/>
      </c>
      <c r="BY321" t="str">
        <f>""</f>
        <v/>
      </c>
      <c r="BZ321" t="str">
        <f>""</f>
        <v/>
      </c>
      <c r="CA321" t="str">
        <f>""</f>
        <v/>
      </c>
      <c r="CB321" t="str">
        <f>""</f>
        <v/>
      </c>
      <c r="CC321" t="str">
        <f>""</f>
        <v/>
      </c>
      <c r="CD321" t="str">
        <f>""</f>
        <v/>
      </c>
      <c r="CE321" t="str">
        <f>""</f>
        <v/>
      </c>
      <c r="CF321" t="str">
        <f>""</f>
        <v/>
      </c>
      <c r="CG321" t="str">
        <f>""</f>
        <v/>
      </c>
      <c r="CH321" t="str">
        <f>""</f>
        <v/>
      </c>
      <c r="CI321" t="str">
        <f>""</f>
        <v/>
      </c>
      <c r="CJ321" t="str">
        <f>""</f>
        <v/>
      </c>
      <c r="CK321" t="str">
        <f>""</f>
        <v/>
      </c>
      <c r="CL321" t="str">
        <f>""</f>
        <v/>
      </c>
      <c r="CM321" t="str">
        <f>""</f>
        <v/>
      </c>
      <c r="CN321" t="str">
        <f>""</f>
        <v/>
      </c>
      <c r="CO321" t="str">
        <f>""</f>
        <v/>
      </c>
      <c r="CP321" t="str">
        <f>""</f>
        <v/>
      </c>
      <c r="CQ321" t="str">
        <f>""</f>
        <v/>
      </c>
      <c r="CR321" t="str">
        <f>""</f>
        <v/>
      </c>
      <c r="CS321" t="str">
        <f>""</f>
        <v/>
      </c>
      <c r="CT321" t="str">
        <f>""</f>
        <v/>
      </c>
      <c r="CU321" t="str">
        <f>""</f>
        <v/>
      </c>
      <c r="CV321" t="str">
        <f>""</f>
        <v/>
      </c>
      <c r="CW321" t="str">
        <f>""</f>
        <v/>
      </c>
      <c r="CX321" t="str">
        <f>""</f>
        <v/>
      </c>
      <c r="CY321" t="str">
        <f>""</f>
        <v/>
      </c>
      <c r="CZ321" t="str">
        <f>""</f>
        <v/>
      </c>
      <c r="DA321" t="str">
        <f>""</f>
        <v/>
      </c>
      <c r="DB321" t="str">
        <f>""</f>
        <v/>
      </c>
      <c r="DC321" t="str">
        <f>""</f>
        <v/>
      </c>
      <c r="DD321" t="str">
        <f>""</f>
        <v/>
      </c>
      <c r="DE321" t="str">
        <f>""</f>
        <v/>
      </c>
      <c r="DF321" t="str">
        <f>""</f>
        <v/>
      </c>
      <c r="DG321" t="str">
        <f>""</f>
        <v/>
      </c>
      <c r="DH321" t="str">
        <f>""</f>
        <v/>
      </c>
      <c r="DI321" t="str">
        <f>""</f>
        <v/>
      </c>
      <c r="DJ321" t="str">
        <f>""</f>
        <v/>
      </c>
      <c r="DK321" t="str">
        <f>""</f>
        <v/>
      </c>
      <c r="DL321" t="str">
        <f>""</f>
        <v/>
      </c>
      <c r="DM321" t="str">
        <f>""</f>
        <v/>
      </c>
      <c r="DN321" t="str">
        <f>""</f>
        <v/>
      </c>
      <c r="DO321" t="str">
        <f>""</f>
        <v/>
      </c>
      <c r="DP321" t="str">
        <f>""</f>
        <v/>
      </c>
      <c r="DQ321" t="str">
        <f>""</f>
        <v/>
      </c>
      <c r="DR321" t="str">
        <f>""</f>
        <v/>
      </c>
      <c r="DS321" t="str">
        <f>""</f>
        <v/>
      </c>
      <c r="DT321" t="str">
        <f>""</f>
        <v/>
      </c>
      <c r="DU321" t="str">
        <f>""</f>
        <v/>
      </c>
    </row>
    <row r="322" spans="1:125">
      <c r="B322" t="str">
        <f>"SLG US Equity"</f>
        <v>SLG US Equity</v>
      </c>
      <c r="C322" t="str">
        <f>"BS658"</f>
        <v>BS658</v>
      </c>
      <c r="D322" t="str">
        <f>"BS_YEAR_1_PRINCIPAL"</f>
        <v>BS_YEAR_1_PRINCIPAL</v>
      </c>
      <c r="E322" t="str">
        <f t="shared" si="75"/>
        <v>动态</v>
      </c>
      <c r="F322" t="str">
        <f ca="1">BDH($B$322,$C$322,$B$292,$B$293,CONCATENATE("Per=",$B$290),"Dts=H","Dir=H",CONCATENATE("Points=",$B$291),"Sort=R","Days=A","Fill=B",CONCATENATE("FX=", $B$289) )</f>
        <v>#N/A Authorization</v>
      </c>
      <c r="BN322" t="str">
        <f>""</f>
        <v/>
      </c>
      <c r="BO322" t="str">
        <f>""</f>
        <v/>
      </c>
      <c r="BP322" t="str">
        <f>""</f>
        <v/>
      </c>
      <c r="BQ322" t="str">
        <f>""</f>
        <v/>
      </c>
      <c r="BR322" t="str">
        <f>""</f>
        <v/>
      </c>
      <c r="BS322" t="str">
        <f>""</f>
        <v/>
      </c>
      <c r="BT322" t="str">
        <f>""</f>
        <v/>
      </c>
      <c r="BU322" t="str">
        <f>""</f>
        <v/>
      </c>
      <c r="BV322" t="str">
        <f>""</f>
        <v/>
      </c>
      <c r="BW322" t="str">
        <f>""</f>
        <v/>
      </c>
      <c r="BX322" t="str">
        <f>""</f>
        <v/>
      </c>
      <c r="BY322" t="str">
        <f>""</f>
        <v/>
      </c>
      <c r="BZ322" t="str">
        <f>""</f>
        <v/>
      </c>
      <c r="CA322" t="str">
        <f>""</f>
        <v/>
      </c>
      <c r="CB322" t="str">
        <f>""</f>
        <v/>
      </c>
      <c r="CC322" t="str">
        <f>""</f>
        <v/>
      </c>
      <c r="CD322" t="str">
        <f>""</f>
        <v/>
      </c>
      <c r="CE322" t="str">
        <f>""</f>
        <v/>
      </c>
      <c r="CF322" t="str">
        <f>""</f>
        <v/>
      </c>
      <c r="CG322" t="str">
        <f>""</f>
        <v/>
      </c>
      <c r="CH322" t="str">
        <f>""</f>
        <v/>
      </c>
      <c r="CI322" t="str">
        <f>""</f>
        <v/>
      </c>
      <c r="CJ322" t="str">
        <f>""</f>
        <v/>
      </c>
      <c r="CK322" t="str">
        <f>""</f>
        <v/>
      </c>
      <c r="CL322" t="str">
        <f>""</f>
        <v/>
      </c>
      <c r="CM322" t="str">
        <f>""</f>
        <v/>
      </c>
      <c r="CN322" t="str">
        <f>""</f>
        <v/>
      </c>
      <c r="CO322" t="str">
        <f>""</f>
        <v/>
      </c>
      <c r="CP322" t="str">
        <f>""</f>
        <v/>
      </c>
      <c r="CQ322" t="str">
        <f>""</f>
        <v/>
      </c>
      <c r="CR322" t="str">
        <f>""</f>
        <v/>
      </c>
      <c r="CS322" t="str">
        <f>""</f>
        <v/>
      </c>
      <c r="CT322" t="str">
        <f>""</f>
        <v/>
      </c>
      <c r="CU322" t="str">
        <f>""</f>
        <v/>
      </c>
      <c r="CV322" t="str">
        <f>""</f>
        <v/>
      </c>
      <c r="CW322" t="str">
        <f>""</f>
        <v/>
      </c>
      <c r="CX322" t="str">
        <f>""</f>
        <v/>
      </c>
      <c r="CY322" t="str">
        <f>""</f>
        <v/>
      </c>
      <c r="CZ322" t="str">
        <f>""</f>
        <v/>
      </c>
      <c r="DA322" t="str">
        <f>""</f>
        <v/>
      </c>
      <c r="DB322" t="str">
        <f>""</f>
        <v/>
      </c>
      <c r="DC322" t="str">
        <f>""</f>
        <v/>
      </c>
      <c r="DD322" t="str">
        <f>""</f>
        <v/>
      </c>
      <c r="DE322" t="str">
        <f>""</f>
        <v/>
      </c>
      <c r="DF322" t="str">
        <f>""</f>
        <v/>
      </c>
      <c r="DG322" t="str">
        <f>""</f>
        <v/>
      </c>
      <c r="DH322" t="str">
        <f>""</f>
        <v/>
      </c>
      <c r="DI322" t="str">
        <f>""</f>
        <v/>
      </c>
      <c r="DJ322" t="str">
        <f>""</f>
        <v/>
      </c>
      <c r="DK322" t="str">
        <f>""</f>
        <v/>
      </c>
      <c r="DL322" t="str">
        <f>""</f>
        <v/>
      </c>
      <c r="DM322" t="str">
        <f>""</f>
        <v/>
      </c>
      <c r="DN322" t="str">
        <f>""</f>
        <v/>
      </c>
      <c r="DO322" t="str">
        <f>""</f>
        <v/>
      </c>
      <c r="DP322" t="str">
        <f>""</f>
        <v/>
      </c>
      <c r="DQ322" t="str">
        <f>""</f>
        <v/>
      </c>
      <c r="DR322" t="str">
        <f>""</f>
        <v/>
      </c>
      <c r="DS322" t="str">
        <f>""</f>
        <v/>
      </c>
      <c r="DT322" t="str">
        <f>""</f>
        <v/>
      </c>
      <c r="DU322" t="str">
        <f>""</f>
        <v/>
      </c>
    </row>
    <row r="323" spans="1:125">
      <c r="B323" t="str">
        <f>"VNO US Equity"</f>
        <v>VNO US Equity</v>
      </c>
      <c r="C323" t="str">
        <f>"RR253"</f>
        <v>RR253</v>
      </c>
      <c r="D323" t="str">
        <f>"CASH_AND_MARKETABLE_SECURITIES"</f>
        <v>CASH_AND_MARKETABLE_SECURITIES</v>
      </c>
      <c r="E323" t="str">
        <f t="shared" si="75"/>
        <v>动态</v>
      </c>
      <c r="F323" t="str">
        <f ca="1">BDH($B$323,$C$323,$B$292,$B$293,CONCATENATE("Per=",$B$290),"Dts=H","Dir=H",CONCATENATE("Points=",$B$291),"Sort=R","Days=A","Fill=B",CONCATENATE("FX=", $B$289) )</f>
        <v>#N/A Authorization</v>
      </c>
      <c r="BN323" t="str">
        <f>""</f>
        <v/>
      </c>
      <c r="BO323" t="str">
        <f>""</f>
        <v/>
      </c>
      <c r="BP323" t="str">
        <f>""</f>
        <v/>
      </c>
      <c r="BQ323" t="str">
        <f>""</f>
        <v/>
      </c>
      <c r="BR323" t="str">
        <f>""</f>
        <v/>
      </c>
      <c r="BS323" t="str">
        <f>""</f>
        <v/>
      </c>
      <c r="BT323" t="str">
        <f>""</f>
        <v/>
      </c>
      <c r="BU323" t="str">
        <f>""</f>
        <v/>
      </c>
      <c r="BV323" t="str">
        <f>""</f>
        <v/>
      </c>
      <c r="BW323" t="str">
        <f>""</f>
        <v/>
      </c>
      <c r="BX323" t="str">
        <f>""</f>
        <v/>
      </c>
      <c r="BY323" t="str">
        <f>""</f>
        <v/>
      </c>
      <c r="BZ323" t="str">
        <f>""</f>
        <v/>
      </c>
      <c r="CA323" t="str">
        <f>""</f>
        <v/>
      </c>
      <c r="CB323" t="str">
        <f>""</f>
        <v/>
      </c>
      <c r="CC323" t="str">
        <f>""</f>
        <v/>
      </c>
      <c r="CD323" t="str">
        <f>""</f>
        <v/>
      </c>
      <c r="CE323" t="str">
        <f>""</f>
        <v/>
      </c>
      <c r="CF323" t="str">
        <f>""</f>
        <v/>
      </c>
      <c r="CG323" t="str">
        <f>""</f>
        <v/>
      </c>
      <c r="CH323" t="str">
        <f>""</f>
        <v/>
      </c>
      <c r="CI323" t="str">
        <f>""</f>
        <v/>
      </c>
      <c r="CJ323" t="str">
        <f>""</f>
        <v/>
      </c>
      <c r="CK323" t="str">
        <f>""</f>
        <v/>
      </c>
      <c r="CL323" t="str">
        <f>""</f>
        <v/>
      </c>
      <c r="CM323" t="str">
        <f>""</f>
        <v/>
      </c>
      <c r="CN323" t="str">
        <f>""</f>
        <v/>
      </c>
      <c r="CO323" t="str">
        <f>""</f>
        <v/>
      </c>
      <c r="CP323" t="str">
        <f>""</f>
        <v/>
      </c>
      <c r="CQ323" t="str">
        <f>""</f>
        <v/>
      </c>
      <c r="CR323" t="str">
        <f>""</f>
        <v/>
      </c>
      <c r="CS323" t="str">
        <f>""</f>
        <v/>
      </c>
      <c r="CT323" t="str">
        <f>""</f>
        <v/>
      </c>
      <c r="CU323" t="str">
        <f>""</f>
        <v/>
      </c>
      <c r="CV323" t="str">
        <f>""</f>
        <v/>
      </c>
      <c r="CW323" t="str">
        <f>""</f>
        <v/>
      </c>
      <c r="CX323" t="str">
        <f>""</f>
        <v/>
      </c>
      <c r="CY323" t="str">
        <f>""</f>
        <v/>
      </c>
      <c r="CZ323" t="str">
        <f>""</f>
        <v/>
      </c>
      <c r="DA323" t="str">
        <f>""</f>
        <v/>
      </c>
      <c r="DB323" t="str">
        <f>""</f>
        <v/>
      </c>
      <c r="DC323" t="str">
        <f>""</f>
        <v/>
      </c>
      <c r="DD323" t="str">
        <f>""</f>
        <v/>
      </c>
      <c r="DE323" t="str">
        <f>""</f>
        <v/>
      </c>
      <c r="DF323" t="str">
        <f>""</f>
        <v/>
      </c>
      <c r="DG323" t="str">
        <f>""</f>
        <v/>
      </c>
      <c r="DH323" t="str">
        <f>""</f>
        <v/>
      </c>
      <c r="DI323" t="str">
        <f>""</f>
        <v/>
      </c>
      <c r="DJ323" t="str">
        <f>""</f>
        <v/>
      </c>
      <c r="DK323" t="str">
        <f>""</f>
        <v/>
      </c>
      <c r="DL323" t="str">
        <f>""</f>
        <v/>
      </c>
      <c r="DM323" t="str">
        <f>""</f>
        <v/>
      </c>
      <c r="DN323" t="str">
        <f>""</f>
        <v/>
      </c>
      <c r="DO323" t="str">
        <f>""</f>
        <v/>
      </c>
      <c r="DP323" t="str">
        <f>""</f>
        <v/>
      </c>
      <c r="DQ323" t="str">
        <f>""</f>
        <v/>
      </c>
      <c r="DR323" t="str">
        <f>""</f>
        <v/>
      </c>
      <c r="DS323" t="str">
        <f>""</f>
        <v/>
      </c>
      <c r="DT323" t="str">
        <f>""</f>
        <v/>
      </c>
      <c r="DU323" t="str">
        <f>""</f>
        <v/>
      </c>
    </row>
    <row r="324" spans="1:125">
      <c r="B324" t="str">
        <f>"VNO US Equity"</f>
        <v>VNO US Equity</v>
      </c>
      <c r="C324" t="str">
        <f>"BS189"</f>
        <v>BS189</v>
      </c>
      <c r="D324" t="str">
        <f>"BS_TOTAL_AVAIL_LINE_OF_CREDIT"</f>
        <v>BS_TOTAL_AVAIL_LINE_OF_CREDIT</v>
      </c>
      <c r="E324" t="str">
        <f t="shared" si="75"/>
        <v>动态</v>
      </c>
      <c r="F324" t="str">
        <f ca="1">BDH($B$324,$C$324,$B$292,$B$293,CONCATENATE("Per=",$B$290),"Dts=H","Dir=H",CONCATENATE("Points=",$B$291),"Sort=R","Days=A","Fill=B",CONCATENATE("FX=", $B$289) )</f>
        <v>#N/A Authorization</v>
      </c>
      <c r="BN324" t="str">
        <f>""</f>
        <v/>
      </c>
      <c r="BO324" t="str">
        <f>""</f>
        <v/>
      </c>
      <c r="BP324" t="str">
        <f>""</f>
        <v/>
      </c>
      <c r="BQ324" t="str">
        <f>""</f>
        <v/>
      </c>
      <c r="BR324" t="str">
        <f>""</f>
        <v/>
      </c>
      <c r="BS324" t="str">
        <f>""</f>
        <v/>
      </c>
      <c r="BT324" t="str">
        <f>""</f>
        <v/>
      </c>
      <c r="BU324" t="str">
        <f>""</f>
        <v/>
      </c>
      <c r="BV324" t="str">
        <f>""</f>
        <v/>
      </c>
      <c r="BW324" t="str">
        <f>""</f>
        <v/>
      </c>
      <c r="BX324" t="str">
        <f>""</f>
        <v/>
      </c>
      <c r="BY324" t="str">
        <f>""</f>
        <v/>
      </c>
      <c r="BZ324" t="str">
        <f>""</f>
        <v/>
      </c>
      <c r="CA324" t="str">
        <f>""</f>
        <v/>
      </c>
      <c r="CB324" t="str">
        <f>""</f>
        <v/>
      </c>
      <c r="CC324" t="str">
        <f>""</f>
        <v/>
      </c>
      <c r="CD324" t="str">
        <f>""</f>
        <v/>
      </c>
      <c r="CE324" t="str">
        <f>""</f>
        <v/>
      </c>
      <c r="CF324" t="str">
        <f>""</f>
        <v/>
      </c>
      <c r="CG324" t="str">
        <f>""</f>
        <v/>
      </c>
      <c r="CH324" t="str">
        <f>""</f>
        <v/>
      </c>
      <c r="CI324" t="str">
        <f>""</f>
        <v/>
      </c>
      <c r="CJ324" t="str">
        <f>""</f>
        <v/>
      </c>
      <c r="CK324" t="str">
        <f>""</f>
        <v/>
      </c>
      <c r="CL324" t="str">
        <f>""</f>
        <v/>
      </c>
      <c r="CM324" t="str">
        <f>""</f>
        <v/>
      </c>
      <c r="CN324" t="str">
        <f>""</f>
        <v/>
      </c>
      <c r="CO324" t="str">
        <f>""</f>
        <v/>
      </c>
      <c r="CP324" t="str">
        <f>""</f>
        <v/>
      </c>
      <c r="CQ324" t="str">
        <f>""</f>
        <v/>
      </c>
      <c r="CR324" t="str">
        <f>""</f>
        <v/>
      </c>
      <c r="CS324" t="str">
        <f>""</f>
        <v/>
      </c>
      <c r="CT324" t="str">
        <f>""</f>
        <v/>
      </c>
      <c r="CU324" t="str">
        <f>""</f>
        <v/>
      </c>
      <c r="CV324" t="str">
        <f>""</f>
        <v/>
      </c>
      <c r="CW324" t="str">
        <f>""</f>
        <v/>
      </c>
      <c r="CX324" t="str">
        <f>""</f>
        <v/>
      </c>
      <c r="CY324" t="str">
        <f>""</f>
        <v/>
      </c>
      <c r="CZ324" t="str">
        <f>""</f>
        <v/>
      </c>
      <c r="DA324" t="str">
        <f>""</f>
        <v/>
      </c>
      <c r="DB324" t="str">
        <f>""</f>
        <v/>
      </c>
      <c r="DC324" t="str">
        <f>""</f>
        <v/>
      </c>
      <c r="DD324" t="str">
        <f>""</f>
        <v/>
      </c>
      <c r="DE324" t="str">
        <f>""</f>
        <v/>
      </c>
      <c r="DF324" t="str">
        <f>""</f>
        <v/>
      </c>
      <c r="DG324" t="str">
        <f>""</f>
        <v/>
      </c>
      <c r="DH324" t="str">
        <f>""</f>
        <v/>
      </c>
      <c r="DI324" t="str">
        <f>""</f>
        <v/>
      </c>
      <c r="DJ324" t="str">
        <f>""</f>
        <v/>
      </c>
      <c r="DK324" t="str">
        <f>""</f>
        <v/>
      </c>
      <c r="DL324" t="str">
        <f>""</f>
        <v/>
      </c>
      <c r="DM324" t="str">
        <f>""</f>
        <v/>
      </c>
      <c r="DN324" t="str">
        <f>""</f>
        <v/>
      </c>
      <c r="DO324" t="str">
        <f>""</f>
        <v/>
      </c>
      <c r="DP324" t="str">
        <f>""</f>
        <v/>
      </c>
      <c r="DQ324" t="str">
        <f>""</f>
        <v/>
      </c>
      <c r="DR324" t="str">
        <f>""</f>
        <v/>
      </c>
      <c r="DS324" t="str">
        <f>""</f>
        <v/>
      </c>
      <c r="DT324" t="str">
        <f>""</f>
        <v/>
      </c>
      <c r="DU324" t="str">
        <f>""</f>
        <v/>
      </c>
    </row>
    <row r="325" spans="1:125">
      <c r="B325" t="str">
        <f>"VNO US Equity"</f>
        <v>VNO US Equity</v>
      </c>
      <c r="C325" t="str">
        <f>"BS658"</f>
        <v>BS658</v>
      </c>
      <c r="D325" t="str">
        <f>"BS_YEAR_1_PRINCIPAL"</f>
        <v>BS_YEAR_1_PRINCIPAL</v>
      </c>
      <c r="E325" t="str">
        <f t="shared" si="75"/>
        <v>动态</v>
      </c>
      <c r="F325" t="str">
        <f ca="1">BDH($B$325,$C$325,$B$292,$B$293,CONCATENATE("Per=",$B$290),"Dts=H","Dir=H",CONCATENATE("Points=",$B$291),"Sort=R","Days=A","Fill=B",CONCATENATE("FX=", $B$289) )</f>
        <v>#N/A Authorization</v>
      </c>
      <c r="BN325" t="str">
        <f>""</f>
        <v/>
      </c>
      <c r="BO325" t="str">
        <f>""</f>
        <v/>
      </c>
      <c r="BP325" t="str">
        <f>""</f>
        <v/>
      </c>
      <c r="BQ325" t="str">
        <f>""</f>
        <v/>
      </c>
      <c r="BR325" t="str">
        <f>""</f>
        <v/>
      </c>
      <c r="BS325" t="str">
        <f>""</f>
        <v/>
      </c>
      <c r="BT325" t="str">
        <f>""</f>
        <v/>
      </c>
      <c r="BU325" t="str">
        <f>""</f>
        <v/>
      </c>
      <c r="BV325" t="str">
        <f>""</f>
        <v/>
      </c>
      <c r="BW325" t="str">
        <f>""</f>
        <v/>
      </c>
      <c r="BX325" t="str">
        <f>""</f>
        <v/>
      </c>
      <c r="BY325" t="str">
        <f>""</f>
        <v/>
      </c>
      <c r="BZ325" t="str">
        <f>""</f>
        <v/>
      </c>
      <c r="CA325" t="str">
        <f>""</f>
        <v/>
      </c>
      <c r="CB325" t="str">
        <f>""</f>
        <v/>
      </c>
      <c r="CC325" t="str">
        <f>""</f>
        <v/>
      </c>
      <c r="CD325" t="str">
        <f>""</f>
        <v/>
      </c>
      <c r="CE325" t="str">
        <f>""</f>
        <v/>
      </c>
      <c r="CF325" t="str">
        <f>""</f>
        <v/>
      </c>
      <c r="CG325" t="str">
        <f>""</f>
        <v/>
      </c>
      <c r="CH325" t="str">
        <f>""</f>
        <v/>
      </c>
      <c r="CI325" t="str">
        <f>""</f>
        <v/>
      </c>
      <c r="CJ325" t="str">
        <f>""</f>
        <v/>
      </c>
      <c r="CK325" t="str">
        <f>""</f>
        <v/>
      </c>
      <c r="CL325" t="str">
        <f>""</f>
        <v/>
      </c>
      <c r="CM325" t="str">
        <f>""</f>
        <v/>
      </c>
      <c r="CN325" t="str">
        <f>""</f>
        <v/>
      </c>
      <c r="CO325" t="str">
        <f>""</f>
        <v/>
      </c>
      <c r="CP325" t="str">
        <f>""</f>
        <v/>
      </c>
      <c r="CQ325" t="str">
        <f>""</f>
        <v/>
      </c>
      <c r="CR325" t="str">
        <f>""</f>
        <v/>
      </c>
      <c r="CS325" t="str">
        <f>""</f>
        <v/>
      </c>
      <c r="CT325" t="str">
        <f>""</f>
        <v/>
      </c>
      <c r="CU325" t="str">
        <f>""</f>
        <v/>
      </c>
      <c r="CV325" t="str">
        <f>""</f>
        <v/>
      </c>
      <c r="CW325" t="str">
        <f>""</f>
        <v/>
      </c>
      <c r="CX325" t="str">
        <f>""</f>
        <v/>
      </c>
      <c r="CY325" t="str">
        <f>""</f>
        <v/>
      </c>
      <c r="CZ325" t="str">
        <f>""</f>
        <v/>
      </c>
      <c r="DA325" t="str">
        <f>""</f>
        <v/>
      </c>
      <c r="DB325" t="str">
        <f>""</f>
        <v/>
      </c>
      <c r="DC325" t="str">
        <f>""</f>
        <v/>
      </c>
      <c r="DD325" t="str">
        <f>""</f>
        <v/>
      </c>
      <c r="DE325" t="str">
        <f>""</f>
        <v/>
      </c>
      <c r="DF325" t="str">
        <f>""</f>
        <v/>
      </c>
      <c r="DG325" t="str">
        <f>""</f>
        <v/>
      </c>
      <c r="DH325" t="str">
        <f>""</f>
        <v/>
      </c>
      <c r="DI325" t="str">
        <f>""</f>
        <v/>
      </c>
      <c r="DJ325" t="str">
        <f>""</f>
        <v/>
      </c>
      <c r="DK325" t="str">
        <f>""</f>
        <v/>
      </c>
      <c r="DL325" t="str">
        <f>""</f>
        <v/>
      </c>
      <c r="DM325" t="str">
        <f>""</f>
        <v/>
      </c>
      <c r="DN325" t="str">
        <f>""</f>
        <v/>
      </c>
      <c r="DO325" t="str">
        <f>""</f>
        <v/>
      </c>
      <c r="DP325" t="str">
        <f>""</f>
        <v/>
      </c>
      <c r="DQ325" t="str">
        <f>""</f>
        <v/>
      </c>
      <c r="DR325" t="str">
        <f>""</f>
        <v/>
      </c>
      <c r="DS325" t="str">
        <f>""</f>
        <v/>
      </c>
      <c r="DT325" t="str">
        <f>""</f>
        <v/>
      </c>
      <c r="DU325" t="str">
        <f>""</f>
        <v/>
      </c>
    </row>
    <row r="326" spans="1:125">
      <c r="A326" t="str">
        <f>$A$5</f>
        <v xml:space="preserve">    Boston Properties Inc</v>
      </c>
      <c r="B326" t="str">
        <f>$B$5</f>
        <v>BXP US Equity</v>
      </c>
      <c r="C326" t="str">
        <f>$C$5</f>
        <v>IS030</v>
      </c>
      <c r="D326" t="str">
        <f>$D$5</f>
        <v>IS_RENT_INC</v>
      </c>
      <c r="E326" t="str">
        <f>$E$5</f>
        <v>动态</v>
      </c>
      <c r="F326" t="str">
        <f ca="1">BDH($B$5,$C$5,$B$292,$B$293,CONCATENATE("Per=",$B$290),"Dts=H","Dir=H",CONCATENATE("Points=",$B$291),"Sort=R","Days=A","Fill=B",CONCATENATE("FX=", $B$289) )</f>
        <v>#N/A Authorization</v>
      </c>
      <c r="BN326" t="str">
        <f>""</f>
        <v/>
      </c>
      <c r="BO326" t="str">
        <f>""</f>
        <v/>
      </c>
      <c r="BP326" t="str">
        <f>""</f>
        <v/>
      </c>
      <c r="BQ326" t="str">
        <f>""</f>
        <v/>
      </c>
      <c r="BR326" t="str">
        <f>""</f>
        <v/>
      </c>
      <c r="BS326" t="str">
        <f>""</f>
        <v/>
      </c>
      <c r="BT326" t="str">
        <f>""</f>
        <v/>
      </c>
      <c r="BU326" t="str">
        <f>""</f>
        <v/>
      </c>
      <c r="BV326" t="str">
        <f>""</f>
        <v/>
      </c>
      <c r="BW326" t="str">
        <f>""</f>
        <v/>
      </c>
      <c r="BX326" t="str">
        <f>""</f>
        <v/>
      </c>
      <c r="BY326" t="str">
        <f>""</f>
        <v/>
      </c>
      <c r="BZ326" t="str">
        <f>""</f>
        <v/>
      </c>
      <c r="CA326" t="str">
        <f>""</f>
        <v/>
      </c>
      <c r="CB326" t="str">
        <f>""</f>
        <v/>
      </c>
      <c r="CC326" t="str">
        <f>""</f>
        <v/>
      </c>
      <c r="CD326" t="str">
        <f>""</f>
        <v/>
      </c>
      <c r="CE326" t="str">
        <f>""</f>
        <v/>
      </c>
      <c r="CF326" t="str">
        <f>""</f>
        <v/>
      </c>
      <c r="CG326" t="str">
        <f>""</f>
        <v/>
      </c>
      <c r="CH326" t="str">
        <f>""</f>
        <v/>
      </c>
      <c r="CI326" t="str">
        <f>""</f>
        <v/>
      </c>
      <c r="CJ326" t="str">
        <f>""</f>
        <v/>
      </c>
      <c r="CK326" t="str">
        <f>""</f>
        <v/>
      </c>
      <c r="CL326" t="str">
        <f>""</f>
        <v/>
      </c>
      <c r="CM326" t="str">
        <f>""</f>
        <v/>
      </c>
      <c r="CN326" t="str">
        <f>""</f>
        <v/>
      </c>
      <c r="CO326" t="str">
        <f>""</f>
        <v/>
      </c>
      <c r="CP326" t="str">
        <f>""</f>
        <v/>
      </c>
      <c r="CQ326" t="str">
        <f>""</f>
        <v/>
      </c>
      <c r="CR326" t="str">
        <f>""</f>
        <v/>
      </c>
      <c r="CS326" t="str">
        <f>""</f>
        <v/>
      </c>
      <c r="CT326" t="str">
        <f>""</f>
        <v/>
      </c>
      <c r="CU326" t="str">
        <f>""</f>
        <v/>
      </c>
      <c r="CV326" t="str">
        <f>""</f>
        <v/>
      </c>
      <c r="CW326" t="str">
        <f>""</f>
        <v/>
      </c>
      <c r="CX326" t="str">
        <f>""</f>
        <v/>
      </c>
      <c r="CY326" t="str">
        <f>""</f>
        <v/>
      </c>
      <c r="CZ326" t="str">
        <f>""</f>
        <v/>
      </c>
      <c r="DA326" t="str">
        <f>""</f>
        <v/>
      </c>
      <c r="DB326" t="str">
        <f>""</f>
        <v/>
      </c>
      <c r="DC326" t="str">
        <f>""</f>
        <v/>
      </c>
      <c r="DD326" t="str">
        <f>""</f>
        <v/>
      </c>
      <c r="DE326" t="str">
        <f>""</f>
        <v/>
      </c>
      <c r="DF326" t="str">
        <f>""</f>
        <v/>
      </c>
      <c r="DG326" t="str">
        <f>""</f>
        <v/>
      </c>
      <c r="DH326" t="str">
        <f>""</f>
        <v/>
      </c>
      <c r="DI326" t="str">
        <f>""</f>
        <v/>
      </c>
      <c r="DJ326" t="str">
        <f>""</f>
        <v/>
      </c>
      <c r="DK326" t="str">
        <f>""</f>
        <v/>
      </c>
      <c r="DL326" t="str">
        <f>""</f>
        <v/>
      </c>
      <c r="DM326" t="str">
        <f>""</f>
        <v/>
      </c>
      <c r="DN326" t="str">
        <f>""</f>
        <v/>
      </c>
      <c r="DO326" t="str">
        <f>""</f>
        <v/>
      </c>
      <c r="DP326" t="str">
        <f>""</f>
        <v/>
      </c>
      <c r="DQ326" t="str">
        <f>""</f>
        <v/>
      </c>
      <c r="DR326" t="str">
        <f>""</f>
        <v/>
      </c>
      <c r="DS326" t="str">
        <f>""</f>
        <v/>
      </c>
      <c r="DT326" t="str">
        <f>""</f>
        <v/>
      </c>
      <c r="DU326" t="str">
        <f>""</f>
        <v/>
      </c>
    </row>
    <row r="327" spans="1:125">
      <c r="A327" t="str">
        <f>$A$6</f>
        <v xml:space="preserve">    Brandywine Realty Trust</v>
      </c>
      <c r="B327" t="str">
        <f>$B$6</f>
        <v>BDN US Equity</v>
      </c>
      <c r="C327" t="str">
        <f>$C$6</f>
        <v>IS030</v>
      </c>
      <c r="D327" t="str">
        <f>$D$6</f>
        <v>IS_RENT_INC</v>
      </c>
      <c r="E327" t="str">
        <f>$E$6</f>
        <v>动态</v>
      </c>
      <c r="F327" t="str">
        <f ca="1">BDH($B$6,$C$6,$B$292,$B$293,CONCATENATE("Per=",$B$290),"Dts=H","Dir=H",CONCATENATE("Points=",$B$291),"Sort=R","Days=A","Fill=B",CONCATENATE("FX=", $B$289) )</f>
        <v>#N/A Authorization</v>
      </c>
      <c r="BN327" t="str">
        <f>""</f>
        <v/>
      </c>
      <c r="BO327" t="str">
        <f>""</f>
        <v/>
      </c>
      <c r="BP327" t="str">
        <f>""</f>
        <v/>
      </c>
      <c r="BQ327" t="str">
        <f>""</f>
        <v/>
      </c>
      <c r="BR327" t="str">
        <f>""</f>
        <v/>
      </c>
      <c r="BS327" t="str">
        <f>""</f>
        <v/>
      </c>
      <c r="BT327" t="str">
        <f>""</f>
        <v/>
      </c>
      <c r="BU327" t="str">
        <f>""</f>
        <v/>
      </c>
      <c r="BV327" t="str">
        <f>""</f>
        <v/>
      </c>
      <c r="BW327" t="str">
        <f>""</f>
        <v/>
      </c>
      <c r="BX327" t="str">
        <f>""</f>
        <v/>
      </c>
      <c r="BY327" t="str">
        <f>""</f>
        <v/>
      </c>
      <c r="BZ327" t="str">
        <f>""</f>
        <v/>
      </c>
      <c r="CA327" t="str">
        <f>""</f>
        <v/>
      </c>
      <c r="CB327" t="str">
        <f>""</f>
        <v/>
      </c>
      <c r="CC327" t="str">
        <f>""</f>
        <v/>
      </c>
      <c r="CD327" t="str">
        <f>""</f>
        <v/>
      </c>
      <c r="CE327" t="str">
        <f>""</f>
        <v/>
      </c>
      <c r="CF327" t="str">
        <f>""</f>
        <v/>
      </c>
      <c r="CG327" t="str">
        <f>""</f>
        <v/>
      </c>
      <c r="CH327" t="str">
        <f>""</f>
        <v/>
      </c>
      <c r="CI327" t="str">
        <f>""</f>
        <v/>
      </c>
      <c r="CJ327" t="str">
        <f>""</f>
        <v/>
      </c>
      <c r="CK327" t="str">
        <f>""</f>
        <v/>
      </c>
      <c r="CL327" t="str">
        <f>""</f>
        <v/>
      </c>
      <c r="CM327" t="str">
        <f>""</f>
        <v/>
      </c>
      <c r="CN327" t="str">
        <f>""</f>
        <v/>
      </c>
      <c r="CO327" t="str">
        <f>""</f>
        <v/>
      </c>
      <c r="CP327" t="str">
        <f>""</f>
        <v/>
      </c>
      <c r="CQ327" t="str">
        <f>""</f>
        <v/>
      </c>
      <c r="CR327" t="str">
        <f>""</f>
        <v/>
      </c>
      <c r="CS327" t="str">
        <f>""</f>
        <v/>
      </c>
      <c r="CT327" t="str">
        <f>""</f>
        <v/>
      </c>
      <c r="CU327" t="str">
        <f>""</f>
        <v/>
      </c>
      <c r="CV327" t="str">
        <f>""</f>
        <v/>
      </c>
      <c r="CW327" t="str">
        <f>""</f>
        <v/>
      </c>
      <c r="CX327" t="str">
        <f>""</f>
        <v/>
      </c>
      <c r="CY327" t="str">
        <f>""</f>
        <v/>
      </c>
      <c r="CZ327" t="str">
        <f>""</f>
        <v/>
      </c>
      <c r="DA327" t="str">
        <f>""</f>
        <v/>
      </c>
      <c r="DB327" t="str">
        <f>""</f>
        <v/>
      </c>
      <c r="DC327" t="str">
        <f>""</f>
        <v/>
      </c>
      <c r="DD327" t="str">
        <f>""</f>
        <v/>
      </c>
      <c r="DE327" t="str">
        <f>""</f>
        <v/>
      </c>
      <c r="DF327" t="str">
        <f>""</f>
        <v/>
      </c>
      <c r="DG327" t="str">
        <f>""</f>
        <v/>
      </c>
      <c r="DH327" t="str">
        <f>""</f>
        <v/>
      </c>
      <c r="DI327" t="str">
        <f>""</f>
        <v/>
      </c>
      <c r="DJ327" t="str">
        <f>""</f>
        <v/>
      </c>
      <c r="DK327" t="str">
        <f>""</f>
        <v/>
      </c>
      <c r="DL327" t="str">
        <f>""</f>
        <v/>
      </c>
      <c r="DM327" t="str">
        <f>""</f>
        <v/>
      </c>
      <c r="DN327" t="str">
        <f>""</f>
        <v/>
      </c>
      <c r="DO327" t="str">
        <f>""</f>
        <v/>
      </c>
      <c r="DP327" t="str">
        <f>""</f>
        <v/>
      </c>
      <c r="DQ327" t="str">
        <f>""</f>
        <v/>
      </c>
      <c r="DR327" t="str">
        <f>""</f>
        <v/>
      </c>
      <c r="DS327" t="str">
        <f>""</f>
        <v/>
      </c>
      <c r="DT327" t="str">
        <f>""</f>
        <v/>
      </c>
      <c r="DU327" t="str">
        <f>""</f>
        <v/>
      </c>
    </row>
    <row r="328" spans="1:125">
      <c r="A328" t="str">
        <f>$A$7</f>
        <v xml:space="preserve">    Columbia Property Trust Inc</v>
      </c>
      <c r="B328" t="str">
        <f>$B$7</f>
        <v>CXP US Equity</v>
      </c>
      <c r="C328" t="str">
        <f>$C$7</f>
        <v>IS030</v>
      </c>
      <c r="D328" t="str">
        <f>$D$7</f>
        <v>IS_RENT_INC</v>
      </c>
      <c r="E328" t="str">
        <f>$E$7</f>
        <v>动态</v>
      </c>
      <c r="F328" t="str">
        <f ca="1">BDH($B$7,$C$7,$B$292,$B$293,CONCATENATE("Per=",$B$290),"Dts=H","Dir=H",CONCATENATE("Points=",$B$291),"Sort=R","Days=A","Fill=B",CONCATENATE("FX=", $B$289) )</f>
        <v>#N/A Authorization</v>
      </c>
      <c r="BN328" t="str">
        <f>""</f>
        <v/>
      </c>
      <c r="BO328" t="str">
        <f>""</f>
        <v/>
      </c>
      <c r="BP328" t="str">
        <f>""</f>
        <v/>
      </c>
      <c r="BQ328" t="str">
        <f>""</f>
        <v/>
      </c>
      <c r="BR328" t="str">
        <f>""</f>
        <v/>
      </c>
      <c r="BS328" t="str">
        <f>""</f>
        <v/>
      </c>
      <c r="BT328" t="str">
        <f>""</f>
        <v/>
      </c>
      <c r="BU328" t="str">
        <f>""</f>
        <v/>
      </c>
      <c r="BV328" t="str">
        <f>""</f>
        <v/>
      </c>
      <c r="BW328" t="str">
        <f>""</f>
        <v/>
      </c>
      <c r="BX328" t="str">
        <f>""</f>
        <v/>
      </c>
      <c r="BY328" t="str">
        <f>""</f>
        <v/>
      </c>
      <c r="BZ328" t="str">
        <f>""</f>
        <v/>
      </c>
      <c r="CA328" t="str">
        <f>""</f>
        <v/>
      </c>
      <c r="CB328" t="str">
        <f>""</f>
        <v/>
      </c>
      <c r="CC328" t="str">
        <f>""</f>
        <v/>
      </c>
      <c r="CD328" t="str">
        <f>""</f>
        <v/>
      </c>
      <c r="CE328" t="str">
        <f>""</f>
        <v/>
      </c>
      <c r="CF328" t="str">
        <f>""</f>
        <v/>
      </c>
      <c r="CG328" t="str">
        <f>""</f>
        <v/>
      </c>
      <c r="CH328" t="str">
        <f>""</f>
        <v/>
      </c>
      <c r="CI328" t="str">
        <f>""</f>
        <v/>
      </c>
      <c r="CJ328" t="str">
        <f>""</f>
        <v/>
      </c>
      <c r="CK328" t="str">
        <f>""</f>
        <v/>
      </c>
      <c r="CL328" t="str">
        <f>""</f>
        <v/>
      </c>
      <c r="CM328" t="str">
        <f>""</f>
        <v/>
      </c>
      <c r="CN328" t="str">
        <f>""</f>
        <v/>
      </c>
      <c r="CO328" t="str">
        <f>""</f>
        <v/>
      </c>
      <c r="CP328" t="str">
        <f>""</f>
        <v/>
      </c>
      <c r="CQ328" t="str">
        <f>""</f>
        <v/>
      </c>
      <c r="CR328" t="str">
        <f>""</f>
        <v/>
      </c>
      <c r="CS328" t="str">
        <f>""</f>
        <v/>
      </c>
      <c r="CT328" t="str">
        <f>""</f>
        <v/>
      </c>
      <c r="CU328" t="str">
        <f>""</f>
        <v/>
      </c>
      <c r="CV328" t="str">
        <f>""</f>
        <v/>
      </c>
      <c r="CW328" t="str">
        <f>""</f>
        <v/>
      </c>
      <c r="CX328" t="str">
        <f>""</f>
        <v/>
      </c>
      <c r="CY328" t="str">
        <f>""</f>
        <v/>
      </c>
      <c r="CZ328" t="str">
        <f>""</f>
        <v/>
      </c>
      <c r="DA328" t="str">
        <f>""</f>
        <v/>
      </c>
      <c r="DB328" t="str">
        <f>""</f>
        <v/>
      </c>
      <c r="DC328" t="str">
        <f>""</f>
        <v/>
      </c>
      <c r="DD328" t="str">
        <f>""</f>
        <v/>
      </c>
      <c r="DE328" t="str">
        <f>""</f>
        <v/>
      </c>
      <c r="DF328" t="str">
        <f>""</f>
        <v/>
      </c>
      <c r="DG328" t="str">
        <f>""</f>
        <v/>
      </c>
      <c r="DH328" t="str">
        <f>""</f>
        <v/>
      </c>
      <c r="DI328" t="str">
        <f>""</f>
        <v/>
      </c>
      <c r="DJ328" t="str">
        <f>""</f>
        <v/>
      </c>
      <c r="DK328" t="str">
        <f>""</f>
        <v/>
      </c>
      <c r="DL328" t="str">
        <f>""</f>
        <v/>
      </c>
      <c r="DM328" t="str">
        <f>""</f>
        <v/>
      </c>
      <c r="DN328" t="str">
        <f>""</f>
        <v/>
      </c>
      <c r="DO328" t="str">
        <f>""</f>
        <v/>
      </c>
      <c r="DP328" t="str">
        <f>""</f>
        <v/>
      </c>
      <c r="DQ328" t="str">
        <f>""</f>
        <v/>
      </c>
      <c r="DR328" t="str">
        <f>""</f>
        <v/>
      </c>
      <c r="DS328" t="str">
        <f>""</f>
        <v/>
      </c>
      <c r="DT328" t="str">
        <f>""</f>
        <v/>
      </c>
      <c r="DU328" t="str">
        <f>""</f>
        <v/>
      </c>
    </row>
    <row r="329" spans="1:125">
      <c r="A329" t="str">
        <f>$A$8</f>
        <v xml:space="preserve">    Corporate Office Properties Tr</v>
      </c>
      <c r="B329" t="str">
        <f>$B$8</f>
        <v>OFC US Equity</v>
      </c>
      <c r="C329" t="str">
        <f>$C$8</f>
        <v>IS030</v>
      </c>
      <c r="D329" t="str">
        <f>$D$8</f>
        <v>IS_RENT_INC</v>
      </c>
      <c r="E329" t="str">
        <f>$E$8</f>
        <v>动态</v>
      </c>
      <c r="F329" t="str">
        <f ca="1">BDH($B$8,$C$8,$B$292,$B$293,CONCATENATE("Per=",$B$290),"Dts=H","Dir=H",CONCATENATE("Points=",$B$291),"Sort=R","Days=A","Fill=B",CONCATENATE("FX=", $B$289) )</f>
        <v>#N/A Authorization</v>
      </c>
      <c r="BN329" t="str">
        <f>""</f>
        <v/>
      </c>
      <c r="BO329" t="str">
        <f>""</f>
        <v/>
      </c>
      <c r="BP329" t="str">
        <f>""</f>
        <v/>
      </c>
      <c r="BQ329" t="str">
        <f>""</f>
        <v/>
      </c>
      <c r="BR329" t="str">
        <f>""</f>
        <v/>
      </c>
      <c r="BS329" t="str">
        <f>""</f>
        <v/>
      </c>
      <c r="BT329" t="str">
        <f>""</f>
        <v/>
      </c>
      <c r="BU329" t="str">
        <f>""</f>
        <v/>
      </c>
      <c r="BV329" t="str">
        <f>""</f>
        <v/>
      </c>
      <c r="BW329" t="str">
        <f>""</f>
        <v/>
      </c>
      <c r="BX329" t="str">
        <f>""</f>
        <v/>
      </c>
      <c r="BY329" t="str">
        <f>""</f>
        <v/>
      </c>
      <c r="BZ329" t="str">
        <f>""</f>
        <v/>
      </c>
      <c r="CA329" t="str">
        <f>""</f>
        <v/>
      </c>
      <c r="CB329" t="str">
        <f>""</f>
        <v/>
      </c>
      <c r="CC329" t="str">
        <f>""</f>
        <v/>
      </c>
      <c r="CD329" t="str">
        <f>""</f>
        <v/>
      </c>
      <c r="CE329" t="str">
        <f>""</f>
        <v/>
      </c>
      <c r="CF329" t="str">
        <f>""</f>
        <v/>
      </c>
      <c r="CG329" t="str">
        <f>""</f>
        <v/>
      </c>
      <c r="CH329" t="str">
        <f>""</f>
        <v/>
      </c>
      <c r="CI329" t="str">
        <f>""</f>
        <v/>
      </c>
      <c r="CJ329" t="str">
        <f>""</f>
        <v/>
      </c>
      <c r="CK329" t="str">
        <f>""</f>
        <v/>
      </c>
      <c r="CL329" t="str">
        <f>""</f>
        <v/>
      </c>
      <c r="CM329" t="str">
        <f>""</f>
        <v/>
      </c>
      <c r="CN329" t="str">
        <f>""</f>
        <v/>
      </c>
      <c r="CO329" t="str">
        <f>""</f>
        <v/>
      </c>
      <c r="CP329" t="str">
        <f>""</f>
        <v/>
      </c>
      <c r="CQ329" t="str">
        <f>""</f>
        <v/>
      </c>
      <c r="CR329" t="str">
        <f>""</f>
        <v/>
      </c>
      <c r="CS329" t="str">
        <f>""</f>
        <v/>
      </c>
      <c r="CT329" t="str">
        <f>""</f>
        <v/>
      </c>
      <c r="CU329" t="str">
        <f>""</f>
        <v/>
      </c>
      <c r="CV329" t="str">
        <f>""</f>
        <v/>
      </c>
      <c r="CW329" t="str">
        <f>""</f>
        <v/>
      </c>
      <c r="CX329" t="str">
        <f>""</f>
        <v/>
      </c>
      <c r="CY329" t="str">
        <f>""</f>
        <v/>
      </c>
      <c r="CZ329" t="str">
        <f>""</f>
        <v/>
      </c>
      <c r="DA329" t="str">
        <f>""</f>
        <v/>
      </c>
      <c r="DB329" t="str">
        <f>""</f>
        <v/>
      </c>
      <c r="DC329" t="str">
        <f>""</f>
        <v/>
      </c>
      <c r="DD329" t="str">
        <f>""</f>
        <v/>
      </c>
      <c r="DE329" t="str">
        <f>""</f>
        <v/>
      </c>
      <c r="DF329" t="str">
        <f>""</f>
        <v/>
      </c>
      <c r="DG329" t="str">
        <f>""</f>
        <v/>
      </c>
      <c r="DH329" t="str">
        <f>""</f>
        <v/>
      </c>
      <c r="DI329" t="str">
        <f>""</f>
        <v/>
      </c>
      <c r="DJ329" t="str">
        <f>""</f>
        <v/>
      </c>
      <c r="DK329" t="str">
        <f>""</f>
        <v/>
      </c>
      <c r="DL329" t="str">
        <f>""</f>
        <v/>
      </c>
      <c r="DM329" t="str">
        <f>""</f>
        <v/>
      </c>
      <c r="DN329" t="str">
        <f>""</f>
        <v/>
      </c>
      <c r="DO329" t="str">
        <f>""</f>
        <v/>
      </c>
      <c r="DP329" t="str">
        <f>""</f>
        <v/>
      </c>
      <c r="DQ329" t="str">
        <f>""</f>
        <v/>
      </c>
      <c r="DR329" t="str">
        <f>""</f>
        <v/>
      </c>
      <c r="DS329" t="str">
        <f>""</f>
        <v/>
      </c>
      <c r="DT329" t="str">
        <f>""</f>
        <v/>
      </c>
      <c r="DU329" t="str">
        <f>""</f>
        <v/>
      </c>
    </row>
    <row r="330" spans="1:125">
      <c r="A330" t="str">
        <f>$A$9</f>
        <v xml:space="preserve">    Highwoods Properties Inc</v>
      </c>
      <c r="B330" t="str">
        <f>$B$9</f>
        <v>HIW US Equity</v>
      </c>
      <c r="C330" t="str">
        <f>$C$9</f>
        <v>IS030</v>
      </c>
      <c r="D330" t="str">
        <f>$D$9</f>
        <v>IS_RENT_INC</v>
      </c>
      <c r="E330" t="str">
        <f>$E$9</f>
        <v>动态</v>
      </c>
      <c r="F330" t="str">
        <f ca="1">BDH($B$9,$C$9,$B$292,$B$293,CONCATENATE("Per=",$B$290),"Dts=H","Dir=H",CONCATENATE("Points=",$B$291),"Sort=R","Days=A","Fill=B",CONCATENATE("FX=", $B$289) )</f>
        <v>#N/A Authorization</v>
      </c>
      <c r="BN330" t="str">
        <f>""</f>
        <v/>
      </c>
      <c r="BO330" t="str">
        <f>""</f>
        <v/>
      </c>
      <c r="BP330" t="str">
        <f>""</f>
        <v/>
      </c>
      <c r="BQ330" t="str">
        <f>""</f>
        <v/>
      </c>
      <c r="BR330" t="str">
        <f>""</f>
        <v/>
      </c>
      <c r="BS330" t="str">
        <f>""</f>
        <v/>
      </c>
      <c r="BT330" t="str">
        <f>""</f>
        <v/>
      </c>
      <c r="BU330" t="str">
        <f>""</f>
        <v/>
      </c>
      <c r="BV330" t="str">
        <f>""</f>
        <v/>
      </c>
      <c r="BW330" t="str">
        <f>""</f>
        <v/>
      </c>
      <c r="BX330" t="str">
        <f>""</f>
        <v/>
      </c>
      <c r="BY330" t="str">
        <f>""</f>
        <v/>
      </c>
      <c r="BZ330" t="str">
        <f>""</f>
        <v/>
      </c>
      <c r="CA330" t="str">
        <f>""</f>
        <v/>
      </c>
      <c r="CB330" t="str">
        <f>""</f>
        <v/>
      </c>
      <c r="CC330" t="str">
        <f>""</f>
        <v/>
      </c>
      <c r="CD330" t="str">
        <f>""</f>
        <v/>
      </c>
      <c r="CE330" t="str">
        <f>""</f>
        <v/>
      </c>
      <c r="CF330" t="str">
        <f>""</f>
        <v/>
      </c>
      <c r="CG330" t="str">
        <f>""</f>
        <v/>
      </c>
      <c r="CH330" t="str">
        <f>""</f>
        <v/>
      </c>
      <c r="CI330" t="str">
        <f>""</f>
        <v/>
      </c>
      <c r="CJ330" t="str">
        <f>""</f>
        <v/>
      </c>
      <c r="CK330" t="str">
        <f>""</f>
        <v/>
      </c>
      <c r="CL330" t="str">
        <f>""</f>
        <v/>
      </c>
      <c r="CM330" t="str">
        <f>""</f>
        <v/>
      </c>
      <c r="CN330" t="str">
        <f>""</f>
        <v/>
      </c>
      <c r="CO330" t="str">
        <f>""</f>
        <v/>
      </c>
      <c r="CP330" t="str">
        <f>""</f>
        <v/>
      </c>
      <c r="CQ330" t="str">
        <f>""</f>
        <v/>
      </c>
      <c r="CR330" t="str">
        <f>""</f>
        <v/>
      </c>
      <c r="CS330" t="str">
        <f>""</f>
        <v/>
      </c>
      <c r="CT330" t="str">
        <f>""</f>
        <v/>
      </c>
      <c r="CU330" t="str">
        <f>""</f>
        <v/>
      </c>
      <c r="CV330" t="str">
        <f>""</f>
        <v/>
      </c>
      <c r="CW330" t="str">
        <f>""</f>
        <v/>
      </c>
      <c r="CX330" t="str">
        <f>""</f>
        <v/>
      </c>
      <c r="CY330" t="str">
        <f>""</f>
        <v/>
      </c>
      <c r="CZ330" t="str">
        <f>""</f>
        <v/>
      </c>
      <c r="DA330" t="str">
        <f>""</f>
        <v/>
      </c>
      <c r="DB330" t="str">
        <f>""</f>
        <v/>
      </c>
      <c r="DC330" t="str">
        <f>""</f>
        <v/>
      </c>
      <c r="DD330" t="str">
        <f>""</f>
        <v/>
      </c>
      <c r="DE330" t="str">
        <f>""</f>
        <v/>
      </c>
      <c r="DF330" t="str">
        <f>""</f>
        <v/>
      </c>
      <c r="DG330" t="str">
        <f>""</f>
        <v/>
      </c>
      <c r="DH330" t="str">
        <f>""</f>
        <v/>
      </c>
      <c r="DI330" t="str">
        <f>""</f>
        <v/>
      </c>
      <c r="DJ330" t="str">
        <f>""</f>
        <v/>
      </c>
      <c r="DK330" t="str">
        <f>""</f>
        <v/>
      </c>
      <c r="DL330" t="str">
        <f>""</f>
        <v/>
      </c>
      <c r="DM330" t="str">
        <f>""</f>
        <v/>
      </c>
      <c r="DN330" t="str">
        <f>""</f>
        <v/>
      </c>
      <c r="DO330" t="str">
        <f>""</f>
        <v/>
      </c>
      <c r="DP330" t="str">
        <f>""</f>
        <v/>
      </c>
      <c r="DQ330" t="str">
        <f>""</f>
        <v/>
      </c>
      <c r="DR330" t="str">
        <f>""</f>
        <v/>
      </c>
      <c r="DS330" t="str">
        <f>""</f>
        <v/>
      </c>
      <c r="DT330" t="str">
        <f>""</f>
        <v/>
      </c>
      <c r="DU330" t="str">
        <f>""</f>
        <v/>
      </c>
    </row>
    <row r="331" spans="1:125">
      <c r="A331" t="str">
        <f>$A$10</f>
        <v xml:space="preserve">    Kilroy Realty Corp</v>
      </c>
      <c r="B331" t="str">
        <f>$B$10</f>
        <v>KRC US Equity</v>
      </c>
      <c r="C331" t="str">
        <f>$C$10</f>
        <v>IS030</v>
      </c>
      <c r="D331" t="str">
        <f>$D$10</f>
        <v>IS_RENT_INC</v>
      </c>
      <c r="E331" t="str">
        <f>$E$10</f>
        <v>动态</v>
      </c>
      <c r="F331" t="str">
        <f ca="1">BDH($B$10,$C$10,$B$292,$B$293,CONCATENATE("Per=",$B$290),"Dts=H","Dir=H",CONCATENATE("Points=",$B$291),"Sort=R","Days=A","Fill=B",CONCATENATE("FX=", $B$289) )</f>
        <v>#N/A Authorization</v>
      </c>
      <c r="BN331" t="str">
        <f>""</f>
        <v/>
      </c>
      <c r="BO331" t="str">
        <f>""</f>
        <v/>
      </c>
      <c r="BP331" t="str">
        <f>""</f>
        <v/>
      </c>
      <c r="BQ331" t="str">
        <f>""</f>
        <v/>
      </c>
      <c r="BR331" t="str">
        <f>""</f>
        <v/>
      </c>
      <c r="BS331" t="str">
        <f>""</f>
        <v/>
      </c>
      <c r="BT331" t="str">
        <f>""</f>
        <v/>
      </c>
      <c r="BU331" t="str">
        <f>""</f>
        <v/>
      </c>
      <c r="BV331" t="str">
        <f>""</f>
        <v/>
      </c>
      <c r="BW331" t="str">
        <f>""</f>
        <v/>
      </c>
      <c r="BX331" t="str">
        <f>""</f>
        <v/>
      </c>
      <c r="BY331" t="str">
        <f>""</f>
        <v/>
      </c>
      <c r="BZ331" t="str">
        <f>""</f>
        <v/>
      </c>
      <c r="CA331" t="str">
        <f>""</f>
        <v/>
      </c>
      <c r="CB331" t="str">
        <f>""</f>
        <v/>
      </c>
      <c r="CC331" t="str">
        <f>""</f>
        <v/>
      </c>
      <c r="CD331" t="str">
        <f>""</f>
        <v/>
      </c>
      <c r="CE331" t="str">
        <f>""</f>
        <v/>
      </c>
      <c r="CF331" t="str">
        <f>""</f>
        <v/>
      </c>
      <c r="CG331" t="str">
        <f>""</f>
        <v/>
      </c>
      <c r="CH331" t="str">
        <f>""</f>
        <v/>
      </c>
      <c r="CI331" t="str">
        <f>""</f>
        <v/>
      </c>
      <c r="CJ331" t="str">
        <f>""</f>
        <v/>
      </c>
      <c r="CK331" t="str">
        <f>""</f>
        <v/>
      </c>
      <c r="CL331" t="str">
        <f>""</f>
        <v/>
      </c>
      <c r="CM331" t="str">
        <f>""</f>
        <v/>
      </c>
      <c r="CN331" t="str">
        <f>""</f>
        <v/>
      </c>
      <c r="CO331" t="str">
        <f>""</f>
        <v/>
      </c>
      <c r="CP331" t="str">
        <f>""</f>
        <v/>
      </c>
      <c r="CQ331" t="str">
        <f>""</f>
        <v/>
      </c>
      <c r="CR331" t="str">
        <f>""</f>
        <v/>
      </c>
      <c r="CS331" t="str">
        <f>""</f>
        <v/>
      </c>
      <c r="CT331" t="str">
        <f>""</f>
        <v/>
      </c>
      <c r="CU331" t="str">
        <f>""</f>
        <v/>
      </c>
      <c r="CV331" t="str">
        <f>""</f>
        <v/>
      </c>
      <c r="CW331" t="str">
        <f>""</f>
        <v/>
      </c>
      <c r="CX331" t="str">
        <f>""</f>
        <v/>
      </c>
      <c r="CY331" t="str">
        <f>""</f>
        <v/>
      </c>
      <c r="CZ331" t="str">
        <f>""</f>
        <v/>
      </c>
      <c r="DA331" t="str">
        <f>""</f>
        <v/>
      </c>
      <c r="DB331" t="str">
        <f>""</f>
        <v/>
      </c>
      <c r="DC331" t="str">
        <f>""</f>
        <v/>
      </c>
      <c r="DD331" t="str">
        <f>""</f>
        <v/>
      </c>
      <c r="DE331" t="str">
        <f>""</f>
        <v/>
      </c>
      <c r="DF331" t="str">
        <f>""</f>
        <v/>
      </c>
      <c r="DG331" t="str">
        <f>""</f>
        <v/>
      </c>
      <c r="DH331" t="str">
        <f>""</f>
        <v/>
      </c>
      <c r="DI331" t="str">
        <f>""</f>
        <v/>
      </c>
      <c r="DJ331" t="str">
        <f>""</f>
        <v/>
      </c>
      <c r="DK331" t="str">
        <f>""</f>
        <v/>
      </c>
      <c r="DL331" t="str">
        <f>""</f>
        <v/>
      </c>
      <c r="DM331" t="str">
        <f>""</f>
        <v/>
      </c>
      <c r="DN331" t="str">
        <f>""</f>
        <v/>
      </c>
      <c r="DO331" t="str">
        <f>""</f>
        <v/>
      </c>
      <c r="DP331" t="str">
        <f>""</f>
        <v/>
      </c>
      <c r="DQ331" t="str">
        <f>""</f>
        <v/>
      </c>
      <c r="DR331" t="str">
        <f>""</f>
        <v/>
      </c>
      <c r="DS331" t="str">
        <f>""</f>
        <v/>
      </c>
      <c r="DT331" t="str">
        <f>""</f>
        <v/>
      </c>
      <c r="DU331" t="str">
        <f>""</f>
        <v/>
      </c>
    </row>
    <row r="332" spans="1:125">
      <c r="A332" t="str">
        <f>$A$11</f>
        <v xml:space="preserve">    Mack-Cali Realty Corp</v>
      </c>
      <c r="B332" t="str">
        <f>$B$11</f>
        <v>CLI US Equity</v>
      </c>
      <c r="C332" t="str">
        <f>$C$11</f>
        <v>IS030</v>
      </c>
      <c r="D332" t="str">
        <f>$D$11</f>
        <v>IS_RENT_INC</v>
      </c>
      <c r="E332" t="str">
        <f>$E$11</f>
        <v>动态</v>
      </c>
      <c r="F332" t="str">
        <f ca="1">BDH($B$11,$C$11,$B$292,$B$293,CONCATENATE("Per=",$B$290),"Dts=H","Dir=H",CONCATENATE("Points=",$B$291),"Sort=R","Days=A","Fill=B",CONCATENATE("FX=", $B$289) )</f>
        <v>#N/A Authorization</v>
      </c>
      <c r="BN332" t="str">
        <f>""</f>
        <v/>
      </c>
      <c r="BO332" t="str">
        <f>""</f>
        <v/>
      </c>
      <c r="BP332" t="str">
        <f>""</f>
        <v/>
      </c>
      <c r="BQ332" t="str">
        <f>""</f>
        <v/>
      </c>
      <c r="BR332" t="str">
        <f>""</f>
        <v/>
      </c>
      <c r="BS332" t="str">
        <f>""</f>
        <v/>
      </c>
      <c r="BT332" t="str">
        <f>""</f>
        <v/>
      </c>
      <c r="BU332" t="str">
        <f>""</f>
        <v/>
      </c>
      <c r="BV332" t="str">
        <f>""</f>
        <v/>
      </c>
      <c r="BW332" t="str">
        <f>""</f>
        <v/>
      </c>
      <c r="BX332" t="str">
        <f>""</f>
        <v/>
      </c>
      <c r="BY332" t="str">
        <f>""</f>
        <v/>
      </c>
      <c r="BZ332" t="str">
        <f>""</f>
        <v/>
      </c>
      <c r="CA332" t="str">
        <f>""</f>
        <v/>
      </c>
      <c r="CB332" t="str">
        <f>""</f>
        <v/>
      </c>
      <c r="CC332" t="str">
        <f>""</f>
        <v/>
      </c>
      <c r="CD332" t="str">
        <f>""</f>
        <v/>
      </c>
      <c r="CE332" t="str">
        <f>""</f>
        <v/>
      </c>
      <c r="CF332" t="str">
        <f>""</f>
        <v/>
      </c>
      <c r="CG332" t="str">
        <f>""</f>
        <v/>
      </c>
      <c r="CH332" t="str">
        <f>""</f>
        <v/>
      </c>
      <c r="CI332" t="str">
        <f>""</f>
        <v/>
      </c>
      <c r="CJ332" t="str">
        <f>""</f>
        <v/>
      </c>
      <c r="CK332" t="str">
        <f>""</f>
        <v/>
      </c>
      <c r="CL332" t="str">
        <f>""</f>
        <v/>
      </c>
      <c r="CM332" t="str">
        <f>""</f>
        <v/>
      </c>
      <c r="CN332" t="str">
        <f>""</f>
        <v/>
      </c>
      <c r="CO332" t="str">
        <f>""</f>
        <v/>
      </c>
      <c r="CP332" t="str">
        <f>""</f>
        <v/>
      </c>
      <c r="CQ332" t="str">
        <f>""</f>
        <v/>
      </c>
      <c r="CR332" t="str">
        <f>""</f>
        <v/>
      </c>
      <c r="CS332" t="str">
        <f>""</f>
        <v/>
      </c>
      <c r="CT332" t="str">
        <f>""</f>
        <v/>
      </c>
      <c r="CU332" t="str">
        <f>""</f>
        <v/>
      </c>
      <c r="CV332" t="str">
        <f>""</f>
        <v/>
      </c>
      <c r="CW332" t="str">
        <f>""</f>
        <v/>
      </c>
      <c r="CX332" t="str">
        <f>""</f>
        <v/>
      </c>
      <c r="CY332" t="str">
        <f>""</f>
        <v/>
      </c>
      <c r="CZ332" t="str">
        <f>""</f>
        <v/>
      </c>
      <c r="DA332" t="str">
        <f>""</f>
        <v/>
      </c>
      <c r="DB332" t="str">
        <f>""</f>
        <v/>
      </c>
      <c r="DC332" t="str">
        <f>""</f>
        <v/>
      </c>
      <c r="DD332" t="str">
        <f>""</f>
        <v/>
      </c>
      <c r="DE332" t="str">
        <f>""</f>
        <v/>
      </c>
      <c r="DF332" t="str">
        <f>""</f>
        <v/>
      </c>
      <c r="DG332" t="str">
        <f>""</f>
        <v/>
      </c>
      <c r="DH332" t="str">
        <f>""</f>
        <v/>
      </c>
      <c r="DI332" t="str">
        <f>""</f>
        <v/>
      </c>
      <c r="DJ332" t="str">
        <f>""</f>
        <v/>
      </c>
      <c r="DK332" t="str">
        <f>""</f>
        <v/>
      </c>
      <c r="DL332" t="str">
        <f>""</f>
        <v/>
      </c>
      <c r="DM332" t="str">
        <f>""</f>
        <v/>
      </c>
      <c r="DN332" t="str">
        <f>""</f>
        <v/>
      </c>
      <c r="DO332" t="str">
        <f>""</f>
        <v/>
      </c>
      <c r="DP332" t="str">
        <f>""</f>
        <v/>
      </c>
      <c r="DQ332" t="str">
        <f>""</f>
        <v/>
      </c>
      <c r="DR332" t="str">
        <f>""</f>
        <v/>
      </c>
      <c r="DS332" t="str">
        <f>""</f>
        <v/>
      </c>
      <c r="DT332" t="str">
        <f>""</f>
        <v/>
      </c>
      <c r="DU332" t="str">
        <f>""</f>
        <v/>
      </c>
    </row>
    <row r="333" spans="1:125">
      <c r="A333" t="str">
        <f>$A$12</f>
        <v xml:space="preserve">    Piedmont Office Realty Trust I</v>
      </c>
      <c r="B333" t="str">
        <f>$B$12</f>
        <v>PDM US Equity</v>
      </c>
      <c r="C333" t="str">
        <f>$C$12</f>
        <v>IS030</v>
      </c>
      <c r="D333" t="str">
        <f>$D$12</f>
        <v>IS_RENT_INC</v>
      </c>
      <c r="E333" t="str">
        <f>$E$12</f>
        <v>动态</v>
      </c>
      <c r="F333" t="str">
        <f ca="1">BDH($B$12,$C$12,$B$292,$B$293,CONCATENATE("Per=",$B$290),"Dts=H","Dir=H",CONCATENATE("Points=",$B$291),"Sort=R","Days=A","Fill=B",CONCATENATE("FX=", $B$289) )</f>
        <v>#N/A Authorization</v>
      </c>
      <c r="BN333" t="str">
        <f>""</f>
        <v/>
      </c>
      <c r="BO333" t="str">
        <f>""</f>
        <v/>
      </c>
      <c r="BP333" t="str">
        <f>""</f>
        <v/>
      </c>
      <c r="BQ333" t="str">
        <f>""</f>
        <v/>
      </c>
      <c r="BR333" t="str">
        <f>""</f>
        <v/>
      </c>
      <c r="BS333" t="str">
        <f>""</f>
        <v/>
      </c>
      <c r="BT333" t="str">
        <f>""</f>
        <v/>
      </c>
      <c r="BU333" t="str">
        <f>""</f>
        <v/>
      </c>
      <c r="BV333" t="str">
        <f>""</f>
        <v/>
      </c>
      <c r="BW333" t="str">
        <f>""</f>
        <v/>
      </c>
      <c r="BX333" t="str">
        <f>""</f>
        <v/>
      </c>
      <c r="BY333" t="str">
        <f>""</f>
        <v/>
      </c>
      <c r="BZ333" t="str">
        <f>""</f>
        <v/>
      </c>
      <c r="CA333" t="str">
        <f>""</f>
        <v/>
      </c>
      <c r="CB333" t="str">
        <f>""</f>
        <v/>
      </c>
      <c r="CC333" t="str">
        <f>""</f>
        <v/>
      </c>
      <c r="CD333" t="str">
        <f>""</f>
        <v/>
      </c>
      <c r="CE333" t="str">
        <f>""</f>
        <v/>
      </c>
      <c r="CF333" t="str">
        <f>""</f>
        <v/>
      </c>
      <c r="CG333" t="str">
        <f>""</f>
        <v/>
      </c>
      <c r="CH333" t="str">
        <f>""</f>
        <v/>
      </c>
      <c r="CI333" t="str">
        <f>""</f>
        <v/>
      </c>
      <c r="CJ333" t="str">
        <f>""</f>
        <v/>
      </c>
      <c r="CK333" t="str">
        <f>""</f>
        <v/>
      </c>
      <c r="CL333" t="str">
        <f>""</f>
        <v/>
      </c>
      <c r="CM333" t="str">
        <f>""</f>
        <v/>
      </c>
      <c r="CN333" t="str">
        <f>""</f>
        <v/>
      </c>
      <c r="CO333" t="str">
        <f>""</f>
        <v/>
      </c>
      <c r="CP333" t="str">
        <f>""</f>
        <v/>
      </c>
      <c r="CQ333" t="str">
        <f>""</f>
        <v/>
      </c>
      <c r="CR333" t="str">
        <f>""</f>
        <v/>
      </c>
      <c r="CS333" t="str">
        <f>""</f>
        <v/>
      </c>
      <c r="CT333" t="str">
        <f>""</f>
        <v/>
      </c>
      <c r="CU333" t="str">
        <f>""</f>
        <v/>
      </c>
      <c r="CV333" t="str">
        <f>""</f>
        <v/>
      </c>
      <c r="CW333" t="str">
        <f>""</f>
        <v/>
      </c>
      <c r="CX333" t="str">
        <f>""</f>
        <v/>
      </c>
      <c r="CY333" t="str">
        <f>""</f>
        <v/>
      </c>
      <c r="CZ333" t="str">
        <f>""</f>
        <v/>
      </c>
      <c r="DA333" t="str">
        <f>""</f>
        <v/>
      </c>
      <c r="DB333" t="str">
        <f>""</f>
        <v/>
      </c>
      <c r="DC333" t="str">
        <f>""</f>
        <v/>
      </c>
      <c r="DD333" t="str">
        <f>""</f>
        <v/>
      </c>
      <c r="DE333" t="str">
        <f>""</f>
        <v/>
      </c>
      <c r="DF333" t="str">
        <f>""</f>
        <v/>
      </c>
      <c r="DG333" t="str">
        <f>""</f>
        <v/>
      </c>
      <c r="DH333" t="str">
        <f>""</f>
        <v/>
      </c>
      <c r="DI333" t="str">
        <f>""</f>
        <v/>
      </c>
      <c r="DJ333" t="str">
        <f>""</f>
        <v/>
      </c>
      <c r="DK333" t="str">
        <f>""</f>
        <v/>
      </c>
      <c r="DL333" t="str">
        <f>""</f>
        <v/>
      </c>
      <c r="DM333" t="str">
        <f>""</f>
        <v/>
      </c>
      <c r="DN333" t="str">
        <f>""</f>
        <v/>
      </c>
      <c r="DO333" t="str">
        <f>""</f>
        <v/>
      </c>
      <c r="DP333" t="str">
        <f>""</f>
        <v/>
      </c>
      <c r="DQ333" t="str">
        <f>""</f>
        <v/>
      </c>
      <c r="DR333" t="str">
        <f>""</f>
        <v/>
      </c>
      <c r="DS333" t="str">
        <f>""</f>
        <v/>
      </c>
      <c r="DT333" t="str">
        <f>""</f>
        <v/>
      </c>
      <c r="DU333" t="str">
        <f>""</f>
        <v/>
      </c>
    </row>
    <row r="334" spans="1:125">
      <c r="A334" t="str">
        <f>$A$13</f>
        <v xml:space="preserve">    SL Green Realty Corp</v>
      </c>
      <c r="B334" t="str">
        <f>$B$13</f>
        <v>SLG US Equity</v>
      </c>
      <c r="C334" t="str">
        <f>$C$13</f>
        <v>IS030</v>
      </c>
      <c r="D334" t="str">
        <f>$D$13</f>
        <v>IS_RENT_INC</v>
      </c>
      <c r="E334" t="str">
        <f>$E$13</f>
        <v>动态</v>
      </c>
      <c r="F334" t="str">
        <f ca="1">BDH($B$13,$C$13,$B$292,$B$293,CONCATENATE("Per=",$B$290),"Dts=H","Dir=H",CONCATENATE("Points=",$B$291),"Sort=R","Days=A","Fill=B",CONCATENATE("FX=", $B$289) )</f>
        <v>#N/A Authorization</v>
      </c>
      <c r="BN334" t="str">
        <f>""</f>
        <v/>
      </c>
      <c r="BO334" t="str">
        <f>""</f>
        <v/>
      </c>
      <c r="BP334" t="str">
        <f>""</f>
        <v/>
      </c>
      <c r="BQ334" t="str">
        <f>""</f>
        <v/>
      </c>
      <c r="BR334" t="str">
        <f>""</f>
        <v/>
      </c>
      <c r="BS334" t="str">
        <f>""</f>
        <v/>
      </c>
      <c r="BT334" t="str">
        <f>""</f>
        <v/>
      </c>
      <c r="BU334" t="str">
        <f>""</f>
        <v/>
      </c>
      <c r="BV334" t="str">
        <f>""</f>
        <v/>
      </c>
      <c r="BW334" t="str">
        <f>""</f>
        <v/>
      </c>
      <c r="BX334" t="str">
        <f>""</f>
        <v/>
      </c>
      <c r="BY334" t="str">
        <f>""</f>
        <v/>
      </c>
      <c r="BZ334" t="str">
        <f>""</f>
        <v/>
      </c>
      <c r="CA334" t="str">
        <f>""</f>
        <v/>
      </c>
      <c r="CB334" t="str">
        <f>""</f>
        <v/>
      </c>
      <c r="CC334" t="str">
        <f>""</f>
        <v/>
      </c>
      <c r="CD334" t="str">
        <f>""</f>
        <v/>
      </c>
      <c r="CE334" t="str">
        <f>""</f>
        <v/>
      </c>
      <c r="CF334" t="str">
        <f>""</f>
        <v/>
      </c>
      <c r="CG334" t="str">
        <f>""</f>
        <v/>
      </c>
      <c r="CH334" t="str">
        <f>""</f>
        <v/>
      </c>
      <c r="CI334" t="str">
        <f>""</f>
        <v/>
      </c>
      <c r="CJ334" t="str">
        <f>""</f>
        <v/>
      </c>
      <c r="CK334" t="str">
        <f>""</f>
        <v/>
      </c>
      <c r="CL334" t="str">
        <f>""</f>
        <v/>
      </c>
      <c r="CM334" t="str">
        <f>""</f>
        <v/>
      </c>
      <c r="CN334" t="str">
        <f>""</f>
        <v/>
      </c>
      <c r="CO334" t="str">
        <f>""</f>
        <v/>
      </c>
      <c r="CP334" t="str">
        <f>""</f>
        <v/>
      </c>
      <c r="CQ334" t="str">
        <f>""</f>
        <v/>
      </c>
      <c r="CR334" t="str">
        <f>""</f>
        <v/>
      </c>
      <c r="CS334" t="str">
        <f>""</f>
        <v/>
      </c>
      <c r="CT334" t="str">
        <f>""</f>
        <v/>
      </c>
      <c r="CU334" t="str">
        <f>""</f>
        <v/>
      </c>
      <c r="CV334" t="str">
        <f>""</f>
        <v/>
      </c>
      <c r="CW334" t="str">
        <f>""</f>
        <v/>
      </c>
      <c r="CX334" t="str">
        <f>""</f>
        <v/>
      </c>
      <c r="CY334" t="str">
        <f>""</f>
        <v/>
      </c>
      <c r="CZ334" t="str">
        <f>""</f>
        <v/>
      </c>
      <c r="DA334" t="str">
        <f>""</f>
        <v/>
      </c>
      <c r="DB334" t="str">
        <f>""</f>
        <v/>
      </c>
      <c r="DC334" t="str">
        <f>""</f>
        <v/>
      </c>
      <c r="DD334" t="str">
        <f>""</f>
        <v/>
      </c>
      <c r="DE334" t="str">
        <f>""</f>
        <v/>
      </c>
      <c r="DF334" t="str">
        <f>""</f>
        <v/>
      </c>
      <c r="DG334" t="str">
        <f>""</f>
        <v/>
      </c>
      <c r="DH334" t="str">
        <f>""</f>
        <v/>
      </c>
      <c r="DI334" t="str">
        <f>""</f>
        <v/>
      </c>
      <c r="DJ334" t="str">
        <f>""</f>
        <v/>
      </c>
      <c r="DK334" t="str">
        <f>""</f>
        <v/>
      </c>
      <c r="DL334" t="str">
        <f>""</f>
        <v/>
      </c>
      <c r="DM334" t="str">
        <f>""</f>
        <v/>
      </c>
      <c r="DN334" t="str">
        <f>""</f>
        <v/>
      </c>
      <c r="DO334" t="str">
        <f>""</f>
        <v/>
      </c>
      <c r="DP334" t="str">
        <f>""</f>
        <v/>
      </c>
      <c r="DQ334" t="str">
        <f>""</f>
        <v/>
      </c>
      <c r="DR334" t="str">
        <f>""</f>
        <v/>
      </c>
      <c r="DS334" t="str">
        <f>""</f>
        <v/>
      </c>
      <c r="DT334" t="str">
        <f>""</f>
        <v/>
      </c>
      <c r="DU334" t="str">
        <f>""</f>
        <v/>
      </c>
    </row>
    <row r="335" spans="1:125">
      <c r="A335" t="str">
        <f>$A$14</f>
        <v xml:space="preserve">    Vornado Realty Trust</v>
      </c>
      <c r="B335" t="str">
        <f>$B$14</f>
        <v>VNO US Equity</v>
      </c>
      <c r="C335" t="str">
        <f>$C$14</f>
        <v>IS030</v>
      </c>
      <c r="D335" t="str">
        <f>$D$14</f>
        <v>IS_RENT_INC</v>
      </c>
      <c r="E335" t="str">
        <f>$E$14</f>
        <v>动态</v>
      </c>
      <c r="F335" t="str">
        <f ca="1">BDH($B$14,$C$14,$B$292,$B$293,CONCATENATE("Per=",$B$290),"Dts=H","Dir=H",CONCATENATE("Points=",$B$291),"Sort=R","Days=A","Fill=B",CONCATENATE("FX=", $B$289) )</f>
        <v>#N/A Authorization</v>
      </c>
      <c r="BN335" t="str">
        <f>""</f>
        <v/>
      </c>
      <c r="BO335" t="str">
        <f>""</f>
        <v/>
      </c>
      <c r="BP335" t="str">
        <f>""</f>
        <v/>
      </c>
      <c r="BQ335" t="str">
        <f>""</f>
        <v/>
      </c>
      <c r="BR335" t="str">
        <f>""</f>
        <v/>
      </c>
      <c r="BS335" t="str">
        <f>""</f>
        <v/>
      </c>
      <c r="BT335" t="str">
        <f>""</f>
        <v/>
      </c>
      <c r="BU335" t="str">
        <f>""</f>
        <v/>
      </c>
      <c r="BV335" t="str">
        <f>""</f>
        <v/>
      </c>
      <c r="BW335" t="str">
        <f>""</f>
        <v/>
      </c>
      <c r="BX335" t="str">
        <f>""</f>
        <v/>
      </c>
      <c r="BY335" t="str">
        <f>""</f>
        <v/>
      </c>
      <c r="BZ335" t="str">
        <f>""</f>
        <v/>
      </c>
      <c r="CA335" t="str">
        <f>""</f>
        <v/>
      </c>
      <c r="CB335" t="str">
        <f>""</f>
        <v/>
      </c>
      <c r="CC335" t="str">
        <f>""</f>
        <v/>
      </c>
      <c r="CD335" t="str">
        <f>""</f>
        <v/>
      </c>
      <c r="CE335" t="str">
        <f>""</f>
        <v/>
      </c>
      <c r="CF335" t="str">
        <f>""</f>
        <v/>
      </c>
      <c r="CG335" t="str">
        <f>""</f>
        <v/>
      </c>
      <c r="CH335" t="str">
        <f>""</f>
        <v/>
      </c>
      <c r="CI335" t="str">
        <f>""</f>
        <v/>
      </c>
      <c r="CJ335" t="str">
        <f>""</f>
        <v/>
      </c>
      <c r="CK335" t="str">
        <f>""</f>
        <v/>
      </c>
      <c r="CL335" t="str">
        <f>""</f>
        <v/>
      </c>
      <c r="CM335" t="str">
        <f>""</f>
        <v/>
      </c>
      <c r="CN335" t="str">
        <f>""</f>
        <v/>
      </c>
      <c r="CO335" t="str">
        <f>""</f>
        <v/>
      </c>
      <c r="CP335" t="str">
        <f>""</f>
        <v/>
      </c>
      <c r="CQ335" t="str">
        <f>""</f>
        <v/>
      </c>
      <c r="CR335" t="str">
        <f>""</f>
        <v/>
      </c>
      <c r="CS335" t="str">
        <f>""</f>
        <v/>
      </c>
      <c r="CT335" t="str">
        <f>""</f>
        <v/>
      </c>
      <c r="CU335" t="str">
        <f>""</f>
        <v/>
      </c>
      <c r="CV335" t="str">
        <f>""</f>
        <v/>
      </c>
      <c r="CW335" t="str">
        <f>""</f>
        <v/>
      </c>
      <c r="CX335" t="str">
        <f>""</f>
        <v/>
      </c>
      <c r="CY335" t="str">
        <f>""</f>
        <v/>
      </c>
      <c r="CZ335" t="str">
        <f>""</f>
        <v/>
      </c>
      <c r="DA335" t="str">
        <f>""</f>
        <v/>
      </c>
      <c r="DB335" t="str">
        <f>""</f>
        <v/>
      </c>
      <c r="DC335" t="str">
        <f>""</f>
        <v/>
      </c>
      <c r="DD335" t="str">
        <f>""</f>
        <v/>
      </c>
      <c r="DE335" t="str">
        <f>""</f>
        <v/>
      </c>
      <c r="DF335" t="str">
        <f>""</f>
        <v/>
      </c>
      <c r="DG335" t="str">
        <f>""</f>
        <v/>
      </c>
      <c r="DH335" t="str">
        <f>""</f>
        <v/>
      </c>
      <c r="DI335" t="str">
        <f>""</f>
        <v/>
      </c>
      <c r="DJ335" t="str">
        <f>""</f>
        <v/>
      </c>
      <c r="DK335" t="str">
        <f>""</f>
        <v/>
      </c>
      <c r="DL335" t="str">
        <f>""</f>
        <v/>
      </c>
      <c r="DM335" t="str">
        <f>""</f>
        <v/>
      </c>
      <c r="DN335" t="str">
        <f>""</f>
        <v/>
      </c>
      <c r="DO335" t="str">
        <f>""</f>
        <v/>
      </c>
      <c r="DP335" t="str">
        <f>""</f>
        <v/>
      </c>
      <c r="DQ335" t="str">
        <f>""</f>
        <v/>
      </c>
      <c r="DR335" t="str">
        <f>""</f>
        <v/>
      </c>
      <c r="DS335" t="str">
        <f>""</f>
        <v/>
      </c>
      <c r="DT335" t="str">
        <f>""</f>
        <v/>
      </c>
      <c r="DU335" t="str">
        <f>""</f>
        <v/>
      </c>
    </row>
    <row r="336" spans="1:125">
      <c r="A336" t="str">
        <f>$A$16</f>
        <v xml:space="preserve">    Boston Properties Inc</v>
      </c>
      <c r="B336" t="str">
        <f>$B$16</f>
        <v>BXP US Equity</v>
      </c>
      <c r="C336" t="str">
        <f>$C$16</f>
        <v>IM275</v>
      </c>
      <c r="D336" t="str">
        <f>$D$16</f>
        <v>IS_OTHER_RENTAL_INCOME</v>
      </c>
      <c r="E336" t="str">
        <f>$E$16</f>
        <v>动态</v>
      </c>
      <c r="F336" t="str">
        <f ca="1">BDH($B$16,$C$16,$B$292,$B$293,CONCATENATE("Per=",$B$290),"Dts=H","Dir=H",CONCATENATE("Points=",$B$291),"Sort=R","Days=A","Fill=B",CONCATENATE("FX=", $B$289) )</f>
        <v>#N/A Authorization</v>
      </c>
      <c r="BN336" t="str">
        <f>""</f>
        <v/>
      </c>
      <c r="BO336" t="str">
        <f>""</f>
        <v/>
      </c>
      <c r="BP336" t="str">
        <f>""</f>
        <v/>
      </c>
      <c r="BQ336" t="str">
        <f>""</f>
        <v/>
      </c>
      <c r="BR336" t="str">
        <f>""</f>
        <v/>
      </c>
      <c r="BS336" t="str">
        <f>""</f>
        <v/>
      </c>
      <c r="BT336" t="str">
        <f>""</f>
        <v/>
      </c>
      <c r="BU336" t="str">
        <f>""</f>
        <v/>
      </c>
      <c r="BV336" t="str">
        <f>""</f>
        <v/>
      </c>
      <c r="BW336" t="str">
        <f>""</f>
        <v/>
      </c>
      <c r="BX336" t="str">
        <f>""</f>
        <v/>
      </c>
      <c r="BY336" t="str">
        <f>""</f>
        <v/>
      </c>
      <c r="BZ336" t="str">
        <f>""</f>
        <v/>
      </c>
      <c r="CA336" t="str">
        <f>""</f>
        <v/>
      </c>
      <c r="CB336" t="str">
        <f>""</f>
        <v/>
      </c>
      <c r="CC336" t="str">
        <f>""</f>
        <v/>
      </c>
      <c r="CD336" t="str">
        <f>""</f>
        <v/>
      </c>
      <c r="CE336" t="str">
        <f>""</f>
        <v/>
      </c>
      <c r="CF336" t="str">
        <f>""</f>
        <v/>
      </c>
      <c r="CG336" t="str">
        <f>""</f>
        <v/>
      </c>
      <c r="CH336" t="str">
        <f>""</f>
        <v/>
      </c>
      <c r="CI336" t="str">
        <f>""</f>
        <v/>
      </c>
      <c r="CJ336" t="str">
        <f>""</f>
        <v/>
      </c>
      <c r="CK336" t="str">
        <f>""</f>
        <v/>
      </c>
      <c r="CL336" t="str">
        <f>""</f>
        <v/>
      </c>
      <c r="CM336" t="str">
        <f>""</f>
        <v/>
      </c>
      <c r="CN336" t="str">
        <f>""</f>
        <v/>
      </c>
      <c r="CO336" t="str">
        <f>""</f>
        <v/>
      </c>
      <c r="CP336" t="str">
        <f>""</f>
        <v/>
      </c>
      <c r="CQ336" t="str">
        <f>""</f>
        <v/>
      </c>
      <c r="CR336" t="str">
        <f>""</f>
        <v/>
      </c>
      <c r="CS336" t="str">
        <f>""</f>
        <v/>
      </c>
      <c r="CT336" t="str">
        <f>""</f>
        <v/>
      </c>
      <c r="CU336" t="str">
        <f>""</f>
        <v/>
      </c>
      <c r="CV336" t="str">
        <f>""</f>
        <v/>
      </c>
      <c r="CW336" t="str">
        <f>""</f>
        <v/>
      </c>
      <c r="CX336" t="str">
        <f>""</f>
        <v/>
      </c>
      <c r="CY336" t="str">
        <f>""</f>
        <v/>
      </c>
      <c r="CZ336" t="str">
        <f>""</f>
        <v/>
      </c>
      <c r="DA336" t="str">
        <f>""</f>
        <v/>
      </c>
      <c r="DB336" t="str">
        <f>""</f>
        <v/>
      </c>
      <c r="DC336" t="str">
        <f>""</f>
        <v/>
      </c>
      <c r="DD336" t="str">
        <f>""</f>
        <v/>
      </c>
      <c r="DE336" t="str">
        <f>""</f>
        <v/>
      </c>
      <c r="DF336" t="str">
        <f>""</f>
        <v/>
      </c>
      <c r="DG336" t="str">
        <f>""</f>
        <v/>
      </c>
      <c r="DH336" t="str">
        <f>""</f>
        <v/>
      </c>
      <c r="DI336" t="str">
        <f>""</f>
        <v/>
      </c>
      <c r="DJ336" t="str">
        <f>""</f>
        <v/>
      </c>
      <c r="DK336" t="str">
        <f>""</f>
        <v/>
      </c>
      <c r="DL336" t="str">
        <f>""</f>
        <v/>
      </c>
      <c r="DM336" t="str">
        <f>""</f>
        <v/>
      </c>
      <c r="DN336" t="str">
        <f>""</f>
        <v/>
      </c>
      <c r="DO336" t="str">
        <f>""</f>
        <v/>
      </c>
      <c r="DP336" t="str">
        <f>""</f>
        <v/>
      </c>
      <c r="DQ336" t="str">
        <f>""</f>
        <v/>
      </c>
      <c r="DR336" t="str">
        <f>""</f>
        <v/>
      </c>
      <c r="DS336" t="str">
        <f>""</f>
        <v/>
      </c>
      <c r="DT336" t="str">
        <f>""</f>
        <v/>
      </c>
      <c r="DU336" t="str">
        <f>""</f>
        <v/>
      </c>
    </row>
    <row r="337" spans="1:125">
      <c r="A337" t="str">
        <f>$A$17</f>
        <v xml:space="preserve">    Brandywine Realty Trust</v>
      </c>
      <c r="B337" t="str">
        <f>$B$17</f>
        <v>BDN US Equity</v>
      </c>
      <c r="C337" t="str">
        <f>$C$17</f>
        <v>IM275</v>
      </c>
      <c r="D337" t="str">
        <f>$D$17</f>
        <v>IS_OTHER_RENTAL_INCOME</v>
      </c>
      <c r="E337" t="str">
        <f>$E$17</f>
        <v>动态</v>
      </c>
      <c r="F337" t="str">
        <f ca="1">BDH($B$17,$C$17,$B$292,$B$293,CONCATENATE("Per=",$B$290),"Dts=H","Dir=H",CONCATENATE("Points=",$B$291),"Sort=R","Days=A","Fill=B",CONCATENATE("FX=", $B$289) )</f>
        <v>#N/A Authorization</v>
      </c>
      <c r="BN337" t="str">
        <f>""</f>
        <v/>
      </c>
      <c r="BO337" t="str">
        <f>""</f>
        <v/>
      </c>
      <c r="BP337" t="str">
        <f>""</f>
        <v/>
      </c>
      <c r="BQ337" t="str">
        <f>""</f>
        <v/>
      </c>
      <c r="BR337" t="str">
        <f>""</f>
        <v/>
      </c>
      <c r="BS337" t="str">
        <f>""</f>
        <v/>
      </c>
      <c r="BT337" t="str">
        <f>""</f>
        <v/>
      </c>
      <c r="BU337" t="str">
        <f>""</f>
        <v/>
      </c>
      <c r="BV337" t="str">
        <f>""</f>
        <v/>
      </c>
      <c r="BW337" t="str">
        <f>""</f>
        <v/>
      </c>
      <c r="BX337" t="str">
        <f>""</f>
        <v/>
      </c>
      <c r="BY337" t="str">
        <f>""</f>
        <v/>
      </c>
      <c r="BZ337" t="str">
        <f>""</f>
        <v/>
      </c>
      <c r="CA337" t="str">
        <f>""</f>
        <v/>
      </c>
      <c r="CB337" t="str">
        <f>""</f>
        <v/>
      </c>
      <c r="CC337" t="str">
        <f>""</f>
        <v/>
      </c>
      <c r="CD337" t="str">
        <f>""</f>
        <v/>
      </c>
      <c r="CE337" t="str">
        <f>""</f>
        <v/>
      </c>
      <c r="CF337" t="str">
        <f>""</f>
        <v/>
      </c>
      <c r="CG337" t="str">
        <f>""</f>
        <v/>
      </c>
      <c r="CH337" t="str">
        <f>""</f>
        <v/>
      </c>
      <c r="CI337" t="str">
        <f>""</f>
        <v/>
      </c>
      <c r="CJ337" t="str">
        <f>""</f>
        <v/>
      </c>
      <c r="CK337" t="str">
        <f>""</f>
        <v/>
      </c>
      <c r="CL337" t="str">
        <f>""</f>
        <v/>
      </c>
      <c r="CM337" t="str">
        <f>""</f>
        <v/>
      </c>
      <c r="CN337" t="str">
        <f>""</f>
        <v/>
      </c>
      <c r="CO337" t="str">
        <f>""</f>
        <v/>
      </c>
      <c r="CP337" t="str">
        <f>""</f>
        <v/>
      </c>
      <c r="CQ337" t="str">
        <f>""</f>
        <v/>
      </c>
      <c r="CR337" t="str">
        <f>""</f>
        <v/>
      </c>
      <c r="CS337" t="str">
        <f>""</f>
        <v/>
      </c>
      <c r="CT337" t="str">
        <f>""</f>
        <v/>
      </c>
      <c r="CU337" t="str">
        <f>""</f>
        <v/>
      </c>
      <c r="CV337" t="str">
        <f>""</f>
        <v/>
      </c>
      <c r="CW337" t="str">
        <f>""</f>
        <v/>
      </c>
      <c r="CX337" t="str">
        <f>""</f>
        <v/>
      </c>
      <c r="CY337" t="str">
        <f>""</f>
        <v/>
      </c>
      <c r="CZ337" t="str">
        <f>""</f>
        <v/>
      </c>
      <c r="DA337" t="str">
        <f>""</f>
        <v/>
      </c>
      <c r="DB337" t="str">
        <f>""</f>
        <v/>
      </c>
      <c r="DC337" t="str">
        <f>""</f>
        <v/>
      </c>
      <c r="DD337" t="str">
        <f>""</f>
        <v/>
      </c>
      <c r="DE337" t="str">
        <f>""</f>
        <v/>
      </c>
      <c r="DF337" t="str">
        <f>""</f>
        <v/>
      </c>
      <c r="DG337" t="str">
        <f>""</f>
        <v/>
      </c>
      <c r="DH337" t="str">
        <f>""</f>
        <v/>
      </c>
      <c r="DI337" t="str">
        <f>""</f>
        <v/>
      </c>
      <c r="DJ337" t="str">
        <f>""</f>
        <v/>
      </c>
      <c r="DK337" t="str">
        <f>""</f>
        <v/>
      </c>
      <c r="DL337" t="str">
        <f>""</f>
        <v/>
      </c>
      <c r="DM337" t="str">
        <f>""</f>
        <v/>
      </c>
      <c r="DN337" t="str">
        <f>""</f>
        <v/>
      </c>
      <c r="DO337" t="str">
        <f>""</f>
        <v/>
      </c>
      <c r="DP337" t="str">
        <f>""</f>
        <v/>
      </c>
      <c r="DQ337" t="str">
        <f>""</f>
        <v/>
      </c>
      <c r="DR337" t="str">
        <f>""</f>
        <v/>
      </c>
      <c r="DS337" t="str">
        <f>""</f>
        <v/>
      </c>
      <c r="DT337" t="str">
        <f>""</f>
        <v/>
      </c>
      <c r="DU337" t="str">
        <f>""</f>
        <v/>
      </c>
    </row>
    <row r="338" spans="1:125">
      <c r="A338" t="str">
        <f>$A$18</f>
        <v xml:space="preserve">    Columbia Property Trust Inc</v>
      </c>
      <c r="B338" t="str">
        <f>$B$18</f>
        <v>CXP US Equity</v>
      </c>
      <c r="C338" t="str">
        <f>$C$18</f>
        <v>IM275</v>
      </c>
      <c r="D338" t="str">
        <f>$D$18</f>
        <v>IS_OTHER_RENTAL_INCOME</v>
      </c>
      <c r="E338" t="str">
        <f>$E$18</f>
        <v>动态</v>
      </c>
      <c r="F338" t="str">
        <f ca="1">BDH($B$18,$C$18,$B$292,$B$293,CONCATENATE("Per=",$B$290),"Dts=H","Dir=H",CONCATENATE("Points=",$B$291),"Sort=R","Days=A","Fill=B",CONCATENATE("FX=", $B$289) )</f>
        <v>#N/A Authorization</v>
      </c>
      <c r="BN338" t="str">
        <f>""</f>
        <v/>
      </c>
      <c r="BO338" t="str">
        <f>""</f>
        <v/>
      </c>
      <c r="BP338" t="str">
        <f>""</f>
        <v/>
      </c>
      <c r="BQ338" t="str">
        <f>""</f>
        <v/>
      </c>
      <c r="BR338" t="str">
        <f>""</f>
        <v/>
      </c>
      <c r="BS338" t="str">
        <f>""</f>
        <v/>
      </c>
      <c r="BT338" t="str">
        <f>""</f>
        <v/>
      </c>
      <c r="BU338" t="str">
        <f>""</f>
        <v/>
      </c>
      <c r="BV338" t="str">
        <f>""</f>
        <v/>
      </c>
      <c r="BW338" t="str">
        <f>""</f>
        <v/>
      </c>
      <c r="BX338" t="str">
        <f>""</f>
        <v/>
      </c>
      <c r="BY338" t="str">
        <f>""</f>
        <v/>
      </c>
      <c r="BZ338" t="str">
        <f>""</f>
        <v/>
      </c>
      <c r="CA338" t="str">
        <f>""</f>
        <v/>
      </c>
      <c r="CB338" t="str">
        <f>""</f>
        <v/>
      </c>
      <c r="CC338" t="str">
        <f>""</f>
        <v/>
      </c>
      <c r="CD338" t="str">
        <f>""</f>
        <v/>
      </c>
      <c r="CE338" t="str">
        <f>""</f>
        <v/>
      </c>
      <c r="CF338" t="str">
        <f>""</f>
        <v/>
      </c>
      <c r="CG338" t="str">
        <f>""</f>
        <v/>
      </c>
      <c r="CH338" t="str">
        <f>""</f>
        <v/>
      </c>
      <c r="CI338" t="str">
        <f>""</f>
        <v/>
      </c>
      <c r="CJ338" t="str">
        <f>""</f>
        <v/>
      </c>
      <c r="CK338" t="str">
        <f>""</f>
        <v/>
      </c>
      <c r="CL338" t="str">
        <f>""</f>
        <v/>
      </c>
      <c r="CM338" t="str">
        <f>""</f>
        <v/>
      </c>
      <c r="CN338" t="str">
        <f>""</f>
        <v/>
      </c>
      <c r="CO338" t="str">
        <f>""</f>
        <v/>
      </c>
      <c r="CP338" t="str">
        <f>""</f>
        <v/>
      </c>
      <c r="CQ338" t="str">
        <f>""</f>
        <v/>
      </c>
      <c r="CR338" t="str">
        <f>""</f>
        <v/>
      </c>
      <c r="CS338" t="str">
        <f>""</f>
        <v/>
      </c>
      <c r="CT338" t="str">
        <f>""</f>
        <v/>
      </c>
      <c r="CU338" t="str">
        <f>""</f>
        <v/>
      </c>
      <c r="CV338" t="str">
        <f>""</f>
        <v/>
      </c>
      <c r="CW338" t="str">
        <f>""</f>
        <v/>
      </c>
      <c r="CX338" t="str">
        <f>""</f>
        <v/>
      </c>
      <c r="CY338" t="str">
        <f>""</f>
        <v/>
      </c>
      <c r="CZ338" t="str">
        <f>""</f>
        <v/>
      </c>
      <c r="DA338" t="str">
        <f>""</f>
        <v/>
      </c>
      <c r="DB338" t="str">
        <f>""</f>
        <v/>
      </c>
      <c r="DC338" t="str">
        <f>""</f>
        <v/>
      </c>
      <c r="DD338" t="str">
        <f>""</f>
        <v/>
      </c>
      <c r="DE338" t="str">
        <f>""</f>
        <v/>
      </c>
      <c r="DF338" t="str">
        <f>""</f>
        <v/>
      </c>
      <c r="DG338" t="str">
        <f>""</f>
        <v/>
      </c>
      <c r="DH338" t="str">
        <f>""</f>
        <v/>
      </c>
      <c r="DI338" t="str">
        <f>""</f>
        <v/>
      </c>
      <c r="DJ338" t="str">
        <f>""</f>
        <v/>
      </c>
      <c r="DK338" t="str">
        <f>""</f>
        <v/>
      </c>
      <c r="DL338" t="str">
        <f>""</f>
        <v/>
      </c>
      <c r="DM338" t="str">
        <f>""</f>
        <v/>
      </c>
      <c r="DN338" t="str">
        <f>""</f>
        <v/>
      </c>
      <c r="DO338" t="str">
        <f>""</f>
        <v/>
      </c>
      <c r="DP338" t="str">
        <f>""</f>
        <v/>
      </c>
      <c r="DQ338" t="str">
        <f>""</f>
        <v/>
      </c>
      <c r="DR338" t="str">
        <f>""</f>
        <v/>
      </c>
      <c r="DS338" t="str">
        <f>""</f>
        <v/>
      </c>
      <c r="DT338" t="str">
        <f>""</f>
        <v/>
      </c>
      <c r="DU338" t="str">
        <f>""</f>
        <v/>
      </c>
    </row>
    <row r="339" spans="1:125">
      <c r="A339" t="str">
        <f>$A$19</f>
        <v xml:space="preserve">    Corporate Office Properties Tr</v>
      </c>
      <c r="B339" t="str">
        <f>$B$19</f>
        <v>OFC US Equity</v>
      </c>
      <c r="C339" t="str">
        <f>$C$19</f>
        <v>IM275</v>
      </c>
      <c r="D339" t="str">
        <f>$D$19</f>
        <v>IS_OTHER_RENTAL_INCOME</v>
      </c>
      <c r="E339" t="str">
        <f>$E$19</f>
        <v>动态</v>
      </c>
      <c r="F339" t="str">
        <f ca="1">BDH($B$19,$C$19,$B$292,$B$293,CONCATENATE("Per=",$B$290),"Dts=H","Dir=H",CONCATENATE("Points=",$B$291),"Sort=R","Days=A","Fill=B",CONCATENATE("FX=", $B$289) )</f>
        <v>#N/A Authorization</v>
      </c>
      <c r="BN339" t="str">
        <f>""</f>
        <v/>
      </c>
      <c r="BO339" t="str">
        <f>""</f>
        <v/>
      </c>
      <c r="BP339" t="str">
        <f>""</f>
        <v/>
      </c>
      <c r="BQ339" t="str">
        <f>""</f>
        <v/>
      </c>
      <c r="BR339" t="str">
        <f>""</f>
        <v/>
      </c>
      <c r="BS339" t="str">
        <f>""</f>
        <v/>
      </c>
      <c r="BT339" t="str">
        <f>""</f>
        <v/>
      </c>
      <c r="BU339" t="str">
        <f>""</f>
        <v/>
      </c>
      <c r="BV339" t="str">
        <f>""</f>
        <v/>
      </c>
      <c r="BW339" t="str">
        <f>""</f>
        <v/>
      </c>
      <c r="BX339" t="str">
        <f>""</f>
        <v/>
      </c>
      <c r="BY339" t="str">
        <f>""</f>
        <v/>
      </c>
      <c r="BZ339" t="str">
        <f>""</f>
        <v/>
      </c>
      <c r="CA339" t="str">
        <f>""</f>
        <v/>
      </c>
      <c r="CB339" t="str">
        <f>""</f>
        <v/>
      </c>
      <c r="CC339" t="str">
        <f>""</f>
        <v/>
      </c>
      <c r="CD339" t="str">
        <f>""</f>
        <v/>
      </c>
      <c r="CE339" t="str">
        <f>""</f>
        <v/>
      </c>
      <c r="CF339" t="str">
        <f>""</f>
        <v/>
      </c>
      <c r="CG339" t="str">
        <f>""</f>
        <v/>
      </c>
      <c r="CH339" t="str">
        <f>""</f>
        <v/>
      </c>
      <c r="CI339" t="str">
        <f>""</f>
        <v/>
      </c>
      <c r="CJ339" t="str">
        <f>""</f>
        <v/>
      </c>
      <c r="CK339" t="str">
        <f>""</f>
        <v/>
      </c>
      <c r="CL339" t="str">
        <f>""</f>
        <v/>
      </c>
      <c r="CM339" t="str">
        <f>""</f>
        <v/>
      </c>
      <c r="CN339" t="str">
        <f>""</f>
        <v/>
      </c>
      <c r="CO339" t="str">
        <f>""</f>
        <v/>
      </c>
      <c r="CP339" t="str">
        <f>""</f>
        <v/>
      </c>
      <c r="CQ339" t="str">
        <f>""</f>
        <v/>
      </c>
      <c r="CR339" t="str">
        <f>""</f>
        <v/>
      </c>
      <c r="CS339" t="str">
        <f>""</f>
        <v/>
      </c>
      <c r="CT339" t="str">
        <f>""</f>
        <v/>
      </c>
      <c r="CU339" t="str">
        <f>""</f>
        <v/>
      </c>
      <c r="CV339" t="str">
        <f>""</f>
        <v/>
      </c>
      <c r="CW339" t="str">
        <f>""</f>
        <v/>
      </c>
      <c r="CX339" t="str">
        <f>""</f>
        <v/>
      </c>
      <c r="CY339" t="str">
        <f>""</f>
        <v/>
      </c>
      <c r="CZ339" t="str">
        <f>""</f>
        <v/>
      </c>
      <c r="DA339" t="str">
        <f>""</f>
        <v/>
      </c>
      <c r="DB339" t="str">
        <f>""</f>
        <v/>
      </c>
      <c r="DC339" t="str">
        <f>""</f>
        <v/>
      </c>
      <c r="DD339" t="str">
        <f>""</f>
        <v/>
      </c>
      <c r="DE339" t="str">
        <f>""</f>
        <v/>
      </c>
      <c r="DF339" t="str">
        <f>""</f>
        <v/>
      </c>
      <c r="DG339" t="str">
        <f>""</f>
        <v/>
      </c>
      <c r="DH339" t="str">
        <f>""</f>
        <v/>
      </c>
      <c r="DI339" t="str">
        <f>""</f>
        <v/>
      </c>
      <c r="DJ339" t="str">
        <f>""</f>
        <v/>
      </c>
      <c r="DK339" t="str">
        <f>""</f>
        <v/>
      </c>
      <c r="DL339" t="str">
        <f>""</f>
        <v/>
      </c>
      <c r="DM339" t="str">
        <f>""</f>
        <v/>
      </c>
      <c r="DN339" t="str">
        <f>""</f>
        <v/>
      </c>
      <c r="DO339" t="str">
        <f>""</f>
        <v/>
      </c>
      <c r="DP339" t="str">
        <f>""</f>
        <v/>
      </c>
      <c r="DQ339" t="str">
        <f>""</f>
        <v/>
      </c>
      <c r="DR339" t="str">
        <f>""</f>
        <v/>
      </c>
      <c r="DS339" t="str">
        <f>""</f>
        <v/>
      </c>
      <c r="DT339" t="str">
        <f>""</f>
        <v/>
      </c>
      <c r="DU339" t="str">
        <f>""</f>
        <v/>
      </c>
    </row>
    <row r="340" spans="1:125">
      <c r="A340" t="str">
        <f>$A$20</f>
        <v xml:space="preserve">    Highwoods Properties Inc</v>
      </c>
      <c r="B340" t="str">
        <f>$B$20</f>
        <v>HIW US Equity</v>
      </c>
      <c r="C340" t="str">
        <f>$C$20</f>
        <v>IM275</v>
      </c>
      <c r="D340" t="str">
        <f>$D$20</f>
        <v>IS_OTHER_RENTAL_INCOME</v>
      </c>
      <c r="E340" t="str">
        <f>$E$20</f>
        <v>动态</v>
      </c>
      <c r="F340" t="str">
        <f ca="1">BDH($B$20,$C$20,$B$292,$B$293,CONCATENATE("Per=",$B$290),"Dts=H","Dir=H",CONCATENATE("Points=",$B$291),"Sort=R","Days=A","Fill=B",CONCATENATE("FX=", $B$289) )</f>
        <v>#N/A Authorization</v>
      </c>
      <c r="BN340" t="str">
        <f>""</f>
        <v/>
      </c>
      <c r="BO340" t="str">
        <f>""</f>
        <v/>
      </c>
      <c r="BP340" t="str">
        <f>""</f>
        <v/>
      </c>
      <c r="BQ340" t="str">
        <f>""</f>
        <v/>
      </c>
      <c r="BR340" t="str">
        <f>""</f>
        <v/>
      </c>
      <c r="BS340" t="str">
        <f>""</f>
        <v/>
      </c>
      <c r="BT340" t="str">
        <f>""</f>
        <v/>
      </c>
      <c r="BU340" t="str">
        <f>""</f>
        <v/>
      </c>
      <c r="BV340" t="str">
        <f>""</f>
        <v/>
      </c>
      <c r="BW340" t="str">
        <f>""</f>
        <v/>
      </c>
      <c r="BX340" t="str">
        <f>""</f>
        <v/>
      </c>
      <c r="BY340" t="str">
        <f>""</f>
        <v/>
      </c>
      <c r="BZ340" t="str">
        <f>""</f>
        <v/>
      </c>
      <c r="CA340" t="str">
        <f>""</f>
        <v/>
      </c>
      <c r="CB340" t="str">
        <f>""</f>
        <v/>
      </c>
      <c r="CC340" t="str">
        <f>""</f>
        <v/>
      </c>
      <c r="CD340" t="str">
        <f>""</f>
        <v/>
      </c>
      <c r="CE340" t="str">
        <f>""</f>
        <v/>
      </c>
      <c r="CF340" t="str">
        <f>""</f>
        <v/>
      </c>
      <c r="CG340" t="str">
        <f>""</f>
        <v/>
      </c>
      <c r="CH340" t="str">
        <f>""</f>
        <v/>
      </c>
      <c r="CI340" t="str">
        <f>""</f>
        <v/>
      </c>
      <c r="CJ340" t="str">
        <f>""</f>
        <v/>
      </c>
      <c r="CK340" t="str">
        <f>""</f>
        <v/>
      </c>
      <c r="CL340" t="str">
        <f>""</f>
        <v/>
      </c>
      <c r="CM340" t="str">
        <f>""</f>
        <v/>
      </c>
      <c r="CN340" t="str">
        <f>""</f>
        <v/>
      </c>
      <c r="CO340" t="str">
        <f>""</f>
        <v/>
      </c>
      <c r="CP340" t="str">
        <f>""</f>
        <v/>
      </c>
      <c r="CQ340" t="str">
        <f>""</f>
        <v/>
      </c>
      <c r="CR340" t="str">
        <f>""</f>
        <v/>
      </c>
      <c r="CS340" t="str">
        <f>""</f>
        <v/>
      </c>
      <c r="CT340" t="str">
        <f>""</f>
        <v/>
      </c>
      <c r="CU340" t="str">
        <f>""</f>
        <v/>
      </c>
      <c r="CV340" t="str">
        <f>""</f>
        <v/>
      </c>
      <c r="CW340" t="str">
        <f>""</f>
        <v/>
      </c>
      <c r="CX340" t="str">
        <f>""</f>
        <v/>
      </c>
      <c r="CY340" t="str">
        <f>""</f>
        <v/>
      </c>
      <c r="CZ340" t="str">
        <f>""</f>
        <v/>
      </c>
      <c r="DA340" t="str">
        <f>""</f>
        <v/>
      </c>
      <c r="DB340" t="str">
        <f>""</f>
        <v/>
      </c>
      <c r="DC340" t="str">
        <f>""</f>
        <v/>
      </c>
      <c r="DD340" t="str">
        <f>""</f>
        <v/>
      </c>
      <c r="DE340" t="str">
        <f>""</f>
        <v/>
      </c>
      <c r="DF340" t="str">
        <f>""</f>
        <v/>
      </c>
      <c r="DG340" t="str">
        <f>""</f>
        <v/>
      </c>
      <c r="DH340" t="str">
        <f>""</f>
        <v/>
      </c>
      <c r="DI340" t="str">
        <f>""</f>
        <v/>
      </c>
      <c r="DJ340" t="str">
        <f>""</f>
        <v/>
      </c>
      <c r="DK340" t="str">
        <f>""</f>
        <v/>
      </c>
      <c r="DL340" t="str">
        <f>""</f>
        <v/>
      </c>
      <c r="DM340" t="str">
        <f>""</f>
        <v/>
      </c>
      <c r="DN340" t="str">
        <f>""</f>
        <v/>
      </c>
      <c r="DO340" t="str">
        <f>""</f>
        <v/>
      </c>
      <c r="DP340" t="str">
        <f>""</f>
        <v/>
      </c>
      <c r="DQ340" t="str">
        <f>""</f>
        <v/>
      </c>
      <c r="DR340" t="str">
        <f>""</f>
        <v/>
      </c>
      <c r="DS340" t="str">
        <f>""</f>
        <v/>
      </c>
      <c r="DT340" t="str">
        <f>""</f>
        <v/>
      </c>
      <c r="DU340" t="str">
        <f>""</f>
        <v/>
      </c>
    </row>
    <row r="341" spans="1:125">
      <c r="A341" t="str">
        <f>$A$21</f>
        <v xml:space="preserve">    Kilroy Realty Corp</v>
      </c>
      <c r="B341" t="str">
        <f>$B$21</f>
        <v>KRC US Equity</v>
      </c>
      <c r="C341" t="str">
        <f>$C$21</f>
        <v>IM275</v>
      </c>
      <c r="D341" t="str">
        <f>$D$21</f>
        <v>IS_OTHER_RENTAL_INCOME</v>
      </c>
      <c r="E341" t="str">
        <f>$E$21</f>
        <v>动态</v>
      </c>
      <c r="F341" t="str">
        <f ca="1">BDH($B$21,$C$21,$B$292,$B$293,CONCATENATE("Per=",$B$290),"Dts=H","Dir=H",CONCATENATE("Points=",$B$291),"Sort=R","Days=A","Fill=B",CONCATENATE("FX=", $B$289) )</f>
        <v>#N/A Authorization</v>
      </c>
      <c r="BN341" t="str">
        <f>""</f>
        <v/>
      </c>
      <c r="BO341" t="str">
        <f>""</f>
        <v/>
      </c>
      <c r="BP341" t="str">
        <f>""</f>
        <v/>
      </c>
      <c r="BQ341" t="str">
        <f>""</f>
        <v/>
      </c>
      <c r="BR341" t="str">
        <f>""</f>
        <v/>
      </c>
      <c r="BS341" t="str">
        <f>""</f>
        <v/>
      </c>
      <c r="BT341" t="str">
        <f>""</f>
        <v/>
      </c>
      <c r="BU341" t="str">
        <f>""</f>
        <v/>
      </c>
      <c r="BV341" t="str">
        <f>""</f>
        <v/>
      </c>
      <c r="BW341" t="str">
        <f>""</f>
        <v/>
      </c>
      <c r="BX341" t="str">
        <f>""</f>
        <v/>
      </c>
      <c r="BY341" t="str">
        <f>""</f>
        <v/>
      </c>
      <c r="BZ341" t="str">
        <f>""</f>
        <v/>
      </c>
      <c r="CA341" t="str">
        <f>""</f>
        <v/>
      </c>
      <c r="CB341" t="str">
        <f>""</f>
        <v/>
      </c>
      <c r="CC341" t="str">
        <f>""</f>
        <v/>
      </c>
      <c r="CD341" t="str">
        <f>""</f>
        <v/>
      </c>
      <c r="CE341" t="str">
        <f>""</f>
        <v/>
      </c>
      <c r="CF341" t="str">
        <f>""</f>
        <v/>
      </c>
      <c r="CG341" t="str">
        <f>""</f>
        <v/>
      </c>
      <c r="CH341" t="str">
        <f>""</f>
        <v/>
      </c>
      <c r="CI341" t="str">
        <f>""</f>
        <v/>
      </c>
      <c r="CJ341" t="str">
        <f>""</f>
        <v/>
      </c>
      <c r="CK341" t="str">
        <f>""</f>
        <v/>
      </c>
      <c r="CL341" t="str">
        <f>""</f>
        <v/>
      </c>
      <c r="CM341" t="str">
        <f>""</f>
        <v/>
      </c>
      <c r="CN341" t="str">
        <f>""</f>
        <v/>
      </c>
      <c r="CO341" t="str">
        <f>""</f>
        <v/>
      </c>
      <c r="CP341" t="str">
        <f>""</f>
        <v/>
      </c>
      <c r="CQ341" t="str">
        <f>""</f>
        <v/>
      </c>
      <c r="CR341" t="str">
        <f>""</f>
        <v/>
      </c>
      <c r="CS341" t="str">
        <f>""</f>
        <v/>
      </c>
      <c r="CT341" t="str">
        <f>""</f>
        <v/>
      </c>
      <c r="CU341" t="str">
        <f>""</f>
        <v/>
      </c>
      <c r="CV341" t="str">
        <f>""</f>
        <v/>
      </c>
      <c r="CW341" t="str">
        <f>""</f>
        <v/>
      </c>
      <c r="CX341" t="str">
        <f>""</f>
        <v/>
      </c>
      <c r="CY341" t="str">
        <f>""</f>
        <v/>
      </c>
      <c r="CZ341" t="str">
        <f>""</f>
        <v/>
      </c>
      <c r="DA341" t="str">
        <f>""</f>
        <v/>
      </c>
      <c r="DB341" t="str">
        <f>""</f>
        <v/>
      </c>
      <c r="DC341" t="str">
        <f>""</f>
        <v/>
      </c>
      <c r="DD341" t="str">
        <f>""</f>
        <v/>
      </c>
      <c r="DE341" t="str">
        <f>""</f>
        <v/>
      </c>
      <c r="DF341" t="str">
        <f>""</f>
        <v/>
      </c>
      <c r="DG341" t="str">
        <f>""</f>
        <v/>
      </c>
      <c r="DH341" t="str">
        <f>""</f>
        <v/>
      </c>
      <c r="DI341" t="str">
        <f>""</f>
        <v/>
      </c>
      <c r="DJ341" t="str">
        <f>""</f>
        <v/>
      </c>
      <c r="DK341" t="str">
        <f>""</f>
        <v/>
      </c>
      <c r="DL341" t="str">
        <f>""</f>
        <v/>
      </c>
      <c r="DM341" t="str">
        <f>""</f>
        <v/>
      </c>
      <c r="DN341" t="str">
        <f>""</f>
        <v/>
      </c>
      <c r="DO341" t="str">
        <f>""</f>
        <v/>
      </c>
      <c r="DP341" t="str">
        <f>""</f>
        <v/>
      </c>
      <c r="DQ341" t="str">
        <f>""</f>
        <v/>
      </c>
      <c r="DR341" t="str">
        <f>""</f>
        <v/>
      </c>
      <c r="DS341" t="str">
        <f>""</f>
        <v/>
      </c>
      <c r="DT341" t="str">
        <f>""</f>
        <v/>
      </c>
      <c r="DU341" t="str">
        <f>""</f>
        <v/>
      </c>
    </row>
    <row r="342" spans="1:125">
      <c r="A342" t="str">
        <f>$A$22</f>
        <v xml:space="preserve">    Mack-Cali Realty Corp</v>
      </c>
      <c r="B342" t="str">
        <f>$B$22</f>
        <v>CLI US Equity</v>
      </c>
      <c r="C342" t="str">
        <f>$C$22</f>
        <v>IM275</v>
      </c>
      <c r="D342" t="str">
        <f>$D$22</f>
        <v>IS_OTHER_RENTAL_INCOME</v>
      </c>
      <c r="E342" t="str">
        <f>$E$22</f>
        <v>动态</v>
      </c>
      <c r="F342" t="str">
        <f ca="1">BDH($B$22,$C$22,$B$292,$B$293,CONCATENATE("Per=",$B$290),"Dts=H","Dir=H",CONCATENATE("Points=",$B$291),"Sort=R","Days=A","Fill=B",CONCATENATE("FX=", $B$289) )</f>
        <v>#N/A Authorization</v>
      </c>
      <c r="BN342" t="str">
        <f>""</f>
        <v/>
      </c>
      <c r="BO342" t="str">
        <f>""</f>
        <v/>
      </c>
      <c r="BP342" t="str">
        <f>""</f>
        <v/>
      </c>
      <c r="BQ342" t="str">
        <f>""</f>
        <v/>
      </c>
      <c r="BR342" t="str">
        <f>""</f>
        <v/>
      </c>
      <c r="BS342" t="str">
        <f>""</f>
        <v/>
      </c>
      <c r="BT342" t="str">
        <f>""</f>
        <v/>
      </c>
      <c r="BU342" t="str">
        <f>""</f>
        <v/>
      </c>
      <c r="BV342" t="str">
        <f>""</f>
        <v/>
      </c>
      <c r="BW342" t="str">
        <f>""</f>
        <v/>
      </c>
      <c r="BX342" t="str">
        <f>""</f>
        <v/>
      </c>
      <c r="BY342" t="str">
        <f>""</f>
        <v/>
      </c>
      <c r="BZ342" t="str">
        <f>""</f>
        <v/>
      </c>
      <c r="CA342" t="str">
        <f>""</f>
        <v/>
      </c>
      <c r="CB342" t="str">
        <f>""</f>
        <v/>
      </c>
      <c r="CC342" t="str">
        <f>""</f>
        <v/>
      </c>
      <c r="CD342" t="str">
        <f>""</f>
        <v/>
      </c>
      <c r="CE342" t="str">
        <f>""</f>
        <v/>
      </c>
      <c r="CF342" t="str">
        <f>""</f>
        <v/>
      </c>
      <c r="CG342" t="str">
        <f>""</f>
        <v/>
      </c>
      <c r="CH342" t="str">
        <f>""</f>
        <v/>
      </c>
      <c r="CI342" t="str">
        <f>""</f>
        <v/>
      </c>
      <c r="CJ342" t="str">
        <f>""</f>
        <v/>
      </c>
      <c r="CK342" t="str">
        <f>""</f>
        <v/>
      </c>
      <c r="CL342" t="str">
        <f>""</f>
        <v/>
      </c>
      <c r="CM342" t="str">
        <f>""</f>
        <v/>
      </c>
      <c r="CN342" t="str">
        <f>""</f>
        <v/>
      </c>
      <c r="CO342" t="str">
        <f>""</f>
        <v/>
      </c>
      <c r="CP342" t="str">
        <f>""</f>
        <v/>
      </c>
      <c r="CQ342" t="str">
        <f>""</f>
        <v/>
      </c>
      <c r="CR342" t="str">
        <f>""</f>
        <v/>
      </c>
      <c r="CS342" t="str">
        <f>""</f>
        <v/>
      </c>
      <c r="CT342" t="str">
        <f>""</f>
        <v/>
      </c>
      <c r="CU342" t="str">
        <f>""</f>
        <v/>
      </c>
      <c r="CV342" t="str">
        <f>""</f>
        <v/>
      </c>
      <c r="CW342" t="str">
        <f>""</f>
        <v/>
      </c>
      <c r="CX342" t="str">
        <f>""</f>
        <v/>
      </c>
      <c r="CY342" t="str">
        <f>""</f>
        <v/>
      </c>
      <c r="CZ342" t="str">
        <f>""</f>
        <v/>
      </c>
      <c r="DA342" t="str">
        <f>""</f>
        <v/>
      </c>
      <c r="DB342" t="str">
        <f>""</f>
        <v/>
      </c>
      <c r="DC342" t="str">
        <f>""</f>
        <v/>
      </c>
      <c r="DD342" t="str">
        <f>""</f>
        <v/>
      </c>
      <c r="DE342" t="str">
        <f>""</f>
        <v/>
      </c>
      <c r="DF342" t="str">
        <f>""</f>
        <v/>
      </c>
      <c r="DG342" t="str">
        <f>""</f>
        <v/>
      </c>
      <c r="DH342" t="str">
        <f>""</f>
        <v/>
      </c>
      <c r="DI342" t="str">
        <f>""</f>
        <v/>
      </c>
      <c r="DJ342" t="str">
        <f>""</f>
        <v/>
      </c>
      <c r="DK342" t="str">
        <f>""</f>
        <v/>
      </c>
      <c r="DL342" t="str">
        <f>""</f>
        <v/>
      </c>
      <c r="DM342" t="str">
        <f>""</f>
        <v/>
      </c>
      <c r="DN342" t="str">
        <f>""</f>
        <v/>
      </c>
      <c r="DO342" t="str">
        <f>""</f>
        <v/>
      </c>
      <c r="DP342" t="str">
        <f>""</f>
        <v/>
      </c>
      <c r="DQ342" t="str">
        <f>""</f>
        <v/>
      </c>
      <c r="DR342" t="str">
        <f>""</f>
        <v/>
      </c>
      <c r="DS342" t="str">
        <f>""</f>
        <v/>
      </c>
      <c r="DT342" t="str">
        <f>""</f>
        <v/>
      </c>
      <c r="DU342" t="str">
        <f>""</f>
        <v/>
      </c>
    </row>
    <row r="343" spans="1:125">
      <c r="A343" t="str">
        <f>$A$23</f>
        <v xml:space="preserve">    Piedmont Office Realty Trust I</v>
      </c>
      <c r="B343" t="str">
        <f>$B$23</f>
        <v>PDM US Equity</v>
      </c>
      <c r="C343" t="str">
        <f>$C$23</f>
        <v>IM275</v>
      </c>
      <c r="D343" t="str">
        <f>$D$23</f>
        <v>IS_OTHER_RENTAL_INCOME</v>
      </c>
      <c r="E343" t="str">
        <f>$E$23</f>
        <v>动态</v>
      </c>
      <c r="F343" t="str">
        <f ca="1">BDH($B$23,$C$23,$B$292,$B$293,CONCATENATE("Per=",$B$290),"Dts=H","Dir=H",CONCATENATE("Points=",$B$291),"Sort=R","Days=A","Fill=B",CONCATENATE("FX=", $B$289) )</f>
        <v>#N/A Authorization</v>
      </c>
      <c r="BN343" t="str">
        <f>""</f>
        <v/>
      </c>
      <c r="BO343" t="str">
        <f>""</f>
        <v/>
      </c>
      <c r="BP343" t="str">
        <f>""</f>
        <v/>
      </c>
      <c r="BQ343" t="str">
        <f>""</f>
        <v/>
      </c>
      <c r="BR343" t="str">
        <f>""</f>
        <v/>
      </c>
      <c r="BS343" t="str">
        <f>""</f>
        <v/>
      </c>
      <c r="BT343" t="str">
        <f>""</f>
        <v/>
      </c>
      <c r="BU343" t="str">
        <f>""</f>
        <v/>
      </c>
      <c r="BV343" t="str">
        <f>""</f>
        <v/>
      </c>
      <c r="BW343" t="str">
        <f>""</f>
        <v/>
      </c>
      <c r="BX343" t="str">
        <f>""</f>
        <v/>
      </c>
      <c r="BY343" t="str">
        <f>""</f>
        <v/>
      </c>
      <c r="BZ343" t="str">
        <f>""</f>
        <v/>
      </c>
      <c r="CA343" t="str">
        <f>""</f>
        <v/>
      </c>
      <c r="CB343" t="str">
        <f>""</f>
        <v/>
      </c>
      <c r="CC343" t="str">
        <f>""</f>
        <v/>
      </c>
      <c r="CD343" t="str">
        <f>""</f>
        <v/>
      </c>
      <c r="CE343" t="str">
        <f>""</f>
        <v/>
      </c>
      <c r="CF343" t="str">
        <f>""</f>
        <v/>
      </c>
      <c r="CG343" t="str">
        <f>""</f>
        <v/>
      </c>
      <c r="CH343" t="str">
        <f>""</f>
        <v/>
      </c>
      <c r="CI343" t="str">
        <f>""</f>
        <v/>
      </c>
      <c r="CJ343" t="str">
        <f>""</f>
        <v/>
      </c>
      <c r="CK343" t="str">
        <f>""</f>
        <v/>
      </c>
      <c r="CL343" t="str">
        <f>""</f>
        <v/>
      </c>
      <c r="CM343" t="str">
        <f>""</f>
        <v/>
      </c>
      <c r="CN343" t="str">
        <f>""</f>
        <v/>
      </c>
      <c r="CO343" t="str">
        <f>""</f>
        <v/>
      </c>
      <c r="CP343" t="str">
        <f>""</f>
        <v/>
      </c>
      <c r="CQ343" t="str">
        <f>""</f>
        <v/>
      </c>
      <c r="CR343" t="str">
        <f>""</f>
        <v/>
      </c>
      <c r="CS343" t="str">
        <f>""</f>
        <v/>
      </c>
      <c r="CT343" t="str">
        <f>""</f>
        <v/>
      </c>
      <c r="CU343" t="str">
        <f>""</f>
        <v/>
      </c>
      <c r="CV343" t="str">
        <f>""</f>
        <v/>
      </c>
      <c r="CW343" t="str">
        <f>""</f>
        <v/>
      </c>
      <c r="CX343" t="str">
        <f>""</f>
        <v/>
      </c>
      <c r="CY343" t="str">
        <f>""</f>
        <v/>
      </c>
      <c r="CZ343" t="str">
        <f>""</f>
        <v/>
      </c>
      <c r="DA343" t="str">
        <f>""</f>
        <v/>
      </c>
      <c r="DB343" t="str">
        <f>""</f>
        <v/>
      </c>
      <c r="DC343" t="str">
        <f>""</f>
        <v/>
      </c>
      <c r="DD343" t="str">
        <f>""</f>
        <v/>
      </c>
      <c r="DE343" t="str">
        <f>""</f>
        <v/>
      </c>
      <c r="DF343" t="str">
        <f>""</f>
        <v/>
      </c>
      <c r="DG343" t="str">
        <f>""</f>
        <v/>
      </c>
      <c r="DH343" t="str">
        <f>""</f>
        <v/>
      </c>
      <c r="DI343" t="str">
        <f>""</f>
        <v/>
      </c>
      <c r="DJ343" t="str">
        <f>""</f>
        <v/>
      </c>
      <c r="DK343" t="str">
        <f>""</f>
        <v/>
      </c>
      <c r="DL343" t="str">
        <f>""</f>
        <v/>
      </c>
      <c r="DM343" t="str">
        <f>""</f>
        <v/>
      </c>
      <c r="DN343" t="str">
        <f>""</f>
        <v/>
      </c>
      <c r="DO343" t="str">
        <f>""</f>
        <v/>
      </c>
      <c r="DP343" t="str">
        <f>""</f>
        <v/>
      </c>
      <c r="DQ343" t="str">
        <f>""</f>
        <v/>
      </c>
      <c r="DR343" t="str">
        <f>""</f>
        <v/>
      </c>
      <c r="DS343" t="str">
        <f>""</f>
        <v/>
      </c>
      <c r="DT343" t="str">
        <f>""</f>
        <v/>
      </c>
      <c r="DU343" t="str">
        <f>""</f>
        <v/>
      </c>
    </row>
    <row r="344" spans="1:125">
      <c r="A344" t="str">
        <f>$A$24</f>
        <v xml:space="preserve">    SL Green Realty Corp</v>
      </c>
      <c r="B344" t="str">
        <f>$B$24</f>
        <v>SLG US Equity</v>
      </c>
      <c r="C344" t="str">
        <f>$C$24</f>
        <v>IM275</v>
      </c>
      <c r="D344" t="str">
        <f>$D$24</f>
        <v>IS_OTHER_RENTAL_INCOME</v>
      </c>
      <c r="E344" t="str">
        <f>$E$24</f>
        <v>动态</v>
      </c>
      <c r="F344" t="str">
        <f ca="1">BDH($B$24,$C$24,$B$292,$B$293,CONCATENATE("Per=",$B$290),"Dts=H","Dir=H",CONCATENATE("Points=",$B$291),"Sort=R","Days=A","Fill=B",CONCATENATE("FX=", $B$289) )</f>
        <v>#N/A Authorization</v>
      </c>
      <c r="BN344" t="str">
        <f>""</f>
        <v/>
      </c>
      <c r="BO344" t="str">
        <f>""</f>
        <v/>
      </c>
      <c r="BP344" t="str">
        <f>""</f>
        <v/>
      </c>
      <c r="BQ344" t="str">
        <f>""</f>
        <v/>
      </c>
      <c r="BR344" t="str">
        <f>""</f>
        <v/>
      </c>
      <c r="BS344" t="str">
        <f>""</f>
        <v/>
      </c>
      <c r="BT344" t="str">
        <f>""</f>
        <v/>
      </c>
      <c r="BU344" t="str">
        <f>""</f>
        <v/>
      </c>
      <c r="BV344" t="str">
        <f>""</f>
        <v/>
      </c>
      <c r="BW344" t="str">
        <f>""</f>
        <v/>
      </c>
      <c r="BX344" t="str">
        <f>""</f>
        <v/>
      </c>
      <c r="BY344" t="str">
        <f>""</f>
        <v/>
      </c>
      <c r="BZ344" t="str">
        <f>""</f>
        <v/>
      </c>
      <c r="CA344" t="str">
        <f>""</f>
        <v/>
      </c>
      <c r="CB344" t="str">
        <f>""</f>
        <v/>
      </c>
      <c r="CC344" t="str">
        <f>""</f>
        <v/>
      </c>
      <c r="CD344" t="str">
        <f>""</f>
        <v/>
      </c>
      <c r="CE344" t="str">
        <f>""</f>
        <v/>
      </c>
      <c r="CF344" t="str">
        <f>""</f>
        <v/>
      </c>
      <c r="CG344" t="str">
        <f>""</f>
        <v/>
      </c>
      <c r="CH344" t="str">
        <f>""</f>
        <v/>
      </c>
      <c r="CI344" t="str">
        <f>""</f>
        <v/>
      </c>
      <c r="CJ344" t="str">
        <f>""</f>
        <v/>
      </c>
      <c r="CK344" t="str">
        <f>""</f>
        <v/>
      </c>
      <c r="CL344" t="str">
        <f>""</f>
        <v/>
      </c>
      <c r="CM344" t="str">
        <f>""</f>
        <v/>
      </c>
      <c r="CN344" t="str">
        <f>""</f>
        <v/>
      </c>
      <c r="CO344" t="str">
        <f>""</f>
        <v/>
      </c>
      <c r="CP344" t="str">
        <f>""</f>
        <v/>
      </c>
      <c r="CQ344" t="str">
        <f>""</f>
        <v/>
      </c>
      <c r="CR344" t="str">
        <f>""</f>
        <v/>
      </c>
      <c r="CS344" t="str">
        <f>""</f>
        <v/>
      </c>
      <c r="CT344" t="str">
        <f>""</f>
        <v/>
      </c>
      <c r="CU344" t="str">
        <f>""</f>
        <v/>
      </c>
      <c r="CV344" t="str">
        <f>""</f>
        <v/>
      </c>
      <c r="CW344" t="str">
        <f>""</f>
        <v/>
      </c>
      <c r="CX344" t="str">
        <f>""</f>
        <v/>
      </c>
      <c r="CY344" t="str">
        <f>""</f>
        <v/>
      </c>
      <c r="CZ344" t="str">
        <f>""</f>
        <v/>
      </c>
      <c r="DA344" t="str">
        <f>""</f>
        <v/>
      </c>
      <c r="DB344" t="str">
        <f>""</f>
        <v/>
      </c>
      <c r="DC344" t="str">
        <f>""</f>
        <v/>
      </c>
      <c r="DD344" t="str">
        <f>""</f>
        <v/>
      </c>
      <c r="DE344" t="str">
        <f>""</f>
        <v/>
      </c>
      <c r="DF344" t="str">
        <f>""</f>
        <v/>
      </c>
      <c r="DG344" t="str">
        <f>""</f>
        <v/>
      </c>
      <c r="DH344" t="str">
        <f>""</f>
        <v/>
      </c>
      <c r="DI344" t="str">
        <f>""</f>
        <v/>
      </c>
      <c r="DJ344" t="str">
        <f>""</f>
        <v/>
      </c>
      <c r="DK344" t="str">
        <f>""</f>
        <v/>
      </c>
      <c r="DL344" t="str">
        <f>""</f>
        <v/>
      </c>
      <c r="DM344" t="str">
        <f>""</f>
        <v/>
      </c>
      <c r="DN344" t="str">
        <f>""</f>
        <v/>
      </c>
      <c r="DO344" t="str">
        <f>""</f>
        <v/>
      </c>
      <c r="DP344" t="str">
        <f>""</f>
        <v/>
      </c>
      <c r="DQ344" t="str">
        <f>""</f>
        <v/>
      </c>
      <c r="DR344" t="str">
        <f>""</f>
        <v/>
      </c>
      <c r="DS344" t="str">
        <f>""</f>
        <v/>
      </c>
      <c r="DT344" t="str">
        <f>""</f>
        <v/>
      </c>
      <c r="DU344" t="str">
        <f>""</f>
        <v/>
      </c>
    </row>
    <row r="345" spans="1:125">
      <c r="A345" t="str">
        <f>$A$25</f>
        <v xml:space="preserve">    Vornado Realty Trust</v>
      </c>
      <c r="B345" t="str">
        <f>$B$25</f>
        <v>VNO US Equity</v>
      </c>
      <c r="C345" t="str">
        <f>$C$25</f>
        <v>IM275</v>
      </c>
      <c r="D345" t="str">
        <f>$D$25</f>
        <v>IS_OTHER_RENTAL_INCOME</v>
      </c>
      <c r="E345" t="str">
        <f>$E$25</f>
        <v>动态</v>
      </c>
      <c r="F345" t="str">
        <f ca="1">BDH($B$25,$C$25,$B$292,$B$293,CONCATENATE("Per=",$B$290),"Dts=H","Dir=H",CONCATENATE("Points=",$B$291),"Sort=R","Days=A","Fill=B",CONCATENATE("FX=", $B$289) )</f>
        <v>#N/A Authorization</v>
      </c>
      <c r="BN345" t="str">
        <f>""</f>
        <v/>
      </c>
      <c r="BO345" t="str">
        <f>""</f>
        <v/>
      </c>
      <c r="BP345" t="str">
        <f>""</f>
        <v/>
      </c>
      <c r="BQ345" t="str">
        <f>""</f>
        <v/>
      </c>
      <c r="BR345" t="str">
        <f>""</f>
        <v/>
      </c>
      <c r="BS345" t="str">
        <f>""</f>
        <v/>
      </c>
      <c r="BT345" t="str">
        <f>""</f>
        <v/>
      </c>
      <c r="BU345" t="str">
        <f>""</f>
        <v/>
      </c>
      <c r="BV345" t="str">
        <f>""</f>
        <v/>
      </c>
      <c r="BW345" t="str">
        <f>""</f>
        <v/>
      </c>
      <c r="BX345" t="str">
        <f>""</f>
        <v/>
      </c>
      <c r="BY345" t="str">
        <f>""</f>
        <v/>
      </c>
      <c r="BZ345" t="str">
        <f>""</f>
        <v/>
      </c>
      <c r="CA345" t="str">
        <f>""</f>
        <v/>
      </c>
      <c r="CB345" t="str">
        <f>""</f>
        <v/>
      </c>
      <c r="CC345" t="str">
        <f>""</f>
        <v/>
      </c>
      <c r="CD345" t="str">
        <f>""</f>
        <v/>
      </c>
      <c r="CE345" t="str">
        <f>""</f>
        <v/>
      </c>
      <c r="CF345" t="str">
        <f>""</f>
        <v/>
      </c>
      <c r="CG345" t="str">
        <f>""</f>
        <v/>
      </c>
      <c r="CH345" t="str">
        <f>""</f>
        <v/>
      </c>
      <c r="CI345" t="str">
        <f>""</f>
        <v/>
      </c>
      <c r="CJ345" t="str">
        <f>""</f>
        <v/>
      </c>
      <c r="CK345" t="str">
        <f>""</f>
        <v/>
      </c>
      <c r="CL345" t="str">
        <f>""</f>
        <v/>
      </c>
      <c r="CM345" t="str">
        <f>""</f>
        <v/>
      </c>
      <c r="CN345" t="str">
        <f>""</f>
        <v/>
      </c>
      <c r="CO345" t="str">
        <f>""</f>
        <v/>
      </c>
      <c r="CP345" t="str">
        <f>""</f>
        <v/>
      </c>
      <c r="CQ345" t="str">
        <f>""</f>
        <v/>
      </c>
      <c r="CR345" t="str">
        <f>""</f>
        <v/>
      </c>
      <c r="CS345" t="str">
        <f>""</f>
        <v/>
      </c>
      <c r="CT345" t="str">
        <f>""</f>
        <v/>
      </c>
      <c r="CU345" t="str">
        <f>""</f>
        <v/>
      </c>
      <c r="CV345" t="str">
        <f>""</f>
        <v/>
      </c>
      <c r="CW345" t="str">
        <f>""</f>
        <v/>
      </c>
      <c r="CX345" t="str">
        <f>""</f>
        <v/>
      </c>
      <c r="CY345" t="str">
        <f>""</f>
        <v/>
      </c>
      <c r="CZ345" t="str">
        <f>""</f>
        <v/>
      </c>
      <c r="DA345" t="str">
        <f>""</f>
        <v/>
      </c>
      <c r="DB345" t="str">
        <f>""</f>
        <v/>
      </c>
      <c r="DC345" t="str">
        <f>""</f>
        <v/>
      </c>
      <c r="DD345" t="str">
        <f>""</f>
        <v/>
      </c>
      <c r="DE345" t="str">
        <f>""</f>
        <v/>
      </c>
      <c r="DF345" t="str">
        <f>""</f>
        <v/>
      </c>
      <c r="DG345" t="str">
        <f>""</f>
        <v/>
      </c>
      <c r="DH345" t="str">
        <f>""</f>
        <v/>
      </c>
      <c r="DI345" t="str">
        <f>""</f>
        <v/>
      </c>
      <c r="DJ345" t="str">
        <f>""</f>
        <v/>
      </c>
      <c r="DK345" t="str">
        <f>""</f>
        <v/>
      </c>
      <c r="DL345" t="str">
        <f>""</f>
        <v/>
      </c>
      <c r="DM345" t="str">
        <f>""</f>
        <v/>
      </c>
      <c r="DN345" t="str">
        <f>""</f>
        <v/>
      </c>
      <c r="DO345" t="str">
        <f>""</f>
        <v/>
      </c>
      <c r="DP345" t="str">
        <f>""</f>
        <v/>
      </c>
      <c r="DQ345" t="str">
        <f>""</f>
        <v/>
      </c>
      <c r="DR345" t="str">
        <f>""</f>
        <v/>
      </c>
      <c r="DS345" t="str">
        <f>""</f>
        <v/>
      </c>
      <c r="DT345" t="str">
        <f>""</f>
        <v/>
      </c>
      <c r="DU345" t="str">
        <f>""</f>
        <v/>
      </c>
    </row>
    <row r="346" spans="1:125">
      <c r="A346" t="str">
        <f>$A$27</f>
        <v xml:space="preserve">    Boston Properties Inc</v>
      </c>
      <c r="B346" t="str">
        <f>$B$27</f>
        <v>BXP US Equity</v>
      </c>
      <c r="C346" t="str">
        <f>$C$27</f>
        <v>IM281</v>
      </c>
      <c r="D346" t="str">
        <f>$D$27</f>
        <v>IS_NON_REAL_ESTATE_INCOME</v>
      </c>
      <c r="E346" t="str">
        <f>$E$27</f>
        <v>动态</v>
      </c>
      <c r="F346" t="str">
        <f ca="1">BDH($B$27,$C$27,$B$292,$B$293,CONCATENATE("Per=",$B$290),"Dts=H","Dir=H",CONCATENATE("Points=",$B$291),"Sort=R","Days=A","Fill=B",CONCATENATE("FX=", $B$289) )</f>
        <v>#N/A Authorization</v>
      </c>
      <c r="BN346" t="str">
        <f>""</f>
        <v/>
      </c>
      <c r="BO346" t="str">
        <f>""</f>
        <v/>
      </c>
      <c r="BP346" t="str">
        <f>""</f>
        <v/>
      </c>
      <c r="BQ346" t="str">
        <f>""</f>
        <v/>
      </c>
      <c r="BR346" t="str">
        <f>""</f>
        <v/>
      </c>
      <c r="BS346" t="str">
        <f>""</f>
        <v/>
      </c>
      <c r="BT346" t="str">
        <f>""</f>
        <v/>
      </c>
      <c r="BU346" t="str">
        <f>""</f>
        <v/>
      </c>
      <c r="BV346" t="str">
        <f>""</f>
        <v/>
      </c>
      <c r="BW346" t="str">
        <f>""</f>
        <v/>
      </c>
      <c r="BX346" t="str">
        <f>""</f>
        <v/>
      </c>
      <c r="BY346" t="str">
        <f>""</f>
        <v/>
      </c>
      <c r="BZ346" t="str">
        <f>""</f>
        <v/>
      </c>
      <c r="CA346" t="str">
        <f>""</f>
        <v/>
      </c>
      <c r="CB346" t="str">
        <f>""</f>
        <v/>
      </c>
      <c r="CC346" t="str">
        <f>""</f>
        <v/>
      </c>
      <c r="CD346" t="str">
        <f>""</f>
        <v/>
      </c>
      <c r="CE346" t="str">
        <f>""</f>
        <v/>
      </c>
      <c r="CF346" t="str">
        <f>""</f>
        <v/>
      </c>
      <c r="CG346" t="str">
        <f>""</f>
        <v/>
      </c>
      <c r="CH346" t="str">
        <f>""</f>
        <v/>
      </c>
      <c r="CI346" t="str">
        <f>""</f>
        <v/>
      </c>
      <c r="CJ346" t="str">
        <f>""</f>
        <v/>
      </c>
      <c r="CK346" t="str">
        <f>""</f>
        <v/>
      </c>
      <c r="CL346" t="str">
        <f>""</f>
        <v/>
      </c>
      <c r="CM346" t="str">
        <f>""</f>
        <v/>
      </c>
      <c r="CN346" t="str">
        <f>""</f>
        <v/>
      </c>
      <c r="CO346" t="str">
        <f>""</f>
        <v/>
      </c>
      <c r="CP346" t="str">
        <f>""</f>
        <v/>
      </c>
      <c r="CQ346" t="str">
        <f>""</f>
        <v/>
      </c>
      <c r="CR346" t="str">
        <f>""</f>
        <v/>
      </c>
      <c r="CS346" t="str">
        <f>""</f>
        <v/>
      </c>
      <c r="CT346" t="str">
        <f>""</f>
        <v/>
      </c>
      <c r="CU346" t="str">
        <f>""</f>
        <v/>
      </c>
      <c r="CV346" t="str">
        <f>""</f>
        <v/>
      </c>
      <c r="CW346" t="str">
        <f>""</f>
        <v/>
      </c>
      <c r="CX346" t="str">
        <f>""</f>
        <v/>
      </c>
      <c r="CY346" t="str">
        <f>""</f>
        <v/>
      </c>
      <c r="CZ346" t="str">
        <f>""</f>
        <v/>
      </c>
      <c r="DA346" t="str">
        <f>""</f>
        <v/>
      </c>
      <c r="DB346" t="str">
        <f>""</f>
        <v/>
      </c>
      <c r="DC346" t="str">
        <f>""</f>
        <v/>
      </c>
      <c r="DD346" t="str">
        <f>""</f>
        <v/>
      </c>
      <c r="DE346" t="str">
        <f>""</f>
        <v/>
      </c>
      <c r="DF346" t="str">
        <f>""</f>
        <v/>
      </c>
      <c r="DG346" t="str">
        <f>""</f>
        <v/>
      </c>
      <c r="DH346" t="str">
        <f>""</f>
        <v/>
      </c>
      <c r="DI346" t="str">
        <f>""</f>
        <v/>
      </c>
      <c r="DJ346" t="str">
        <f>""</f>
        <v/>
      </c>
      <c r="DK346" t="str">
        <f>""</f>
        <v/>
      </c>
      <c r="DL346" t="str">
        <f>""</f>
        <v/>
      </c>
      <c r="DM346" t="str">
        <f>""</f>
        <v/>
      </c>
      <c r="DN346" t="str">
        <f>""</f>
        <v/>
      </c>
      <c r="DO346" t="str">
        <f>""</f>
        <v/>
      </c>
      <c r="DP346" t="str">
        <f>""</f>
        <v/>
      </c>
      <c r="DQ346" t="str">
        <f>""</f>
        <v/>
      </c>
      <c r="DR346" t="str">
        <f>""</f>
        <v/>
      </c>
      <c r="DS346" t="str">
        <f>""</f>
        <v/>
      </c>
      <c r="DT346" t="str">
        <f>""</f>
        <v/>
      </c>
      <c r="DU346" t="str">
        <f>""</f>
        <v/>
      </c>
    </row>
    <row r="347" spans="1:125">
      <c r="A347" t="str">
        <f>$A$28</f>
        <v xml:space="preserve">    Brandywine Realty Trust</v>
      </c>
      <c r="B347" t="str">
        <f>$B$28</f>
        <v>BDN US Equity</v>
      </c>
      <c r="C347" t="str">
        <f>$C$28</f>
        <v>IM281</v>
      </c>
      <c r="D347" t="str">
        <f>$D$28</f>
        <v>IS_NON_REAL_ESTATE_INCOME</v>
      </c>
      <c r="E347" t="str">
        <f>$E$28</f>
        <v>动态</v>
      </c>
      <c r="F347" t="str">
        <f ca="1">BDH($B$28,$C$28,$B$292,$B$293,CONCATENATE("Per=",$B$290),"Dts=H","Dir=H",CONCATENATE("Points=",$B$291),"Sort=R","Days=A","Fill=B",CONCATENATE("FX=", $B$289) )</f>
        <v>#N/A Authorization</v>
      </c>
      <c r="BN347" t="str">
        <f>""</f>
        <v/>
      </c>
      <c r="BO347" t="str">
        <f>""</f>
        <v/>
      </c>
      <c r="BP347" t="str">
        <f>""</f>
        <v/>
      </c>
      <c r="BQ347" t="str">
        <f>""</f>
        <v/>
      </c>
      <c r="BR347" t="str">
        <f>""</f>
        <v/>
      </c>
      <c r="BS347" t="str">
        <f>""</f>
        <v/>
      </c>
      <c r="BT347" t="str">
        <f>""</f>
        <v/>
      </c>
      <c r="BU347" t="str">
        <f>""</f>
        <v/>
      </c>
      <c r="BV347" t="str">
        <f>""</f>
        <v/>
      </c>
      <c r="BW347" t="str">
        <f>""</f>
        <v/>
      </c>
      <c r="BX347" t="str">
        <f>""</f>
        <v/>
      </c>
      <c r="BY347" t="str">
        <f>""</f>
        <v/>
      </c>
      <c r="BZ347" t="str">
        <f>""</f>
        <v/>
      </c>
      <c r="CA347" t="str">
        <f>""</f>
        <v/>
      </c>
      <c r="CB347" t="str">
        <f>""</f>
        <v/>
      </c>
      <c r="CC347" t="str">
        <f>""</f>
        <v/>
      </c>
      <c r="CD347" t="str">
        <f>""</f>
        <v/>
      </c>
      <c r="CE347" t="str">
        <f>""</f>
        <v/>
      </c>
      <c r="CF347" t="str">
        <f>""</f>
        <v/>
      </c>
      <c r="CG347" t="str">
        <f>""</f>
        <v/>
      </c>
      <c r="CH347" t="str">
        <f>""</f>
        <v/>
      </c>
      <c r="CI347" t="str">
        <f>""</f>
        <v/>
      </c>
      <c r="CJ347" t="str">
        <f>""</f>
        <v/>
      </c>
      <c r="CK347" t="str">
        <f>""</f>
        <v/>
      </c>
      <c r="CL347" t="str">
        <f>""</f>
        <v/>
      </c>
      <c r="CM347" t="str">
        <f>""</f>
        <v/>
      </c>
      <c r="CN347" t="str">
        <f>""</f>
        <v/>
      </c>
      <c r="CO347" t="str">
        <f>""</f>
        <v/>
      </c>
      <c r="CP347" t="str">
        <f>""</f>
        <v/>
      </c>
      <c r="CQ347" t="str">
        <f>""</f>
        <v/>
      </c>
      <c r="CR347" t="str">
        <f>""</f>
        <v/>
      </c>
      <c r="CS347" t="str">
        <f>""</f>
        <v/>
      </c>
      <c r="CT347" t="str">
        <f>""</f>
        <v/>
      </c>
      <c r="CU347" t="str">
        <f>""</f>
        <v/>
      </c>
      <c r="CV347" t="str">
        <f>""</f>
        <v/>
      </c>
      <c r="CW347" t="str">
        <f>""</f>
        <v/>
      </c>
      <c r="CX347" t="str">
        <f>""</f>
        <v/>
      </c>
      <c r="CY347" t="str">
        <f>""</f>
        <v/>
      </c>
      <c r="CZ347" t="str">
        <f>""</f>
        <v/>
      </c>
      <c r="DA347" t="str">
        <f>""</f>
        <v/>
      </c>
      <c r="DB347" t="str">
        <f>""</f>
        <v/>
      </c>
      <c r="DC347" t="str">
        <f>""</f>
        <v/>
      </c>
      <c r="DD347" t="str">
        <f>""</f>
        <v/>
      </c>
      <c r="DE347" t="str">
        <f>""</f>
        <v/>
      </c>
      <c r="DF347" t="str">
        <f>""</f>
        <v/>
      </c>
      <c r="DG347" t="str">
        <f>""</f>
        <v/>
      </c>
      <c r="DH347" t="str">
        <f>""</f>
        <v/>
      </c>
      <c r="DI347" t="str">
        <f>""</f>
        <v/>
      </c>
      <c r="DJ347" t="str">
        <f>""</f>
        <v/>
      </c>
      <c r="DK347" t="str">
        <f>""</f>
        <v/>
      </c>
      <c r="DL347" t="str">
        <f>""</f>
        <v/>
      </c>
      <c r="DM347" t="str">
        <f>""</f>
        <v/>
      </c>
      <c r="DN347" t="str">
        <f>""</f>
        <v/>
      </c>
      <c r="DO347" t="str">
        <f>""</f>
        <v/>
      </c>
      <c r="DP347" t="str">
        <f>""</f>
        <v/>
      </c>
      <c r="DQ347" t="str">
        <f>""</f>
        <v/>
      </c>
      <c r="DR347" t="str">
        <f>""</f>
        <v/>
      </c>
      <c r="DS347" t="str">
        <f>""</f>
        <v/>
      </c>
      <c r="DT347" t="str">
        <f>""</f>
        <v/>
      </c>
      <c r="DU347" t="str">
        <f>""</f>
        <v/>
      </c>
    </row>
    <row r="348" spans="1:125">
      <c r="A348" t="str">
        <f>$A$29</f>
        <v xml:space="preserve">    Columbia Property Trust Inc</v>
      </c>
      <c r="B348" t="str">
        <f>$B$29</f>
        <v>CXP US Equity</v>
      </c>
      <c r="C348" t="str">
        <f>$C$29</f>
        <v>IM281</v>
      </c>
      <c r="D348" t="str">
        <f>$D$29</f>
        <v>IS_NON_REAL_ESTATE_INCOME</v>
      </c>
      <c r="E348" t="str">
        <f>$E$29</f>
        <v>动态</v>
      </c>
      <c r="F348" t="str">
        <f ca="1">BDH($B$29,$C$29,$B$292,$B$293,CONCATENATE("Per=",$B$290),"Dts=H","Dir=H",CONCATENATE("Points=",$B$291),"Sort=R","Days=A","Fill=B",CONCATENATE("FX=", $B$289) )</f>
        <v>#N/A Authorization</v>
      </c>
      <c r="BN348" t="str">
        <f>""</f>
        <v/>
      </c>
      <c r="BO348" t="str">
        <f>""</f>
        <v/>
      </c>
      <c r="BP348" t="str">
        <f>""</f>
        <v/>
      </c>
      <c r="BQ348" t="str">
        <f>""</f>
        <v/>
      </c>
      <c r="BR348" t="str">
        <f>""</f>
        <v/>
      </c>
      <c r="BS348" t="str">
        <f>""</f>
        <v/>
      </c>
      <c r="BT348" t="str">
        <f>""</f>
        <v/>
      </c>
      <c r="BU348" t="str">
        <f>""</f>
        <v/>
      </c>
      <c r="BV348" t="str">
        <f>""</f>
        <v/>
      </c>
      <c r="BW348" t="str">
        <f>""</f>
        <v/>
      </c>
      <c r="BX348" t="str">
        <f>""</f>
        <v/>
      </c>
      <c r="BY348" t="str">
        <f>""</f>
        <v/>
      </c>
      <c r="BZ348" t="str">
        <f>""</f>
        <v/>
      </c>
      <c r="CA348" t="str">
        <f>""</f>
        <v/>
      </c>
      <c r="CB348" t="str">
        <f>""</f>
        <v/>
      </c>
      <c r="CC348" t="str">
        <f>""</f>
        <v/>
      </c>
      <c r="CD348" t="str">
        <f>""</f>
        <v/>
      </c>
      <c r="CE348" t="str">
        <f>""</f>
        <v/>
      </c>
      <c r="CF348" t="str">
        <f>""</f>
        <v/>
      </c>
      <c r="CG348" t="str">
        <f>""</f>
        <v/>
      </c>
      <c r="CH348" t="str">
        <f>""</f>
        <v/>
      </c>
      <c r="CI348" t="str">
        <f>""</f>
        <v/>
      </c>
      <c r="CJ348" t="str">
        <f>""</f>
        <v/>
      </c>
      <c r="CK348" t="str">
        <f>""</f>
        <v/>
      </c>
      <c r="CL348" t="str">
        <f>""</f>
        <v/>
      </c>
      <c r="CM348" t="str">
        <f>""</f>
        <v/>
      </c>
      <c r="CN348" t="str">
        <f>""</f>
        <v/>
      </c>
      <c r="CO348" t="str">
        <f>""</f>
        <v/>
      </c>
      <c r="CP348" t="str">
        <f>""</f>
        <v/>
      </c>
      <c r="CQ348" t="str">
        <f>""</f>
        <v/>
      </c>
      <c r="CR348" t="str">
        <f>""</f>
        <v/>
      </c>
      <c r="CS348" t="str">
        <f>""</f>
        <v/>
      </c>
      <c r="CT348" t="str">
        <f>""</f>
        <v/>
      </c>
      <c r="CU348" t="str">
        <f>""</f>
        <v/>
      </c>
      <c r="CV348" t="str">
        <f>""</f>
        <v/>
      </c>
      <c r="CW348" t="str">
        <f>""</f>
        <v/>
      </c>
      <c r="CX348" t="str">
        <f>""</f>
        <v/>
      </c>
      <c r="CY348" t="str">
        <f>""</f>
        <v/>
      </c>
      <c r="CZ348" t="str">
        <f>""</f>
        <v/>
      </c>
      <c r="DA348" t="str">
        <f>""</f>
        <v/>
      </c>
      <c r="DB348" t="str">
        <f>""</f>
        <v/>
      </c>
      <c r="DC348" t="str">
        <f>""</f>
        <v/>
      </c>
      <c r="DD348" t="str">
        <f>""</f>
        <v/>
      </c>
      <c r="DE348" t="str">
        <f>""</f>
        <v/>
      </c>
      <c r="DF348" t="str">
        <f>""</f>
        <v/>
      </c>
      <c r="DG348" t="str">
        <f>""</f>
        <v/>
      </c>
      <c r="DH348" t="str">
        <f>""</f>
        <v/>
      </c>
      <c r="DI348" t="str">
        <f>""</f>
        <v/>
      </c>
      <c r="DJ348" t="str">
        <f>""</f>
        <v/>
      </c>
      <c r="DK348" t="str">
        <f>""</f>
        <v/>
      </c>
      <c r="DL348" t="str">
        <f>""</f>
        <v/>
      </c>
      <c r="DM348" t="str">
        <f>""</f>
        <v/>
      </c>
      <c r="DN348" t="str">
        <f>""</f>
        <v/>
      </c>
      <c r="DO348" t="str">
        <f>""</f>
        <v/>
      </c>
      <c r="DP348" t="str">
        <f>""</f>
        <v/>
      </c>
      <c r="DQ348" t="str">
        <f>""</f>
        <v/>
      </c>
      <c r="DR348" t="str">
        <f>""</f>
        <v/>
      </c>
      <c r="DS348" t="str">
        <f>""</f>
        <v/>
      </c>
      <c r="DT348" t="str">
        <f>""</f>
        <v/>
      </c>
      <c r="DU348" t="str">
        <f>""</f>
        <v/>
      </c>
    </row>
    <row r="349" spans="1:125">
      <c r="A349" t="str">
        <f>$A$30</f>
        <v xml:space="preserve">    Corporate Office Properties Tr</v>
      </c>
      <c r="B349" t="str">
        <f>$B$30</f>
        <v>OFC US Equity</v>
      </c>
      <c r="C349" t="str">
        <f>$C$30</f>
        <v>IM281</v>
      </c>
      <c r="D349" t="str">
        <f>$D$30</f>
        <v>IS_NON_REAL_ESTATE_INCOME</v>
      </c>
      <c r="E349" t="str">
        <f>$E$30</f>
        <v>动态</v>
      </c>
      <c r="F349" t="str">
        <f ca="1">BDH($B$30,$C$30,$B$292,$B$293,CONCATENATE("Per=",$B$290),"Dts=H","Dir=H",CONCATENATE("Points=",$B$291),"Sort=R","Days=A","Fill=B",CONCATENATE("FX=", $B$289) )</f>
        <v>#N/A Authorization</v>
      </c>
      <c r="BN349" t="str">
        <f>""</f>
        <v/>
      </c>
      <c r="BO349" t="str">
        <f>""</f>
        <v/>
      </c>
      <c r="BP349" t="str">
        <f>""</f>
        <v/>
      </c>
      <c r="BQ349" t="str">
        <f>""</f>
        <v/>
      </c>
      <c r="BR349" t="str">
        <f>""</f>
        <v/>
      </c>
      <c r="BS349" t="str">
        <f>""</f>
        <v/>
      </c>
      <c r="BT349" t="str">
        <f>""</f>
        <v/>
      </c>
      <c r="BU349" t="str">
        <f>""</f>
        <v/>
      </c>
      <c r="BV349" t="str">
        <f>""</f>
        <v/>
      </c>
      <c r="BW349" t="str">
        <f>""</f>
        <v/>
      </c>
      <c r="BX349" t="str">
        <f>""</f>
        <v/>
      </c>
      <c r="BY349" t="str">
        <f>""</f>
        <v/>
      </c>
      <c r="BZ349" t="str">
        <f>""</f>
        <v/>
      </c>
      <c r="CA349" t="str">
        <f>""</f>
        <v/>
      </c>
      <c r="CB349" t="str">
        <f>""</f>
        <v/>
      </c>
      <c r="CC349" t="str">
        <f>""</f>
        <v/>
      </c>
      <c r="CD349" t="str">
        <f>""</f>
        <v/>
      </c>
      <c r="CE349" t="str">
        <f>""</f>
        <v/>
      </c>
      <c r="CF349" t="str">
        <f>""</f>
        <v/>
      </c>
      <c r="CG349" t="str">
        <f>""</f>
        <v/>
      </c>
      <c r="CH349" t="str">
        <f>""</f>
        <v/>
      </c>
      <c r="CI349" t="str">
        <f>""</f>
        <v/>
      </c>
      <c r="CJ349" t="str">
        <f>""</f>
        <v/>
      </c>
      <c r="CK349" t="str">
        <f>""</f>
        <v/>
      </c>
      <c r="CL349" t="str">
        <f>""</f>
        <v/>
      </c>
      <c r="CM349" t="str">
        <f>""</f>
        <v/>
      </c>
      <c r="CN349" t="str">
        <f>""</f>
        <v/>
      </c>
      <c r="CO349" t="str">
        <f>""</f>
        <v/>
      </c>
      <c r="CP349" t="str">
        <f>""</f>
        <v/>
      </c>
      <c r="CQ349" t="str">
        <f>""</f>
        <v/>
      </c>
      <c r="CR349" t="str">
        <f>""</f>
        <v/>
      </c>
      <c r="CS349" t="str">
        <f>""</f>
        <v/>
      </c>
      <c r="CT349" t="str">
        <f>""</f>
        <v/>
      </c>
      <c r="CU349" t="str">
        <f>""</f>
        <v/>
      </c>
      <c r="CV349" t="str">
        <f>""</f>
        <v/>
      </c>
      <c r="CW349" t="str">
        <f>""</f>
        <v/>
      </c>
      <c r="CX349" t="str">
        <f>""</f>
        <v/>
      </c>
      <c r="CY349" t="str">
        <f>""</f>
        <v/>
      </c>
      <c r="CZ349" t="str">
        <f>""</f>
        <v/>
      </c>
      <c r="DA349" t="str">
        <f>""</f>
        <v/>
      </c>
      <c r="DB349" t="str">
        <f>""</f>
        <v/>
      </c>
      <c r="DC349" t="str">
        <f>""</f>
        <v/>
      </c>
      <c r="DD349" t="str">
        <f>""</f>
        <v/>
      </c>
      <c r="DE349" t="str">
        <f>""</f>
        <v/>
      </c>
      <c r="DF349" t="str">
        <f>""</f>
        <v/>
      </c>
      <c r="DG349" t="str">
        <f>""</f>
        <v/>
      </c>
      <c r="DH349" t="str">
        <f>""</f>
        <v/>
      </c>
      <c r="DI349" t="str">
        <f>""</f>
        <v/>
      </c>
      <c r="DJ349" t="str">
        <f>""</f>
        <v/>
      </c>
      <c r="DK349" t="str">
        <f>""</f>
        <v/>
      </c>
      <c r="DL349" t="str">
        <f>""</f>
        <v/>
      </c>
      <c r="DM349" t="str">
        <f>""</f>
        <v/>
      </c>
      <c r="DN349" t="str">
        <f>""</f>
        <v/>
      </c>
      <c r="DO349" t="str">
        <f>""</f>
        <v/>
      </c>
      <c r="DP349" t="str">
        <f>""</f>
        <v/>
      </c>
      <c r="DQ349" t="str">
        <f>""</f>
        <v/>
      </c>
      <c r="DR349" t="str">
        <f>""</f>
        <v/>
      </c>
      <c r="DS349" t="str">
        <f>""</f>
        <v/>
      </c>
      <c r="DT349" t="str">
        <f>""</f>
        <v/>
      </c>
      <c r="DU349" t="str">
        <f>""</f>
        <v/>
      </c>
    </row>
    <row r="350" spans="1:125">
      <c r="A350" t="str">
        <f>$A$31</f>
        <v xml:space="preserve">    Highwoods Properties Inc</v>
      </c>
      <c r="B350" t="str">
        <f>$B$31</f>
        <v>HIW US Equity</v>
      </c>
      <c r="C350" t="str">
        <f>$C$31</f>
        <v>IM281</v>
      </c>
      <c r="D350" t="str">
        <f>$D$31</f>
        <v>IS_NON_REAL_ESTATE_INCOME</v>
      </c>
      <c r="E350" t="str">
        <f>$E$31</f>
        <v>动态</v>
      </c>
      <c r="F350" t="str">
        <f ca="1">BDH($B$31,$C$31,$B$292,$B$293,CONCATENATE("Per=",$B$290),"Dts=H","Dir=H",CONCATENATE("Points=",$B$291),"Sort=R","Days=A","Fill=B",CONCATENATE("FX=", $B$289) )</f>
        <v>#N/A Authorization</v>
      </c>
      <c r="BN350" t="str">
        <f>""</f>
        <v/>
      </c>
      <c r="BO350" t="str">
        <f>""</f>
        <v/>
      </c>
      <c r="BP350" t="str">
        <f>""</f>
        <v/>
      </c>
      <c r="BQ350" t="str">
        <f>""</f>
        <v/>
      </c>
      <c r="BR350" t="str">
        <f>""</f>
        <v/>
      </c>
      <c r="BS350" t="str">
        <f>""</f>
        <v/>
      </c>
      <c r="BT350" t="str">
        <f>""</f>
        <v/>
      </c>
      <c r="BU350" t="str">
        <f>""</f>
        <v/>
      </c>
      <c r="BV350" t="str">
        <f>""</f>
        <v/>
      </c>
      <c r="BW350" t="str">
        <f>""</f>
        <v/>
      </c>
      <c r="BX350" t="str">
        <f>""</f>
        <v/>
      </c>
      <c r="BY350" t="str">
        <f>""</f>
        <v/>
      </c>
      <c r="BZ350" t="str">
        <f>""</f>
        <v/>
      </c>
      <c r="CA350" t="str">
        <f>""</f>
        <v/>
      </c>
      <c r="CB350" t="str">
        <f>""</f>
        <v/>
      </c>
      <c r="CC350" t="str">
        <f>""</f>
        <v/>
      </c>
      <c r="CD350" t="str">
        <f>""</f>
        <v/>
      </c>
      <c r="CE350" t="str">
        <f>""</f>
        <v/>
      </c>
      <c r="CF350" t="str">
        <f>""</f>
        <v/>
      </c>
      <c r="CG350" t="str">
        <f>""</f>
        <v/>
      </c>
      <c r="CH350" t="str">
        <f>""</f>
        <v/>
      </c>
      <c r="CI350" t="str">
        <f>""</f>
        <v/>
      </c>
      <c r="CJ350" t="str">
        <f>""</f>
        <v/>
      </c>
      <c r="CK350" t="str">
        <f>""</f>
        <v/>
      </c>
      <c r="CL350" t="str">
        <f>""</f>
        <v/>
      </c>
      <c r="CM350" t="str">
        <f>""</f>
        <v/>
      </c>
      <c r="CN350" t="str">
        <f>""</f>
        <v/>
      </c>
      <c r="CO350" t="str">
        <f>""</f>
        <v/>
      </c>
      <c r="CP350" t="str">
        <f>""</f>
        <v/>
      </c>
      <c r="CQ350" t="str">
        <f>""</f>
        <v/>
      </c>
      <c r="CR350" t="str">
        <f>""</f>
        <v/>
      </c>
      <c r="CS350" t="str">
        <f>""</f>
        <v/>
      </c>
      <c r="CT350" t="str">
        <f>""</f>
        <v/>
      </c>
      <c r="CU350" t="str">
        <f>""</f>
        <v/>
      </c>
      <c r="CV350" t="str">
        <f>""</f>
        <v/>
      </c>
      <c r="CW350" t="str">
        <f>""</f>
        <v/>
      </c>
      <c r="CX350" t="str">
        <f>""</f>
        <v/>
      </c>
      <c r="CY350" t="str">
        <f>""</f>
        <v/>
      </c>
      <c r="CZ350" t="str">
        <f>""</f>
        <v/>
      </c>
      <c r="DA350" t="str">
        <f>""</f>
        <v/>
      </c>
      <c r="DB350" t="str">
        <f>""</f>
        <v/>
      </c>
      <c r="DC350" t="str">
        <f>""</f>
        <v/>
      </c>
      <c r="DD350" t="str">
        <f>""</f>
        <v/>
      </c>
      <c r="DE350" t="str">
        <f>""</f>
        <v/>
      </c>
      <c r="DF350" t="str">
        <f>""</f>
        <v/>
      </c>
      <c r="DG350" t="str">
        <f>""</f>
        <v/>
      </c>
      <c r="DH350" t="str">
        <f>""</f>
        <v/>
      </c>
      <c r="DI350" t="str">
        <f>""</f>
        <v/>
      </c>
      <c r="DJ350" t="str">
        <f>""</f>
        <v/>
      </c>
      <c r="DK350" t="str">
        <f>""</f>
        <v/>
      </c>
      <c r="DL350" t="str">
        <f>""</f>
        <v/>
      </c>
      <c r="DM350" t="str">
        <f>""</f>
        <v/>
      </c>
      <c r="DN350" t="str">
        <f>""</f>
        <v/>
      </c>
      <c r="DO350" t="str">
        <f>""</f>
        <v/>
      </c>
      <c r="DP350" t="str">
        <f>""</f>
        <v/>
      </c>
      <c r="DQ350" t="str">
        <f>""</f>
        <v/>
      </c>
      <c r="DR350" t="str">
        <f>""</f>
        <v/>
      </c>
      <c r="DS350" t="str">
        <f>""</f>
        <v/>
      </c>
      <c r="DT350" t="str">
        <f>""</f>
        <v/>
      </c>
      <c r="DU350" t="str">
        <f>""</f>
        <v/>
      </c>
    </row>
    <row r="351" spans="1:125">
      <c r="A351" t="str">
        <f>$A$32</f>
        <v xml:space="preserve">    Kilroy Realty Corp</v>
      </c>
      <c r="B351" t="str">
        <f>$B$32</f>
        <v>KRC US Equity</v>
      </c>
      <c r="C351" t="str">
        <f>$C$32</f>
        <v>IM281</v>
      </c>
      <c r="D351" t="str">
        <f>$D$32</f>
        <v>IS_NON_REAL_ESTATE_INCOME</v>
      </c>
      <c r="E351" t="str">
        <f>$E$32</f>
        <v>动态</v>
      </c>
      <c r="F351" t="str">
        <f ca="1">BDH($B$32,$C$32,$B$292,$B$293,CONCATENATE("Per=",$B$290),"Dts=H","Dir=H",CONCATENATE("Points=",$B$291),"Sort=R","Days=A","Fill=B",CONCATENATE("FX=", $B$289) )</f>
        <v>#N/A Authorization</v>
      </c>
      <c r="BN351" t="str">
        <f>""</f>
        <v/>
      </c>
      <c r="BO351" t="str">
        <f>""</f>
        <v/>
      </c>
      <c r="BP351" t="str">
        <f>""</f>
        <v/>
      </c>
      <c r="BQ351" t="str">
        <f>""</f>
        <v/>
      </c>
      <c r="BR351" t="str">
        <f>""</f>
        <v/>
      </c>
      <c r="BS351" t="str">
        <f>""</f>
        <v/>
      </c>
      <c r="BT351" t="str">
        <f>""</f>
        <v/>
      </c>
      <c r="BU351" t="str">
        <f>""</f>
        <v/>
      </c>
      <c r="BV351" t="str">
        <f>""</f>
        <v/>
      </c>
      <c r="BW351" t="str">
        <f>""</f>
        <v/>
      </c>
      <c r="BX351" t="str">
        <f>""</f>
        <v/>
      </c>
      <c r="BY351" t="str">
        <f>""</f>
        <v/>
      </c>
      <c r="BZ351" t="str">
        <f>""</f>
        <v/>
      </c>
      <c r="CA351" t="str">
        <f>""</f>
        <v/>
      </c>
      <c r="CB351" t="str">
        <f>""</f>
        <v/>
      </c>
      <c r="CC351" t="str">
        <f>""</f>
        <v/>
      </c>
      <c r="CD351" t="str">
        <f>""</f>
        <v/>
      </c>
      <c r="CE351" t="str">
        <f>""</f>
        <v/>
      </c>
      <c r="CF351" t="str">
        <f>""</f>
        <v/>
      </c>
      <c r="CG351" t="str">
        <f>""</f>
        <v/>
      </c>
      <c r="CH351" t="str">
        <f>""</f>
        <v/>
      </c>
      <c r="CI351" t="str">
        <f>""</f>
        <v/>
      </c>
      <c r="CJ351" t="str">
        <f>""</f>
        <v/>
      </c>
      <c r="CK351" t="str">
        <f>""</f>
        <v/>
      </c>
      <c r="CL351" t="str">
        <f>""</f>
        <v/>
      </c>
      <c r="CM351" t="str">
        <f>""</f>
        <v/>
      </c>
      <c r="CN351" t="str">
        <f>""</f>
        <v/>
      </c>
      <c r="CO351" t="str">
        <f>""</f>
        <v/>
      </c>
      <c r="CP351" t="str">
        <f>""</f>
        <v/>
      </c>
      <c r="CQ351" t="str">
        <f>""</f>
        <v/>
      </c>
      <c r="CR351" t="str">
        <f>""</f>
        <v/>
      </c>
      <c r="CS351" t="str">
        <f>""</f>
        <v/>
      </c>
      <c r="CT351" t="str">
        <f>""</f>
        <v/>
      </c>
      <c r="CU351" t="str">
        <f>""</f>
        <v/>
      </c>
      <c r="CV351" t="str">
        <f>""</f>
        <v/>
      </c>
      <c r="CW351" t="str">
        <f>""</f>
        <v/>
      </c>
      <c r="CX351" t="str">
        <f>""</f>
        <v/>
      </c>
      <c r="CY351" t="str">
        <f>""</f>
        <v/>
      </c>
      <c r="CZ351" t="str">
        <f>""</f>
        <v/>
      </c>
      <c r="DA351" t="str">
        <f>""</f>
        <v/>
      </c>
      <c r="DB351" t="str">
        <f>""</f>
        <v/>
      </c>
      <c r="DC351" t="str">
        <f>""</f>
        <v/>
      </c>
      <c r="DD351" t="str">
        <f>""</f>
        <v/>
      </c>
      <c r="DE351" t="str">
        <f>""</f>
        <v/>
      </c>
      <c r="DF351" t="str">
        <f>""</f>
        <v/>
      </c>
      <c r="DG351" t="str">
        <f>""</f>
        <v/>
      </c>
      <c r="DH351" t="str">
        <f>""</f>
        <v/>
      </c>
      <c r="DI351" t="str">
        <f>""</f>
        <v/>
      </c>
      <c r="DJ351" t="str">
        <f>""</f>
        <v/>
      </c>
      <c r="DK351" t="str">
        <f>""</f>
        <v/>
      </c>
      <c r="DL351" t="str">
        <f>""</f>
        <v/>
      </c>
      <c r="DM351" t="str">
        <f>""</f>
        <v/>
      </c>
      <c r="DN351" t="str">
        <f>""</f>
        <v/>
      </c>
      <c r="DO351" t="str">
        <f>""</f>
        <v/>
      </c>
      <c r="DP351" t="str">
        <f>""</f>
        <v/>
      </c>
      <c r="DQ351" t="str">
        <f>""</f>
        <v/>
      </c>
      <c r="DR351" t="str">
        <f>""</f>
        <v/>
      </c>
      <c r="DS351" t="str">
        <f>""</f>
        <v/>
      </c>
      <c r="DT351" t="str">
        <f>""</f>
        <v/>
      </c>
      <c r="DU351" t="str">
        <f>""</f>
        <v/>
      </c>
    </row>
    <row r="352" spans="1:125">
      <c r="A352" t="str">
        <f>$A$33</f>
        <v xml:space="preserve">    Mack-Cali Realty Corp</v>
      </c>
      <c r="B352" t="str">
        <f>$B$33</f>
        <v>CLI US Equity</v>
      </c>
      <c r="C352" t="str">
        <f>$C$33</f>
        <v>IM281</v>
      </c>
      <c r="D352" t="str">
        <f>$D$33</f>
        <v>IS_NON_REAL_ESTATE_INCOME</v>
      </c>
      <c r="E352" t="str">
        <f>$E$33</f>
        <v>动态</v>
      </c>
      <c r="F352" t="str">
        <f ca="1">BDH($B$33,$C$33,$B$292,$B$293,CONCATENATE("Per=",$B$290),"Dts=H","Dir=H",CONCATENATE("Points=",$B$291),"Sort=R","Days=A","Fill=B",CONCATENATE("FX=", $B$289) )</f>
        <v>#N/A Authorization</v>
      </c>
      <c r="BN352" t="str">
        <f>""</f>
        <v/>
      </c>
      <c r="BO352" t="str">
        <f>""</f>
        <v/>
      </c>
      <c r="BP352" t="str">
        <f>""</f>
        <v/>
      </c>
      <c r="BQ352" t="str">
        <f>""</f>
        <v/>
      </c>
      <c r="BR352" t="str">
        <f>""</f>
        <v/>
      </c>
      <c r="BS352" t="str">
        <f>""</f>
        <v/>
      </c>
      <c r="BT352" t="str">
        <f>""</f>
        <v/>
      </c>
      <c r="BU352" t="str">
        <f>""</f>
        <v/>
      </c>
      <c r="BV352" t="str">
        <f>""</f>
        <v/>
      </c>
      <c r="BW352" t="str">
        <f>""</f>
        <v/>
      </c>
      <c r="BX352" t="str">
        <f>""</f>
        <v/>
      </c>
      <c r="BY352" t="str">
        <f>""</f>
        <v/>
      </c>
      <c r="BZ352" t="str">
        <f>""</f>
        <v/>
      </c>
      <c r="CA352" t="str">
        <f>""</f>
        <v/>
      </c>
      <c r="CB352" t="str">
        <f>""</f>
        <v/>
      </c>
      <c r="CC352" t="str">
        <f>""</f>
        <v/>
      </c>
      <c r="CD352" t="str">
        <f>""</f>
        <v/>
      </c>
      <c r="CE352" t="str">
        <f>""</f>
        <v/>
      </c>
      <c r="CF352" t="str">
        <f>""</f>
        <v/>
      </c>
      <c r="CG352" t="str">
        <f>""</f>
        <v/>
      </c>
      <c r="CH352" t="str">
        <f>""</f>
        <v/>
      </c>
      <c r="CI352" t="str">
        <f>""</f>
        <v/>
      </c>
      <c r="CJ352" t="str">
        <f>""</f>
        <v/>
      </c>
      <c r="CK352" t="str">
        <f>""</f>
        <v/>
      </c>
      <c r="CL352" t="str">
        <f>""</f>
        <v/>
      </c>
      <c r="CM352" t="str">
        <f>""</f>
        <v/>
      </c>
      <c r="CN352" t="str">
        <f>""</f>
        <v/>
      </c>
      <c r="CO352" t="str">
        <f>""</f>
        <v/>
      </c>
      <c r="CP352" t="str">
        <f>""</f>
        <v/>
      </c>
      <c r="CQ352" t="str">
        <f>""</f>
        <v/>
      </c>
      <c r="CR352" t="str">
        <f>""</f>
        <v/>
      </c>
      <c r="CS352" t="str">
        <f>""</f>
        <v/>
      </c>
      <c r="CT352" t="str">
        <f>""</f>
        <v/>
      </c>
      <c r="CU352" t="str">
        <f>""</f>
        <v/>
      </c>
      <c r="CV352" t="str">
        <f>""</f>
        <v/>
      </c>
      <c r="CW352" t="str">
        <f>""</f>
        <v/>
      </c>
      <c r="CX352" t="str">
        <f>""</f>
        <v/>
      </c>
      <c r="CY352" t="str">
        <f>""</f>
        <v/>
      </c>
      <c r="CZ352" t="str">
        <f>""</f>
        <v/>
      </c>
      <c r="DA352" t="str">
        <f>""</f>
        <v/>
      </c>
      <c r="DB352" t="str">
        <f>""</f>
        <v/>
      </c>
      <c r="DC352" t="str">
        <f>""</f>
        <v/>
      </c>
      <c r="DD352" t="str">
        <f>""</f>
        <v/>
      </c>
      <c r="DE352" t="str">
        <f>""</f>
        <v/>
      </c>
      <c r="DF352" t="str">
        <f>""</f>
        <v/>
      </c>
      <c r="DG352" t="str">
        <f>""</f>
        <v/>
      </c>
      <c r="DH352" t="str">
        <f>""</f>
        <v/>
      </c>
      <c r="DI352" t="str">
        <f>""</f>
        <v/>
      </c>
      <c r="DJ352" t="str">
        <f>""</f>
        <v/>
      </c>
      <c r="DK352" t="str">
        <f>""</f>
        <v/>
      </c>
      <c r="DL352" t="str">
        <f>""</f>
        <v/>
      </c>
      <c r="DM352" t="str">
        <f>""</f>
        <v/>
      </c>
      <c r="DN352" t="str">
        <f>""</f>
        <v/>
      </c>
      <c r="DO352" t="str">
        <f>""</f>
        <v/>
      </c>
      <c r="DP352" t="str">
        <f>""</f>
        <v/>
      </c>
      <c r="DQ352" t="str">
        <f>""</f>
        <v/>
      </c>
      <c r="DR352" t="str">
        <f>""</f>
        <v/>
      </c>
      <c r="DS352" t="str">
        <f>""</f>
        <v/>
      </c>
      <c r="DT352" t="str">
        <f>""</f>
        <v/>
      </c>
      <c r="DU352" t="str">
        <f>""</f>
        <v/>
      </c>
    </row>
    <row r="353" spans="1:125">
      <c r="A353" t="str">
        <f>$A$34</f>
        <v xml:space="preserve">    Piedmont Office Realty Trust I</v>
      </c>
      <c r="B353" t="str">
        <f>$B$34</f>
        <v>PDM US Equity</v>
      </c>
      <c r="C353" t="str">
        <f>$C$34</f>
        <v>IM281</v>
      </c>
      <c r="D353" t="str">
        <f>$D$34</f>
        <v>IS_NON_REAL_ESTATE_INCOME</v>
      </c>
      <c r="E353" t="str">
        <f>$E$34</f>
        <v>动态</v>
      </c>
      <c r="F353" t="str">
        <f ca="1">BDH($B$34,$C$34,$B$292,$B$293,CONCATENATE("Per=",$B$290),"Dts=H","Dir=H",CONCATENATE("Points=",$B$291),"Sort=R","Days=A","Fill=B",CONCATENATE("FX=", $B$289) )</f>
        <v>#N/A Authorization</v>
      </c>
      <c r="BN353" t="str">
        <f>""</f>
        <v/>
      </c>
      <c r="BO353" t="str">
        <f>""</f>
        <v/>
      </c>
      <c r="BP353" t="str">
        <f>""</f>
        <v/>
      </c>
      <c r="BQ353" t="str">
        <f>""</f>
        <v/>
      </c>
      <c r="BR353" t="str">
        <f>""</f>
        <v/>
      </c>
      <c r="BS353" t="str">
        <f>""</f>
        <v/>
      </c>
      <c r="BT353" t="str">
        <f>""</f>
        <v/>
      </c>
      <c r="BU353" t="str">
        <f>""</f>
        <v/>
      </c>
      <c r="BV353" t="str">
        <f>""</f>
        <v/>
      </c>
      <c r="BW353" t="str">
        <f>""</f>
        <v/>
      </c>
      <c r="BX353" t="str">
        <f>""</f>
        <v/>
      </c>
      <c r="BY353" t="str">
        <f>""</f>
        <v/>
      </c>
      <c r="BZ353" t="str">
        <f>""</f>
        <v/>
      </c>
      <c r="CA353" t="str">
        <f>""</f>
        <v/>
      </c>
      <c r="CB353" t="str">
        <f>""</f>
        <v/>
      </c>
      <c r="CC353" t="str">
        <f>""</f>
        <v/>
      </c>
      <c r="CD353" t="str">
        <f>""</f>
        <v/>
      </c>
      <c r="CE353" t="str">
        <f>""</f>
        <v/>
      </c>
      <c r="CF353" t="str">
        <f>""</f>
        <v/>
      </c>
      <c r="CG353" t="str">
        <f>""</f>
        <v/>
      </c>
      <c r="CH353" t="str">
        <f>""</f>
        <v/>
      </c>
      <c r="CI353" t="str">
        <f>""</f>
        <v/>
      </c>
      <c r="CJ353" t="str">
        <f>""</f>
        <v/>
      </c>
      <c r="CK353" t="str">
        <f>""</f>
        <v/>
      </c>
      <c r="CL353" t="str">
        <f>""</f>
        <v/>
      </c>
      <c r="CM353" t="str">
        <f>""</f>
        <v/>
      </c>
      <c r="CN353" t="str">
        <f>""</f>
        <v/>
      </c>
      <c r="CO353" t="str">
        <f>""</f>
        <v/>
      </c>
      <c r="CP353" t="str">
        <f>""</f>
        <v/>
      </c>
      <c r="CQ353" t="str">
        <f>""</f>
        <v/>
      </c>
      <c r="CR353" t="str">
        <f>""</f>
        <v/>
      </c>
      <c r="CS353" t="str">
        <f>""</f>
        <v/>
      </c>
      <c r="CT353" t="str">
        <f>""</f>
        <v/>
      </c>
      <c r="CU353" t="str">
        <f>""</f>
        <v/>
      </c>
      <c r="CV353" t="str">
        <f>""</f>
        <v/>
      </c>
      <c r="CW353" t="str">
        <f>""</f>
        <v/>
      </c>
      <c r="CX353" t="str">
        <f>""</f>
        <v/>
      </c>
      <c r="CY353" t="str">
        <f>""</f>
        <v/>
      </c>
      <c r="CZ353" t="str">
        <f>""</f>
        <v/>
      </c>
      <c r="DA353" t="str">
        <f>""</f>
        <v/>
      </c>
      <c r="DB353" t="str">
        <f>""</f>
        <v/>
      </c>
      <c r="DC353" t="str">
        <f>""</f>
        <v/>
      </c>
      <c r="DD353" t="str">
        <f>""</f>
        <v/>
      </c>
      <c r="DE353" t="str">
        <f>""</f>
        <v/>
      </c>
      <c r="DF353" t="str">
        <f>""</f>
        <v/>
      </c>
      <c r="DG353" t="str">
        <f>""</f>
        <v/>
      </c>
      <c r="DH353" t="str">
        <f>""</f>
        <v/>
      </c>
      <c r="DI353" t="str">
        <f>""</f>
        <v/>
      </c>
      <c r="DJ353" t="str">
        <f>""</f>
        <v/>
      </c>
      <c r="DK353" t="str">
        <f>""</f>
        <v/>
      </c>
      <c r="DL353" t="str">
        <f>""</f>
        <v/>
      </c>
      <c r="DM353" t="str">
        <f>""</f>
        <v/>
      </c>
      <c r="DN353" t="str">
        <f>""</f>
        <v/>
      </c>
      <c r="DO353" t="str">
        <f>""</f>
        <v/>
      </c>
      <c r="DP353" t="str">
        <f>""</f>
        <v/>
      </c>
      <c r="DQ353" t="str">
        <f>""</f>
        <v/>
      </c>
      <c r="DR353" t="str">
        <f>""</f>
        <v/>
      </c>
      <c r="DS353" t="str">
        <f>""</f>
        <v/>
      </c>
      <c r="DT353" t="str">
        <f>""</f>
        <v/>
      </c>
      <c r="DU353" t="str">
        <f>""</f>
        <v/>
      </c>
    </row>
    <row r="354" spans="1:125">
      <c r="A354" t="str">
        <f>$A$35</f>
        <v xml:space="preserve">    SL Green Realty Corp</v>
      </c>
      <c r="B354" t="str">
        <f>$B$35</f>
        <v>SLG US Equity</v>
      </c>
      <c r="C354" t="str">
        <f>$C$35</f>
        <v>IM281</v>
      </c>
      <c r="D354" t="str">
        <f>$D$35</f>
        <v>IS_NON_REAL_ESTATE_INCOME</v>
      </c>
      <c r="E354" t="str">
        <f>$E$35</f>
        <v>动态</v>
      </c>
      <c r="F354" t="str">
        <f ca="1">BDH($B$35,$C$35,$B$292,$B$293,CONCATENATE("Per=",$B$290),"Dts=H","Dir=H",CONCATENATE("Points=",$B$291),"Sort=R","Days=A","Fill=B",CONCATENATE("FX=", $B$289) )</f>
        <v>#N/A Authorization</v>
      </c>
      <c r="BN354" t="str">
        <f>""</f>
        <v/>
      </c>
      <c r="BO354" t="str">
        <f>""</f>
        <v/>
      </c>
      <c r="BP354" t="str">
        <f>""</f>
        <v/>
      </c>
      <c r="BQ354" t="str">
        <f>""</f>
        <v/>
      </c>
      <c r="BR354" t="str">
        <f>""</f>
        <v/>
      </c>
      <c r="BS354" t="str">
        <f>""</f>
        <v/>
      </c>
      <c r="BT354" t="str">
        <f>""</f>
        <v/>
      </c>
      <c r="BU354" t="str">
        <f>""</f>
        <v/>
      </c>
      <c r="BV354" t="str">
        <f>""</f>
        <v/>
      </c>
      <c r="BW354" t="str">
        <f>""</f>
        <v/>
      </c>
      <c r="BX354" t="str">
        <f>""</f>
        <v/>
      </c>
      <c r="BY354" t="str">
        <f>""</f>
        <v/>
      </c>
      <c r="BZ354" t="str">
        <f>""</f>
        <v/>
      </c>
      <c r="CA354" t="str">
        <f>""</f>
        <v/>
      </c>
      <c r="CB354" t="str">
        <f>""</f>
        <v/>
      </c>
      <c r="CC354" t="str">
        <f>""</f>
        <v/>
      </c>
      <c r="CD354" t="str">
        <f>""</f>
        <v/>
      </c>
      <c r="CE354" t="str">
        <f>""</f>
        <v/>
      </c>
      <c r="CF354" t="str">
        <f>""</f>
        <v/>
      </c>
      <c r="CG354" t="str">
        <f>""</f>
        <v/>
      </c>
      <c r="CH354" t="str">
        <f>""</f>
        <v/>
      </c>
      <c r="CI354" t="str">
        <f>""</f>
        <v/>
      </c>
      <c r="CJ354" t="str">
        <f>""</f>
        <v/>
      </c>
      <c r="CK354" t="str">
        <f>""</f>
        <v/>
      </c>
      <c r="CL354" t="str">
        <f>""</f>
        <v/>
      </c>
      <c r="CM354" t="str">
        <f>""</f>
        <v/>
      </c>
      <c r="CN354" t="str">
        <f>""</f>
        <v/>
      </c>
      <c r="CO354" t="str">
        <f>""</f>
        <v/>
      </c>
      <c r="CP354" t="str">
        <f>""</f>
        <v/>
      </c>
      <c r="CQ354" t="str">
        <f>""</f>
        <v/>
      </c>
      <c r="CR354" t="str">
        <f>""</f>
        <v/>
      </c>
      <c r="CS354" t="str">
        <f>""</f>
        <v/>
      </c>
      <c r="CT354" t="str">
        <f>""</f>
        <v/>
      </c>
      <c r="CU354" t="str">
        <f>""</f>
        <v/>
      </c>
      <c r="CV354" t="str">
        <f>""</f>
        <v/>
      </c>
      <c r="CW354" t="str">
        <f>""</f>
        <v/>
      </c>
      <c r="CX354" t="str">
        <f>""</f>
        <v/>
      </c>
      <c r="CY354" t="str">
        <f>""</f>
        <v/>
      </c>
      <c r="CZ354" t="str">
        <f>""</f>
        <v/>
      </c>
      <c r="DA354" t="str">
        <f>""</f>
        <v/>
      </c>
      <c r="DB354" t="str">
        <f>""</f>
        <v/>
      </c>
      <c r="DC354" t="str">
        <f>""</f>
        <v/>
      </c>
      <c r="DD354" t="str">
        <f>""</f>
        <v/>
      </c>
      <c r="DE354" t="str">
        <f>""</f>
        <v/>
      </c>
      <c r="DF354" t="str">
        <f>""</f>
        <v/>
      </c>
      <c r="DG354" t="str">
        <f>""</f>
        <v/>
      </c>
      <c r="DH354" t="str">
        <f>""</f>
        <v/>
      </c>
      <c r="DI354" t="str">
        <f>""</f>
        <v/>
      </c>
      <c r="DJ354" t="str">
        <f>""</f>
        <v/>
      </c>
      <c r="DK354" t="str">
        <f>""</f>
        <v/>
      </c>
      <c r="DL354" t="str">
        <f>""</f>
        <v/>
      </c>
      <c r="DM354" t="str">
        <f>""</f>
        <v/>
      </c>
      <c r="DN354" t="str">
        <f>""</f>
        <v/>
      </c>
      <c r="DO354" t="str">
        <f>""</f>
        <v/>
      </c>
      <c r="DP354" t="str">
        <f>""</f>
        <v/>
      </c>
      <c r="DQ354" t="str">
        <f>""</f>
        <v/>
      </c>
      <c r="DR354" t="str">
        <f>""</f>
        <v/>
      </c>
      <c r="DS354" t="str">
        <f>""</f>
        <v/>
      </c>
      <c r="DT354" t="str">
        <f>""</f>
        <v/>
      </c>
      <c r="DU354" t="str">
        <f>""</f>
        <v/>
      </c>
    </row>
    <row r="355" spans="1:125">
      <c r="A355" t="str">
        <f>$A$36</f>
        <v xml:space="preserve">    Vornado Realty Trust</v>
      </c>
      <c r="B355" t="str">
        <f>$B$36</f>
        <v>VNO US Equity</v>
      </c>
      <c r="C355" t="str">
        <f>$C$36</f>
        <v>IM281</v>
      </c>
      <c r="D355" t="str">
        <f>$D$36</f>
        <v>IS_NON_REAL_ESTATE_INCOME</v>
      </c>
      <c r="E355" t="str">
        <f>$E$36</f>
        <v>动态</v>
      </c>
      <c r="F355" t="str">
        <f ca="1">BDH($B$36,$C$36,$B$292,$B$293,CONCATENATE("Per=",$B$290),"Dts=H","Dir=H",CONCATENATE("Points=",$B$291),"Sort=R","Days=A","Fill=B",CONCATENATE("FX=", $B$289) )</f>
        <v>#N/A Authorization</v>
      </c>
      <c r="BN355" t="str">
        <f>""</f>
        <v/>
      </c>
      <c r="BO355" t="str">
        <f>""</f>
        <v/>
      </c>
      <c r="BP355" t="str">
        <f>""</f>
        <v/>
      </c>
      <c r="BQ355" t="str">
        <f>""</f>
        <v/>
      </c>
      <c r="BR355" t="str">
        <f>""</f>
        <v/>
      </c>
      <c r="BS355" t="str">
        <f>""</f>
        <v/>
      </c>
      <c r="BT355" t="str">
        <f>""</f>
        <v/>
      </c>
      <c r="BU355" t="str">
        <f>""</f>
        <v/>
      </c>
      <c r="BV355" t="str">
        <f>""</f>
        <v/>
      </c>
      <c r="BW355" t="str">
        <f>""</f>
        <v/>
      </c>
      <c r="BX355" t="str">
        <f>""</f>
        <v/>
      </c>
      <c r="BY355" t="str">
        <f>""</f>
        <v/>
      </c>
      <c r="BZ355" t="str">
        <f>""</f>
        <v/>
      </c>
      <c r="CA355" t="str">
        <f>""</f>
        <v/>
      </c>
      <c r="CB355" t="str">
        <f>""</f>
        <v/>
      </c>
      <c r="CC355" t="str">
        <f>""</f>
        <v/>
      </c>
      <c r="CD355" t="str">
        <f>""</f>
        <v/>
      </c>
      <c r="CE355" t="str">
        <f>""</f>
        <v/>
      </c>
      <c r="CF355" t="str">
        <f>""</f>
        <v/>
      </c>
      <c r="CG355" t="str">
        <f>""</f>
        <v/>
      </c>
      <c r="CH355" t="str">
        <f>""</f>
        <v/>
      </c>
      <c r="CI355" t="str">
        <f>""</f>
        <v/>
      </c>
      <c r="CJ355" t="str">
        <f>""</f>
        <v/>
      </c>
      <c r="CK355" t="str">
        <f>""</f>
        <v/>
      </c>
      <c r="CL355" t="str">
        <f>""</f>
        <v/>
      </c>
      <c r="CM355" t="str">
        <f>""</f>
        <v/>
      </c>
      <c r="CN355" t="str">
        <f>""</f>
        <v/>
      </c>
      <c r="CO355" t="str">
        <f>""</f>
        <v/>
      </c>
      <c r="CP355" t="str">
        <f>""</f>
        <v/>
      </c>
      <c r="CQ355" t="str">
        <f>""</f>
        <v/>
      </c>
      <c r="CR355" t="str">
        <f>""</f>
        <v/>
      </c>
      <c r="CS355" t="str">
        <f>""</f>
        <v/>
      </c>
      <c r="CT355" t="str">
        <f>""</f>
        <v/>
      </c>
      <c r="CU355" t="str">
        <f>""</f>
        <v/>
      </c>
      <c r="CV355" t="str">
        <f>""</f>
        <v/>
      </c>
      <c r="CW355" t="str">
        <f>""</f>
        <v/>
      </c>
      <c r="CX355" t="str">
        <f>""</f>
        <v/>
      </c>
      <c r="CY355" t="str">
        <f>""</f>
        <v/>
      </c>
      <c r="CZ355" t="str">
        <f>""</f>
        <v/>
      </c>
      <c r="DA355" t="str">
        <f>""</f>
        <v/>
      </c>
      <c r="DB355" t="str">
        <f>""</f>
        <v/>
      </c>
      <c r="DC355" t="str">
        <f>""</f>
        <v/>
      </c>
      <c r="DD355" t="str">
        <f>""</f>
        <v/>
      </c>
      <c r="DE355" t="str">
        <f>""</f>
        <v/>
      </c>
      <c r="DF355" t="str">
        <f>""</f>
        <v/>
      </c>
      <c r="DG355" t="str">
        <f>""</f>
        <v/>
      </c>
      <c r="DH355" t="str">
        <f>""</f>
        <v/>
      </c>
      <c r="DI355" t="str">
        <f>""</f>
        <v/>
      </c>
      <c r="DJ355" t="str">
        <f>""</f>
        <v/>
      </c>
      <c r="DK355" t="str">
        <f>""</f>
        <v/>
      </c>
      <c r="DL355" t="str">
        <f>""</f>
        <v/>
      </c>
      <c r="DM355" t="str">
        <f>""</f>
        <v/>
      </c>
      <c r="DN355" t="str">
        <f>""</f>
        <v/>
      </c>
      <c r="DO355" t="str">
        <f>""</f>
        <v/>
      </c>
      <c r="DP355" t="str">
        <f>""</f>
        <v/>
      </c>
      <c r="DQ355" t="str">
        <f>""</f>
        <v/>
      </c>
      <c r="DR355" t="str">
        <f>""</f>
        <v/>
      </c>
      <c r="DS355" t="str">
        <f>""</f>
        <v/>
      </c>
      <c r="DT355" t="str">
        <f>""</f>
        <v/>
      </c>
      <c r="DU355" t="str">
        <f>""</f>
        <v/>
      </c>
    </row>
    <row r="356" spans="1:125">
      <c r="A356" t="str">
        <f>$A$38</f>
        <v xml:space="preserve">    Boston Properties Inc</v>
      </c>
      <c r="B356" t="str">
        <f>$B$38</f>
        <v>BXP US Equity</v>
      </c>
      <c r="C356" t="str">
        <f>$C$38</f>
        <v>IS010</v>
      </c>
      <c r="D356" t="str">
        <f>$D$38</f>
        <v>SALES_REV_TURN</v>
      </c>
      <c r="E356" t="str">
        <f>$E$38</f>
        <v>动态</v>
      </c>
      <c r="F356" t="str">
        <f ca="1">BDH($B$38,$C$38,$B$292,$B$293,CONCATENATE("Per=",$B$290),"Dts=H","Dir=H",CONCATENATE("Points=",$B$291),"Sort=R","Days=A","Fill=B",CONCATENATE("FX=", $B$289) )</f>
        <v>#N/A Authorization</v>
      </c>
      <c r="BN356" t="str">
        <f>""</f>
        <v/>
      </c>
      <c r="BO356" t="str">
        <f>""</f>
        <v/>
      </c>
      <c r="BP356" t="str">
        <f>""</f>
        <v/>
      </c>
      <c r="BQ356" t="str">
        <f>""</f>
        <v/>
      </c>
      <c r="BR356" t="str">
        <f>""</f>
        <v/>
      </c>
      <c r="BS356" t="str">
        <f>""</f>
        <v/>
      </c>
      <c r="BT356" t="str">
        <f>""</f>
        <v/>
      </c>
      <c r="BU356" t="str">
        <f>""</f>
        <v/>
      </c>
      <c r="BV356" t="str">
        <f>""</f>
        <v/>
      </c>
      <c r="BW356" t="str">
        <f>""</f>
        <v/>
      </c>
      <c r="BX356" t="str">
        <f>""</f>
        <v/>
      </c>
      <c r="BY356" t="str">
        <f>""</f>
        <v/>
      </c>
      <c r="BZ356" t="str">
        <f>""</f>
        <v/>
      </c>
      <c r="CA356" t="str">
        <f>""</f>
        <v/>
      </c>
      <c r="CB356" t="str">
        <f>""</f>
        <v/>
      </c>
      <c r="CC356" t="str">
        <f>""</f>
        <v/>
      </c>
      <c r="CD356" t="str">
        <f>""</f>
        <v/>
      </c>
      <c r="CE356" t="str">
        <f>""</f>
        <v/>
      </c>
      <c r="CF356" t="str">
        <f>""</f>
        <v/>
      </c>
      <c r="CG356" t="str">
        <f>""</f>
        <v/>
      </c>
      <c r="CH356" t="str">
        <f>""</f>
        <v/>
      </c>
      <c r="CI356" t="str">
        <f>""</f>
        <v/>
      </c>
      <c r="CJ356" t="str">
        <f>""</f>
        <v/>
      </c>
      <c r="CK356" t="str">
        <f>""</f>
        <v/>
      </c>
      <c r="CL356" t="str">
        <f>""</f>
        <v/>
      </c>
      <c r="CM356" t="str">
        <f>""</f>
        <v/>
      </c>
      <c r="CN356" t="str">
        <f>""</f>
        <v/>
      </c>
      <c r="CO356" t="str">
        <f>""</f>
        <v/>
      </c>
      <c r="CP356" t="str">
        <f>""</f>
        <v/>
      </c>
      <c r="CQ356" t="str">
        <f>""</f>
        <v/>
      </c>
      <c r="CR356" t="str">
        <f>""</f>
        <v/>
      </c>
      <c r="CS356" t="str">
        <f>""</f>
        <v/>
      </c>
      <c r="CT356" t="str">
        <f>""</f>
        <v/>
      </c>
      <c r="CU356" t="str">
        <f>""</f>
        <v/>
      </c>
      <c r="CV356" t="str">
        <f>""</f>
        <v/>
      </c>
      <c r="CW356" t="str">
        <f>""</f>
        <v/>
      </c>
      <c r="CX356" t="str">
        <f>""</f>
        <v/>
      </c>
      <c r="CY356" t="str">
        <f>""</f>
        <v/>
      </c>
      <c r="CZ356" t="str">
        <f>""</f>
        <v/>
      </c>
      <c r="DA356" t="str">
        <f>""</f>
        <v/>
      </c>
      <c r="DB356" t="str">
        <f>""</f>
        <v/>
      </c>
      <c r="DC356" t="str">
        <f>""</f>
        <v/>
      </c>
      <c r="DD356" t="str">
        <f>""</f>
        <v/>
      </c>
      <c r="DE356" t="str">
        <f>""</f>
        <v/>
      </c>
      <c r="DF356" t="str">
        <f>""</f>
        <v/>
      </c>
      <c r="DG356" t="str">
        <f>""</f>
        <v/>
      </c>
      <c r="DH356" t="str">
        <f>""</f>
        <v/>
      </c>
      <c r="DI356" t="str">
        <f>""</f>
        <v/>
      </c>
      <c r="DJ356" t="str">
        <f>""</f>
        <v/>
      </c>
      <c r="DK356" t="str">
        <f>""</f>
        <v/>
      </c>
      <c r="DL356" t="str">
        <f>""</f>
        <v/>
      </c>
      <c r="DM356" t="str">
        <f>""</f>
        <v/>
      </c>
      <c r="DN356" t="str">
        <f>""</f>
        <v/>
      </c>
      <c r="DO356" t="str">
        <f>""</f>
        <v/>
      </c>
      <c r="DP356" t="str">
        <f>""</f>
        <v/>
      </c>
      <c r="DQ356" t="str">
        <f>""</f>
        <v/>
      </c>
      <c r="DR356" t="str">
        <f>""</f>
        <v/>
      </c>
      <c r="DS356" t="str">
        <f>""</f>
        <v/>
      </c>
      <c r="DT356" t="str">
        <f>""</f>
        <v/>
      </c>
      <c r="DU356" t="str">
        <f>""</f>
        <v/>
      </c>
    </row>
    <row r="357" spans="1:125">
      <c r="A357" t="str">
        <f>$A$39</f>
        <v xml:space="preserve">    Brandywine Realty Trust</v>
      </c>
      <c r="B357" t="str">
        <f>$B$39</f>
        <v>BDN US Equity</v>
      </c>
      <c r="C357" t="str">
        <f>$C$39</f>
        <v>IS010</v>
      </c>
      <c r="D357" t="str">
        <f>$D$39</f>
        <v>SALES_REV_TURN</v>
      </c>
      <c r="E357" t="str">
        <f>$E$39</f>
        <v>动态</v>
      </c>
      <c r="F357" t="str">
        <f ca="1">BDH($B$39,$C$39,$B$292,$B$293,CONCATENATE("Per=",$B$290),"Dts=H","Dir=H",CONCATENATE("Points=",$B$291),"Sort=R","Days=A","Fill=B",CONCATENATE("FX=", $B$289) )</f>
        <v>#N/A Authorization</v>
      </c>
      <c r="BN357" t="str">
        <f>""</f>
        <v/>
      </c>
      <c r="BO357" t="str">
        <f>""</f>
        <v/>
      </c>
      <c r="BP357" t="str">
        <f>""</f>
        <v/>
      </c>
      <c r="BQ357" t="str">
        <f>""</f>
        <v/>
      </c>
      <c r="BR357" t="str">
        <f>""</f>
        <v/>
      </c>
      <c r="BS357" t="str">
        <f>""</f>
        <v/>
      </c>
      <c r="BT357" t="str">
        <f>""</f>
        <v/>
      </c>
      <c r="BU357" t="str">
        <f>""</f>
        <v/>
      </c>
      <c r="BV357" t="str">
        <f>""</f>
        <v/>
      </c>
      <c r="BW357" t="str">
        <f>""</f>
        <v/>
      </c>
      <c r="BX357" t="str">
        <f>""</f>
        <v/>
      </c>
      <c r="BY357" t="str">
        <f>""</f>
        <v/>
      </c>
      <c r="BZ357" t="str">
        <f>""</f>
        <v/>
      </c>
      <c r="CA357" t="str">
        <f>""</f>
        <v/>
      </c>
      <c r="CB357" t="str">
        <f>""</f>
        <v/>
      </c>
      <c r="CC357" t="str">
        <f>""</f>
        <v/>
      </c>
      <c r="CD357" t="str">
        <f>""</f>
        <v/>
      </c>
      <c r="CE357" t="str">
        <f>""</f>
        <v/>
      </c>
      <c r="CF357" t="str">
        <f>""</f>
        <v/>
      </c>
      <c r="CG357" t="str">
        <f>""</f>
        <v/>
      </c>
      <c r="CH357" t="str">
        <f>""</f>
        <v/>
      </c>
      <c r="CI357" t="str">
        <f>""</f>
        <v/>
      </c>
      <c r="CJ357" t="str">
        <f>""</f>
        <v/>
      </c>
      <c r="CK357" t="str">
        <f>""</f>
        <v/>
      </c>
      <c r="CL357" t="str">
        <f>""</f>
        <v/>
      </c>
      <c r="CM357" t="str">
        <f>""</f>
        <v/>
      </c>
      <c r="CN357" t="str">
        <f>""</f>
        <v/>
      </c>
      <c r="CO357" t="str">
        <f>""</f>
        <v/>
      </c>
      <c r="CP357" t="str">
        <f>""</f>
        <v/>
      </c>
      <c r="CQ357" t="str">
        <f>""</f>
        <v/>
      </c>
      <c r="CR357" t="str">
        <f>""</f>
        <v/>
      </c>
      <c r="CS357" t="str">
        <f>""</f>
        <v/>
      </c>
      <c r="CT357" t="str">
        <f>""</f>
        <v/>
      </c>
      <c r="CU357" t="str">
        <f>""</f>
        <v/>
      </c>
      <c r="CV357" t="str">
        <f>""</f>
        <v/>
      </c>
      <c r="CW357" t="str">
        <f>""</f>
        <v/>
      </c>
      <c r="CX357" t="str">
        <f>""</f>
        <v/>
      </c>
      <c r="CY357" t="str">
        <f>""</f>
        <v/>
      </c>
      <c r="CZ357" t="str">
        <f>""</f>
        <v/>
      </c>
      <c r="DA357" t="str">
        <f>""</f>
        <v/>
      </c>
      <c r="DB357" t="str">
        <f>""</f>
        <v/>
      </c>
      <c r="DC357" t="str">
        <f>""</f>
        <v/>
      </c>
      <c r="DD357" t="str">
        <f>""</f>
        <v/>
      </c>
      <c r="DE357" t="str">
        <f>""</f>
        <v/>
      </c>
      <c r="DF357" t="str">
        <f>""</f>
        <v/>
      </c>
      <c r="DG357" t="str">
        <f>""</f>
        <v/>
      </c>
      <c r="DH357" t="str">
        <f>""</f>
        <v/>
      </c>
      <c r="DI357" t="str">
        <f>""</f>
        <v/>
      </c>
      <c r="DJ357" t="str">
        <f>""</f>
        <v/>
      </c>
      <c r="DK357" t="str">
        <f>""</f>
        <v/>
      </c>
      <c r="DL357" t="str">
        <f>""</f>
        <v/>
      </c>
      <c r="DM357" t="str">
        <f>""</f>
        <v/>
      </c>
      <c r="DN357" t="str">
        <f>""</f>
        <v/>
      </c>
      <c r="DO357" t="str">
        <f>""</f>
        <v/>
      </c>
      <c r="DP357" t="str">
        <f>""</f>
        <v/>
      </c>
      <c r="DQ357" t="str">
        <f>""</f>
        <v/>
      </c>
      <c r="DR357" t="str">
        <f>""</f>
        <v/>
      </c>
      <c r="DS357" t="str">
        <f>""</f>
        <v/>
      </c>
      <c r="DT357" t="str">
        <f>""</f>
        <v/>
      </c>
      <c r="DU357" t="str">
        <f>""</f>
        <v/>
      </c>
    </row>
    <row r="358" spans="1:125">
      <c r="A358" t="str">
        <f>$A$40</f>
        <v xml:space="preserve">    Columbia Property Trust Inc</v>
      </c>
      <c r="B358" t="str">
        <f>$B$40</f>
        <v>CXP US Equity</v>
      </c>
      <c r="C358" t="str">
        <f>$C$40</f>
        <v>IS010</v>
      </c>
      <c r="D358" t="str">
        <f>$D$40</f>
        <v>SALES_REV_TURN</v>
      </c>
      <c r="E358" t="str">
        <f>$E$40</f>
        <v>动态</v>
      </c>
      <c r="F358" t="str">
        <f ca="1">BDH($B$40,$C$40,$B$292,$B$293,CONCATENATE("Per=",$B$290),"Dts=H","Dir=H",CONCATENATE("Points=",$B$291),"Sort=R","Days=A","Fill=B",CONCATENATE("FX=", $B$289) )</f>
        <v>#N/A Authorization</v>
      </c>
      <c r="BN358" t="str">
        <f>""</f>
        <v/>
      </c>
      <c r="BO358" t="str">
        <f>""</f>
        <v/>
      </c>
      <c r="BP358" t="str">
        <f>""</f>
        <v/>
      </c>
      <c r="BQ358" t="str">
        <f>""</f>
        <v/>
      </c>
      <c r="BR358" t="str">
        <f>""</f>
        <v/>
      </c>
      <c r="BS358" t="str">
        <f>""</f>
        <v/>
      </c>
      <c r="BT358" t="str">
        <f>""</f>
        <v/>
      </c>
      <c r="BU358" t="str">
        <f>""</f>
        <v/>
      </c>
      <c r="BV358" t="str">
        <f>""</f>
        <v/>
      </c>
      <c r="BW358" t="str">
        <f>""</f>
        <v/>
      </c>
      <c r="BX358" t="str">
        <f>""</f>
        <v/>
      </c>
      <c r="BY358" t="str">
        <f>""</f>
        <v/>
      </c>
      <c r="BZ358" t="str">
        <f>""</f>
        <v/>
      </c>
      <c r="CA358" t="str">
        <f>""</f>
        <v/>
      </c>
      <c r="CB358" t="str">
        <f>""</f>
        <v/>
      </c>
      <c r="CC358" t="str">
        <f>""</f>
        <v/>
      </c>
      <c r="CD358" t="str">
        <f>""</f>
        <v/>
      </c>
      <c r="CE358" t="str">
        <f>""</f>
        <v/>
      </c>
      <c r="CF358" t="str">
        <f>""</f>
        <v/>
      </c>
      <c r="CG358" t="str">
        <f>""</f>
        <v/>
      </c>
      <c r="CH358" t="str">
        <f>""</f>
        <v/>
      </c>
      <c r="CI358" t="str">
        <f>""</f>
        <v/>
      </c>
      <c r="CJ358" t="str">
        <f>""</f>
        <v/>
      </c>
      <c r="CK358" t="str">
        <f>""</f>
        <v/>
      </c>
      <c r="CL358" t="str">
        <f>""</f>
        <v/>
      </c>
      <c r="CM358" t="str">
        <f>""</f>
        <v/>
      </c>
      <c r="CN358" t="str">
        <f>""</f>
        <v/>
      </c>
      <c r="CO358" t="str">
        <f>""</f>
        <v/>
      </c>
      <c r="CP358" t="str">
        <f>""</f>
        <v/>
      </c>
      <c r="CQ358" t="str">
        <f>""</f>
        <v/>
      </c>
      <c r="CR358" t="str">
        <f>""</f>
        <v/>
      </c>
      <c r="CS358" t="str">
        <f>""</f>
        <v/>
      </c>
      <c r="CT358" t="str">
        <f>""</f>
        <v/>
      </c>
      <c r="CU358" t="str">
        <f>""</f>
        <v/>
      </c>
      <c r="CV358" t="str">
        <f>""</f>
        <v/>
      </c>
      <c r="CW358" t="str">
        <f>""</f>
        <v/>
      </c>
      <c r="CX358" t="str">
        <f>""</f>
        <v/>
      </c>
      <c r="CY358" t="str">
        <f>""</f>
        <v/>
      </c>
      <c r="CZ358" t="str">
        <f>""</f>
        <v/>
      </c>
      <c r="DA358" t="str">
        <f>""</f>
        <v/>
      </c>
      <c r="DB358" t="str">
        <f>""</f>
        <v/>
      </c>
      <c r="DC358" t="str">
        <f>""</f>
        <v/>
      </c>
      <c r="DD358" t="str">
        <f>""</f>
        <v/>
      </c>
      <c r="DE358" t="str">
        <f>""</f>
        <v/>
      </c>
      <c r="DF358" t="str">
        <f>""</f>
        <v/>
      </c>
      <c r="DG358" t="str">
        <f>""</f>
        <v/>
      </c>
      <c r="DH358" t="str">
        <f>""</f>
        <v/>
      </c>
      <c r="DI358" t="str">
        <f>""</f>
        <v/>
      </c>
      <c r="DJ358" t="str">
        <f>""</f>
        <v/>
      </c>
      <c r="DK358" t="str">
        <f>""</f>
        <v/>
      </c>
      <c r="DL358" t="str">
        <f>""</f>
        <v/>
      </c>
      <c r="DM358" t="str">
        <f>""</f>
        <v/>
      </c>
      <c r="DN358" t="str">
        <f>""</f>
        <v/>
      </c>
      <c r="DO358" t="str">
        <f>""</f>
        <v/>
      </c>
      <c r="DP358" t="str">
        <f>""</f>
        <v/>
      </c>
      <c r="DQ358" t="str">
        <f>""</f>
        <v/>
      </c>
      <c r="DR358" t="str">
        <f>""</f>
        <v/>
      </c>
      <c r="DS358" t="str">
        <f>""</f>
        <v/>
      </c>
      <c r="DT358" t="str">
        <f>""</f>
        <v/>
      </c>
      <c r="DU358" t="str">
        <f>""</f>
        <v/>
      </c>
    </row>
    <row r="359" spans="1:125">
      <c r="A359" t="str">
        <f>$A$41</f>
        <v xml:space="preserve">    Corporate Office Properties Tr</v>
      </c>
      <c r="B359" t="str">
        <f>$B$41</f>
        <v>OFC US Equity</v>
      </c>
      <c r="C359" t="str">
        <f>$C$41</f>
        <v>IS010</v>
      </c>
      <c r="D359" t="str">
        <f>$D$41</f>
        <v>SALES_REV_TURN</v>
      </c>
      <c r="E359" t="str">
        <f>$E$41</f>
        <v>动态</v>
      </c>
      <c r="F359" t="str">
        <f ca="1">BDH($B$41,$C$41,$B$292,$B$293,CONCATENATE("Per=",$B$290),"Dts=H","Dir=H",CONCATENATE("Points=",$B$291),"Sort=R","Days=A","Fill=B",CONCATENATE("FX=", $B$289) )</f>
        <v>#N/A Authorization</v>
      </c>
      <c r="BN359" t="str">
        <f>""</f>
        <v/>
      </c>
      <c r="BO359" t="str">
        <f>""</f>
        <v/>
      </c>
      <c r="BP359" t="str">
        <f>""</f>
        <v/>
      </c>
      <c r="BQ359" t="str">
        <f>""</f>
        <v/>
      </c>
      <c r="BR359" t="str">
        <f>""</f>
        <v/>
      </c>
      <c r="BS359" t="str">
        <f>""</f>
        <v/>
      </c>
      <c r="BT359" t="str">
        <f>""</f>
        <v/>
      </c>
      <c r="BU359" t="str">
        <f>""</f>
        <v/>
      </c>
      <c r="BV359" t="str">
        <f>""</f>
        <v/>
      </c>
      <c r="BW359" t="str">
        <f>""</f>
        <v/>
      </c>
      <c r="BX359" t="str">
        <f>""</f>
        <v/>
      </c>
      <c r="BY359" t="str">
        <f>""</f>
        <v/>
      </c>
      <c r="BZ359" t="str">
        <f>""</f>
        <v/>
      </c>
      <c r="CA359" t="str">
        <f>""</f>
        <v/>
      </c>
      <c r="CB359" t="str">
        <f>""</f>
        <v/>
      </c>
      <c r="CC359" t="str">
        <f>""</f>
        <v/>
      </c>
      <c r="CD359" t="str">
        <f>""</f>
        <v/>
      </c>
      <c r="CE359" t="str">
        <f>""</f>
        <v/>
      </c>
      <c r="CF359" t="str">
        <f>""</f>
        <v/>
      </c>
      <c r="CG359" t="str">
        <f>""</f>
        <v/>
      </c>
      <c r="CH359" t="str">
        <f>""</f>
        <v/>
      </c>
      <c r="CI359" t="str">
        <f>""</f>
        <v/>
      </c>
      <c r="CJ359" t="str">
        <f>""</f>
        <v/>
      </c>
      <c r="CK359" t="str">
        <f>""</f>
        <v/>
      </c>
      <c r="CL359" t="str">
        <f>""</f>
        <v/>
      </c>
      <c r="CM359" t="str">
        <f>""</f>
        <v/>
      </c>
      <c r="CN359" t="str">
        <f>""</f>
        <v/>
      </c>
      <c r="CO359" t="str">
        <f>""</f>
        <v/>
      </c>
      <c r="CP359" t="str">
        <f>""</f>
        <v/>
      </c>
      <c r="CQ359" t="str">
        <f>""</f>
        <v/>
      </c>
      <c r="CR359" t="str">
        <f>""</f>
        <v/>
      </c>
      <c r="CS359" t="str">
        <f>""</f>
        <v/>
      </c>
      <c r="CT359" t="str">
        <f>""</f>
        <v/>
      </c>
      <c r="CU359" t="str">
        <f>""</f>
        <v/>
      </c>
      <c r="CV359" t="str">
        <f>""</f>
        <v/>
      </c>
      <c r="CW359" t="str">
        <f>""</f>
        <v/>
      </c>
      <c r="CX359" t="str">
        <f>""</f>
        <v/>
      </c>
      <c r="CY359" t="str">
        <f>""</f>
        <v/>
      </c>
      <c r="CZ359" t="str">
        <f>""</f>
        <v/>
      </c>
      <c r="DA359" t="str">
        <f>""</f>
        <v/>
      </c>
      <c r="DB359" t="str">
        <f>""</f>
        <v/>
      </c>
      <c r="DC359" t="str">
        <f>""</f>
        <v/>
      </c>
      <c r="DD359" t="str">
        <f>""</f>
        <v/>
      </c>
      <c r="DE359" t="str">
        <f>""</f>
        <v/>
      </c>
      <c r="DF359" t="str">
        <f>""</f>
        <v/>
      </c>
      <c r="DG359" t="str">
        <f>""</f>
        <v/>
      </c>
      <c r="DH359" t="str">
        <f>""</f>
        <v/>
      </c>
      <c r="DI359" t="str">
        <f>""</f>
        <v/>
      </c>
      <c r="DJ359" t="str">
        <f>""</f>
        <v/>
      </c>
      <c r="DK359" t="str">
        <f>""</f>
        <v/>
      </c>
      <c r="DL359" t="str">
        <f>""</f>
        <v/>
      </c>
      <c r="DM359" t="str">
        <f>""</f>
        <v/>
      </c>
      <c r="DN359" t="str">
        <f>""</f>
        <v/>
      </c>
      <c r="DO359" t="str">
        <f>""</f>
        <v/>
      </c>
      <c r="DP359" t="str">
        <f>""</f>
        <v/>
      </c>
      <c r="DQ359" t="str">
        <f>""</f>
        <v/>
      </c>
      <c r="DR359" t="str">
        <f>""</f>
        <v/>
      </c>
      <c r="DS359" t="str">
        <f>""</f>
        <v/>
      </c>
      <c r="DT359" t="str">
        <f>""</f>
        <v/>
      </c>
      <c r="DU359" t="str">
        <f>""</f>
        <v/>
      </c>
    </row>
    <row r="360" spans="1:125">
      <c r="A360" t="str">
        <f>$A$42</f>
        <v xml:space="preserve">    Highwoods Properties Inc</v>
      </c>
      <c r="B360" t="str">
        <f>$B$42</f>
        <v>HIW US Equity</v>
      </c>
      <c r="C360" t="str">
        <f>$C$42</f>
        <v>IS010</v>
      </c>
      <c r="D360" t="str">
        <f>$D$42</f>
        <v>SALES_REV_TURN</v>
      </c>
      <c r="E360" t="str">
        <f>$E$42</f>
        <v>动态</v>
      </c>
      <c r="F360" t="str">
        <f ca="1">BDH($B$42,$C$42,$B$292,$B$293,CONCATENATE("Per=",$B$290),"Dts=H","Dir=H",CONCATENATE("Points=",$B$291),"Sort=R","Days=A","Fill=B",CONCATENATE("FX=", $B$289) )</f>
        <v>#N/A Authorization</v>
      </c>
      <c r="BN360" t="str">
        <f>""</f>
        <v/>
      </c>
      <c r="BO360" t="str">
        <f>""</f>
        <v/>
      </c>
      <c r="BP360" t="str">
        <f>""</f>
        <v/>
      </c>
      <c r="BQ360" t="str">
        <f>""</f>
        <v/>
      </c>
      <c r="BR360" t="str">
        <f>""</f>
        <v/>
      </c>
      <c r="BS360" t="str">
        <f>""</f>
        <v/>
      </c>
      <c r="BT360" t="str">
        <f>""</f>
        <v/>
      </c>
      <c r="BU360" t="str">
        <f>""</f>
        <v/>
      </c>
      <c r="BV360" t="str">
        <f>""</f>
        <v/>
      </c>
      <c r="BW360" t="str">
        <f>""</f>
        <v/>
      </c>
      <c r="BX360" t="str">
        <f>""</f>
        <v/>
      </c>
      <c r="BY360" t="str">
        <f>""</f>
        <v/>
      </c>
      <c r="BZ360" t="str">
        <f>""</f>
        <v/>
      </c>
      <c r="CA360" t="str">
        <f>""</f>
        <v/>
      </c>
      <c r="CB360" t="str">
        <f>""</f>
        <v/>
      </c>
      <c r="CC360" t="str">
        <f>""</f>
        <v/>
      </c>
      <c r="CD360" t="str">
        <f>""</f>
        <v/>
      </c>
      <c r="CE360" t="str">
        <f>""</f>
        <v/>
      </c>
      <c r="CF360" t="str">
        <f>""</f>
        <v/>
      </c>
      <c r="CG360" t="str">
        <f>""</f>
        <v/>
      </c>
      <c r="CH360" t="str">
        <f>""</f>
        <v/>
      </c>
      <c r="CI360" t="str">
        <f>""</f>
        <v/>
      </c>
      <c r="CJ360" t="str">
        <f>""</f>
        <v/>
      </c>
      <c r="CK360" t="str">
        <f>""</f>
        <v/>
      </c>
      <c r="CL360" t="str">
        <f>""</f>
        <v/>
      </c>
      <c r="CM360" t="str">
        <f>""</f>
        <v/>
      </c>
      <c r="CN360" t="str">
        <f>""</f>
        <v/>
      </c>
      <c r="CO360" t="str">
        <f>""</f>
        <v/>
      </c>
      <c r="CP360" t="str">
        <f>""</f>
        <v/>
      </c>
      <c r="CQ360" t="str">
        <f>""</f>
        <v/>
      </c>
      <c r="CR360" t="str">
        <f>""</f>
        <v/>
      </c>
      <c r="CS360" t="str">
        <f>""</f>
        <v/>
      </c>
      <c r="CT360" t="str">
        <f>""</f>
        <v/>
      </c>
      <c r="CU360" t="str">
        <f>""</f>
        <v/>
      </c>
      <c r="CV360" t="str">
        <f>""</f>
        <v/>
      </c>
      <c r="CW360" t="str">
        <f>""</f>
        <v/>
      </c>
      <c r="CX360" t="str">
        <f>""</f>
        <v/>
      </c>
      <c r="CY360" t="str">
        <f>""</f>
        <v/>
      </c>
      <c r="CZ360" t="str">
        <f>""</f>
        <v/>
      </c>
      <c r="DA360" t="str">
        <f>""</f>
        <v/>
      </c>
      <c r="DB360" t="str">
        <f>""</f>
        <v/>
      </c>
      <c r="DC360" t="str">
        <f>""</f>
        <v/>
      </c>
      <c r="DD360" t="str">
        <f>""</f>
        <v/>
      </c>
      <c r="DE360" t="str">
        <f>""</f>
        <v/>
      </c>
      <c r="DF360" t="str">
        <f>""</f>
        <v/>
      </c>
      <c r="DG360" t="str">
        <f>""</f>
        <v/>
      </c>
      <c r="DH360" t="str">
        <f>""</f>
        <v/>
      </c>
      <c r="DI360" t="str">
        <f>""</f>
        <v/>
      </c>
      <c r="DJ360" t="str">
        <f>""</f>
        <v/>
      </c>
      <c r="DK360" t="str">
        <f>""</f>
        <v/>
      </c>
      <c r="DL360" t="str">
        <f>""</f>
        <v/>
      </c>
      <c r="DM360" t="str">
        <f>""</f>
        <v/>
      </c>
      <c r="DN360" t="str">
        <f>""</f>
        <v/>
      </c>
      <c r="DO360" t="str">
        <f>""</f>
        <v/>
      </c>
      <c r="DP360" t="str">
        <f>""</f>
        <v/>
      </c>
      <c r="DQ360" t="str">
        <f>""</f>
        <v/>
      </c>
      <c r="DR360" t="str">
        <f>""</f>
        <v/>
      </c>
      <c r="DS360" t="str">
        <f>""</f>
        <v/>
      </c>
      <c r="DT360" t="str">
        <f>""</f>
        <v/>
      </c>
      <c r="DU360" t="str">
        <f>""</f>
        <v/>
      </c>
    </row>
    <row r="361" spans="1:125">
      <c r="A361" t="str">
        <f>$A$43</f>
        <v xml:space="preserve">    Kilroy Realty Corp</v>
      </c>
      <c r="B361" t="str">
        <f>$B$43</f>
        <v>KRC US Equity</v>
      </c>
      <c r="C361" t="str">
        <f>$C$43</f>
        <v>IS010</v>
      </c>
      <c r="D361" t="str">
        <f>$D$43</f>
        <v>SALES_REV_TURN</v>
      </c>
      <c r="E361" t="str">
        <f>$E$43</f>
        <v>动态</v>
      </c>
      <c r="F361" t="str">
        <f ca="1">BDH($B$43,$C$43,$B$292,$B$293,CONCATENATE("Per=",$B$290),"Dts=H","Dir=H",CONCATENATE("Points=",$B$291),"Sort=R","Days=A","Fill=B",CONCATENATE("FX=", $B$289) )</f>
        <v>#N/A Authorization</v>
      </c>
      <c r="BN361" t="str">
        <f>""</f>
        <v/>
      </c>
      <c r="BO361" t="str">
        <f>""</f>
        <v/>
      </c>
      <c r="BP361" t="str">
        <f>""</f>
        <v/>
      </c>
      <c r="BQ361" t="str">
        <f>""</f>
        <v/>
      </c>
      <c r="BR361" t="str">
        <f>""</f>
        <v/>
      </c>
      <c r="BS361" t="str">
        <f>""</f>
        <v/>
      </c>
      <c r="BT361" t="str">
        <f>""</f>
        <v/>
      </c>
      <c r="BU361" t="str">
        <f>""</f>
        <v/>
      </c>
      <c r="BV361" t="str">
        <f>""</f>
        <v/>
      </c>
      <c r="BW361" t="str">
        <f>""</f>
        <v/>
      </c>
      <c r="BX361" t="str">
        <f>""</f>
        <v/>
      </c>
      <c r="BY361" t="str">
        <f>""</f>
        <v/>
      </c>
      <c r="BZ361" t="str">
        <f>""</f>
        <v/>
      </c>
      <c r="CA361" t="str">
        <f>""</f>
        <v/>
      </c>
      <c r="CB361" t="str">
        <f>""</f>
        <v/>
      </c>
      <c r="CC361" t="str">
        <f>""</f>
        <v/>
      </c>
      <c r="CD361" t="str">
        <f>""</f>
        <v/>
      </c>
      <c r="CE361" t="str">
        <f>""</f>
        <v/>
      </c>
      <c r="CF361" t="str">
        <f>""</f>
        <v/>
      </c>
      <c r="CG361" t="str">
        <f>""</f>
        <v/>
      </c>
      <c r="CH361" t="str">
        <f>""</f>
        <v/>
      </c>
      <c r="CI361" t="str">
        <f>""</f>
        <v/>
      </c>
      <c r="CJ361" t="str">
        <f>""</f>
        <v/>
      </c>
      <c r="CK361" t="str">
        <f>""</f>
        <v/>
      </c>
      <c r="CL361" t="str">
        <f>""</f>
        <v/>
      </c>
      <c r="CM361" t="str">
        <f>""</f>
        <v/>
      </c>
      <c r="CN361" t="str">
        <f>""</f>
        <v/>
      </c>
      <c r="CO361" t="str">
        <f>""</f>
        <v/>
      </c>
      <c r="CP361" t="str">
        <f>""</f>
        <v/>
      </c>
      <c r="CQ361" t="str">
        <f>""</f>
        <v/>
      </c>
      <c r="CR361" t="str">
        <f>""</f>
        <v/>
      </c>
      <c r="CS361" t="str">
        <f>""</f>
        <v/>
      </c>
      <c r="CT361" t="str">
        <f>""</f>
        <v/>
      </c>
      <c r="CU361" t="str">
        <f>""</f>
        <v/>
      </c>
      <c r="CV361" t="str">
        <f>""</f>
        <v/>
      </c>
      <c r="CW361" t="str">
        <f>""</f>
        <v/>
      </c>
      <c r="CX361" t="str">
        <f>""</f>
        <v/>
      </c>
      <c r="CY361" t="str">
        <f>""</f>
        <v/>
      </c>
      <c r="CZ361" t="str">
        <f>""</f>
        <v/>
      </c>
      <c r="DA361" t="str">
        <f>""</f>
        <v/>
      </c>
      <c r="DB361" t="str">
        <f>""</f>
        <v/>
      </c>
      <c r="DC361" t="str">
        <f>""</f>
        <v/>
      </c>
      <c r="DD361" t="str">
        <f>""</f>
        <v/>
      </c>
      <c r="DE361" t="str">
        <f>""</f>
        <v/>
      </c>
      <c r="DF361" t="str">
        <f>""</f>
        <v/>
      </c>
      <c r="DG361" t="str">
        <f>""</f>
        <v/>
      </c>
      <c r="DH361" t="str">
        <f>""</f>
        <v/>
      </c>
      <c r="DI361" t="str">
        <f>""</f>
        <v/>
      </c>
      <c r="DJ361" t="str">
        <f>""</f>
        <v/>
      </c>
      <c r="DK361" t="str">
        <f>""</f>
        <v/>
      </c>
      <c r="DL361" t="str">
        <f>""</f>
        <v/>
      </c>
      <c r="DM361" t="str">
        <f>""</f>
        <v/>
      </c>
      <c r="DN361" t="str">
        <f>""</f>
        <v/>
      </c>
      <c r="DO361" t="str">
        <f>""</f>
        <v/>
      </c>
      <c r="DP361" t="str">
        <f>""</f>
        <v/>
      </c>
      <c r="DQ361" t="str">
        <f>""</f>
        <v/>
      </c>
      <c r="DR361" t="str">
        <f>""</f>
        <v/>
      </c>
      <c r="DS361" t="str">
        <f>""</f>
        <v/>
      </c>
      <c r="DT361" t="str">
        <f>""</f>
        <v/>
      </c>
      <c r="DU361" t="str">
        <f>""</f>
        <v/>
      </c>
    </row>
    <row r="362" spans="1:125">
      <c r="A362" t="str">
        <f>$A$44</f>
        <v xml:space="preserve">    Mack-Cali Realty Corp</v>
      </c>
      <c r="B362" t="str">
        <f>$B$44</f>
        <v>CLI US Equity</v>
      </c>
      <c r="C362" t="str">
        <f>$C$44</f>
        <v>IS010</v>
      </c>
      <c r="D362" t="str">
        <f>$D$44</f>
        <v>SALES_REV_TURN</v>
      </c>
      <c r="E362" t="str">
        <f>$E$44</f>
        <v>动态</v>
      </c>
      <c r="F362" t="str">
        <f ca="1">BDH($B$44,$C$44,$B$292,$B$293,CONCATENATE("Per=",$B$290),"Dts=H","Dir=H",CONCATENATE("Points=",$B$291),"Sort=R","Days=A","Fill=B",CONCATENATE("FX=", $B$289) )</f>
        <v>#N/A Authorization</v>
      </c>
      <c r="BN362" t="str">
        <f>""</f>
        <v/>
      </c>
      <c r="BO362" t="str">
        <f>""</f>
        <v/>
      </c>
      <c r="BP362" t="str">
        <f>""</f>
        <v/>
      </c>
      <c r="BQ362" t="str">
        <f>""</f>
        <v/>
      </c>
      <c r="BR362" t="str">
        <f>""</f>
        <v/>
      </c>
      <c r="BS362" t="str">
        <f>""</f>
        <v/>
      </c>
      <c r="BT362" t="str">
        <f>""</f>
        <v/>
      </c>
      <c r="BU362" t="str">
        <f>""</f>
        <v/>
      </c>
      <c r="BV362" t="str">
        <f>""</f>
        <v/>
      </c>
      <c r="BW362" t="str">
        <f>""</f>
        <v/>
      </c>
      <c r="BX362" t="str">
        <f>""</f>
        <v/>
      </c>
      <c r="BY362" t="str">
        <f>""</f>
        <v/>
      </c>
      <c r="BZ362" t="str">
        <f>""</f>
        <v/>
      </c>
      <c r="CA362" t="str">
        <f>""</f>
        <v/>
      </c>
      <c r="CB362" t="str">
        <f>""</f>
        <v/>
      </c>
      <c r="CC362" t="str">
        <f>""</f>
        <v/>
      </c>
      <c r="CD362" t="str">
        <f>""</f>
        <v/>
      </c>
      <c r="CE362" t="str">
        <f>""</f>
        <v/>
      </c>
      <c r="CF362" t="str">
        <f>""</f>
        <v/>
      </c>
      <c r="CG362" t="str">
        <f>""</f>
        <v/>
      </c>
      <c r="CH362" t="str">
        <f>""</f>
        <v/>
      </c>
      <c r="CI362" t="str">
        <f>""</f>
        <v/>
      </c>
      <c r="CJ362" t="str">
        <f>""</f>
        <v/>
      </c>
      <c r="CK362" t="str">
        <f>""</f>
        <v/>
      </c>
      <c r="CL362" t="str">
        <f>""</f>
        <v/>
      </c>
      <c r="CM362" t="str">
        <f>""</f>
        <v/>
      </c>
      <c r="CN362" t="str">
        <f>""</f>
        <v/>
      </c>
      <c r="CO362" t="str">
        <f>""</f>
        <v/>
      </c>
      <c r="CP362" t="str">
        <f>""</f>
        <v/>
      </c>
      <c r="CQ362" t="str">
        <f>""</f>
        <v/>
      </c>
      <c r="CR362" t="str">
        <f>""</f>
        <v/>
      </c>
      <c r="CS362" t="str">
        <f>""</f>
        <v/>
      </c>
      <c r="CT362" t="str">
        <f>""</f>
        <v/>
      </c>
      <c r="CU362" t="str">
        <f>""</f>
        <v/>
      </c>
      <c r="CV362" t="str">
        <f>""</f>
        <v/>
      </c>
      <c r="CW362" t="str">
        <f>""</f>
        <v/>
      </c>
      <c r="CX362" t="str">
        <f>""</f>
        <v/>
      </c>
      <c r="CY362" t="str">
        <f>""</f>
        <v/>
      </c>
      <c r="CZ362" t="str">
        <f>""</f>
        <v/>
      </c>
      <c r="DA362" t="str">
        <f>""</f>
        <v/>
      </c>
      <c r="DB362" t="str">
        <f>""</f>
        <v/>
      </c>
      <c r="DC362" t="str">
        <f>""</f>
        <v/>
      </c>
      <c r="DD362" t="str">
        <f>""</f>
        <v/>
      </c>
      <c r="DE362" t="str">
        <f>""</f>
        <v/>
      </c>
      <c r="DF362" t="str">
        <f>""</f>
        <v/>
      </c>
      <c r="DG362" t="str">
        <f>""</f>
        <v/>
      </c>
      <c r="DH362" t="str">
        <f>""</f>
        <v/>
      </c>
      <c r="DI362" t="str">
        <f>""</f>
        <v/>
      </c>
      <c r="DJ362" t="str">
        <f>""</f>
        <v/>
      </c>
      <c r="DK362" t="str">
        <f>""</f>
        <v/>
      </c>
      <c r="DL362" t="str">
        <f>""</f>
        <v/>
      </c>
      <c r="DM362" t="str">
        <f>""</f>
        <v/>
      </c>
      <c r="DN362" t="str">
        <f>""</f>
        <v/>
      </c>
      <c r="DO362" t="str">
        <f>""</f>
        <v/>
      </c>
      <c r="DP362" t="str">
        <f>""</f>
        <v/>
      </c>
      <c r="DQ362" t="str">
        <f>""</f>
        <v/>
      </c>
      <c r="DR362" t="str">
        <f>""</f>
        <v/>
      </c>
      <c r="DS362" t="str">
        <f>""</f>
        <v/>
      </c>
      <c r="DT362" t="str">
        <f>""</f>
        <v/>
      </c>
      <c r="DU362" t="str">
        <f>""</f>
        <v/>
      </c>
    </row>
    <row r="363" spans="1:125">
      <c r="A363" t="str">
        <f>$A$45</f>
        <v xml:space="preserve">    Piedmont Office Realty Trust I</v>
      </c>
      <c r="B363" t="str">
        <f>$B$45</f>
        <v>PDM US Equity</v>
      </c>
      <c r="C363" t="str">
        <f>$C$45</f>
        <v>IS010</v>
      </c>
      <c r="D363" t="str">
        <f>$D$45</f>
        <v>SALES_REV_TURN</v>
      </c>
      <c r="E363" t="str">
        <f>$E$45</f>
        <v>动态</v>
      </c>
      <c r="F363" t="str">
        <f ca="1">BDH($B$45,$C$45,$B$292,$B$293,CONCATENATE("Per=",$B$290),"Dts=H","Dir=H",CONCATENATE("Points=",$B$291),"Sort=R","Days=A","Fill=B",CONCATENATE("FX=", $B$289) )</f>
        <v>#N/A Authorization</v>
      </c>
      <c r="BN363" t="str">
        <f>""</f>
        <v/>
      </c>
      <c r="BO363" t="str">
        <f>""</f>
        <v/>
      </c>
      <c r="BP363" t="str">
        <f>""</f>
        <v/>
      </c>
      <c r="BQ363" t="str">
        <f>""</f>
        <v/>
      </c>
      <c r="BR363" t="str">
        <f>""</f>
        <v/>
      </c>
      <c r="BS363" t="str">
        <f>""</f>
        <v/>
      </c>
      <c r="BT363" t="str">
        <f>""</f>
        <v/>
      </c>
      <c r="BU363" t="str">
        <f>""</f>
        <v/>
      </c>
      <c r="BV363" t="str">
        <f>""</f>
        <v/>
      </c>
      <c r="BW363" t="str">
        <f>""</f>
        <v/>
      </c>
      <c r="BX363" t="str">
        <f>""</f>
        <v/>
      </c>
      <c r="BY363" t="str">
        <f>""</f>
        <v/>
      </c>
      <c r="BZ363" t="str">
        <f>""</f>
        <v/>
      </c>
      <c r="CA363" t="str">
        <f>""</f>
        <v/>
      </c>
      <c r="CB363" t="str">
        <f>""</f>
        <v/>
      </c>
      <c r="CC363" t="str">
        <f>""</f>
        <v/>
      </c>
      <c r="CD363" t="str">
        <f>""</f>
        <v/>
      </c>
      <c r="CE363" t="str">
        <f>""</f>
        <v/>
      </c>
      <c r="CF363" t="str">
        <f>""</f>
        <v/>
      </c>
      <c r="CG363" t="str">
        <f>""</f>
        <v/>
      </c>
      <c r="CH363" t="str">
        <f>""</f>
        <v/>
      </c>
      <c r="CI363" t="str">
        <f>""</f>
        <v/>
      </c>
      <c r="CJ363" t="str">
        <f>""</f>
        <v/>
      </c>
      <c r="CK363" t="str">
        <f>""</f>
        <v/>
      </c>
      <c r="CL363" t="str">
        <f>""</f>
        <v/>
      </c>
      <c r="CM363" t="str">
        <f>""</f>
        <v/>
      </c>
      <c r="CN363" t="str">
        <f>""</f>
        <v/>
      </c>
      <c r="CO363" t="str">
        <f>""</f>
        <v/>
      </c>
      <c r="CP363" t="str">
        <f>""</f>
        <v/>
      </c>
      <c r="CQ363" t="str">
        <f>""</f>
        <v/>
      </c>
      <c r="CR363" t="str">
        <f>""</f>
        <v/>
      </c>
      <c r="CS363" t="str">
        <f>""</f>
        <v/>
      </c>
      <c r="CT363" t="str">
        <f>""</f>
        <v/>
      </c>
      <c r="CU363" t="str">
        <f>""</f>
        <v/>
      </c>
      <c r="CV363" t="str">
        <f>""</f>
        <v/>
      </c>
      <c r="CW363" t="str">
        <f>""</f>
        <v/>
      </c>
      <c r="CX363" t="str">
        <f>""</f>
        <v/>
      </c>
      <c r="CY363" t="str">
        <f>""</f>
        <v/>
      </c>
      <c r="CZ363" t="str">
        <f>""</f>
        <v/>
      </c>
      <c r="DA363" t="str">
        <f>""</f>
        <v/>
      </c>
      <c r="DB363" t="str">
        <f>""</f>
        <v/>
      </c>
      <c r="DC363" t="str">
        <f>""</f>
        <v/>
      </c>
      <c r="DD363" t="str">
        <f>""</f>
        <v/>
      </c>
      <c r="DE363" t="str">
        <f>""</f>
        <v/>
      </c>
      <c r="DF363" t="str">
        <f>""</f>
        <v/>
      </c>
      <c r="DG363" t="str">
        <f>""</f>
        <v/>
      </c>
      <c r="DH363" t="str">
        <f>""</f>
        <v/>
      </c>
      <c r="DI363" t="str">
        <f>""</f>
        <v/>
      </c>
      <c r="DJ363" t="str">
        <f>""</f>
        <v/>
      </c>
      <c r="DK363" t="str">
        <f>""</f>
        <v/>
      </c>
      <c r="DL363" t="str">
        <f>""</f>
        <v/>
      </c>
      <c r="DM363" t="str">
        <f>""</f>
        <v/>
      </c>
      <c r="DN363" t="str">
        <f>""</f>
        <v/>
      </c>
      <c r="DO363" t="str">
        <f>""</f>
        <v/>
      </c>
      <c r="DP363" t="str">
        <f>""</f>
        <v/>
      </c>
      <c r="DQ363" t="str">
        <f>""</f>
        <v/>
      </c>
      <c r="DR363" t="str">
        <f>""</f>
        <v/>
      </c>
      <c r="DS363" t="str">
        <f>""</f>
        <v/>
      </c>
      <c r="DT363" t="str">
        <f>""</f>
        <v/>
      </c>
      <c r="DU363" t="str">
        <f>""</f>
        <v/>
      </c>
    </row>
    <row r="364" spans="1:125">
      <c r="A364" t="str">
        <f>$A$46</f>
        <v xml:space="preserve">    SL Green Realty Corp</v>
      </c>
      <c r="B364" t="str">
        <f>$B$46</f>
        <v>SLG US Equity</v>
      </c>
      <c r="C364" t="str">
        <f>$C$46</f>
        <v>IS010</v>
      </c>
      <c r="D364" t="str">
        <f>$D$46</f>
        <v>SALES_REV_TURN</v>
      </c>
      <c r="E364" t="str">
        <f>$E$46</f>
        <v>动态</v>
      </c>
      <c r="F364" t="str">
        <f ca="1">BDH($B$46,$C$46,$B$292,$B$293,CONCATENATE("Per=",$B$290),"Dts=H","Dir=H",CONCATENATE("Points=",$B$291),"Sort=R","Days=A","Fill=B",CONCATENATE("FX=", $B$289) )</f>
        <v>#N/A Authorization</v>
      </c>
      <c r="BN364" t="str">
        <f>""</f>
        <v/>
      </c>
      <c r="BO364" t="str">
        <f>""</f>
        <v/>
      </c>
      <c r="BP364" t="str">
        <f>""</f>
        <v/>
      </c>
      <c r="BQ364" t="str">
        <f>""</f>
        <v/>
      </c>
      <c r="BR364" t="str">
        <f>""</f>
        <v/>
      </c>
      <c r="BS364" t="str">
        <f>""</f>
        <v/>
      </c>
      <c r="BT364" t="str">
        <f>""</f>
        <v/>
      </c>
      <c r="BU364" t="str">
        <f>""</f>
        <v/>
      </c>
      <c r="BV364" t="str">
        <f>""</f>
        <v/>
      </c>
      <c r="BW364" t="str">
        <f>""</f>
        <v/>
      </c>
      <c r="BX364" t="str">
        <f>""</f>
        <v/>
      </c>
      <c r="BY364" t="str">
        <f>""</f>
        <v/>
      </c>
      <c r="BZ364" t="str">
        <f>""</f>
        <v/>
      </c>
      <c r="CA364" t="str">
        <f>""</f>
        <v/>
      </c>
      <c r="CB364" t="str">
        <f>""</f>
        <v/>
      </c>
      <c r="CC364" t="str">
        <f>""</f>
        <v/>
      </c>
      <c r="CD364" t="str">
        <f>""</f>
        <v/>
      </c>
      <c r="CE364" t="str">
        <f>""</f>
        <v/>
      </c>
      <c r="CF364" t="str">
        <f>""</f>
        <v/>
      </c>
      <c r="CG364" t="str">
        <f>""</f>
        <v/>
      </c>
      <c r="CH364" t="str">
        <f>""</f>
        <v/>
      </c>
      <c r="CI364" t="str">
        <f>""</f>
        <v/>
      </c>
      <c r="CJ364" t="str">
        <f>""</f>
        <v/>
      </c>
      <c r="CK364" t="str">
        <f>""</f>
        <v/>
      </c>
      <c r="CL364" t="str">
        <f>""</f>
        <v/>
      </c>
      <c r="CM364" t="str">
        <f>""</f>
        <v/>
      </c>
      <c r="CN364" t="str">
        <f>""</f>
        <v/>
      </c>
      <c r="CO364" t="str">
        <f>""</f>
        <v/>
      </c>
      <c r="CP364" t="str">
        <f>""</f>
        <v/>
      </c>
      <c r="CQ364" t="str">
        <f>""</f>
        <v/>
      </c>
      <c r="CR364" t="str">
        <f>""</f>
        <v/>
      </c>
      <c r="CS364" t="str">
        <f>""</f>
        <v/>
      </c>
      <c r="CT364" t="str">
        <f>""</f>
        <v/>
      </c>
      <c r="CU364" t="str">
        <f>""</f>
        <v/>
      </c>
      <c r="CV364" t="str">
        <f>""</f>
        <v/>
      </c>
      <c r="CW364" t="str">
        <f>""</f>
        <v/>
      </c>
      <c r="CX364" t="str">
        <f>""</f>
        <v/>
      </c>
      <c r="CY364" t="str">
        <f>""</f>
        <v/>
      </c>
      <c r="CZ364" t="str">
        <f>""</f>
        <v/>
      </c>
      <c r="DA364" t="str">
        <f>""</f>
        <v/>
      </c>
      <c r="DB364" t="str">
        <f>""</f>
        <v/>
      </c>
      <c r="DC364" t="str">
        <f>""</f>
        <v/>
      </c>
      <c r="DD364" t="str">
        <f>""</f>
        <v/>
      </c>
      <c r="DE364" t="str">
        <f>""</f>
        <v/>
      </c>
      <c r="DF364" t="str">
        <f>""</f>
        <v/>
      </c>
      <c r="DG364" t="str">
        <f>""</f>
        <v/>
      </c>
      <c r="DH364" t="str">
        <f>""</f>
        <v/>
      </c>
      <c r="DI364" t="str">
        <f>""</f>
        <v/>
      </c>
      <c r="DJ364" t="str">
        <f>""</f>
        <v/>
      </c>
      <c r="DK364" t="str">
        <f>""</f>
        <v/>
      </c>
      <c r="DL364" t="str">
        <f>""</f>
        <v/>
      </c>
      <c r="DM364" t="str">
        <f>""</f>
        <v/>
      </c>
      <c r="DN364" t="str">
        <f>""</f>
        <v/>
      </c>
      <c r="DO364" t="str">
        <f>""</f>
        <v/>
      </c>
      <c r="DP364" t="str">
        <f>""</f>
        <v/>
      </c>
      <c r="DQ364" t="str">
        <f>""</f>
        <v/>
      </c>
      <c r="DR364" t="str">
        <f>""</f>
        <v/>
      </c>
      <c r="DS364" t="str">
        <f>""</f>
        <v/>
      </c>
      <c r="DT364" t="str">
        <f>""</f>
        <v/>
      </c>
      <c r="DU364" t="str">
        <f>""</f>
        <v/>
      </c>
    </row>
    <row r="365" spans="1:125">
      <c r="A365" t="str">
        <f>$A$47</f>
        <v xml:space="preserve">    Vornado Realty Trust</v>
      </c>
      <c r="B365" t="str">
        <f>$B$47</f>
        <v>VNO US Equity</v>
      </c>
      <c r="C365" t="str">
        <f>$C$47</f>
        <v>IS010</v>
      </c>
      <c r="D365" t="str">
        <f>$D$47</f>
        <v>SALES_REV_TURN</v>
      </c>
      <c r="E365" t="str">
        <f>$E$47</f>
        <v>动态</v>
      </c>
      <c r="F365" t="str">
        <f ca="1">BDH($B$47,$C$47,$B$292,$B$293,CONCATENATE("Per=",$B$290),"Dts=H","Dir=H",CONCATENATE("Points=",$B$291),"Sort=R","Days=A","Fill=B",CONCATENATE("FX=", $B$289) )</f>
        <v>#N/A Authorization</v>
      </c>
      <c r="BN365" t="str">
        <f>""</f>
        <v/>
      </c>
      <c r="BO365" t="str">
        <f>""</f>
        <v/>
      </c>
      <c r="BP365" t="str">
        <f>""</f>
        <v/>
      </c>
      <c r="BQ365" t="str">
        <f>""</f>
        <v/>
      </c>
      <c r="BR365" t="str">
        <f>""</f>
        <v/>
      </c>
      <c r="BS365" t="str">
        <f>""</f>
        <v/>
      </c>
      <c r="BT365" t="str">
        <f>""</f>
        <v/>
      </c>
      <c r="BU365" t="str">
        <f>""</f>
        <v/>
      </c>
      <c r="BV365" t="str">
        <f>""</f>
        <v/>
      </c>
      <c r="BW365" t="str">
        <f>""</f>
        <v/>
      </c>
      <c r="BX365" t="str">
        <f>""</f>
        <v/>
      </c>
      <c r="BY365" t="str">
        <f>""</f>
        <v/>
      </c>
      <c r="BZ365" t="str">
        <f>""</f>
        <v/>
      </c>
      <c r="CA365" t="str">
        <f>""</f>
        <v/>
      </c>
      <c r="CB365" t="str">
        <f>""</f>
        <v/>
      </c>
      <c r="CC365" t="str">
        <f>""</f>
        <v/>
      </c>
      <c r="CD365" t="str">
        <f>""</f>
        <v/>
      </c>
      <c r="CE365" t="str">
        <f>""</f>
        <v/>
      </c>
      <c r="CF365" t="str">
        <f>""</f>
        <v/>
      </c>
      <c r="CG365" t="str">
        <f>""</f>
        <v/>
      </c>
      <c r="CH365" t="str">
        <f>""</f>
        <v/>
      </c>
      <c r="CI365" t="str">
        <f>""</f>
        <v/>
      </c>
      <c r="CJ365" t="str">
        <f>""</f>
        <v/>
      </c>
      <c r="CK365" t="str">
        <f>""</f>
        <v/>
      </c>
      <c r="CL365" t="str">
        <f>""</f>
        <v/>
      </c>
      <c r="CM365" t="str">
        <f>""</f>
        <v/>
      </c>
      <c r="CN365" t="str">
        <f>""</f>
        <v/>
      </c>
      <c r="CO365" t="str">
        <f>""</f>
        <v/>
      </c>
      <c r="CP365" t="str">
        <f>""</f>
        <v/>
      </c>
      <c r="CQ365" t="str">
        <f>""</f>
        <v/>
      </c>
      <c r="CR365" t="str">
        <f>""</f>
        <v/>
      </c>
      <c r="CS365" t="str">
        <f>""</f>
        <v/>
      </c>
      <c r="CT365" t="str">
        <f>""</f>
        <v/>
      </c>
      <c r="CU365" t="str">
        <f>""</f>
        <v/>
      </c>
      <c r="CV365" t="str">
        <f>""</f>
        <v/>
      </c>
      <c r="CW365" t="str">
        <f>""</f>
        <v/>
      </c>
      <c r="CX365" t="str">
        <f>""</f>
        <v/>
      </c>
      <c r="CY365" t="str">
        <f>""</f>
        <v/>
      </c>
      <c r="CZ365" t="str">
        <f>""</f>
        <v/>
      </c>
      <c r="DA365" t="str">
        <f>""</f>
        <v/>
      </c>
      <c r="DB365" t="str">
        <f>""</f>
        <v/>
      </c>
      <c r="DC365" t="str">
        <f>""</f>
        <v/>
      </c>
      <c r="DD365" t="str">
        <f>""</f>
        <v/>
      </c>
      <c r="DE365" t="str">
        <f>""</f>
        <v/>
      </c>
      <c r="DF365" t="str">
        <f>""</f>
        <v/>
      </c>
      <c r="DG365" t="str">
        <f>""</f>
        <v/>
      </c>
      <c r="DH365" t="str">
        <f>""</f>
        <v/>
      </c>
      <c r="DI365" t="str">
        <f>""</f>
        <v/>
      </c>
      <c r="DJ365" t="str">
        <f>""</f>
        <v/>
      </c>
      <c r="DK365" t="str">
        <f>""</f>
        <v/>
      </c>
      <c r="DL365" t="str">
        <f>""</f>
        <v/>
      </c>
      <c r="DM365" t="str">
        <f>""</f>
        <v/>
      </c>
      <c r="DN365" t="str">
        <f>""</f>
        <v/>
      </c>
      <c r="DO365" t="str">
        <f>""</f>
        <v/>
      </c>
      <c r="DP365" t="str">
        <f>""</f>
        <v/>
      </c>
      <c r="DQ365" t="str">
        <f>""</f>
        <v/>
      </c>
      <c r="DR365" t="str">
        <f>""</f>
        <v/>
      </c>
      <c r="DS365" t="str">
        <f>""</f>
        <v/>
      </c>
      <c r="DT365" t="str">
        <f>""</f>
        <v/>
      </c>
      <c r="DU365" t="str">
        <f>""</f>
        <v/>
      </c>
    </row>
    <row r="366" spans="1:125">
      <c r="A366" t="str">
        <f>$A$49</f>
        <v xml:space="preserve">    Boston Properties Inc</v>
      </c>
      <c r="B366" t="str">
        <f>$B$49</f>
        <v>BXP US Equity</v>
      </c>
      <c r="C366" t="str">
        <f>$C$49</f>
        <v>RR502</v>
      </c>
      <c r="D366" t="str">
        <f>$D$49</f>
        <v>NET_OPER_INCOME</v>
      </c>
      <c r="E366" t="str">
        <f>$E$49</f>
        <v>动态</v>
      </c>
      <c r="F366" t="str">
        <f ca="1">BDH($B$49,$C$49,$B$292,$B$293,CONCATENATE("Per=",$B$290),"Dts=H","Dir=H",CONCATENATE("Points=",$B$291),"Sort=R","Days=A","Fill=B",CONCATENATE("FX=", $B$289) )</f>
        <v>#N/A Authorization</v>
      </c>
      <c r="BN366" t="str">
        <f>""</f>
        <v/>
      </c>
      <c r="BO366" t="str">
        <f>""</f>
        <v/>
      </c>
      <c r="BP366" t="str">
        <f>""</f>
        <v/>
      </c>
      <c r="BQ366" t="str">
        <f>""</f>
        <v/>
      </c>
      <c r="BR366" t="str">
        <f>""</f>
        <v/>
      </c>
      <c r="BS366" t="str">
        <f>""</f>
        <v/>
      </c>
      <c r="BT366" t="str">
        <f>""</f>
        <v/>
      </c>
      <c r="BU366" t="str">
        <f>""</f>
        <v/>
      </c>
      <c r="BV366" t="str">
        <f>""</f>
        <v/>
      </c>
      <c r="BW366" t="str">
        <f>""</f>
        <v/>
      </c>
      <c r="BX366" t="str">
        <f>""</f>
        <v/>
      </c>
      <c r="BY366" t="str">
        <f>""</f>
        <v/>
      </c>
      <c r="BZ366" t="str">
        <f>""</f>
        <v/>
      </c>
      <c r="CA366" t="str">
        <f>""</f>
        <v/>
      </c>
      <c r="CB366" t="str">
        <f>""</f>
        <v/>
      </c>
      <c r="CC366" t="str">
        <f>""</f>
        <v/>
      </c>
      <c r="CD366" t="str">
        <f>""</f>
        <v/>
      </c>
      <c r="CE366" t="str">
        <f>""</f>
        <v/>
      </c>
      <c r="CF366" t="str">
        <f>""</f>
        <v/>
      </c>
      <c r="CG366" t="str">
        <f>""</f>
        <v/>
      </c>
      <c r="CH366" t="str">
        <f>""</f>
        <v/>
      </c>
      <c r="CI366" t="str">
        <f>""</f>
        <v/>
      </c>
      <c r="CJ366" t="str">
        <f>""</f>
        <v/>
      </c>
      <c r="CK366" t="str">
        <f>""</f>
        <v/>
      </c>
      <c r="CL366" t="str">
        <f>""</f>
        <v/>
      </c>
      <c r="CM366" t="str">
        <f>""</f>
        <v/>
      </c>
      <c r="CN366" t="str">
        <f>""</f>
        <v/>
      </c>
      <c r="CO366" t="str">
        <f>""</f>
        <v/>
      </c>
      <c r="CP366" t="str">
        <f>""</f>
        <v/>
      </c>
      <c r="CQ366" t="str">
        <f>""</f>
        <v/>
      </c>
      <c r="CR366" t="str">
        <f>""</f>
        <v/>
      </c>
      <c r="CS366" t="str">
        <f>""</f>
        <v/>
      </c>
      <c r="CT366" t="str">
        <f>""</f>
        <v/>
      </c>
      <c r="CU366" t="str">
        <f>""</f>
        <v/>
      </c>
      <c r="CV366" t="str">
        <f>""</f>
        <v/>
      </c>
      <c r="CW366" t="str">
        <f>""</f>
        <v/>
      </c>
      <c r="CX366" t="str">
        <f>""</f>
        <v/>
      </c>
      <c r="CY366" t="str">
        <f>""</f>
        <v/>
      </c>
      <c r="CZ366" t="str">
        <f>""</f>
        <v/>
      </c>
      <c r="DA366" t="str">
        <f>""</f>
        <v/>
      </c>
      <c r="DB366" t="str">
        <f>""</f>
        <v/>
      </c>
      <c r="DC366" t="str">
        <f>""</f>
        <v/>
      </c>
      <c r="DD366" t="str">
        <f>""</f>
        <v/>
      </c>
      <c r="DE366" t="str">
        <f>""</f>
        <v/>
      </c>
      <c r="DF366" t="str">
        <f>""</f>
        <v/>
      </c>
      <c r="DG366" t="str">
        <f>""</f>
        <v/>
      </c>
      <c r="DH366" t="str">
        <f>""</f>
        <v/>
      </c>
      <c r="DI366" t="str">
        <f>""</f>
        <v/>
      </c>
      <c r="DJ366" t="str">
        <f>""</f>
        <v/>
      </c>
      <c r="DK366" t="str">
        <f>""</f>
        <v/>
      </c>
      <c r="DL366" t="str">
        <f>""</f>
        <v/>
      </c>
      <c r="DM366" t="str">
        <f>""</f>
        <v/>
      </c>
      <c r="DN366" t="str">
        <f>""</f>
        <v/>
      </c>
      <c r="DO366" t="str">
        <f>""</f>
        <v/>
      </c>
      <c r="DP366" t="str">
        <f>""</f>
        <v/>
      </c>
      <c r="DQ366" t="str">
        <f>""</f>
        <v/>
      </c>
      <c r="DR366" t="str">
        <f>""</f>
        <v/>
      </c>
      <c r="DS366" t="str">
        <f>""</f>
        <v/>
      </c>
      <c r="DT366" t="str">
        <f>""</f>
        <v/>
      </c>
      <c r="DU366" t="str">
        <f>""</f>
        <v/>
      </c>
    </row>
    <row r="367" spans="1:125">
      <c r="A367" t="str">
        <f>$A$50</f>
        <v xml:space="preserve">    Brandywine Realty Trust</v>
      </c>
      <c r="B367" t="str">
        <f>$B$50</f>
        <v>BDN US Equity</v>
      </c>
      <c r="C367" t="str">
        <f>$C$50</f>
        <v>RR502</v>
      </c>
      <c r="D367" t="str">
        <f>$D$50</f>
        <v>NET_OPER_INCOME</v>
      </c>
      <c r="E367" t="str">
        <f>$E$50</f>
        <v>动态</v>
      </c>
      <c r="F367" t="str">
        <f ca="1">BDH($B$50,$C$50,$B$292,$B$293,CONCATENATE("Per=",$B$290),"Dts=H","Dir=H",CONCATENATE("Points=",$B$291),"Sort=R","Days=A","Fill=B",CONCATENATE("FX=", $B$289) )</f>
        <v>#N/A Authorization</v>
      </c>
      <c r="BN367" t="str">
        <f>""</f>
        <v/>
      </c>
      <c r="BO367" t="str">
        <f>""</f>
        <v/>
      </c>
      <c r="BP367" t="str">
        <f>""</f>
        <v/>
      </c>
      <c r="BQ367" t="str">
        <f>""</f>
        <v/>
      </c>
      <c r="BR367" t="str">
        <f>""</f>
        <v/>
      </c>
      <c r="BS367" t="str">
        <f>""</f>
        <v/>
      </c>
      <c r="BT367" t="str">
        <f>""</f>
        <v/>
      </c>
      <c r="BU367" t="str">
        <f>""</f>
        <v/>
      </c>
      <c r="BV367" t="str">
        <f>""</f>
        <v/>
      </c>
      <c r="BW367" t="str">
        <f>""</f>
        <v/>
      </c>
      <c r="BX367" t="str">
        <f>""</f>
        <v/>
      </c>
      <c r="BY367" t="str">
        <f>""</f>
        <v/>
      </c>
      <c r="BZ367" t="str">
        <f>""</f>
        <v/>
      </c>
      <c r="CA367" t="str">
        <f>""</f>
        <v/>
      </c>
      <c r="CB367" t="str">
        <f>""</f>
        <v/>
      </c>
      <c r="CC367" t="str">
        <f>""</f>
        <v/>
      </c>
      <c r="CD367" t="str">
        <f>""</f>
        <v/>
      </c>
      <c r="CE367" t="str">
        <f>""</f>
        <v/>
      </c>
      <c r="CF367" t="str">
        <f>""</f>
        <v/>
      </c>
      <c r="CG367" t="str">
        <f>""</f>
        <v/>
      </c>
      <c r="CH367" t="str">
        <f>""</f>
        <v/>
      </c>
      <c r="CI367" t="str">
        <f>""</f>
        <v/>
      </c>
      <c r="CJ367" t="str">
        <f>""</f>
        <v/>
      </c>
      <c r="CK367" t="str">
        <f>""</f>
        <v/>
      </c>
      <c r="CL367" t="str">
        <f>""</f>
        <v/>
      </c>
      <c r="CM367" t="str">
        <f>""</f>
        <v/>
      </c>
      <c r="CN367" t="str">
        <f>""</f>
        <v/>
      </c>
      <c r="CO367" t="str">
        <f>""</f>
        <v/>
      </c>
      <c r="CP367" t="str">
        <f>""</f>
        <v/>
      </c>
      <c r="CQ367" t="str">
        <f>""</f>
        <v/>
      </c>
      <c r="CR367" t="str">
        <f>""</f>
        <v/>
      </c>
      <c r="CS367" t="str">
        <f>""</f>
        <v/>
      </c>
      <c r="CT367" t="str">
        <f>""</f>
        <v/>
      </c>
      <c r="CU367" t="str">
        <f>""</f>
        <v/>
      </c>
      <c r="CV367" t="str">
        <f>""</f>
        <v/>
      </c>
      <c r="CW367" t="str">
        <f>""</f>
        <v/>
      </c>
      <c r="CX367" t="str">
        <f>""</f>
        <v/>
      </c>
      <c r="CY367" t="str">
        <f>""</f>
        <v/>
      </c>
      <c r="CZ367" t="str">
        <f>""</f>
        <v/>
      </c>
      <c r="DA367" t="str">
        <f>""</f>
        <v/>
      </c>
      <c r="DB367" t="str">
        <f>""</f>
        <v/>
      </c>
      <c r="DC367" t="str">
        <f>""</f>
        <v/>
      </c>
      <c r="DD367" t="str">
        <f>""</f>
        <v/>
      </c>
      <c r="DE367" t="str">
        <f>""</f>
        <v/>
      </c>
      <c r="DF367" t="str">
        <f>""</f>
        <v/>
      </c>
      <c r="DG367" t="str">
        <f>""</f>
        <v/>
      </c>
      <c r="DH367" t="str">
        <f>""</f>
        <v/>
      </c>
      <c r="DI367" t="str">
        <f>""</f>
        <v/>
      </c>
      <c r="DJ367" t="str">
        <f>""</f>
        <v/>
      </c>
      <c r="DK367" t="str">
        <f>""</f>
        <v/>
      </c>
      <c r="DL367" t="str">
        <f>""</f>
        <v/>
      </c>
      <c r="DM367" t="str">
        <f>""</f>
        <v/>
      </c>
      <c r="DN367" t="str">
        <f>""</f>
        <v/>
      </c>
      <c r="DO367" t="str">
        <f>""</f>
        <v/>
      </c>
      <c r="DP367" t="str">
        <f>""</f>
        <v/>
      </c>
      <c r="DQ367" t="str">
        <f>""</f>
        <v/>
      </c>
      <c r="DR367" t="str">
        <f>""</f>
        <v/>
      </c>
      <c r="DS367" t="str">
        <f>""</f>
        <v/>
      </c>
      <c r="DT367" t="str">
        <f>""</f>
        <v/>
      </c>
      <c r="DU367" t="str">
        <f>""</f>
        <v/>
      </c>
    </row>
    <row r="368" spans="1:125">
      <c r="A368" t="str">
        <f>$A$51</f>
        <v xml:space="preserve">    Columbia Property Trust Inc</v>
      </c>
      <c r="B368" t="str">
        <f>$B$51</f>
        <v>CXP US Equity</v>
      </c>
      <c r="C368" t="str">
        <f>$C$51</f>
        <v>RR502</v>
      </c>
      <c r="D368" t="str">
        <f>$D$51</f>
        <v>NET_OPER_INCOME</v>
      </c>
      <c r="E368" t="str">
        <f>$E$51</f>
        <v>动态</v>
      </c>
      <c r="F368" t="str">
        <f ca="1">BDH($B$51,$C$51,$B$292,$B$293,CONCATENATE("Per=",$B$290),"Dts=H","Dir=H",CONCATENATE("Points=",$B$291),"Sort=R","Days=A","Fill=B",CONCATENATE("FX=", $B$289) )</f>
        <v>#N/A Authorization</v>
      </c>
      <c r="BN368" t="str">
        <f>""</f>
        <v/>
      </c>
      <c r="BO368" t="str">
        <f>""</f>
        <v/>
      </c>
      <c r="BP368" t="str">
        <f>""</f>
        <v/>
      </c>
      <c r="BQ368" t="str">
        <f>""</f>
        <v/>
      </c>
      <c r="BR368" t="str">
        <f>""</f>
        <v/>
      </c>
      <c r="BS368" t="str">
        <f>""</f>
        <v/>
      </c>
      <c r="BT368" t="str">
        <f>""</f>
        <v/>
      </c>
      <c r="BU368" t="str">
        <f>""</f>
        <v/>
      </c>
      <c r="BV368" t="str">
        <f>""</f>
        <v/>
      </c>
      <c r="BW368" t="str">
        <f>""</f>
        <v/>
      </c>
      <c r="BX368" t="str">
        <f>""</f>
        <v/>
      </c>
      <c r="BY368" t="str">
        <f>""</f>
        <v/>
      </c>
      <c r="BZ368" t="str">
        <f>""</f>
        <v/>
      </c>
      <c r="CA368" t="str">
        <f>""</f>
        <v/>
      </c>
      <c r="CB368" t="str">
        <f>""</f>
        <v/>
      </c>
      <c r="CC368" t="str">
        <f>""</f>
        <v/>
      </c>
      <c r="CD368" t="str">
        <f>""</f>
        <v/>
      </c>
      <c r="CE368" t="str">
        <f>""</f>
        <v/>
      </c>
      <c r="CF368" t="str">
        <f>""</f>
        <v/>
      </c>
      <c r="CG368" t="str">
        <f>""</f>
        <v/>
      </c>
      <c r="CH368" t="str">
        <f>""</f>
        <v/>
      </c>
      <c r="CI368" t="str">
        <f>""</f>
        <v/>
      </c>
      <c r="CJ368" t="str">
        <f>""</f>
        <v/>
      </c>
      <c r="CK368" t="str">
        <f>""</f>
        <v/>
      </c>
      <c r="CL368" t="str">
        <f>""</f>
        <v/>
      </c>
      <c r="CM368" t="str">
        <f>""</f>
        <v/>
      </c>
      <c r="CN368" t="str">
        <f>""</f>
        <v/>
      </c>
      <c r="CO368" t="str">
        <f>""</f>
        <v/>
      </c>
      <c r="CP368" t="str">
        <f>""</f>
        <v/>
      </c>
      <c r="CQ368" t="str">
        <f>""</f>
        <v/>
      </c>
      <c r="CR368" t="str">
        <f>""</f>
        <v/>
      </c>
      <c r="CS368" t="str">
        <f>""</f>
        <v/>
      </c>
      <c r="CT368" t="str">
        <f>""</f>
        <v/>
      </c>
      <c r="CU368" t="str">
        <f>""</f>
        <v/>
      </c>
      <c r="CV368" t="str">
        <f>""</f>
        <v/>
      </c>
      <c r="CW368" t="str">
        <f>""</f>
        <v/>
      </c>
      <c r="CX368" t="str">
        <f>""</f>
        <v/>
      </c>
      <c r="CY368" t="str">
        <f>""</f>
        <v/>
      </c>
      <c r="CZ368" t="str">
        <f>""</f>
        <v/>
      </c>
      <c r="DA368" t="str">
        <f>""</f>
        <v/>
      </c>
      <c r="DB368" t="str">
        <f>""</f>
        <v/>
      </c>
      <c r="DC368" t="str">
        <f>""</f>
        <v/>
      </c>
      <c r="DD368" t="str">
        <f>""</f>
        <v/>
      </c>
      <c r="DE368" t="str">
        <f>""</f>
        <v/>
      </c>
      <c r="DF368" t="str">
        <f>""</f>
        <v/>
      </c>
      <c r="DG368" t="str">
        <f>""</f>
        <v/>
      </c>
      <c r="DH368" t="str">
        <f>""</f>
        <v/>
      </c>
      <c r="DI368" t="str">
        <f>""</f>
        <v/>
      </c>
      <c r="DJ368" t="str">
        <f>""</f>
        <v/>
      </c>
      <c r="DK368" t="str">
        <f>""</f>
        <v/>
      </c>
      <c r="DL368" t="str">
        <f>""</f>
        <v/>
      </c>
      <c r="DM368" t="str">
        <f>""</f>
        <v/>
      </c>
      <c r="DN368" t="str">
        <f>""</f>
        <v/>
      </c>
      <c r="DO368" t="str">
        <f>""</f>
        <v/>
      </c>
      <c r="DP368" t="str">
        <f>""</f>
        <v/>
      </c>
      <c r="DQ368" t="str">
        <f>""</f>
        <v/>
      </c>
      <c r="DR368" t="str">
        <f>""</f>
        <v/>
      </c>
      <c r="DS368" t="str">
        <f>""</f>
        <v/>
      </c>
      <c r="DT368" t="str">
        <f>""</f>
        <v/>
      </c>
      <c r="DU368" t="str">
        <f>""</f>
        <v/>
      </c>
    </row>
    <row r="369" spans="1:125">
      <c r="A369" t="str">
        <f>$A$52</f>
        <v xml:space="preserve">    Corporate Office Properties Tr</v>
      </c>
      <c r="B369" t="str">
        <f>$B$52</f>
        <v>OFC US Equity</v>
      </c>
      <c r="C369" t="str">
        <f>$C$52</f>
        <v>RR502</v>
      </c>
      <c r="D369" t="str">
        <f>$D$52</f>
        <v>NET_OPER_INCOME</v>
      </c>
      <c r="E369" t="str">
        <f>$E$52</f>
        <v>动态</v>
      </c>
      <c r="F369" t="str">
        <f ca="1">BDH($B$52,$C$52,$B$292,$B$293,CONCATENATE("Per=",$B$290),"Dts=H","Dir=H",CONCATENATE("Points=",$B$291),"Sort=R","Days=A","Fill=B",CONCATENATE("FX=", $B$289) )</f>
        <v>#N/A Authorization</v>
      </c>
      <c r="BN369" t="str">
        <f>""</f>
        <v/>
      </c>
      <c r="BO369" t="str">
        <f>""</f>
        <v/>
      </c>
      <c r="BP369" t="str">
        <f>""</f>
        <v/>
      </c>
      <c r="BQ369" t="str">
        <f>""</f>
        <v/>
      </c>
      <c r="BR369" t="str">
        <f>""</f>
        <v/>
      </c>
      <c r="BS369" t="str">
        <f>""</f>
        <v/>
      </c>
      <c r="BT369" t="str">
        <f>""</f>
        <v/>
      </c>
      <c r="BU369" t="str">
        <f>""</f>
        <v/>
      </c>
      <c r="BV369" t="str">
        <f>""</f>
        <v/>
      </c>
      <c r="BW369" t="str">
        <f>""</f>
        <v/>
      </c>
      <c r="BX369" t="str">
        <f>""</f>
        <v/>
      </c>
      <c r="BY369" t="str">
        <f>""</f>
        <v/>
      </c>
      <c r="BZ369" t="str">
        <f>""</f>
        <v/>
      </c>
      <c r="CA369" t="str">
        <f>""</f>
        <v/>
      </c>
      <c r="CB369" t="str">
        <f>""</f>
        <v/>
      </c>
      <c r="CC369" t="str">
        <f>""</f>
        <v/>
      </c>
      <c r="CD369" t="str">
        <f>""</f>
        <v/>
      </c>
      <c r="CE369" t="str">
        <f>""</f>
        <v/>
      </c>
      <c r="CF369" t="str">
        <f>""</f>
        <v/>
      </c>
      <c r="CG369" t="str">
        <f>""</f>
        <v/>
      </c>
      <c r="CH369" t="str">
        <f>""</f>
        <v/>
      </c>
      <c r="CI369" t="str">
        <f>""</f>
        <v/>
      </c>
      <c r="CJ369" t="str">
        <f>""</f>
        <v/>
      </c>
      <c r="CK369" t="str">
        <f>""</f>
        <v/>
      </c>
      <c r="CL369" t="str">
        <f>""</f>
        <v/>
      </c>
      <c r="CM369" t="str">
        <f>""</f>
        <v/>
      </c>
      <c r="CN369" t="str">
        <f>""</f>
        <v/>
      </c>
      <c r="CO369" t="str">
        <f>""</f>
        <v/>
      </c>
      <c r="CP369" t="str">
        <f>""</f>
        <v/>
      </c>
      <c r="CQ369" t="str">
        <f>""</f>
        <v/>
      </c>
      <c r="CR369" t="str">
        <f>""</f>
        <v/>
      </c>
      <c r="CS369" t="str">
        <f>""</f>
        <v/>
      </c>
      <c r="CT369" t="str">
        <f>""</f>
        <v/>
      </c>
      <c r="CU369" t="str">
        <f>""</f>
        <v/>
      </c>
      <c r="CV369" t="str">
        <f>""</f>
        <v/>
      </c>
      <c r="CW369" t="str">
        <f>""</f>
        <v/>
      </c>
      <c r="CX369" t="str">
        <f>""</f>
        <v/>
      </c>
      <c r="CY369" t="str">
        <f>""</f>
        <v/>
      </c>
      <c r="CZ369" t="str">
        <f>""</f>
        <v/>
      </c>
      <c r="DA369" t="str">
        <f>""</f>
        <v/>
      </c>
      <c r="DB369" t="str">
        <f>""</f>
        <v/>
      </c>
      <c r="DC369" t="str">
        <f>""</f>
        <v/>
      </c>
      <c r="DD369" t="str">
        <f>""</f>
        <v/>
      </c>
      <c r="DE369" t="str">
        <f>""</f>
        <v/>
      </c>
      <c r="DF369" t="str">
        <f>""</f>
        <v/>
      </c>
      <c r="DG369" t="str">
        <f>""</f>
        <v/>
      </c>
      <c r="DH369" t="str">
        <f>""</f>
        <v/>
      </c>
      <c r="DI369" t="str">
        <f>""</f>
        <v/>
      </c>
      <c r="DJ369" t="str">
        <f>""</f>
        <v/>
      </c>
      <c r="DK369" t="str">
        <f>""</f>
        <v/>
      </c>
      <c r="DL369" t="str">
        <f>""</f>
        <v/>
      </c>
      <c r="DM369" t="str">
        <f>""</f>
        <v/>
      </c>
      <c r="DN369" t="str">
        <f>""</f>
        <v/>
      </c>
      <c r="DO369" t="str">
        <f>""</f>
        <v/>
      </c>
      <c r="DP369" t="str">
        <f>""</f>
        <v/>
      </c>
      <c r="DQ369" t="str">
        <f>""</f>
        <v/>
      </c>
      <c r="DR369" t="str">
        <f>""</f>
        <v/>
      </c>
      <c r="DS369" t="str">
        <f>""</f>
        <v/>
      </c>
      <c r="DT369" t="str">
        <f>""</f>
        <v/>
      </c>
      <c r="DU369" t="str">
        <f>""</f>
        <v/>
      </c>
    </row>
    <row r="370" spans="1:125">
      <c r="A370" t="str">
        <f>$A$53</f>
        <v xml:space="preserve">    Highwoods Properties Inc</v>
      </c>
      <c r="B370" t="str">
        <f>$B$53</f>
        <v>HIW US Equity</v>
      </c>
      <c r="C370" t="str">
        <f>$C$53</f>
        <v>RR502</v>
      </c>
      <c r="D370" t="str">
        <f>$D$53</f>
        <v>NET_OPER_INCOME</v>
      </c>
      <c r="E370" t="str">
        <f>$E$53</f>
        <v>动态</v>
      </c>
      <c r="F370" t="str">
        <f ca="1">BDH($B$53,$C$53,$B$292,$B$293,CONCATENATE("Per=",$B$290),"Dts=H","Dir=H",CONCATENATE("Points=",$B$291),"Sort=R","Days=A","Fill=B",CONCATENATE("FX=", $B$289) )</f>
        <v>#N/A Authorization</v>
      </c>
      <c r="BN370" t="str">
        <f>""</f>
        <v/>
      </c>
      <c r="BO370" t="str">
        <f>""</f>
        <v/>
      </c>
      <c r="BP370" t="str">
        <f>""</f>
        <v/>
      </c>
      <c r="BQ370" t="str">
        <f>""</f>
        <v/>
      </c>
      <c r="BR370" t="str">
        <f>""</f>
        <v/>
      </c>
      <c r="BS370" t="str">
        <f>""</f>
        <v/>
      </c>
      <c r="BT370" t="str">
        <f>""</f>
        <v/>
      </c>
      <c r="BU370" t="str">
        <f>""</f>
        <v/>
      </c>
      <c r="BV370" t="str">
        <f>""</f>
        <v/>
      </c>
      <c r="BW370" t="str">
        <f>""</f>
        <v/>
      </c>
      <c r="BX370" t="str">
        <f>""</f>
        <v/>
      </c>
      <c r="BY370" t="str">
        <f>""</f>
        <v/>
      </c>
      <c r="BZ370" t="str">
        <f>""</f>
        <v/>
      </c>
      <c r="CA370" t="str">
        <f>""</f>
        <v/>
      </c>
      <c r="CB370" t="str">
        <f>""</f>
        <v/>
      </c>
      <c r="CC370" t="str">
        <f>""</f>
        <v/>
      </c>
      <c r="CD370" t="str">
        <f>""</f>
        <v/>
      </c>
      <c r="CE370" t="str">
        <f>""</f>
        <v/>
      </c>
      <c r="CF370" t="str">
        <f>""</f>
        <v/>
      </c>
      <c r="CG370" t="str">
        <f>""</f>
        <v/>
      </c>
      <c r="CH370" t="str">
        <f>""</f>
        <v/>
      </c>
      <c r="CI370" t="str">
        <f>""</f>
        <v/>
      </c>
      <c r="CJ370" t="str">
        <f>""</f>
        <v/>
      </c>
      <c r="CK370" t="str">
        <f>""</f>
        <v/>
      </c>
      <c r="CL370" t="str">
        <f>""</f>
        <v/>
      </c>
      <c r="CM370" t="str">
        <f>""</f>
        <v/>
      </c>
      <c r="CN370" t="str">
        <f>""</f>
        <v/>
      </c>
      <c r="CO370" t="str">
        <f>""</f>
        <v/>
      </c>
      <c r="CP370" t="str">
        <f>""</f>
        <v/>
      </c>
      <c r="CQ370" t="str">
        <f>""</f>
        <v/>
      </c>
      <c r="CR370" t="str">
        <f>""</f>
        <v/>
      </c>
      <c r="CS370" t="str">
        <f>""</f>
        <v/>
      </c>
      <c r="CT370" t="str">
        <f>""</f>
        <v/>
      </c>
      <c r="CU370" t="str">
        <f>""</f>
        <v/>
      </c>
      <c r="CV370" t="str">
        <f>""</f>
        <v/>
      </c>
      <c r="CW370" t="str">
        <f>""</f>
        <v/>
      </c>
      <c r="CX370" t="str">
        <f>""</f>
        <v/>
      </c>
      <c r="CY370" t="str">
        <f>""</f>
        <v/>
      </c>
      <c r="CZ370" t="str">
        <f>""</f>
        <v/>
      </c>
      <c r="DA370" t="str">
        <f>""</f>
        <v/>
      </c>
      <c r="DB370" t="str">
        <f>""</f>
        <v/>
      </c>
      <c r="DC370" t="str">
        <f>""</f>
        <v/>
      </c>
      <c r="DD370" t="str">
        <f>""</f>
        <v/>
      </c>
      <c r="DE370" t="str">
        <f>""</f>
        <v/>
      </c>
      <c r="DF370" t="str">
        <f>""</f>
        <v/>
      </c>
      <c r="DG370" t="str">
        <f>""</f>
        <v/>
      </c>
      <c r="DH370" t="str">
        <f>""</f>
        <v/>
      </c>
      <c r="DI370" t="str">
        <f>""</f>
        <v/>
      </c>
      <c r="DJ370" t="str">
        <f>""</f>
        <v/>
      </c>
      <c r="DK370" t="str">
        <f>""</f>
        <v/>
      </c>
      <c r="DL370" t="str">
        <f>""</f>
        <v/>
      </c>
      <c r="DM370" t="str">
        <f>""</f>
        <v/>
      </c>
      <c r="DN370" t="str">
        <f>""</f>
        <v/>
      </c>
      <c r="DO370" t="str">
        <f>""</f>
        <v/>
      </c>
      <c r="DP370" t="str">
        <f>""</f>
        <v/>
      </c>
      <c r="DQ370" t="str">
        <f>""</f>
        <v/>
      </c>
      <c r="DR370" t="str">
        <f>""</f>
        <v/>
      </c>
      <c r="DS370" t="str">
        <f>""</f>
        <v/>
      </c>
      <c r="DT370" t="str">
        <f>""</f>
        <v/>
      </c>
      <c r="DU370" t="str">
        <f>""</f>
        <v/>
      </c>
    </row>
    <row r="371" spans="1:125">
      <c r="A371" t="str">
        <f>$A$54</f>
        <v xml:space="preserve">    Kilroy Realty Corp</v>
      </c>
      <c r="B371" t="str">
        <f>$B$54</f>
        <v>KRC US Equity</v>
      </c>
      <c r="C371" t="str">
        <f>$C$54</f>
        <v>RR502</v>
      </c>
      <c r="D371" t="str">
        <f>$D$54</f>
        <v>NET_OPER_INCOME</v>
      </c>
      <c r="E371" t="str">
        <f>$E$54</f>
        <v>动态</v>
      </c>
      <c r="F371" t="str">
        <f ca="1">BDH($B$54,$C$54,$B$292,$B$293,CONCATENATE("Per=",$B$290),"Dts=H","Dir=H",CONCATENATE("Points=",$B$291),"Sort=R","Days=A","Fill=B",CONCATENATE("FX=", $B$289) )</f>
        <v>#N/A Authorization</v>
      </c>
      <c r="BN371" t="str">
        <f>""</f>
        <v/>
      </c>
      <c r="BO371" t="str">
        <f>""</f>
        <v/>
      </c>
      <c r="BP371" t="str">
        <f>""</f>
        <v/>
      </c>
      <c r="BQ371" t="str">
        <f>""</f>
        <v/>
      </c>
      <c r="BR371" t="str">
        <f>""</f>
        <v/>
      </c>
      <c r="BS371" t="str">
        <f>""</f>
        <v/>
      </c>
      <c r="BT371" t="str">
        <f>""</f>
        <v/>
      </c>
      <c r="BU371" t="str">
        <f>""</f>
        <v/>
      </c>
      <c r="BV371" t="str">
        <f>""</f>
        <v/>
      </c>
      <c r="BW371" t="str">
        <f>""</f>
        <v/>
      </c>
      <c r="BX371" t="str">
        <f>""</f>
        <v/>
      </c>
      <c r="BY371" t="str">
        <f>""</f>
        <v/>
      </c>
      <c r="BZ371" t="str">
        <f>""</f>
        <v/>
      </c>
      <c r="CA371" t="str">
        <f>""</f>
        <v/>
      </c>
      <c r="CB371" t="str">
        <f>""</f>
        <v/>
      </c>
      <c r="CC371" t="str">
        <f>""</f>
        <v/>
      </c>
      <c r="CD371" t="str">
        <f>""</f>
        <v/>
      </c>
      <c r="CE371" t="str">
        <f>""</f>
        <v/>
      </c>
      <c r="CF371" t="str">
        <f>""</f>
        <v/>
      </c>
      <c r="CG371" t="str">
        <f>""</f>
        <v/>
      </c>
      <c r="CH371" t="str">
        <f>""</f>
        <v/>
      </c>
      <c r="CI371" t="str">
        <f>""</f>
        <v/>
      </c>
      <c r="CJ371" t="str">
        <f>""</f>
        <v/>
      </c>
      <c r="CK371" t="str">
        <f>""</f>
        <v/>
      </c>
      <c r="CL371" t="str">
        <f>""</f>
        <v/>
      </c>
      <c r="CM371" t="str">
        <f>""</f>
        <v/>
      </c>
      <c r="CN371" t="str">
        <f>""</f>
        <v/>
      </c>
      <c r="CO371" t="str">
        <f>""</f>
        <v/>
      </c>
      <c r="CP371" t="str">
        <f>""</f>
        <v/>
      </c>
      <c r="CQ371" t="str">
        <f>""</f>
        <v/>
      </c>
      <c r="CR371" t="str">
        <f>""</f>
        <v/>
      </c>
      <c r="CS371" t="str">
        <f>""</f>
        <v/>
      </c>
      <c r="CT371" t="str">
        <f>""</f>
        <v/>
      </c>
      <c r="CU371" t="str">
        <f>""</f>
        <v/>
      </c>
      <c r="CV371" t="str">
        <f>""</f>
        <v/>
      </c>
      <c r="CW371" t="str">
        <f>""</f>
        <v/>
      </c>
      <c r="CX371" t="str">
        <f>""</f>
        <v/>
      </c>
      <c r="CY371" t="str">
        <f>""</f>
        <v/>
      </c>
      <c r="CZ371" t="str">
        <f>""</f>
        <v/>
      </c>
      <c r="DA371" t="str">
        <f>""</f>
        <v/>
      </c>
      <c r="DB371" t="str">
        <f>""</f>
        <v/>
      </c>
      <c r="DC371" t="str">
        <f>""</f>
        <v/>
      </c>
      <c r="DD371" t="str">
        <f>""</f>
        <v/>
      </c>
      <c r="DE371" t="str">
        <f>""</f>
        <v/>
      </c>
      <c r="DF371" t="str">
        <f>""</f>
        <v/>
      </c>
      <c r="DG371" t="str">
        <f>""</f>
        <v/>
      </c>
      <c r="DH371" t="str">
        <f>""</f>
        <v/>
      </c>
      <c r="DI371" t="str">
        <f>""</f>
        <v/>
      </c>
      <c r="DJ371" t="str">
        <f>""</f>
        <v/>
      </c>
      <c r="DK371" t="str">
        <f>""</f>
        <v/>
      </c>
      <c r="DL371" t="str">
        <f>""</f>
        <v/>
      </c>
      <c r="DM371" t="str">
        <f>""</f>
        <v/>
      </c>
      <c r="DN371" t="str">
        <f>""</f>
        <v/>
      </c>
      <c r="DO371" t="str">
        <f>""</f>
        <v/>
      </c>
      <c r="DP371" t="str">
        <f>""</f>
        <v/>
      </c>
      <c r="DQ371" t="str">
        <f>""</f>
        <v/>
      </c>
      <c r="DR371" t="str">
        <f>""</f>
        <v/>
      </c>
      <c r="DS371" t="str">
        <f>""</f>
        <v/>
      </c>
      <c r="DT371" t="str">
        <f>""</f>
        <v/>
      </c>
      <c r="DU371" t="str">
        <f>""</f>
        <v/>
      </c>
    </row>
    <row r="372" spans="1:125">
      <c r="A372" t="str">
        <f>$A$55</f>
        <v xml:space="preserve">    Mack-Cali Realty Corp</v>
      </c>
      <c r="B372" t="str">
        <f>$B$55</f>
        <v>CLI US Equity</v>
      </c>
      <c r="C372" t="str">
        <f>$C$55</f>
        <v>RR502</v>
      </c>
      <c r="D372" t="str">
        <f>$D$55</f>
        <v>NET_OPER_INCOME</v>
      </c>
      <c r="E372" t="str">
        <f>$E$55</f>
        <v>动态</v>
      </c>
      <c r="F372" t="str">
        <f ca="1">BDH($B$55,$C$55,$B$292,$B$293,CONCATENATE("Per=",$B$290),"Dts=H","Dir=H",CONCATENATE("Points=",$B$291),"Sort=R","Days=A","Fill=B",CONCATENATE("FX=", $B$289) )</f>
        <v>#N/A Authorization</v>
      </c>
      <c r="BN372" t="str">
        <f>""</f>
        <v/>
      </c>
      <c r="BO372" t="str">
        <f>""</f>
        <v/>
      </c>
      <c r="BP372" t="str">
        <f>""</f>
        <v/>
      </c>
      <c r="BQ372" t="str">
        <f>""</f>
        <v/>
      </c>
      <c r="BR372" t="str">
        <f>""</f>
        <v/>
      </c>
      <c r="BS372" t="str">
        <f>""</f>
        <v/>
      </c>
      <c r="BT372" t="str">
        <f>""</f>
        <v/>
      </c>
      <c r="BU372" t="str">
        <f>""</f>
        <v/>
      </c>
      <c r="BV372" t="str">
        <f>""</f>
        <v/>
      </c>
      <c r="BW372" t="str">
        <f>""</f>
        <v/>
      </c>
      <c r="BX372" t="str">
        <f>""</f>
        <v/>
      </c>
      <c r="BY372" t="str">
        <f>""</f>
        <v/>
      </c>
      <c r="BZ372" t="str">
        <f>""</f>
        <v/>
      </c>
      <c r="CA372" t="str">
        <f>""</f>
        <v/>
      </c>
      <c r="CB372" t="str">
        <f>""</f>
        <v/>
      </c>
      <c r="CC372" t="str">
        <f>""</f>
        <v/>
      </c>
      <c r="CD372" t="str">
        <f>""</f>
        <v/>
      </c>
      <c r="CE372" t="str">
        <f>""</f>
        <v/>
      </c>
      <c r="CF372" t="str">
        <f>""</f>
        <v/>
      </c>
      <c r="CG372" t="str">
        <f>""</f>
        <v/>
      </c>
      <c r="CH372" t="str">
        <f>""</f>
        <v/>
      </c>
      <c r="CI372" t="str">
        <f>""</f>
        <v/>
      </c>
      <c r="CJ372" t="str">
        <f>""</f>
        <v/>
      </c>
      <c r="CK372" t="str">
        <f>""</f>
        <v/>
      </c>
      <c r="CL372" t="str">
        <f>""</f>
        <v/>
      </c>
      <c r="CM372" t="str">
        <f>""</f>
        <v/>
      </c>
      <c r="CN372" t="str">
        <f>""</f>
        <v/>
      </c>
      <c r="CO372" t="str">
        <f>""</f>
        <v/>
      </c>
      <c r="CP372" t="str">
        <f>""</f>
        <v/>
      </c>
      <c r="CQ372" t="str">
        <f>""</f>
        <v/>
      </c>
      <c r="CR372" t="str">
        <f>""</f>
        <v/>
      </c>
      <c r="CS372" t="str">
        <f>""</f>
        <v/>
      </c>
      <c r="CT372" t="str">
        <f>""</f>
        <v/>
      </c>
      <c r="CU372" t="str">
        <f>""</f>
        <v/>
      </c>
      <c r="CV372" t="str">
        <f>""</f>
        <v/>
      </c>
      <c r="CW372" t="str">
        <f>""</f>
        <v/>
      </c>
      <c r="CX372" t="str">
        <f>""</f>
        <v/>
      </c>
      <c r="CY372" t="str">
        <f>""</f>
        <v/>
      </c>
      <c r="CZ372" t="str">
        <f>""</f>
        <v/>
      </c>
      <c r="DA372" t="str">
        <f>""</f>
        <v/>
      </c>
      <c r="DB372" t="str">
        <f>""</f>
        <v/>
      </c>
      <c r="DC372" t="str">
        <f>""</f>
        <v/>
      </c>
      <c r="DD372" t="str">
        <f>""</f>
        <v/>
      </c>
      <c r="DE372" t="str">
        <f>""</f>
        <v/>
      </c>
      <c r="DF372" t="str">
        <f>""</f>
        <v/>
      </c>
      <c r="DG372" t="str">
        <f>""</f>
        <v/>
      </c>
      <c r="DH372" t="str">
        <f>""</f>
        <v/>
      </c>
      <c r="DI372" t="str">
        <f>""</f>
        <v/>
      </c>
      <c r="DJ372" t="str">
        <f>""</f>
        <v/>
      </c>
      <c r="DK372" t="str">
        <f>""</f>
        <v/>
      </c>
      <c r="DL372" t="str">
        <f>""</f>
        <v/>
      </c>
      <c r="DM372" t="str">
        <f>""</f>
        <v/>
      </c>
      <c r="DN372" t="str">
        <f>""</f>
        <v/>
      </c>
      <c r="DO372" t="str">
        <f>""</f>
        <v/>
      </c>
      <c r="DP372" t="str">
        <f>""</f>
        <v/>
      </c>
      <c r="DQ372" t="str">
        <f>""</f>
        <v/>
      </c>
      <c r="DR372" t="str">
        <f>""</f>
        <v/>
      </c>
      <c r="DS372" t="str">
        <f>""</f>
        <v/>
      </c>
      <c r="DT372" t="str">
        <f>""</f>
        <v/>
      </c>
      <c r="DU372" t="str">
        <f>""</f>
        <v/>
      </c>
    </row>
    <row r="373" spans="1:125">
      <c r="A373" t="str">
        <f>$A$56</f>
        <v xml:space="preserve">    Piedmont Office Realty Trust I</v>
      </c>
      <c r="B373" t="str">
        <f>$B$56</f>
        <v>PDM US Equity</v>
      </c>
      <c r="C373" t="str">
        <f>$C$56</f>
        <v>RR502</v>
      </c>
      <c r="D373" t="str">
        <f>$D$56</f>
        <v>NET_OPER_INCOME</v>
      </c>
      <c r="E373" t="str">
        <f>$E$56</f>
        <v>动态</v>
      </c>
      <c r="F373" t="str">
        <f ca="1">BDH($B$56,$C$56,$B$292,$B$293,CONCATENATE("Per=",$B$290),"Dts=H","Dir=H",CONCATENATE("Points=",$B$291),"Sort=R","Days=A","Fill=B",CONCATENATE("FX=", $B$289) )</f>
        <v>#N/A Authorization</v>
      </c>
      <c r="BN373" t="str">
        <f>""</f>
        <v/>
      </c>
      <c r="BO373" t="str">
        <f>""</f>
        <v/>
      </c>
      <c r="BP373" t="str">
        <f>""</f>
        <v/>
      </c>
      <c r="BQ373" t="str">
        <f>""</f>
        <v/>
      </c>
      <c r="BR373" t="str">
        <f>""</f>
        <v/>
      </c>
      <c r="BS373" t="str">
        <f>""</f>
        <v/>
      </c>
      <c r="BT373" t="str">
        <f>""</f>
        <v/>
      </c>
      <c r="BU373" t="str">
        <f>""</f>
        <v/>
      </c>
      <c r="BV373" t="str">
        <f>""</f>
        <v/>
      </c>
      <c r="BW373" t="str">
        <f>""</f>
        <v/>
      </c>
      <c r="BX373" t="str">
        <f>""</f>
        <v/>
      </c>
      <c r="BY373" t="str">
        <f>""</f>
        <v/>
      </c>
      <c r="BZ373" t="str">
        <f>""</f>
        <v/>
      </c>
      <c r="CA373" t="str">
        <f>""</f>
        <v/>
      </c>
      <c r="CB373" t="str">
        <f>""</f>
        <v/>
      </c>
      <c r="CC373" t="str">
        <f>""</f>
        <v/>
      </c>
      <c r="CD373" t="str">
        <f>""</f>
        <v/>
      </c>
      <c r="CE373" t="str">
        <f>""</f>
        <v/>
      </c>
      <c r="CF373" t="str">
        <f>""</f>
        <v/>
      </c>
      <c r="CG373" t="str">
        <f>""</f>
        <v/>
      </c>
      <c r="CH373" t="str">
        <f>""</f>
        <v/>
      </c>
      <c r="CI373" t="str">
        <f>""</f>
        <v/>
      </c>
      <c r="CJ373" t="str">
        <f>""</f>
        <v/>
      </c>
      <c r="CK373" t="str">
        <f>""</f>
        <v/>
      </c>
      <c r="CL373" t="str">
        <f>""</f>
        <v/>
      </c>
      <c r="CM373" t="str">
        <f>""</f>
        <v/>
      </c>
      <c r="CN373" t="str">
        <f>""</f>
        <v/>
      </c>
      <c r="CO373" t="str">
        <f>""</f>
        <v/>
      </c>
      <c r="CP373" t="str">
        <f>""</f>
        <v/>
      </c>
      <c r="CQ373" t="str">
        <f>""</f>
        <v/>
      </c>
      <c r="CR373" t="str">
        <f>""</f>
        <v/>
      </c>
      <c r="CS373" t="str">
        <f>""</f>
        <v/>
      </c>
      <c r="CT373" t="str">
        <f>""</f>
        <v/>
      </c>
      <c r="CU373" t="str">
        <f>""</f>
        <v/>
      </c>
      <c r="CV373" t="str">
        <f>""</f>
        <v/>
      </c>
      <c r="CW373" t="str">
        <f>""</f>
        <v/>
      </c>
      <c r="CX373" t="str">
        <f>""</f>
        <v/>
      </c>
      <c r="CY373" t="str">
        <f>""</f>
        <v/>
      </c>
      <c r="CZ373" t="str">
        <f>""</f>
        <v/>
      </c>
      <c r="DA373" t="str">
        <f>""</f>
        <v/>
      </c>
      <c r="DB373" t="str">
        <f>""</f>
        <v/>
      </c>
      <c r="DC373" t="str">
        <f>""</f>
        <v/>
      </c>
      <c r="DD373" t="str">
        <f>""</f>
        <v/>
      </c>
      <c r="DE373" t="str">
        <f>""</f>
        <v/>
      </c>
      <c r="DF373" t="str">
        <f>""</f>
        <v/>
      </c>
      <c r="DG373" t="str">
        <f>""</f>
        <v/>
      </c>
      <c r="DH373" t="str">
        <f>""</f>
        <v/>
      </c>
      <c r="DI373" t="str">
        <f>""</f>
        <v/>
      </c>
      <c r="DJ373" t="str">
        <f>""</f>
        <v/>
      </c>
      <c r="DK373" t="str">
        <f>""</f>
        <v/>
      </c>
      <c r="DL373" t="str">
        <f>""</f>
        <v/>
      </c>
      <c r="DM373" t="str">
        <f>""</f>
        <v/>
      </c>
      <c r="DN373" t="str">
        <f>""</f>
        <v/>
      </c>
      <c r="DO373" t="str">
        <f>""</f>
        <v/>
      </c>
      <c r="DP373" t="str">
        <f>""</f>
        <v/>
      </c>
      <c r="DQ373" t="str">
        <f>""</f>
        <v/>
      </c>
      <c r="DR373" t="str">
        <f>""</f>
        <v/>
      </c>
      <c r="DS373" t="str">
        <f>""</f>
        <v/>
      </c>
      <c r="DT373" t="str">
        <f>""</f>
        <v/>
      </c>
      <c r="DU373" t="str">
        <f>""</f>
        <v/>
      </c>
    </row>
    <row r="374" spans="1:125">
      <c r="A374" t="str">
        <f>$A$57</f>
        <v xml:space="preserve">    SL Green Realty Corp</v>
      </c>
      <c r="B374" t="str">
        <f>$B$57</f>
        <v>SLG US Equity</v>
      </c>
      <c r="C374" t="str">
        <f>$C$57</f>
        <v>RR502</v>
      </c>
      <c r="D374" t="str">
        <f>$D$57</f>
        <v>NET_OPER_INCOME</v>
      </c>
      <c r="E374" t="str">
        <f>$E$57</f>
        <v>动态</v>
      </c>
      <c r="F374" t="str">
        <f ca="1">BDH($B$57,$C$57,$B$292,$B$293,CONCATENATE("Per=",$B$290),"Dts=H","Dir=H",CONCATENATE("Points=",$B$291),"Sort=R","Days=A","Fill=B",CONCATENATE("FX=", $B$289) )</f>
        <v>#N/A Authorization</v>
      </c>
      <c r="BN374" t="str">
        <f>""</f>
        <v/>
      </c>
      <c r="BO374" t="str">
        <f>""</f>
        <v/>
      </c>
      <c r="BP374" t="str">
        <f>""</f>
        <v/>
      </c>
      <c r="BQ374" t="str">
        <f>""</f>
        <v/>
      </c>
      <c r="BR374" t="str">
        <f>""</f>
        <v/>
      </c>
      <c r="BS374" t="str">
        <f>""</f>
        <v/>
      </c>
      <c r="BT374" t="str">
        <f>""</f>
        <v/>
      </c>
      <c r="BU374" t="str">
        <f>""</f>
        <v/>
      </c>
      <c r="BV374" t="str">
        <f>""</f>
        <v/>
      </c>
      <c r="BW374" t="str">
        <f>""</f>
        <v/>
      </c>
      <c r="BX374" t="str">
        <f>""</f>
        <v/>
      </c>
      <c r="BY374" t="str">
        <f>""</f>
        <v/>
      </c>
      <c r="BZ374" t="str">
        <f>""</f>
        <v/>
      </c>
      <c r="CA374" t="str">
        <f>""</f>
        <v/>
      </c>
      <c r="CB374" t="str">
        <f>""</f>
        <v/>
      </c>
      <c r="CC374" t="str">
        <f>""</f>
        <v/>
      </c>
      <c r="CD374" t="str">
        <f>""</f>
        <v/>
      </c>
      <c r="CE374" t="str">
        <f>""</f>
        <v/>
      </c>
      <c r="CF374" t="str">
        <f>""</f>
        <v/>
      </c>
      <c r="CG374" t="str">
        <f>""</f>
        <v/>
      </c>
      <c r="CH374" t="str">
        <f>""</f>
        <v/>
      </c>
      <c r="CI374" t="str">
        <f>""</f>
        <v/>
      </c>
      <c r="CJ374" t="str">
        <f>""</f>
        <v/>
      </c>
      <c r="CK374" t="str">
        <f>""</f>
        <v/>
      </c>
      <c r="CL374" t="str">
        <f>""</f>
        <v/>
      </c>
      <c r="CM374" t="str">
        <f>""</f>
        <v/>
      </c>
      <c r="CN374" t="str">
        <f>""</f>
        <v/>
      </c>
      <c r="CO374" t="str">
        <f>""</f>
        <v/>
      </c>
      <c r="CP374" t="str">
        <f>""</f>
        <v/>
      </c>
      <c r="CQ374" t="str">
        <f>""</f>
        <v/>
      </c>
      <c r="CR374" t="str">
        <f>""</f>
        <v/>
      </c>
      <c r="CS374" t="str">
        <f>""</f>
        <v/>
      </c>
      <c r="CT374" t="str">
        <f>""</f>
        <v/>
      </c>
      <c r="CU374" t="str">
        <f>""</f>
        <v/>
      </c>
      <c r="CV374" t="str">
        <f>""</f>
        <v/>
      </c>
      <c r="CW374" t="str">
        <f>""</f>
        <v/>
      </c>
      <c r="CX374" t="str">
        <f>""</f>
        <v/>
      </c>
      <c r="CY374" t="str">
        <f>""</f>
        <v/>
      </c>
      <c r="CZ374" t="str">
        <f>""</f>
        <v/>
      </c>
      <c r="DA374" t="str">
        <f>""</f>
        <v/>
      </c>
      <c r="DB374" t="str">
        <f>""</f>
        <v/>
      </c>
      <c r="DC374" t="str">
        <f>""</f>
        <v/>
      </c>
      <c r="DD374" t="str">
        <f>""</f>
        <v/>
      </c>
      <c r="DE374" t="str">
        <f>""</f>
        <v/>
      </c>
      <c r="DF374" t="str">
        <f>""</f>
        <v/>
      </c>
      <c r="DG374" t="str">
        <f>""</f>
        <v/>
      </c>
      <c r="DH374" t="str">
        <f>""</f>
        <v/>
      </c>
      <c r="DI374" t="str">
        <f>""</f>
        <v/>
      </c>
      <c r="DJ374" t="str">
        <f>""</f>
        <v/>
      </c>
      <c r="DK374" t="str">
        <f>""</f>
        <v/>
      </c>
      <c r="DL374" t="str">
        <f>""</f>
        <v/>
      </c>
      <c r="DM374" t="str">
        <f>""</f>
        <v/>
      </c>
      <c r="DN374" t="str">
        <f>""</f>
        <v/>
      </c>
      <c r="DO374" t="str">
        <f>""</f>
        <v/>
      </c>
      <c r="DP374" t="str">
        <f>""</f>
        <v/>
      </c>
      <c r="DQ374" t="str">
        <f>""</f>
        <v/>
      </c>
      <c r="DR374" t="str">
        <f>""</f>
        <v/>
      </c>
      <c r="DS374" t="str">
        <f>""</f>
        <v/>
      </c>
      <c r="DT374" t="str">
        <f>""</f>
        <v/>
      </c>
      <c r="DU374" t="str">
        <f>""</f>
        <v/>
      </c>
    </row>
    <row r="375" spans="1:125">
      <c r="A375" t="str">
        <f>$A$58</f>
        <v xml:space="preserve">    Vornado Realty Trust</v>
      </c>
      <c r="B375" t="str">
        <f>$B$58</f>
        <v>VNO US Equity</v>
      </c>
      <c r="C375" t="str">
        <f>$C$58</f>
        <v>RR502</v>
      </c>
      <c r="D375" t="str">
        <f>$D$58</f>
        <v>NET_OPER_INCOME</v>
      </c>
      <c r="E375" t="str">
        <f>$E$58</f>
        <v>动态</v>
      </c>
      <c r="F375" t="str">
        <f ca="1">BDH($B$58,$C$58,$B$292,$B$293,CONCATENATE("Per=",$B$290),"Dts=H","Dir=H",CONCATENATE("Points=",$B$291),"Sort=R","Days=A","Fill=B",CONCATENATE("FX=", $B$289) )</f>
        <v>#N/A Authorization</v>
      </c>
      <c r="BN375" t="str">
        <f>""</f>
        <v/>
      </c>
      <c r="BO375" t="str">
        <f>""</f>
        <v/>
      </c>
      <c r="BP375" t="str">
        <f>""</f>
        <v/>
      </c>
      <c r="BQ375" t="str">
        <f>""</f>
        <v/>
      </c>
      <c r="BR375" t="str">
        <f>""</f>
        <v/>
      </c>
      <c r="BS375" t="str">
        <f>""</f>
        <v/>
      </c>
      <c r="BT375" t="str">
        <f>""</f>
        <v/>
      </c>
      <c r="BU375" t="str">
        <f>""</f>
        <v/>
      </c>
      <c r="BV375" t="str">
        <f>""</f>
        <v/>
      </c>
      <c r="BW375" t="str">
        <f>""</f>
        <v/>
      </c>
      <c r="BX375" t="str">
        <f>""</f>
        <v/>
      </c>
      <c r="BY375" t="str">
        <f>""</f>
        <v/>
      </c>
      <c r="BZ375" t="str">
        <f>""</f>
        <v/>
      </c>
      <c r="CA375" t="str">
        <f>""</f>
        <v/>
      </c>
      <c r="CB375" t="str">
        <f>""</f>
        <v/>
      </c>
      <c r="CC375" t="str">
        <f>""</f>
        <v/>
      </c>
      <c r="CD375" t="str">
        <f>""</f>
        <v/>
      </c>
      <c r="CE375" t="str">
        <f>""</f>
        <v/>
      </c>
      <c r="CF375" t="str">
        <f>""</f>
        <v/>
      </c>
      <c r="CG375" t="str">
        <f>""</f>
        <v/>
      </c>
      <c r="CH375" t="str">
        <f>""</f>
        <v/>
      </c>
      <c r="CI375" t="str">
        <f>""</f>
        <v/>
      </c>
      <c r="CJ375" t="str">
        <f>""</f>
        <v/>
      </c>
      <c r="CK375" t="str">
        <f>""</f>
        <v/>
      </c>
      <c r="CL375" t="str">
        <f>""</f>
        <v/>
      </c>
      <c r="CM375" t="str">
        <f>""</f>
        <v/>
      </c>
      <c r="CN375" t="str">
        <f>""</f>
        <v/>
      </c>
      <c r="CO375" t="str">
        <f>""</f>
        <v/>
      </c>
      <c r="CP375" t="str">
        <f>""</f>
        <v/>
      </c>
      <c r="CQ375" t="str">
        <f>""</f>
        <v/>
      </c>
      <c r="CR375" t="str">
        <f>""</f>
        <v/>
      </c>
      <c r="CS375" t="str">
        <f>""</f>
        <v/>
      </c>
      <c r="CT375" t="str">
        <f>""</f>
        <v/>
      </c>
      <c r="CU375" t="str">
        <f>""</f>
        <v/>
      </c>
      <c r="CV375" t="str">
        <f>""</f>
        <v/>
      </c>
      <c r="CW375" t="str">
        <f>""</f>
        <v/>
      </c>
      <c r="CX375" t="str">
        <f>""</f>
        <v/>
      </c>
      <c r="CY375" t="str">
        <f>""</f>
        <v/>
      </c>
      <c r="CZ375" t="str">
        <f>""</f>
        <v/>
      </c>
      <c r="DA375" t="str">
        <f>""</f>
        <v/>
      </c>
      <c r="DB375" t="str">
        <f>""</f>
        <v/>
      </c>
      <c r="DC375" t="str">
        <f>""</f>
        <v/>
      </c>
      <c r="DD375" t="str">
        <f>""</f>
        <v/>
      </c>
      <c r="DE375" t="str">
        <f>""</f>
        <v/>
      </c>
      <c r="DF375" t="str">
        <f>""</f>
        <v/>
      </c>
      <c r="DG375" t="str">
        <f>""</f>
        <v/>
      </c>
      <c r="DH375" t="str">
        <f>""</f>
        <v/>
      </c>
      <c r="DI375" t="str">
        <f>""</f>
        <v/>
      </c>
      <c r="DJ375" t="str">
        <f>""</f>
        <v/>
      </c>
      <c r="DK375" t="str">
        <f>""</f>
        <v/>
      </c>
      <c r="DL375" t="str">
        <f>""</f>
        <v/>
      </c>
      <c r="DM375" t="str">
        <f>""</f>
        <v/>
      </c>
      <c r="DN375" t="str">
        <f>""</f>
        <v/>
      </c>
      <c r="DO375" t="str">
        <f>""</f>
        <v/>
      </c>
      <c r="DP375" t="str">
        <f>""</f>
        <v/>
      </c>
      <c r="DQ375" t="str">
        <f>""</f>
        <v/>
      </c>
      <c r="DR375" t="str">
        <f>""</f>
        <v/>
      </c>
      <c r="DS375" t="str">
        <f>""</f>
        <v/>
      </c>
      <c r="DT375" t="str">
        <f>""</f>
        <v/>
      </c>
      <c r="DU375" t="str">
        <f>""</f>
        <v/>
      </c>
    </row>
    <row r="376" spans="1:125">
      <c r="A376" t="str">
        <f>$A$60</f>
        <v xml:space="preserve">    Boston Properties Inc</v>
      </c>
      <c r="B376" t="str">
        <f>$B$60</f>
        <v>BXP US Equity</v>
      </c>
      <c r="C376" t="str">
        <f>$C$60</f>
        <v>RR009</v>
      </c>
      <c r="D376" t="str">
        <f>$D$60</f>
        <v>EBITDA</v>
      </c>
      <c r="E376" t="str">
        <f>$E$60</f>
        <v>动态</v>
      </c>
      <c r="F376" t="str">
        <f ca="1">BDH($B$60,$C$60,$B$292,$B$293,CONCATENATE("Per=",$B$290),"Dts=H","Dir=H",CONCATENATE("Points=",$B$291),"Sort=R","Days=A","Fill=B",CONCATENATE("FX=", $B$289) )</f>
        <v>#N/A Authorization</v>
      </c>
      <c r="BN376" t="str">
        <f>""</f>
        <v/>
      </c>
      <c r="BO376" t="str">
        <f>""</f>
        <v/>
      </c>
      <c r="BP376" t="str">
        <f>""</f>
        <v/>
      </c>
      <c r="BQ376" t="str">
        <f>""</f>
        <v/>
      </c>
      <c r="BR376" t="str">
        <f>""</f>
        <v/>
      </c>
      <c r="BS376" t="str">
        <f>""</f>
        <v/>
      </c>
      <c r="BT376" t="str">
        <f>""</f>
        <v/>
      </c>
      <c r="BU376" t="str">
        <f>""</f>
        <v/>
      </c>
      <c r="BV376" t="str">
        <f>""</f>
        <v/>
      </c>
      <c r="BW376" t="str">
        <f>""</f>
        <v/>
      </c>
      <c r="BX376" t="str">
        <f>""</f>
        <v/>
      </c>
      <c r="BY376" t="str">
        <f>""</f>
        <v/>
      </c>
      <c r="BZ376" t="str">
        <f>""</f>
        <v/>
      </c>
      <c r="CA376" t="str">
        <f>""</f>
        <v/>
      </c>
      <c r="CB376" t="str">
        <f>""</f>
        <v/>
      </c>
      <c r="CC376" t="str">
        <f>""</f>
        <v/>
      </c>
      <c r="CD376" t="str">
        <f>""</f>
        <v/>
      </c>
      <c r="CE376" t="str">
        <f>""</f>
        <v/>
      </c>
      <c r="CF376" t="str">
        <f>""</f>
        <v/>
      </c>
      <c r="CG376" t="str">
        <f>""</f>
        <v/>
      </c>
      <c r="CH376" t="str">
        <f>""</f>
        <v/>
      </c>
      <c r="CI376" t="str">
        <f>""</f>
        <v/>
      </c>
      <c r="CJ376" t="str">
        <f>""</f>
        <v/>
      </c>
      <c r="CK376" t="str">
        <f>""</f>
        <v/>
      </c>
      <c r="CL376" t="str">
        <f>""</f>
        <v/>
      </c>
      <c r="CM376" t="str">
        <f>""</f>
        <v/>
      </c>
      <c r="CN376" t="str">
        <f>""</f>
        <v/>
      </c>
      <c r="CO376" t="str">
        <f>""</f>
        <v/>
      </c>
      <c r="CP376" t="str">
        <f>""</f>
        <v/>
      </c>
      <c r="CQ376" t="str">
        <f>""</f>
        <v/>
      </c>
      <c r="CR376" t="str">
        <f>""</f>
        <v/>
      </c>
      <c r="CS376" t="str">
        <f>""</f>
        <v/>
      </c>
      <c r="CT376" t="str">
        <f>""</f>
        <v/>
      </c>
      <c r="CU376" t="str">
        <f>""</f>
        <v/>
      </c>
      <c r="CV376" t="str">
        <f>""</f>
        <v/>
      </c>
      <c r="CW376" t="str">
        <f>""</f>
        <v/>
      </c>
      <c r="CX376" t="str">
        <f>""</f>
        <v/>
      </c>
      <c r="CY376" t="str">
        <f>""</f>
        <v/>
      </c>
      <c r="CZ376" t="str">
        <f>""</f>
        <v/>
      </c>
      <c r="DA376" t="str">
        <f>""</f>
        <v/>
      </c>
      <c r="DB376" t="str">
        <f>""</f>
        <v/>
      </c>
      <c r="DC376" t="str">
        <f>""</f>
        <v/>
      </c>
      <c r="DD376" t="str">
        <f>""</f>
        <v/>
      </c>
      <c r="DE376" t="str">
        <f>""</f>
        <v/>
      </c>
      <c r="DF376" t="str">
        <f>""</f>
        <v/>
      </c>
      <c r="DG376" t="str">
        <f>""</f>
        <v/>
      </c>
      <c r="DH376" t="str">
        <f>""</f>
        <v/>
      </c>
      <c r="DI376" t="str">
        <f>""</f>
        <v/>
      </c>
      <c r="DJ376" t="str">
        <f>""</f>
        <v/>
      </c>
      <c r="DK376" t="str">
        <f>""</f>
        <v/>
      </c>
      <c r="DL376" t="str">
        <f>""</f>
        <v/>
      </c>
      <c r="DM376" t="str">
        <f>""</f>
        <v/>
      </c>
      <c r="DN376" t="str">
        <f>""</f>
        <v/>
      </c>
      <c r="DO376" t="str">
        <f>""</f>
        <v/>
      </c>
      <c r="DP376" t="str">
        <f>""</f>
        <v/>
      </c>
      <c r="DQ376" t="str">
        <f>""</f>
        <v/>
      </c>
      <c r="DR376" t="str">
        <f>""</f>
        <v/>
      </c>
      <c r="DS376" t="str">
        <f>""</f>
        <v/>
      </c>
      <c r="DT376" t="str">
        <f>""</f>
        <v/>
      </c>
      <c r="DU376" t="str">
        <f>""</f>
        <v/>
      </c>
    </row>
    <row r="377" spans="1:125">
      <c r="A377" t="str">
        <f>$A$61</f>
        <v xml:space="preserve">    Brandywine Realty Trust</v>
      </c>
      <c r="B377" t="str">
        <f>$B$61</f>
        <v>BDN US Equity</v>
      </c>
      <c r="C377" t="str">
        <f>$C$61</f>
        <v>RR009</v>
      </c>
      <c r="D377" t="str">
        <f>$D$61</f>
        <v>EBITDA</v>
      </c>
      <c r="E377" t="str">
        <f>$E$61</f>
        <v>动态</v>
      </c>
      <c r="F377" t="str">
        <f ca="1">BDH($B$61,$C$61,$B$292,$B$293,CONCATENATE("Per=",$B$290),"Dts=H","Dir=H",CONCATENATE("Points=",$B$291),"Sort=R","Days=A","Fill=B",CONCATENATE("FX=", $B$289) )</f>
        <v>#N/A Authorization</v>
      </c>
      <c r="BN377" t="str">
        <f>""</f>
        <v/>
      </c>
      <c r="BO377" t="str">
        <f>""</f>
        <v/>
      </c>
      <c r="BP377" t="str">
        <f>""</f>
        <v/>
      </c>
      <c r="BQ377" t="str">
        <f>""</f>
        <v/>
      </c>
      <c r="BR377" t="str">
        <f>""</f>
        <v/>
      </c>
      <c r="BS377" t="str">
        <f>""</f>
        <v/>
      </c>
      <c r="BT377" t="str">
        <f>""</f>
        <v/>
      </c>
      <c r="BU377" t="str">
        <f>""</f>
        <v/>
      </c>
      <c r="BV377" t="str">
        <f>""</f>
        <v/>
      </c>
      <c r="BW377" t="str">
        <f>""</f>
        <v/>
      </c>
      <c r="BX377" t="str">
        <f>""</f>
        <v/>
      </c>
      <c r="BY377" t="str">
        <f>""</f>
        <v/>
      </c>
      <c r="BZ377" t="str">
        <f>""</f>
        <v/>
      </c>
      <c r="CA377" t="str">
        <f>""</f>
        <v/>
      </c>
      <c r="CB377" t="str">
        <f>""</f>
        <v/>
      </c>
      <c r="CC377" t="str">
        <f>""</f>
        <v/>
      </c>
      <c r="CD377" t="str">
        <f>""</f>
        <v/>
      </c>
      <c r="CE377" t="str">
        <f>""</f>
        <v/>
      </c>
      <c r="CF377" t="str">
        <f>""</f>
        <v/>
      </c>
      <c r="CG377" t="str">
        <f>""</f>
        <v/>
      </c>
      <c r="CH377" t="str">
        <f>""</f>
        <v/>
      </c>
      <c r="CI377" t="str">
        <f>""</f>
        <v/>
      </c>
      <c r="CJ377" t="str">
        <f>""</f>
        <v/>
      </c>
      <c r="CK377" t="str">
        <f>""</f>
        <v/>
      </c>
      <c r="CL377" t="str">
        <f>""</f>
        <v/>
      </c>
      <c r="CM377" t="str">
        <f>""</f>
        <v/>
      </c>
      <c r="CN377" t="str">
        <f>""</f>
        <v/>
      </c>
      <c r="CO377" t="str">
        <f>""</f>
        <v/>
      </c>
      <c r="CP377" t="str">
        <f>""</f>
        <v/>
      </c>
      <c r="CQ377" t="str">
        <f>""</f>
        <v/>
      </c>
      <c r="CR377" t="str">
        <f>""</f>
        <v/>
      </c>
      <c r="CS377" t="str">
        <f>""</f>
        <v/>
      </c>
      <c r="CT377" t="str">
        <f>""</f>
        <v/>
      </c>
      <c r="CU377" t="str">
        <f>""</f>
        <v/>
      </c>
      <c r="CV377" t="str">
        <f>""</f>
        <v/>
      </c>
      <c r="CW377" t="str">
        <f>""</f>
        <v/>
      </c>
      <c r="CX377" t="str">
        <f>""</f>
        <v/>
      </c>
      <c r="CY377" t="str">
        <f>""</f>
        <v/>
      </c>
      <c r="CZ377" t="str">
        <f>""</f>
        <v/>
      </c>
      <c r="DA377" t="str">
        <f>""</f>
        <v/>
      </c>
      <c r="DB377" t="str">
        <f>""</f>
        <v/>
      </c>
      <c r="DC377" t="str">
        <f>""</f>
        <v/>
      </c>
      <c r="DD377" t="str">
        <f>""</f>
        <v/>
      </c>
      <c r="DE377" t="str">
        <f>""</f>
        <v/>
      </c>
      <c r="DF377" t="str">
        <f>""</f>
        <v/>
      </c>
      <c r="DG377" t="str">
        <f>""</f>
        <v/>
      </c>
      <c r="DH377" t="str">
        <f>""</f>
        <v/>
      </c>
      <c r="DI377" t="str">
        <f>""</f>
        <v/>
      </c>
      <c r="DJ377" t="str">
        <f>""</f>
        <v/>
      </c>
      <c r="DK377" t="str">
        <f>""</f>
        <v/>
      </c>
      <c r="DL377" t="str">
        <f>""</f>
        <v/>
      </c>
      <c r="DM377" t="str">
        <f>""</f>
        <v/>
      </c>
      <c r="DN377" t="str">
        <f>""</f>
        <v/>
      </c>
      <c r="DO377" t="str">
        <f>""</f>
        <v/>
      </c>
      <c r="DP377" t="str">
        <f>""</f>
        <v/>
      </c>
      <c r="DQ377" t="str">
        <f>""</f>
        <v/>
      </c>
      <c r="DR377" t="str">
        <f>""</f>
        <v/>
      </c>
      <c r="DS377" t="str">
        <f>""</f>
        <v/>
      </c>
      <c r="DT377" t="str">
        <f>""</f>
        <v/>
      </c>
      <c r="DU377" t="str">
        <f>""</f>
        <v/>
      </c>
    </row>
    <row r="378" spans="1:125">
      <c r="A378" t="str">
        <f>$A$62</f>
        <v xml:space="preserve">    Columbia Property Trust Inc</v>
      </c>
      <c r="B378" t="str">
        <f>$B$62</f>
        <v>CXP US Equity</v>
      </c>
      <c r="C378" t="str">
        <f>$C$62</f>
        <v>RR009</v>
      </c>
      <c r="D378" t="str">
        <f>$D$62</f>
        <v>EBITDA</v>
      </c>
      <c r="E378" t="str">
        <f>$E$62</f>
        <v>动态</v>
      </c>
      <c r="F378" t="str">
        <f ca="1">BDH($B$62,$C$62,$B$292,$B$293,CONCATENATE("Per=",$B$290),"Dts=H","Dir=H",CONCATENATE("Points=",$B$291),"Sort=R","Days=A","Fill=B",CONCATENATE("FX=", $B$289) )</f>
        <v>#N/A Authorization</v>
      </c>
      <c r="BN378" t="str">
        <f>""</f>
        <v/>
      </c>
      <c r="BO378" t="str">
        <f>""</f>
        <v/>
      </c>
      <c r="BP378" t="str">
        <f>""</f>
        <v/>
      </c>
      <c r="BQ378" t="str">
        <f>""</f>
        <v/>
      </c>
      <c r="BR378" t="str">
        <f>""</f>
        <v/>
      </c>
      <c r="BS378" t="str">
        <f>""</f>
        <v/>
      </c>
      <c r="BT378" t="str">
        <f>""</f>
        <v/>
      </c>
      <c r="BU378" t="str">
        <f>""</f>
        <v/>
      </c>
      <c r="BV378" t="str">
        <f>""</f>
        <v/>
      </c>
      <c r="BW378" t="str">
        <f>""</f>
        <v/>
      </c>
      <c r="BX378" t="str">
        <f>""</f>
        <v/>
      </c>
      <c r="BY378" t="str">
        <f>""</f>
        <v/>
      </c>
      <c r="BZ378" t="str">
        <f>""</f>
        <v/>
      </c>
      <c r="CA378" t="str">
        <f>""</f>
        <v/>
      </c>
      <c r="CB378" t="str">
        <f>""</f>
        <v/>
      </c>
      <c r="CC378" t="str">
        <f>""</f>
        <v/>
      </c>
      <c r="CD378" t="str">
        <f>""</f>
        <v/>
      </c>
      <c r="CE378" t="str">
        <f>""</f>
        <v/>
      </c>
      <c r="CF378" t="str">
        <f>""</f>
        <v/>
      </c>
      <c r="CG378" t="str">
        <f>""</f>
        <v/>
      </c>
      <c r="CH378" t="str">
        <f>""</f>
        <v/>
      </c>
      <c r="CI378" t="str">
        <f>""</f>
        <v/>
      </c>
      <c r="CJ378" t="str">
        <f>""</f>
        <v/>
      </c>
      <c r="CK378" t="str">
        <f>""</f>
        <v/>
      </c>
      <c r="CL378" t="str">
        <f>""</f>
        <v/>
      </c>
      <c r="CM378" t="str">
        <f>""</f>
        <v/>
      </c>
      <c r="CN378" t="str">
        <f>""</f>
        <v/>
      </c>
      <c r="CO378" t="str">
        <f>""</f>
        <v/>
      </c>
      <c r="CP378" t="str">
        <f>""</f>
        <v/>
      </c>
      <c r="CQ378" t="str">
        <f>""</f>
        <v/>
      </c>
      <c r="CR378" t="str">
        <f>""</f>
        <v/>
      </c>
      <c r="CS378" t="str">
        <f>""</f>
        <v/>
      </c>
      <c r="CT378" t="str">
        <f>""</f>
        <v/>
      </c>
      <c r="CU378" t="str">
        <f>""</f>
        <v/>
      </c>
      <c r="CV378" t="str">
        <f>""</f>
        <v/>
      </c>
      <c r="CW378" t="str">
        <f>""</f>
        <v/>
      </c>
      <c r="CX378" t="str">
        <f>""</f>
        <v/>
      </c>
      <c r="CY378" t="str">
        <f>""</f>
        <v/>
      </c>
      <c r="CZ378" t="str">
        <f>""</f>
        <v/>
      </c>
      <c r="DA378" t="str">
        <f>""</f>
        <v/>
      </c>
      <c r="DB378" t="str">
        <f>""</f>
        <v/>
      </c>
      <c r="DC378" t="str">
        <f>""</f>
        <v/>
      </c>
      <c r="DD378" t="str">
        <f>""</f>
        <v/>
      </c>
      <c r="DE378" t="str">
        <f>""</f>
        <v/>
      </c>
      <c r="DF378" t="str">
        <f>""</f>
        <v/>
      </c>
      <c r="DG378" t="str">
        <f>""</f>
        <v/>
      </c>
      <c r="DH378" t="str">
        <f>""</f>
        <v/>
      </c>
      <c r="DI378" t="str">
        <f>""</f>
        <v/>
      </c>
      <c r="DJ378" t="str">
        <f>""</f>
        <v/>
      </c>
      <c r="DK378" t="str">
        <f>""</f>
        <v/>
      </c>
      <c r="DL378" t="str">
        <f>""</f>
        <v/>
      </c>
      <c r="DM378" t="str">
        <f>""</f>
        <v/>
      </c>
      <c r="DN378" t="str">
        <f>""</f>
        <v/>
      </c>
      <c r="DO378" t="str">
        <f>""</f>
        <v/>
      </c>
      <c r="DP378" t="str">
        <f>""</f>
        <v/>
      </c>
      <c r="DQ378" t="str">
        <f>""</f>
        <v/>
      </c>
      <c r="DR378" t="str">
        <f>""</f>
        <v/>
      </c>
      <c r="DS378" t="str">
        <f>""</f>
        <v/>
      </c>
      <c r="DT378" t="str">
        <f>""</f>
        <v/>
      </c>
      <c r="DU378" t="str">
        <f>""</f>
        <v/>
      </c>
    </row>
    <row r="379" spans="1:125">
      <c r="A379" t="str">
        <f>$A$63</f>
        <v xml:space="preserve">    Corporate Office Properties Tr</v>
      </c>
      <c r="B379" t="str">
        <f>$B$63</f>
        <v>OFC US Equity</v>
      </c>
      <c r="C379" t="str">
        <f>$C$63</f>
        <v>RR009</v>
      </c>
      <c r="D379" t="str">
        <f>$D$63</f>
        <v>EBITDA</v>
      </c>
      <c r="E379" t="str">
        <f>$E$63</f>
        <v>动态</v>
      </c>
      <c r="F379" t="str">
        <f ca="1">BDH($B$63,$C$63,$B$292,$B$293,CONCATENATE("Per=",$B$290),"Dts=H","Dir=H",CONCATENATE("Points=",$B$291),"Sort=R","Days=A","Fill=B",CONCATENATE("FX=", $B$289) )</f>
        <v>#N/A Authorization</v>
      </c>
      <c r="BN379" t="str">
        <f>""</f>
        <v/>
      </c>
      <c r="BO379" t="str">
        <f>""</f>
        <v/>
      </c>
      <c r="BP379" t="str">
        <f>""</f>
        <v/>
      </c>
      <c r="BQ379" t="str">
        <f>""</f>
        <v/>
      </c>
      <c r="BR379" t="str">
        <f>""</f>
        <v/>
      </c>
      <c r="BS379" t="str">
        <f>""</f>
        <v/>
      </c>
      <c r="BT379" t="str">
        <f>""</f>
        <v/>
      </c>
      <c r="BU379" t="str">
        <f>""</f>
        <v/>
      </c>
      <c r="BV379" t="str">
        <f>""</f>
        <v/>
      </c>
      <c r="BW379" t="str">
        <f>""</f>
        <v/>
      </c>
      <c r="BX379" t="str">
        <f>""</f>
        <v/>
      </c>
      <c r="BY379" t="str">
        <f>""</f>
        <v/>
      </c>
      <c r="BZ379" t="str">
        <f>""</f>
        <v/>
      </c>
      <c r="CA379" t="str">
        <f>""</f>
        <v/>
      </c>
      <c r="CB379" t="str">
        <f>""</f>
        <v/>
      </c>
      <c r="CC379" t="str">
        <f>""</f>
        <v/>
      </c>
      <c r="CD379" t="str">
        <f>""</f>
        <v/>
      </c>
      <c r="CE379" t="str">
        <f>""</f>
        <v/>
      </c>
      <c r="CF379" t="str">
        <f>""</f>
        <v/>
      </c>
      <c r="CG379" t="str">
        <f>""</f>
        <v/>
      </c>
      <c r="CH379" t="str">
        <f>""</f>
        <v/>
      </c>
      <c r="CI379" t="str">
        <f>""</f>
        <v/>
      </c>
      <c r="CJ379" t="str">
        <f>""</f>
        <v/>
      </c>
      <c r="CK379" t="str">
        <f>""</f>
        <v/>
      </c>
      <c r="CL379" t="str">
        <f>""</f>
        <v/>
      </c>
      <c r="CM379" t="str">
        <f>""</f>
        <v/>
      </c>
      <c r="CN379" t="str">
        <f>""</f>
        <v/>
      </c>
      <c r="CO379" t="str">
        <f>""</f>
        <v/>
      </c>
      <c r="CP379" t="str">
        <f>""</f>
        <v/>
      </c>
      <c r="CQ379" t="str">
        <f>""</f>
        <v/>
      </c>
      <c r="CR379" t="str">
        <f>""</f>
        <v/>
      </c>
      <c r="CS379" t="str">
        <f>""</f>
        <v/>
      </c>
      <c r="CT379" t="str">
        <f>""</f>
        <v/>
      </c>
      <c r="CU379" t="str">
        <f>""</f>
        <v/>
      </c>
      <c r="CV379" t="str">
        <f>""</f>
        <v/>
      </c>
      <c r="CW379" t="str">
        <f>""</f>
        <v/>
      </c>
      <c r="CX379" t="str">
        <f>""</f>
        <v/>
      </c>
      <c r="CY379" t="str">
        <f>""</f>
        <v/>
      </c>
      <c r="CZ379" t="str">
        <f>""</f>
        <v/>
      </c>
      <c r="DA379" t="str">
        <f>""</f>
        <v/>
      </c>
      <c r="DB379" t="str">
        <f>""</f>
        <v/>
      </c>
      <c r="DC379" t="str">
        <f>""</f>
        <v/>
      </c>
      <c r="DD379" t="str">
        <f>""</f>
        <v/>
      </c>
      <c r="DE379" t="str">
        <f>""</f>
        <v/>
      </c>
      <c r="DF379" t="str">
        <f>""</f>
        <v/>
      </c>
      <c r="DG379" t="str">
        <f>""</f>
        <v/>
      </c>
      <c r="DH379" t="str">
        <f>""</f>
        <v/>
      </c>
      <c r="DI379" t="str">
        <f>""</f>
        <v/>
      </c>
      <c r="DJ379" t="str">
        <f>""</f>
        <v/>
      </c>
      <c r="DK379" t="str">
        <f>""</f>
        <v/>
      </c>
      <c r="DL379" t="str">
        <f>""</f>
        <v/>
      </c>
      <c r="DM379" t="str">
        <f>""</f>
        <v/>
      </c>
      <c r="DN379" t="str">
        <f>""</f>
        <v/>
      </c>
      <c r="DO379" t="str">
        <f>""</f>
        <v/>
      </c>
      <c r="DP379" t="str">
        <f>""</f>
        <v/>
      </c>
      <c r="DQ379" t="str">
        <f>""</f>
        <v/>
      </c>
      <c r="DR379" t="str">
        <f>""</f>
        <v/>
      </c>
      <c r="DS379" t="str">
        <f>""</f>
        <v/>
      </c>
      <c r="DT379" t="str">
        <f>""</f>
        <v/>
      </c>
      <c r="DU379" t="str">
        <f>""</f>
        <v/>
      </c>
    </row>
    <row r="380" spans="1:125">
      <c r="A380" t="str">
        <f>$A$64</f>
        <v xml:space="preserve">    Highwoods Properties Inc</v>
      </c>
      <c r="B380" t="str">
        <f>$B$64</f>
        <v>HIW US Equity</v>
      </c>
      <c r="C380" t="str">
        <f>$C$64</f>
        <v>RR009</v>
      </c>
      <c r="D380" t="str">
        <f>$D$64</f>
        <v>EBITDA</v>
      </c>
      <c r="E380" t="str">
        <f>$E$64</f>
        <v>动态</v>
      </c>
      <c r="F380" t="str">
        <f ca="1">BDH($B$64,$C$64,$B$292,$B$293,CONCATENATE("Per=",$B$290),"Dts=H","Dir=H",CONCATENATE("Points=",$B$291),"Sort=R","Days=A","Fill=B",CONCATENATE("FX=", $B$289) )</f>
        <v>#N/A Authorization</v>
      </c>
      <c r="BN380" t="str">
        <f>""</f>
        <v/>
      </c>
      <c r="BO380" t="str">
        <f>""</f>
        <v/>
      </c>
      <c r="BP380" t="str">
        <f>""</f>
        <v/>
      </c>
      <c r="BQ380" t="str">
        <f>""</f>
        <v/>
      </c>
      <c r="BR380" t="str">
        <f>""</f>
        <v/>
      </c>
      <c r="BS380" t="str">
        <f>""</f>
        <v/>
      </c>
      <c r="BT380" t="str">
        <f>""</f>
        <v/>
      </c>
      <c r="BU380" t="str">
        <f>""</f>
        <v/>
      </c>
      <c r="BV380" t="str">
        <f>""</f>
        <v/>
      </c>
      <c r="BW380" t="str">
        <f>""</f>
        <v/>
      </c>
      <c r="BX380" t="str">
        <f>""</f>
        <v/>
      </c>
      <c r="BY380" t="str">
        <f>""</f>
        <v/>
      </c>
      <c r="BZ380" t="str">
        <f>""</f>
        <v/>
      </c>
      <c r="CA380" t="str">
        <f>""</f>
        <v/>
      </c>
      <c r="CB380" t="str">
        <f>""</f>
        <v/>
      </c>
      <c r="CC380" t="str">
        <f>""</f>
        <v/>
      </c>
      <c r="CD380" t="str">
        <f>""</f>
        <v/>
      </c>
      <c r="CE380" t="str">
        <f>""</f>
        <v/>
      </c>
      <c r="CF380" t="str">
        <f>""</f>
        <v/>
      </c>
      <c r="CG380" t="str">
        <f>""</f>
        <v/>
      </c>
      <c r="CH380" t="str">
        <f>""</f>
        <v/>
      </c>
      <c r="CI380" t="str">
        <f>""</f>
        <v/>
      </c>
      <c r="CJ380" t="str">
        <f>""</f>
        <v/>
      </c>
      <c r="CK380" t="str">
        <f>""</f>
        <v/>
      </c>
      <c r="CL380" t="str">
        <f>""</f>
        <v/>
      </c>
      <c r="CM380" t="str">
        <f>""</f>
        <v/>
      </c>
      <c r="CN380" t="str">
        <f>""</f>
        <v/>
      </c>
      <c r="CO380" t="str">
        <f>""</f>
        <v/>
      </c>
      <c r="CP380" t="str">
        <f>""</f>
        <v/>
      </c>
      <c r="CQ380" t="str">
        <f>""</f>
        <v/>
      </c>
      <c r="CR380" t="str">
        <f>""</f>
        <v/>
      </c>
      <c r="CS380" t="str">
        <f>""</f>
        <v/>
      </c>
      <c r="CT380" t="str">
        <f>""</f>
        <v/>
      </c>
      <c r="CU380" t="str">
        <f>""</f>
        <v/>
      </c>
      <c r="CV380" t="str">
        <f>""</f>
        <v/>
      </c>
      <c r="CW380" t="str">
        <f>""</f>
        <v/>
      </c>
      <c r="CX380" t="str">
        <f>""</f>
        <v/>
      </c>
      <c r="CY380" t="str">
        <f>""</f>
        <v/>
      </c>
      <c r="CZ380" t="str">
        <f>""</f>
        <v/>
      </c>
      <c r="DA380" t="str">
        <f>""</f>
        <v/>
      </c>
      <c r="DB380" t="str">
        <f>""</f>
        <v/>
      </c>
      <c r="DC380" t="str">
        <f>""</f>
        <v/>
      </c>
      <c r="DD380" t="str">
        <f>""</f>
        <v/>
      </c>
      <c r="DE380" t="str">
        <f>""</f>
        <v/>
      </c>
      <c r="DF380" t="str">
        <f>""</f>
        <v/>
      </c>
      <c r="DG380" t="str">
        <f>""</f>
        <v/>
      </c>
      <c r="DH380" t="str">
        <f>""</f>
        <v/>
      </c>
      <c r="DI380" t="str">
        <f>""</f>
        <v/>
      </c>
      <c r="DJ380" t="str">
        <f>""</f>
        <v/>
      </c>
      <c r="DK380" t="str">
        <f>""</f>
        <v/>
      </c>
      <c r="DL380" t="str">
        <f>""</f>
        <v/>
      </c>
      <c r="DM380" t="str">
        <f>""</f>
        <v/>
      </c>
      <c r="DN380" t="str">
        <f>""</f>
        <v/>
      </c>
      <c r="DO380" t="str">
        <f>""</f>
        <v/>
      </c>
      <c r="DP380" t="str">
        <f>""</f>
        <v/>
      </c>
      <c r="DQ380" t="str">
        <f>""</f>
        <v/>
      </c>
      <c r="DR380" t="str">
        <f>""</f>
        <v/>
      </c>
      <c r="DS380" t="str">
        <f>""</f>
        <v/>
      </c>
      <c r="DT380" t="str">
        <f>""</f>
        <v/>
      </c>
      <c r="DU380" t="str">
        <f>""</f>
        <v/>
      </c>
    </row>
    <row r="381" spans="1:125">
      <c r="A381" t="str">
        <f>$A$65</f>
        <v xml:space="preserve">    Kilroy Realty Corp</v>
      </c>
      <c r="B381" t="str">
        <f>$B$65</f>
        <v>KRC US Equity</v>
      </c>
      <c r="C381" t="str">
        <f>$C$65</f>
        <v>RR009</v>
      </c>
      <c r="D381" t="str">
        <f>$D$65</f>
        <v>EBITDA</v>
      </c>
      <c r="E381" t="str">
        <f>$E$65</f>
        <v>动态</v>
      </c>
      <c r="F381" t="str">
        <f ca="1">BDH($B$65,$C$65,$B$292,$B$293,CONCATENATE("Per=",$B$290),"Dts=H","Dir=H",CONCATENATE("Points=",$B$291),"Sort=R","Days=A","Fill=B",CONCATENATE("FX=", $B$289) )</f>
        <v>#N/A Authorization</v>
      </c>
      <c r="BN381" t="str">
        <f>""</f>
        <v/>
      </c>
      <c r="BO381" t="str">
        <f>""</f>
        <v/>
      </c>
      <c r="BP381" t="str">
        <f>""</f>
        <v/>
      </c>
      <c r="BQ381" t="str">
        <f>""</f>
        <v/>
      </c>
      <c r="BR381" t="str">
        <f>""</f>
        <v/>
      </c>
      <c r="BS381" t="str">
        <f>""</f>
        <v/>
      </c>
      <c r="BT381" t="str">
        <f>""</f>
        <v/>
      </c>
      <c r="BU381" t="str">
        <f>""</f>
        <v/>
      </c>
      <c r="BV381" t="str">
        <f>""</f>
        <v/>
      </c>
      <c r="BW381" t="str">
        <f>""</f>
        <v/>
      </c>
      <c r="BX381" t="str">
        <f>""</f>
        <v/>
      </c>
      <c r="BY381" t="str">
        <f>""</f>
        <v/>
      </c>
      <c r="BZ381" t="str">
        <f>""</f>
        <v/>
      </c>
      <c r="CA381" t="str">
        <f>""</f>
        <v/>
      </c>
      <c r="CB381" t="str">
        <f>""</f>
        <v/>
      </c>
      <c r="CC381" t="str">
        <f>""</f>
        <v/>
      </c>
      <c r="CD381" t="str">
        <f>""</f>
        <v/>
      </c>
      <c r="CE381" t="str">
        <f>""</f>
        <v/>
      </c>
      <c r="CF381" t="str">
        <f>""</f>
        <v/>
      </c>
      <c r="CG381" t="str">
        <f>""</f>
        <v/>
      </c>
      <c r="CH381" t="str">
        <f>""</f>
        <v/>
      </c>
      <c r="CI381" t="str">
        <f>""</f>
        <v/>
      </c>
      <c r="CJ381" t="str">
        <f>""</f>
        <v/>
      </c>
      <c r="CK381" t="str">
        <f>""</f>
        <v/>
      </c>
      <c r="CL381" t="str">
        <f>""</f>
        <v/>
      </c>
      <c r="CM381" t="str">
        <f>""</f>
        <v/>
      </c>
      <c r="CN381" t="str">
        <f>""</f>
        <v/>
      </c>
      <c r="CO381" t="str">
        <f>""</f>
        <v/>
      </c>
      <c r="CP381" t="str">
        <f>""</f>
        <v/>
      </c>
      <c r="CQ381" t="str">
        <f>""</f>
        <v/>
      </c>
      <c r="CR381" t="str">
        <f>""</f>
        <v/>
      </c>
      <c r="CS381" t="str">
        <f>""</f>
        <v/>
      </c>
      <c r="CT381" t="str">
        <f>""</f>
        <v/>
      </c>
      <c r="CU381" t="str">
        <f>""</f>
        <v/>
      </c>
      <c r="CV381" t="str">
        <f>""</f>
        <v/>
      </c>
      <c r="CW381" t="str">
        <f>""</f>
        <v/>
      </c>
      <c r="CX381" t="str">
        <f>""</f>
        <v/>
      </c>
      <c r="CY381" t="str">
        <f>""</f>
        <v/>
      </c>
      <c r="CZ381" t="str">
        <f>""</f>
        <v/>
      </c>
      <c r="DA381" t="str">
        <f>""</f>
        <v/>
      </c>
      <c r="DB381" t="str">
        <f>""</f>
        <v/>
      </c>
      <c r="DC381" t="str">
        <f>""</f>
        <v/>
      </c>
      <c r="DD381" t="str">
        <f>""</f>
        <v/>
      </c>
      <c r="DE381" t="str">
        <f>""</f>
        <v/>
      </c>
      <c r="DF381" t="str">
        <f>""</f>
        <v/>
      </c>
      <c r="DG381" t="str">
        <f>""</f>
        <v/>
      </c>
      <c r="DH381" t="str">
        <f>""</f>
        <v/>
      </c>
      <c r="DI381" t="str">
        <f>""</f>
        <v/>
      </c>
      <c r="DJ381" t="str">
        <f>""</f>
        <v/>
      </c>
      <c r="DK381" t="str">
        <f>""</f>
        <v/>
      </c>
      <c r="DL381" t="str">
        <f>""</f>
        <v/>
      </c>
      <c r="DM381" t="str">
        <f>""</f>
        <v/>
      </c>
      <c r="DN381" t="str">
        <f>""</f>
        <v/>
      </c>
      <c r="DO381" t="str">
        <f>""</f>
        <v/>
      </c>
      <c r="DP381" t="str">
        <f>""</f>
        <v/>
      </c>
      <c r="DQ381" t="str">
        <f>""</f>
        <v/>
      </c>
      <c r="DR381" t="str">
        <f>""</f>
        <v/>
      </c>
      <c r="DS381" t="str">
        <f>""</f>
        <v/>
      </c>
      <c r="DT381" t="str">
        <f>""</f>
        <v/>
      </c>
      <c r="DU381" t="str">
        <f>""</f>
        <v/>
      </c>
    </row>
    <row r="382" spans="1:125">
      <c r="A382" t="str">
        <f>$A$66</f>
        <v xml:space="preserve">    Mack-Cali Realty Corp</v>
      </c>
      <c r="B382" t="str">
        <f>$B$66</f>
        <v>CLI US Equity</v>
      </c>
      <c r="C382" t="str">
        <f>$C$66</f>
        <v>RR009</v>
      </c>
      <c r="D382" t="str">
        <f>$D$66</f>
        <v>EBITDA</v>
      </c>
      <c r="E382" t="str">
        <f>$E$66</f>
        <v>动态</v>
      </c>
      <c r="F382" t="str">
        <f ca="1">BDH($B$66,$C$66,$B$292,$B$293,CONCATENATE("Per=",$B$290),"Dts=H","Dir=H",CONCATENATE("Points=",$B$291),"Sort=R","Days=A","Fill=B",CONCATENATE("FX=", $B$289) )</f>
        <v>#N/A Authorization</v>
      </c>
      <c r="BN382" t="str">
        <f>""</f>
        <v/>
      </c>
      <c r="BO382" t="str">
        <f>""</f>
        <v/>
      </c>
      <c r="BP382" t="str">
        <f>""</f>
        <v/>
      </c>
      <c r="BQ382" t="str">
        <f>""</f>
        <v/>
      </c>
      <c r="BR382" t="str">
        <f>""</f>
        <v/>
      </c>
      <c r="BS382" t="str">
        <f>""</f>
        <v/>
      </c>
      <c r="BT382" t="str">
        <f>""</f>
        <v/>
      </c>
      <c r="BU382" t="str">
        <f>""</f>
        <v/>
      </c>
      <c r="BV382" t="str">
        <f>""</f>
        <v/>
      </c>
      <c r="BW382" t="str">
        <f>""</f>
        <v/>
      </c>
      <c r="BX382" t="str">
        <f>""</f>
        <v/>
      </c>
      <c r="BY382" t="str">
        <f>""</f>
        <v/>
      </c>
      <c r="BZ382" t="str">
        <f>""</f>
        <v/>
      </c>
      <c r="CA382" t="str">
        <f>""</f>
        <v/>
      </c>
      <c r="CB382" t="str">
        <f>""</f>
        <v/>
      </c>
      <c r="CC382" t="str">
        <f>""</f>
        <v/>
      </c>
      <c r="CD382" t="str">
        <f>""</f>
        <v/>
      </c>
      <c r="CE382" t="str">
        <f>""</f>
        <v/>
      </c>
      <c r="CF382" t="str">
        <f>""</f>
        <v/>
      </c>
      <c r="CG382" t="str">
        <f>""</f>
        <v/>
      </c>
      <c r="CH382" t="str">
        <f>""</f>
        <v/>
      </c>
      <c r="CI382" t="str">
        <f>""</f>
        <v/>
      </c>
      <c r="CJ382" t="str">
        <f>""</f>
        <v/>
      </c>
      <c r="CK382" t="str">
        <f>""</f>
        <v/>
      </c>
      <c r="CL382" t="str">
        <f>""</f>
        <v/>
      </c>
      <c r="CM382" t="str">
        <f>""</f>
        <v/>
      </c>
      <c r="CN382" t="str">
        <f>""</f>
        <v/>
      </c>
      <c r="CO382" t="str">
        <f>""</f>
        <v/>
      </c>
      <c r="CP382" t="str">
        <f>""</f>
        <v/>
      </c>
      <c r="CQ382" t="str">
        <f>""</f>
        <v/>
      </c>
      <c r="CR382" t="str">
        <f>""</f>
        <v/>
      </c>
      <c r="CS382" t="str">
        <f>""</f>
        <v/>
      </c>
      <c r="CT382" t="str">
        <f>""</f>
        <v/>
      </c>
      <c r="CU382" t="str">
        <f>""</f>
        <v/>
      </c>
      <c r="CV382" t="str">
        <f>""</f>
        <v/>
      </c>
      <c r="CW382" t="str">
        <f>""</f>
        <v/>
      </c>
      <c r="CX382" t="str">
        <f>""</f>
        <v/>
      </c>
      <c r="CY382" t="str">
        <f>""</f>
        <v/>
      </c>
      <c r="CZ382" t="str">
        <f>""</f>
        <v/>
      </c>
      <c r="DA382" t="str">
        <f>""</f>
        <v/>
      </c>
      <c r="DB382" t="str">
        <f>""</f>
        <v/>
      </c>
      <c r="DC382" t="str">
        <f>""</f>
        <v/>
      </c>
      <c r="DD382" t="str">
        <f>""</f>
        <v/>
      </c>
      <c r="DE382" t="str">
        <f>""</f>
        <v/>
      </c>
      <c r="DF382" t="str">
        <f>""</f>
        <v/>
      </c>
      <c r="DG382" t="str">
        <f>""</f>
        <v/>
      </c>
      <c r="DH382" t="str">
        <f>""</f>
        <v/>
      </c>
      <c r="DI382" t="str">
        <f>""</f>
        <v/>
      </c>
      <c r="DJ382" t="str">
        <f>""</f>
        <v/>
      </c>
      <c r="DK382" t="str">
        <f>""</f>
        <v/>
      </c>
      <c r="DL382" t="str">
        <f>""</f>
        <v/>
      </c>
      <c r="DM382" t="str">
        <f>""</f>
        <v/>
      </c>
      <c r="DN382" t="str">
        <f>""</f>
        <v/>
      </c>
      <c r="DO382" t="str">
        <f>""</f>
        <v/>
      </c>
      <c r="DP382" t="str">
        <f>""</f>
        <v/>
      </c>
      <c r="DQ382" t="str">
        <f>""</f>
        <v/>
      </c>
      <c r="DR382" t="str">
        <f>""</f>
        <v/>
      </c>
      <c r="DS382" t="str">
        <f>""</f>
        <v/>
      </c>
      <c r="DT382" t="str">
        <f>""</f>
        <v/>
      </c>
      <c r="DU382" t="str">
        <f>""</f>
        <v/>
      </c>
    </row>
    <row r="383" spans="1:125">
      <c r="A383" t="str">
        <f>$A$67</f>
        <v xml:space="preserve">    Piedmont Office Realty Trust I</v>
      </c>
      <c r="B383" t="str">
        <f>$B$67</f>
        <v>PDM US Equity</v>
      </c>
      <c r="C383" t="str">
        <f>$C$67</f>
        <v>RR009</v>
      </c>
      <c r="D383" t="str">
        <f>$D$67</f>
        <v>EBITDA</v>
      </c>
      <c r="E383" t="str">
        <f>$E$67</f>
        <v>动态</v>
      </c>
      <c r="F383" t="str">
        <f ca="1">BDH($B$67,$C$67,$B$292,$B$293,CONCATENATE("Per=",$B$290),"Dts=H","Dir=H",CONCATENATE("Points=",$B$291),"Sort=R","Days=A","Fill=B",CONCATENATE("FX=", $B$289) )</f>
        <v>#N/A Authorization</v>
      </c>
      <c r="BN383" t="str">
        <f>""</f>
        <v/>
      </c>
      <c r="BO383" t="str">
        <f>""</f>
        <v/>
      </c>
      <c r="BP383" t="str">
        <f>""</f>
        <v/>
      </c>
      <c r="BQ383" t="str">
        <f>""</f>
        <v/>
      </c>
      <c r="BR383" t="str">
        <f>""</f>
        <v/>
      </c>
      <c r="BS383" t="str">
        <f>""</f>
        <v/>
      </c>
      <c r="BT383" t="str">
        <f>""</f>
        <v/>
      </c>
      <c r="BU383" t="str">
        <f>""</f>
        <v/>
      </c>
      <c r="BV383" t="str">
        <f>""</f>
        <v/>
      </c>
      <c r="BW383" t="str">
        <f>""</f>
        <v/>
      </c>
      <c r="BX383" t="str">
        <f>""</f>
        <v/>
      </c>
      <c r="BY383" t="str">
        <f>""</f>
        <v/>
      </c>
      <c r="BZ383" t="str">
        <f>""</f>
        <v/>
      </c>
      <c r="CA383" t="str">
        <f>""</f>
        <v/>
      </c>
      <c r="CB383" t="str">
        <f>""</f>
        <v/>
      </c>
      <c r="CC383" t="str">
        <f>""</f>
        <v/>
      </c>
      <c r="CD383" t="str">
        <f>""</f>
        <v/>
      </c>
      <c r="CE383" t="str">
        <f>""</f>
        <v/>
      </c>
      <c r="CF383" t="str">
        <f>""</f>
        <v/>
      </c>
      <c r="CG383" t="str">
        <f>""</f>
        <v/>
      </c>
      <c r="CH383" t="str">
        <f>""</f>
        <v/>
      </c>
      <c r="CI383" t="str">
        <f>""</f>
        <v/>
      </c>
      <c r="CJ383" t="str">
        <f>""</f>
        <v/>
      </c>
      <c r="CK383" t="str">
        <f>""</f>
        <v/>
      </c>
      <c r="CL383" t="str">
        <f>""</f>
        <v/>
      </c>
      <c r="CM383" t="str">
        <f>""</f>
        <v/>
      </c>
      <c r="CN383" t="str">
        <f>""</f>
        <v/>
      </c>
      <c r="CO383" t="str">
        <f>""</f>
        <v/>
      </c>
      <c r="CP383" t="str">
        <f>""</f>
        <v/>
      </c>
      <c r="CQ383" t="str">
        <f>""</f>
        <v/>
      </c>
      <c r="CR383" t="str">
        <f>""</f>
        <v/>
      </c>
      <c r="CS383" t="str">
        <f>""</f>
        <v/>
      </c>
      <c r="CT383" t="str">
        <f>""</f>
        <v/>
      </c>
      <c r="CU383" t="str">
        <f>""</f>
        <v/>
      </c>
      <c r="CV383" t="str">
        <f>""</f>
        <v/>
      </c>
      <c r="CW383" t="str">
        <f>""</f>
        <v/>
      </c>
      <c r="CX383" t="str">
        <f>""</f>
        <v/>
      </c>
      <c r="CY383" t="str">
        <f>""</f>
        <v/>
      </c>
      <c r="CZ383" t="str">
        <f>""</f>
        <v/>
      </c>
      <c r="DA383" t="str">
        <f>""</f>
        <v/>
      </c>
      <c r="DB383" t="str">
        <f>""</f>
        <v/>
      </c>
      <c r="DC383" t="str">
        <f>""</f>
        <v/>
      </c>
      <c r="DD383" t="str">
        <f>""</f>
        <v/>
      </c>
      <c r="DE383" t="str">
        <f>""</f>
        <v/>
      </c>
      <c r="DF383" t="str">
        <f>""</f>
        <v/>
      </c>
      <c r="DG383" t="str">
        <f>""</f>
        <v/>
      </c>
      <c r="DH383" t="str">
        <f>""</f>
        <v/>
      </c>
      <c r="DI383" t="str">
        <f>""</f>
        <v/>
      </c>
      <c r="DJ383" t="str">
        <f>""</f>
        <v/>
      </c>
      <c r="DK383" t="str">
        <f>""</f>
        <v/>
      </c>
      <c r="DL383" t="str">
        <f>""</f>
        <v/>
      </c>
      <c r="DM383" t="str">
        <f>""</f>
        <v/>
      </c>
      <c r="DN383" t="str">
        <f>""</f>
        <v/>
      </c>
      <c r="DO383" t="str">
        <f>""</f>
        <v/>
      </c>
      <c r="DP383" t="str">
        <f>""</f>
        <v/>
      </c>
      <c r="DQ383" t="str">
        <f>""</f>
        <v/>
      </c>
      <c r="DR383" t="str">
        <f>""</f>
        <v/>
      </c>
      <c r="DS383" t="str">
        <f>""</f>
        <v/>
      </c>
      <c r="DT383" t="str">
        <f>""</f>
        <v/>
      </c>
      <c r="DU383" t="str">
        <f>""</f>
        <v/>
      </c>
    </row>
    <row r="384" spans="1:125">
      <c r="A384" t="str">
        <f>$A$68</f>
        <v xml:space="preserve">    SL Green Realty Corp</v>
      </c>
      <c r="B384" t="str">
        <f>$B$68</f>
        <v>SLG US Equity</v>
      </c>
      <c r="C384" t="str">
        <f>$C$68</f>
        <v>RR009</v>
      </c>
      <c r="D384" t="str">
        <f>$D$68</f>
        <v>EBITDA</v>
      </c>
      <c r="E384" t="str">
        <f>$E$68</f>
        <v>动态</v>
      </c>
      <c r="F384" t="str">
        <f ca="1">BDH($B$68,$C$68,$B$292,$B$293,CONCATENATE("Per=",$B$290),"Dts=H","Dir=H",CONCATENATE("Points=",$B$291),"Sort=R","Days=A","Fill=B",CONCATENATE("FX=", $B$289) )</f>
        <v>#N/A Authorization</v>
      </c>
      <c r="BN384" t="str">
        <f>""</f>
        <v/>
      </c>
      <c r="BO384" t="str">
        <f>""</f>
        <v/>
      </c>
      <c r="BP384" t="str">
        <f>""</f>
        <v/>
      </c>
      <c r="BQ384" t="str">
        <f>""</f>
        <v/>
      </c>
      <c r="BR384" t="str">
        <f>""</f>
        <v/>
      </c>
      <c r="BS384" t="str">
        <f>""</f>
        <v/>
      </c>
      <c r="BT384" t="str">
        <f>""</f>
        <v/>
      </c>
      <c r="BU384" t="str">
        <f>""</f>
        <v/>
      </c>
      <c r="BV384" t="str">
        <f>""</f>
        <v/>
      </c>
      <c r="BW384" t="str">
        <f>""</f>
        <v/>
      </c>
      <c r="BX384" t="str">
        <f>""</f>
        <v/>
      </c>
      <c r="BY384" t="str">
        <f>""</f>
        <v/>
      </c>
      <c r="BZ384" t="str">
        <f>""</f>
        <v/>
      </c>
      <c r="CA384" t="str">
        <f>""</f>
        <v/>
      </c>
      <c r="CB384" t="str">
        <f>""</f>
        <v/>
      </c>
      <c r="CC384" t="str">
        <f>""</f>
        <v/>
      </c>
      <c r="CD384" t="str">
        <f>""</f>
        <v/>
      </c>
      <c r="CE384" t="str">
        <f>""</f>
        <v/>
      </c>
      <c r="CF384" t="str">
        <f>""</f>
        <v/>
      </c>
      <c r="CG384" t="str">
        <f>""</f>
        <v/>
      </c>
      <c r="CH384" t="str">
        <f>""</f>
        <v/>
      </c>
      <c r="CI384" t="str">
        <f>""</f>
        <v/>
      </c>
      <c r="CJ384" t="str">
        <f>""</f>
        <v/>
      </c>
      <c r="CK384" t="str">
        <f>""</f>
        <v/>
      </c>
      <c r="CL384" t="str">
        <f>""</f>
        <v/>
      </c>
      <c r="CM384" t="str">
        <f>""</f>
        <v/>
      </c>
      <c r="CN384" t="str">
        <f>""</f>
        <v/>
      </c>
      <c r="CO384" t="str">
        <f>""</f>
        <v/>
      </c>
      <c r="CP384" t="str">
        <f>""</f>
        <v/>
      </c>
      <c r="CQ384" t="str">
        <f>""</f>
        <v/>
      </c>
      <c r="CR384" t="str">
        <f>""</f>
        <v/>
      </c>
      <c r="CS384" t="str">
        <f>""</f>
        <v/>
      </c>
      <c r="CT384" t="str">
        <f>""</f>
        <v/>
      </c>
      <c r="CU384" t="str">
        <f>""</f>
        <v/>
      </c>
      <c r="CV384" t="str">
        <f>""</f>
        <v/>
      </c>
      <c r="CW384" t="str">
        <f>""</f>
        <v/>
      </c>
      <c r="CX384" t="str">
        <f>""</f>
        <v/>
      </c>
      <c r="CY384" t="str">
        <f>""</f>
        <v/>
      </c>
      <c r="CZ384" t="str">
        <f>""</f>
        <v/>
      </c>
      <c r="DA384" t="str">
        <f>""</f>
        <v/>
      </c>
      <c r="DB384" t="str">
        <f>""</f>
        <v/>
      </c>
      <c r="DC384" t="str">
        <f>""</f>
        <v/>
      </c>
      <c r="DD384" t="str">
        <f>""</f>
        <v/>
      </c>
      <c r="DE384" t="str">
        <f>""</f>
        <v/>
      </c>
      <c r="DF384" t="str">
        <f>""</f>
        <v/>
      </c>
      <c r="DG384" t="str">
        <f>""</f>
        <v/>
      </c>
      <c r="DH384" t="str">
        <f>""</f>
        <v/>
      </c>
      <c r="DI384" t="str">
        <f>""</f>
        <v/>
      </c>
      <c r="DJ384" t="str">
        <f>""</f>
        <v/>
      </c>
      <c r="DK384" t="str">
        <f>""</f>
        <v/>
      </c>
      <c r="DL384" t="str">
        <f>""</f>
        <v/>
      </c>
      <c r="DM384" t="str">
        <f>""</f>
        <v/>
      </c>
      <c r="DN384" t="str">
        <f>""</f>
        <v/>
      </c>
      <c r="DO384" t="str">
        <f>""</f>
        <v/>
      </c>
      <c r="DP384" t="str">
        <f>""</f>
        <v/>
      </c>
      <c r="DQ384" t="str">
        <f>""</f>
        <v/>
      </c>
      <c r="DR384" t="str">
        <f>""</f>
        <v/>
      </c>
      <c r="DS384" t="str">
        <f>""</f>
        <v/>
      </c>
      <c r="DT384" t="str">
        <f>""</f>
        <v/>
      </c>
      <c r="DU384" t="str">
        <f>""</f>
        <v/>
      </c>
    </row>
    <row r="385" spans="1:125">
      <c r="A385" t="str">
        <f>$A$69</f>
        <v xml:space="preserve">    Vornado Realty Trust</v>
      </c>
      <c r="B385" t="str">
        <f>$B$69</f>
        <v>VNO US Equity</v>
      </c>
      <c r="C385" t="str">
        <f>$C$69</f>
        <v>RR009</v>
      </c>
      <c r="D385" t="str">
        <f>$D$69</f>
        <v>EBITDA</v>
      </c>
      <c r="E385" t="str">
        <f>$E$69</f>
        <v>动态</v>
      </c>
      <c r="F385" t="str">
        <f ca="1">BDH($B$69,$C$69,$B$292,$B$293,CONCATENATE("Per=",$B$290),"Dts=H","Dir=H",CONCATENATE("Points=",$B$291),"Sort=R","Days=A","Fill=B",CONCATENATE("FX=", $B$289) )</f>
        <v>#N/A Authorization</v>
      </c>
      <c r="BN385" t="str">
        <f>""</f>
        <v/>
      </c>
      <c r="BO385" t="str">
        <f>""</f>
        <v/>
      </c>
      <c r="BP385" t="str">
        <f>""</f>
        <v/>
      </c>
      <c r="BQ385" t="str">
        <f>""</f>
        <v/>
      </c>
      <c r="BR385" t="str">
        <f>""</f>
        <v/>
      </c>
      <c r="BS385" t="str">
        <f>""</f>
        <v/>
      </c>
      <c r="BT385" t="str">
        <f>""</f>
        <v/>
      </c>
      <c r="BU385" t="str">
        <f>""</f>
        <v/>
      </c>
      <c r="BV385" t="str">
        <f>""</f>
        <v/>
      </c>
      <c r="BW385" t="str">
        <f>""</f>
        <v/>
      </c>
      <c r="BX385" t="str">
        <f>""</f>
        <v/>
      </c>
      <c r="BY385" t="str">
        <f>""</f>
        <v/>
      </c>
      <c r="BZ385" t="str">
        <f>""</f>
        <v/>
      </c>
      <c r="CA385" t="str">
        <f>""</f>
        <v/>
      </c>
      <c r="CB385" t="str">
        <f>""</f>
        <v/>
      </c>
      <c r="CC385" t="str">
        <f>""</f>
        <v/>
      </c>
      <c r="CD385" t="str">
        <f>""</f>
        <v/>
      </c>
      <c r="CE385" t="str">
        <f>""</f>
        <v/>
      </c>
      <c r="CF385" t="str">
        <f>""</f>
        <v/>
      </c>
      <c r="CG385" t="str">
        <f>""</f>
        <v/>
      </c>
      <c r="CH385" t="str">
        <f>""</f>
        <v/>
      </c>
      <c r="CI385" t="str">
        <f>""</f>
        <v/>
      </c>
      <c r="CJ385" t="str">
        <f>""</f>
        <v/>
      </c>
      <c r="CK385" t="str">
        <f>""</f>
        <v/>
      </c>
      <c r="CL385" t="str">
        <f>""</f>
        <v/>
      </c>
      <c r="CM385" t="str">
        <f>""</f>
        <v/>
      </c>
      <c r="CN385" t="str">
        <f>""</f>
        <v/>
      </c>
      <c r="CO385" t="str">
        <f>""</f>
        <v/>
      </c>
      <c r="CP385" t="str">
        <f>""</f>
        <v/>
      </c>
      <c r="CQ385" t="str">
        <f>""</f>
        <v/>
      </c>
      <c r="CR385" t="str">
        <f>""</f>
        <v/>
      </c>
      <c r="CS385" t="str">
        <f>""</f>
        <v/>
      </c>
      <c r="CT385" t="str">
        <f>""</f>
        <v/>
      </c>
      <c r="CU385" t="str">
        <f>""</f>
        <v/>
      </c>
      <c r="CV385" t="str">
        <f>""</f>
        <v/>
      </c>
      <c r="CW385" t="str">
        <f>""</f>
        <v/>
      </c>
      <c r="CX385" t="str">
        <f>""</f>
        <v/>
      </c>
      <c r="CY385" t="str">
        <f>""</f>
        <v/>
      </c>
      <c r="CZ385" t="str">
        <f>""</f>
        <v/>
      </c>
      <c r="DA385" t="str">
        <f>""</f>
        <v/>
      </c>
      <c r="DB385" t="str">
        <f>""</f>
        <v/>
      </c>
      <c r="DC385" t="str">
        <f>""</f>
        <v/>
      </c>
      <c r="DD385" t="str">
        <f>""</f>
        <v/>
      </c>
      <c r="DE385" t="str">
        <f>""</f>
        <v/>
      </c>
      <c r="DF385" t="str">
        <f>""</f>
        <v/>
      </c>
      <c r="DG385" t="str">
        <f>""</f>
        <v/>
      </c>
      <c r="DH385" t="str">
        <f>""</f>
        <v/>
      </c>
      <c r="DI385" t="str">
        <f>""</f>
        <v/>
      </c>
      <c r="DJ385" t="str">
        <f>""</f>
        <v/>
      </c>
      <c r="DK385" t="str">
        <f>""</f>
        <v/>
      </c>
      <c r="DL385" t="str">
        <f>""</f>
        <v/>
      </c>
      <c r="DM385" t="str">
        <f>""</f>
        <v/>
      </c>
      <c r="DN385" t="str">
        <f>""</f>
        <v/>
      </c>
      <c r="DO385" t="str">
        <f>""</f>
        <v/>
      </c>
      <c r="DP385" t="str">
        <f>""</f>
        <v/>
      </c>
      <c r="DQ385" t="str">
        <f>""</f>
        <v/>
      </c>
      <c r="DR385" t="str">
        <f>""</f>
        <v/>
      </c>
      <c r="DS385" t="str">
        <f>""</f>
        <v/>
      </c>
      <c r="DT385" t="str">
        <f>""</f>
        <v/>
      </c>
      <c r="DU385" t="str">
        <f>""</f>
        <v/>
      </c>
    </row>
    <row r="386" spans="1:125">
      <c r="A386" t="str">
        <f>$A$71</f>
        <v xml:space="preserve">    Boston Properties Inc</v>
      </c>
      <c r="B386" t="str">
        <f>$B$71</f>
        <v>BXP US Equity</v>
      </c>
      <c r="C386" t="str">
        <f>$C$71</f>
        <v>IS972</v>
      </c>
      <c r="D386" t="str">
        <f>$D$71</f>
        <v>IS_ADJUSTED_EBITDA_AS_REPORTED</v>
      </c>
      <c r="E386" t="str">
        <f>$E$71</f>
        <v>动态</v>
      </c>
      <c r="F386" t="str">
        <f ca="1">BDH($B$71,$C$71,$B$292,$B$293,CONCATENATE("Per=",$B$290),"Dts=H","Dir=H",CONCATENATE("Points=",$B$291),"Sort=R","Days=A","Fill=B",CONCATENATE("FX=", $B$289) )</f>
        <v>#N/A Authorization</v>
      </c>
      <c r="BN386" t="str">
        <f>""</f>
        <v/>
      </c>
      <c r="BO386" t="str">
        <f>""</f>
        <v/>
      </c>
      <c r="BP386" t="str">
        <f>""</f>
        <v/>
      </c>
      <c r="BQ386" t="str">
        <f>""</f>
        <v/>
      </c>
      <c r="BR386" t="str">
        <f>""</f>
        <v/>
      </c>
      <c r="BS386" t="str">
        <f>""</f>
        <v/>
      </c>
      <c r="BT386" t="str">
        <f>""</f>
        <v/>
      </c>
      <c r="BU386" t="str">
        <f>""</f>
        <v/>
      </c>
      <c r="BV386" t="str">
        <f>""</f>
        <v/>
      </c>
      <c r="BW386" t="str">
        <f>""</f>
        <v/>
      </c>
      <c r="BX386" t="str">
        <f>""</f>
        <v/>
      </c>
      <c r="BY386" t="str">
        <f>""</f>
        <v/>
      </c>
      <c r="BZ386" t="str">
        <f>""</f>
        <v/>
      </c>
      <c r="CA386" t="str">
        <f>""</f>
        <v/>
      </c>
      <c r="CB386" t="str">
        <f>""</f>
        <v/>
      </c>
      <c r="CC386" t="str">
        <f>""</f>
        <v/>
      </c>
      <c r="CD386" t="str">
        <f>""</f>
        <v/>
      </c>
      <c r="CE386" t="str">
        <f>""</f>
        <v/>
      </c>
      <c r="CF386" t="str">
        <f>""</f>
        <v/>
      </c>
      <c r="CG386" t="str">
        <f>""</f>
        <v/>
      </c>
      <c r="CH386" t="str">
        <f>""</f>
        <v/>
      </c>
      <c r="CI386" t="str">
        <f>""</f>
        <v/>
      </c>
      <c r="CJ386" t="str">
        <f>""</f>
        <v/>
      </c>
      <c r="CK386" t="str">
        <f>""</f>
        <v/>
      </c>
      <c r="CL386" t="str">
        <f>""</f>
        <v/>
      </c>
      <c r="CM386" t="str">
        <f>""</f>
        <v/>
      </c>
      <c r="CN386" t="str">
        <f>""</f>
        <v/>
      </c>
      <c r="CO386" t="str">
        <f>""</f>
        <v/>
      </c>
      <c r="CP386" t="str">
        <f>""</f>
        <v/>
      </c>
      <c r="CQ386" t="str">
        <f>""</f>
        <v/>
      </c>
      <c r="CR386" t="str">
        <f>""</f>
        <v/>
      </c>
      <c r="CS386" t="str">
        <f>""</f>
        <v/>
      </c>
      <c r="CT386" t="str">
        <f>""</f>
        <v/>
      </c>
      <c r="CU386" t="str">
        <f>""</f>
        <v/>
      </c>
      <c r="CV386" t="str">
        <f>""</f>
        <v/>
      </c>
      <c r="CW386" t="str">
        <f>""</f>
        <v/>
      </c>
      <c r="CX386" t="str">
        <f>""</f>
        <v/>
      </c>
      <c r="CY386" t="str">
        <f>""</f>
        <v/>
      </c>
      <c r="CZ386" t="str">
        <f>""</f>
        <v/>
      </c>
      <c r="DA386" t="str">
        <f>""</f>
        <v/>
      </c>
      <c r="DB386" t="str">
        <f>""</f>
        <v/>
      </c>
      <c r="DC386" t="str">
        <f>""</f>
        <v/>
      </c>
      <c r="DD386" t="str">
        <f>""</f>
        <v/>
      </c>
      <c r="DE386" t="str">
        <f>""</f>
        <v/>
      </c>
      <c r="DF386" t="str">
        <f>""</f>
        <v/>
      </c>
      <c r="DG386" t="str">
        <f>""</f>
        <v/>
      </c>
      <c r="DH386" t="str">
        <f>""</f>
        <v/>
      </c>
      <c r="DI386" t="str">
        <f>""</f>
        <v/>
      </c>
      <c r="DJ386" t="str">
        <f>""</f>
        <v/>
      </c>
      <c r="DK386" t="str">
        <f>""</f>
        <v/>
      </c>
      <c r="DL386" t="str">
        <f>""</f>
        <v/>
      </c>
      <c r="DM386" t="str">
        <f>""</f>
        <v/>
      </c>
      <c r="DN386" t="str">
        <f>""</f>
        <v/>
      </c>
      <c r="DO386" t="str">
        <f>""</f>
        <v/>
      </c>
      <c r="DP386" t="str">
        <f>""</f>
        <v/>
      </c>
      <c r="DQ386" t="str">
        <f>""</f>
        <v/>
      </c>
      <c r="DR386" t="str">
        <f>""</f>
        <v/>
      </c>
      <c r="DS386" t="str">
        <f>""</f>
        <v/>
      </c>
      <c r="DT386" t="str">
        <f>""</f>
        <v/>
      </c>
      <c r="DU386" t="str">
        <f>""</f>
        <v/>
      </c>
    </row>
    <row r="387" spans="1:125">
      <c r="A387" t="str">
        <f>$A$72</f>
        <v xml:space="preserve">    Brandywine Realty Trust</v>
      </c>
      <c r="B387" t="str">
        <f>$B$72</f>
        <v>BDN US Equity</v>
      </c>
      <c r="C387" t="str">
        <f>$C$72</f>
        <v>IS972</v>
      </c>
      <c r="D387" t="str">
        <f>$D$72</f>
        <v>IS_ADJUSTED_EBITDA_AS_REPORTED</v>
      </c>
      <c r="E387" t="str">
        <f>$E$72</f>
        <v>动态</v>
      </c>
      <c r="F387" t="str">
        <f ca="1">BDH($B$72,$C$72,$B$292,$B$293,CONCATENATE("Per=",$B$290),"Dts=H","Dir=H",CONCATENATE("Points=",$B$291),"Sort=R","Days=A","Fill=B",CONCATENATE("FX=", $B$289) )</f>
        <v>#N/A Authorization</v>
      </c>
      <c r="BN387" t="str">
        <f>""</f>
        <v/>
      </c>
      <c r="BO387" t="str">
        <f>""</f>
        <v/>
      </c>
      <c r="BP387" t="str">
        <f>""</f>
        <v/>
      </c>
      <c r="BQ387" t="str">
        <f>""</f>
        <v/>
      </c>
      <c r="BR387" t="str">
        <f>""</f>
        <v/>
      </c>
      <c r="BS387" t="str">
        <f>""</f>
        <v/>
      </c>
      <c r="BT387" t="str">
        <f>""</f>
        <v/>
      </c>
      <c r="BU387" t="str">
        <f>""</f>
        <v/>
      </c>
      <c r="BV387" t="str">
        <f>""</f>
        <v/>
      </c>
      <c r="BW387" t="str">
        <f>""</f>
        <v/>
      </c>
      <c r="BX387" t="str">
        <f>""</f>
        <v/>
      </c>
      <c r="BY387" t="str">
        <f>""</f>
        <v/>
      </c>
      <c r="BZ387" t="str">
        <f>""</f>
        <v/>
      </c>
      <c r="CA387" t="str">
        <f>""</f>
        <v/>
      </c>
      <c r="CB387" t="str">
        <f>""</f>
        <v/>
      </c>
      <c r="CC387" t="str">
        <f>""</f>
        <v/>
      </c>
      <c r="CD387" t="str">
        <f>""</f>
        <v/>
      </c>
      <c r="CE387" t="str">
        <f>""</f>
        <v/>
      </c>
      <c r="CF387" t="str">
        <f>""</f>
        <v/>
      </c>
      <c r="CG387" t="str">
        <f>""</f>
        <v/>
      </c>
      <c r="CH387" t="str">
        <f>""</f>
        <v/>
      </c>
      <c r="CI387" t="str">
        <f>""</f>
        <v/>
      </c>
      <c r="CJ387" t="str">
        <f>""</f>
        <v/>
      </c>
      <c r="CK387" t="str">
        <f>""</f>
        <v/>
      </c>
      <c r="CL387" t="str">
        <f>""</f>
        <v/>
      </c>
      <c r="CM387" t="str">
        <f>""</f>
        <v/>
      </c>
      <c r="CN387" t="str">
        <f>""</f>
        <v/>
      </c>
      <c r="CO387" t="str">
        <f>""</f>
        <v/>
      </c>
      <c r="CP387" t="str">
        <f>""</f>
        <v/>
      </c>
      <c r="CQ387" t="str">
        <f>""</f>
        <v/>
      </c>
      <c r="CR387" t="str">
        <f>""</f>
        <v/>
      </c>
      <c r="CS387" t="str">
        <f>""</f>
        <v/>
      </c>
      <c r="CT387" t="str">
        <f>""</f>
        <v/>
      </c>
      <c r="CU387" t="str">
        <f>""</f>
        <v/>
      </c>
      <c r="CV387" t="str">
        <f>""</f>
        <v/>
      </c>
      <c r="CW387" t="str">
        <f>""</f>
        <v/>
      </c>
      <c r="CX387" t="str">
        <f>""</f>
        <v/>
      </c>
      <c r="CY387" t="str">
        <f>""</f>
        <v/>
      </c>
      <c r="CZ387" t="str">
        <f>""</f>
        <v/>
      </c>
      <c r="DA387" t="str">
        <f>""</f>
        <v/>
      </c>
      <c r="DB387" t="str">
        <f>""</f>
        <v/>
      </c>
      <c r="DC387" t="str">
        <f>""</f>
        <v/>
      </c>
      <c r="DD387" t="str">
        <f>""</f>
        <v/>
      </c>
      <c r="DE387" t="str">
        <f>""</f>
        <v/>
      </c>
      <c r="DF387" t="str">
        <f>""</f>
        <v/>
      </c>
      <c r="DG387" t="str">
        <f>""</f>
        <v/>
      </c>
      <c r="DH387" t="str">
        <f>""</f>
        <v/>
      </c>
      <c r="DI387" t="str">
        <f>""</f>
        <v/>
      </c>
      <c r="DJ387" t="str">
        <f>""</f>
        <v/>
      </c>
      <c r="DK387" t="str">
        <f>""</f>
        <v/>
      </c>
      <c r="DL387" t="str">
        <f>""</f>
        <v/>
      </c>
      <c r="DM387" t="str">
        <f>""</f>
        <v/>
      </c>
      <c r="DN387" t="str">
        <f>""</f>
        <v/>
      </c>
      <c r="DO387" t="str">
        <f>""</f>
        <v/>
      </c>
      <c r="DP387" t="str">
        <f>""</f>
        <v/>
      </c>
      <c r="DQ387" t="str">
        <f>""</f>
        <v/>
      </c>
      <c r="DR387" t="str">
        <f>""</f>
        <v/>
      </c>
      <c r="DS387" t="str">
        <f>""</f>
        <v/>
      </c>
      <c r="DT387" t="str">
        <f>""</f>
        <v/>
      </c>
      <c r="DU387" t="str">
        <f>""</f>
        <v/>
      </c>
    </row>
    <row r="388" spans="1:125">
      <c r="A388" t="str">
        <f>$A$73</f>
        <v xml:space="preserve">    Columbia Property Trust Inc</v>
      </c>
      <c r="B388" t="str">
        <f>$B$73</f>
        <v>CXP US Equity</v>
      </c>
      <c r="C388" t="str">
        <f>$C$73</f>
        <v>IS972</v>
      </c>
      <c r="D388" t="str">
        <f>$D$73</f>
        <v>IS_ADJUSTED_EBITDA_AS_REPORTED</v>
      </c>
      <c r="E388" t="str">
        <f>$E$73</f>
        <v>动态</v>
      </c>
      <c r="F388" t="str">
        <f ca="1">BDH($B$73,$C$73,$B$292,$B$293,CONCATENATE("Per=",$B$290),"Dts=H","Dir=H",CONCATENATE("Points=",$B$291),"Sort=R","Days=A","Fill=B",CONCATENATE("FX=", $B$289) )</f>
        <v>#N/A Authorization</v>
      </c>
      <c r="BN388" t="str">
        <f>""</f>
        <v/>
      </c>
      <c r="BO388" t="str">
        <f>""</f>
        <v/>
      </c>
      <c r="BP388" t="str">
        <f>""</f>
        <v/>
      </c>
      <c r="BQ388" t="str">
        <f>""</f>
        <v/>
      </c>
      <c r="BR388" t="str">
        <f>""</f>
        <v/>
      </c>
      <c r="BS388" t="str">
        <f>""</f>
        <v/>
      </c>
      <c r="BT388" t="str">
        <f>""</f>
        <v/>
      </c>
      <c r="BU388" t="str">
        <f>""</f>
        <v/>
      </c>
      <c r="BV388" t="str">
        <f>""</f>
        <v/>
      </c>
      <c r="BW388" t="str">
        <f>""</f>
        <v/>
      </c>
      <c r="BX388" t="str">
        <f>""</f>
        <v/>
      </c>
      <c r="BY388" t="str">
        <f>""</f>
        <v/>
      </c>
      <c r="BZ388" t="str">
        <f>""</f>
        <v/>
      </c>
      <c r="CA388" t="str">
        <f>""</f>
        <v/>
      </c>
      <c r="CB388" t="str">
        <f>""</f>
        <v/>
      </c>
      <c r="CC388" t="str">
        <f>""</f>
        <v/>
      </c>
      <c r="CD388" t="str">
        <f>""</f>
        <v/>
      </c>
      <c r="CE388" t="str">
        <f>""</f>
        <v/>
      </c>
      <c r="CF388" t="str">
        <f>""</f>
        <v/>
      </c>
      <c r="CG388" t="str">
        <f>""</f>
        <v/>
      </c>
      <c r="CH388" t="str">
        <f>""</f>
        <v/>
      </c>
      <c r="CI388" t="str">
        <f>""</f>
        <v/>
      </c>
      <c r="CJ388" t="str">
        <f>""</f>
        <v/>
      </c>
      <c r="CK388" t="str">
        <f>""</f>
        <v/>
      </c>
      <c r="CL388" t="str">
        <f>""</f>
        <v/>
      </c>
      <c r="CM388" t="str">
        <f>""</f>
        <v/>
      </c>
      <c r="CN388" t="str">
        <f>""</f>
        <v/>
      </c>
      <c r="CO388" t="str">
        <f>""</f>
        <v/>
      </c>
      <c r="CP388" t="str">
        <f>""</f>
        <v/>
      </c>
      <c r="CQ388" t="str">
        <f>""</f>
        <v/>
      </c>
      <c r="CR388" t="str">
        <f>""</f>
        <v/>
      </c>
      <c r="CS388" t="str">
        <f>""</f>
        <v/>
      </c>
      <c r="CT388" t="str">
        <f>""</f>
        <v/>
      </c>
      <c r="CU388" t="str">
        <f>""</f>
        <v/>
      </c>
      <c r="CV388" t="str">
        <f>""</f>
        <v/>
      </c>
      <c r="CW388" t="str">
        <f>""</f>
        <v/>
      </c>
      <c r="CX388" t="str">
        <f>""</f>
        <v/>
      </c>
      <c r="CY388" t="str">
        <f>""</f>
        <v/>
      </c>
      <c r="CZ388" t="str">
        <f>""</f>
        <v/>
      </c>
      <c r="DA388" t="str">
        <f>""</f>
        <v/>
      </c>
      <c r="DB388" t="str">
        <f>""</f>
        <v/>
      </c>
      <c r="DC388" t="str">
        <f>""</f>
        <v/>
      </c>
      <c r="DD388" t="str">
        <f>""</f>
        <v/>
      </c>
      <c r="DE388" t="str">
        <f>""</f>
        <v/>
      </c>
      <c r="DF388" t="str">
        <f>""</f>
        <v/>
      </c>
      <c r="DG388" t="str">
        <f>""</f>
        <v/>
      </c>
      <c r="DH388" t="str">
        <f>""</f>
        <v/>
      </c>
      <c r="DI388" t="str">
        <f>""</f>
        <v/>
      </c>
      <c r="DJ388" t="str">
        <f>""</f>
        <v/>
      </c>
      <c r="DK388" t="str">
        <f>""</f>
        <v/>
      </c>
      <c r="DL388" t="str">
        <f>""</f>
        <v/>
      </c>
      <c r="DM388" t="str">
        <f>""</f>
        <v/>
      </c>
      <c r="DN388" t="str">
        <f>""</f>
        <v/>
      </c>
      <c r="DO388" t="str">
        <f>""</f>
        <v/>
      </c>
      <c r="DP388" t="str">
        <f>""</f>
        <v/>
      </c>
      <c r="DQ388" t="str">
        <f>""</f>
        <v/>
      </c>
      <c r="DR388" t="str">
        <f>""</f>
        <v/>
      </c>
      <c r="DS388" t="str">
        <f>""</f>
        <v/>
      </c>
      <c r="DT388" t="str">
        <f>""</f>
        <v/>
      </c>
      <c r="DU388" t="str">
        <f>""</f>
        <v/>
      </c>
    </row>
    <row r="389" spans="1:125">
      <c r="A389" t="str">
        <f>$A$74</f>
        <v xml:space="preserve">    Corporate Office Properties Tr</v>
      </c>
      <c r="B389" t="str">
        <f>$B$74</f>
        <v>OFC US Equity</v>
      </c>
      <c r="C389" t="str">
        <f>$C$74</f>
        <v>IS972</v>
      </c>
      <c r="D389" t="str">
        <f>$D$74</f>
        <v>IS_ADJUSTED_EBITDA_AS_REPORTED</v>
      </c>
      <c r="E389" t="str">
        <f>$E$74</f>
        <v>动态</v>
      </c>
      <c r="F389" t="str">
        <f ca="1">BDH($B$74,$C$74,$B$292,$B$293,CONCATENATE("Per=",$B$290),"Dts=H","Dir=H",CONCATENATE("Points=",$B$291),"Sort=R","Days=A","Fill=B",CONCATENATE("FX=", $B$289) )</f>
        <v>#N/A Authorization</v>
      </c>
      <c r="BN389" t="str">
        <f>""</f>
        <v/>
      </c>
      <c r="BO389" t="str">
        <f>""</f>
        <v/>
      </c>
      <c r="BP389" t="str">
        <f>""</f>
        <v/>
      </c>
      <c r="BQ389" t="str">
        <f>""</f>
        <v/>
      </c>
      <c r="BR389" t="str">
        <f>""</f>
        <v/>
      </c>
      <c r="BS389" t="str">
        <f>""</f>
        <v/>
      </c>
      <c r="BT389" t="str">
        <f>""</f>
        <v/>
      </c>
      <c r="BU389" t="str">
        <f>""</f>
        <v/>
      </c>
      <c r="BV389" t="str">
        <f>""</f>
        <v/>
      </c>
      <c r="BW389" t="str">
        <f>""</f>
        <v/>
      </c>
      <c r="BX389" t="str">
        <f>""</f>
        <v/>
      </c>
      <c r="BY389" t="str">
        <f>""</f>
        <v/>
      </c>
      <c r="BZ389" t="str">
        <f>""</f>
        <v/>
      </c>
      <c r="CA389" t="str">
        <f>""</f>
        <v/>
      </c>
      <c r="CB389" t="str">
        <f>""</f>
        <v/>
      </c>
      <c r="CC389" t="str">
        <f>""</f>
        <v/>
      </c>
      <c r="CD389" t="str">
        <f>""</f>
        <v/>
      </c>
      <c r="CE389" t="str">
        <f>""</f>
        <v/>
      </c>
      <c r="CF389" t="str">
        <f>""</f>
        <v/>
      </c>
      <c r="CG389" t="str">
        <f>""</f>
        <v/>
      </c>
      <c r="CH389" t="str">
        <f>""</f>
        <v/>
      </c>
      <c r="CI389" t="str">
        <f>""</f>
        <v/>
      </c>
      <c r="CJ389" t="str">
        <f>""</f>
        <v/>
      </c>
      <c r="CK389" t="str">
        <f>""</f>
        <v/>
      </c>
      <c r="CL389" t="str">
        <f>""</f>
        <v/>
      </c>
      <c r="CM389" t="str">
        <f>""</f>
        <v/>
      </c>
      <c r="CN389" t="str">
        <f>""</f>
        <v/>
      </c>
      <c r="CO389" t="str">
        <f>""</f>
        <v/>
      </c>
      <c r="CP389" t="str">
        <f>""</f>
        <v/>
      </c>
      <c r="CQ389" t="str">
        <f>""</f>
        <v/>
      </c>
      <c r="CR389" t="str">
        <f>""</f>
        <v/>
      </c>
      <c r="CS389" t="str">
        <f>""</f>
        <v/>
      </c>
      <c r="CT389" t="str">
        <f>""</f>
        <v/>
      </c>
      <c r="CU389" t="str">
        <f>""</f>
        <v/>
      </c>
      <c r="CV389" t="str">
        <f>""</f>
        <v/>
      </c>
      <c r="CW389" t="str">
        <f>""</f>
        <v/>
      </c>
      <c r="CX389" t="str">
        <f>""</f>
        <v/>
      </c>
      <c r="CY389" t="str">
        <f>""</f>
        <v/>
      </c>
      <c r="CZ389" t="str">
        <f>""</f>
        <v/>
      </c>
      <c r="DA389" t="str">
        <f>""</f>
        <v/>
      </c>
      <c r="DB389" t="str">
        <f>""</f>
        <v/>
      </c>
      <c r="DC389" t="str">
        <f>""</f>
        <v/>
      </c>
      <c r="DD389" t="str">
        <f>""</f>
        <v/>
      </c>
      <c r="DE389" t="str">
        <f>""</f>
        <v/>
      </c>
      <c r="DF389" t="str">
        <f>""</f>
        <v/>
      </c>
      <c r="DG389" t="str">
        <f>""</f>
        <v/>
      </c>
      <c r="DH389" t="str">
        <f>""</f>
        <v/>
      </c>
      <c r="DI389" t="str">
        <f>""</f>
        <v/>
      </c>
      <c r="DJ389" t="str">
        <f>""</f>
        <v/>
      </c>
      <c r="DK389" t="str">
        <f>""</f>
        <v/>
      </c>
      <c r="DL389" t="str">
        <f>""</f>
        <v/>
      </c>
      <c r="DM389" t="str">
        <f>""</f>
        <v/>
      </c>
      <c r="DN389" t="str">
        <f>""</f>
        <v/>
      </c>
      <c r="DO389" t="str">
        <f>""</f>
        <v/>
      </c>
      <c r="DP389" t="str">
        <f>""</f>
        <v/>
      </c>
      <c r="DQ389" t="str">
        <f>""</f>
        <v/>
      </c>
      <c r="DR389" t="str">
        <f>""</f>
        <v/>
      </c>
      <c r="DS389" t="str">
        <f>""</f>
        <v/>
      </c>
      <c r="DT389" t="str">
        <f>""</f>
        <v/>
      </c>
      <c r="DU389" t="str">
        <f>""</f>
        <v/>
      </c>
    </row>
    <row r="390" spans="1:125">
      <c r="A390" t="str">
        <f>$A$75</f>
        <v xml:space="preserve">    Highwoods Properties Inc</v>
      </c>
      <c r="B390" t="str">
        <f>$B$75</f>
        <v>HIW US Equity</v>
      </c>
      <c r="C390" t="str">
        <f>$C$75</f>
        <v>IS972</v>
      </c>
      <c r="D390" t="str">
        <f>$D$75</f>
        <v>IS_ADJUSTED_EBITDA_AS_REPORTED</v>
      </c>
      <c r="E390" t="str">
        <f>$E$75</f>
        <v>动态</v>
      </c>
      <c r="F390" t="str">
        <f ca="1">BDH($B$75,$C$75,$B$292,$B$293,CONCATENATE("Per=",$B$290),"Dts=H","Dir=H",CONCATENATE("Points=",$B$291),"Sort=R","Days=A","Fill=B",CONCATENATE("FX=", $B$289) )</f>
        <v>#N/A Authorization</v>
      </c>
      <c r="BN390" t="str">
        <f>""</f>
        <v/>
      </c>
      <c r="BO390" t="str">
        <f>""</f>
        <v/>
      </c>
      <c r="BP390" t="str">
        <f>""</f>
        <v/>
      </c>
      <c r="BQ390" t="str">
        <f>""</f>
        <v/>
      </c>
      <c r="BR390" t="str">
        <f>""</f>
        <v/>
      </c>
      <c r="BS390" t="str">
        <f>""</f>
        <v/>
      </c>
      <c r="BT390" t="str">
        <f>""</f>
        <v/>
      </c>
      <c r="BU390" t="str">
        <f>""</f>
        <v/>
      </c>
      <c r="BV390" t="str">
        <f>""</f>
        <v/>
      </c>
      <c r="BW390" t="str">
        <f>""</f>
        <v/>
      </c>
      <c r="BX390" t="str">
        <f>""</f>
        <v/>
      </c>
      <c r="BY390" t="str">
        <f>""</f>
        <v/>
      </c>
      <c r="BZ390" t="str">
        <f>""</f>
        <v/>
      </c>
      <c r="CA390" t="str">
        <f>""</f>
        <v/>
      </c>
      <c r="CB390" t="str">
        <f>""</f>
        <v/>
      </c>
      <c r="CC390" t="str">
        <f>""</f>
        <v/>
      </c>
      <c r="CD390" t="str">
        <f>""</f>
        <v/>
      </c>
      <c r="CE390" t="str">
        <f>""</f>
        <v/>
      </c>
      <c r="CF390" t="str">
        <f>""</f>
        <v/>
      </c>
      <c r="CG390" t="str">
        <f>""</f>
        <v/>
      </c>
      <c r="CH390" t="str">
        <f>""</f>
        <v/>
      </c>
      <c r="CI390" t="str">
        <f>""</f>
        <v/>
      </c>
      <c r="CJ390" t="str">
        <f>""</f>
        <v/>
      </c>
      <c r="CK390" t="str">
        <f>""</f>
        <v/>
      </c>
      <c r="CL390" t="str">
        <f>""</f>
        <v/>
      </c>
      <c r="CM390" t="str">
        <f>""</f>
        <v/>
      </c>
      <c r="CN390" t="str">
        <f>""</f>
        <v/>
      </c>
      <c r="CO390" t="str">
        <f>""</f>
        <v/>
      </c>
      <c r="CP390" t="str">
        <f>""</f>
        <v/>
      </c>
      <c r="CQ390" t="str">
        <f>""</f>
        <v/>
      </c>
      <c r="CR390" t="str">
        <f>""</f>
        <v/>
      </c>
      <c r="CS390" t="str">
        <f>""</f>
        <v/>
      </c>
      <c r="CT390" t="str">
        <f>""</f>
        <v/>
      </c>
      <c r="CU390" t="str">
        <f>""</f>
        <v/>
      </c>
      <c r="CV390" t="str">
        <f>""</f>
        <v/>
      </c>
      <c r="CW390" t="str">
        <f>""</f>
        <v/>
      </c>
      <c r="CX390" t="str">
        <f>""</f>
        <v/>
      </c>
      <c r="CY390" t="str">
        <f>""</f>
        <v/>
      </c>
      <c r="CZ390" t="str">
        <f>""</f>
        <v/>
      </c>
      <c r="DA390" t="str">
        <f>""</f>
        <v/>
      </c>
      <c r="DB390" t="str">
        <f>""</f>
        <v/>
      </c>
      <c r="DC390" t="str">
        <f>""</f>
        <v/>
      </c>
      <c r="DD390" t="str">
        <f>""</f>
        <v/>
      </c>
      <c r="DE390" t="str">
        <f>""</f>
        <v/>
      </c>
      <c r="DF390" t="str">
        <f>""</f>
        <v/>
      </c>
      <c r="DG390" t="str">
        <f>""</f>
        <v/>
      </c>
      <c r="DH390" t="str">
        <f>""</f>
        <v/>
      </c>
      <c r="DI390" t="str">
        <f>""</f>
        <v/>
      </c>
      <c r="DJ390" t="str">
        <f>""</f>
        <v/>
      </c>
      <c r="DK390" t="str">
        <f>""</f>
        <v/>
      </c>
      <c r="DL390" t="str">
        <f>""</f>
        <v/>
      </c>
      <c r="DM390" t="str">
        <f>""</f>
        <v/>
      </c>
      <c r="DN390" t="str">
        <f>""</f>
        <v/>
      </c>
      <c r="DO390" t="str">
        <f>""</f>
        <v/>
      </c>
      <c r="DP390" t="str">
        <f>""</f>
        <v/>
      </c>
      <c r="DQ390" t="str">
        <f>""</f>
        <v/>
      </c>
      <c r="DR390" t="str">
        <f>""</f>
        <v/>
      </c>
      <c r="DS390" t="str">
        <f>""</f>
        <v/>
      </c>
      <c r="DT390" t="str">
        <f>""</f>
        <v/>
      </c>
      <c r="DU390" t="str">
        <f>""</f>
        <v/>
      </c>
    </row>
    <row r="391" spans="1:125">
      <c r="A391" t="str">
        <f>$A$76</f>
        <v xml:space="preserve">    Kilroy Realty Corp</v>
      </c>
      <c r="B391" t="str">
        <f>$B$76</f>
        <v>KRC US Equity</v>
      </c>
      <c r="C391" t="str">
        <f>$C$76</f>
        <v>IS972</v>
      </c>
      <c r="D391" t="str">
        <f>$D$76</f>
        <v>IS_ADJUSTED_EBITDA_AS_REPORTED</v>
      </c>
      <c r="E391" t="str">
        <f>$E$76</f>
        <v>动态</v>
      </c>
      <c r="F391" t="str">
        <f ca="1">BDH($B$76,$C$76,$B$292,$B$293,CONCATENATE("Per=",$B$290),"Dts=H","Dir=H",CONCATENATE("Points=",$B$291),"Sort=R","Days=A","Fill=B",CONCATENATE("FX=", $B$289) )</f>
        <v>#N/A Authorization</v>
      </c>
      <c r="BN391" t="str">
        <f>""</f>
        <v/>
      </c>
      <c r="BO391" t="str">
        <f>""</f>
        <v/>
      </c>
      <c r="BP391" t="str">
        <f>""</f>
        <v/>
      </c>
      <c r="BQ391" t="str">
        <f>""</f>
        <v/>
      </c>
      <c r="BR391" t="str">
        <f>""</f>
        <v/>
      </c>
      <c r="BS391" t="str">
        <f>""</f>
        <v/>
      </c>
      <c r="BT391" t="str">
        <f>""</f>
        <v/>
      </c>
      <c r="BU391" t="str">
        <f>""</f>
        <v/>
      </c>
      <c r="BV391" t="str">
        <f>""</f>
        <v/>
      </c>
      <c r="BW391" t="str">
        <f>""</f>
        <v/>
      </c>
      <c r="BX391" t="str">
        <f>""</f>
        <v/>
      </c>
      <c r="BY391" t="str">
        <f>""</f>
        <v/>
      </c>
      <c r="BZ391" t="str">
        <f>""</f>
        <v/>
      </c>
      <c r="CA391" t="str">
        <f>""</f>
        <v/>
      </c>
      <c r="CB391" t="str">
        <f>""</f>
        <v/>
      </c>
      <c r="CC391" t="str">
        <f>""</f>
        <v/>
      </c>
      <c r="CD391" t="str">
        <f>""</f>
        <v/>
      </c>
      <c r="CE391" t="str">
        <f>""</f>
        <v/>
      </c>
      <c r="CF391" t="str">
        <f>""</f>
        <v/>
      </c>
      <c r="CG391" t="str">
        <f>""</f>
        <v/>
      </c>
      <c r="CH391" t="str">
        <f>""</f>
        <v/>
      </c>
      <c r="CI391" t="str">
        <f>""</f>
        <v/>
      </c>
      <c r="CJ391" t="str">
        <f>""</f>
        <v/>
      </c>
      <c r="CK391" t="str">
        <f>""</f>
        <v/>
      </c>
      <c r="CL391" t="str">
        <f>""</f>
        <v/>
      </c>
      <c r="CM391" t="str">
        <f>""</f>
        <v/>
      </c>
      <c r="CN391" t="str">
        <f>""</f>
        <v/>
      </c>
      <c r="CO391" t="str">
        <f>""</f>
        <v/>
      </c>
      <c r="CP391" t="str">
        <f>""</f>
        <v/>
      </c>
      <c r="CQ391" t="str">
        <f>""</f>
        <v/>
      </c>
      <c r="CR391" t="str">
        <f>""</f>
        <v/>
      </c>
      <c r="CS391" t="str">
        <f>""</f>
        <v/>
      </c>
      <c r="CT391" t="str">
        <f>""</f>
        <v/>
      </c>
      <c r="CU391" t="str">
        <f>""</f>
        <v/>
      </c>
      <c r="CV391" t="str">
        <f>""</f>
        <v/>
      </c>
      <c r="CW391" t="str">
        <f>""</f>
        <v/>
      </c>
      <c r="CX391" t="str">
        <f>""</f>
        <v/>
      </c>
      <c r="CY391" t="str">
        <f>""</f>
        <v/>
      </c>
      <c r="CZ391" t="str">
        <f>""</f>
        <v/>
      </c>
      <c r="DA391" t="str">
        <f>""</f>
        <v/>
      </c>
      <c r="DB391" t="str">
        <f>""</f>
        <v/>
      </c>
      <c r="DC391" t="str">
        <f>""</f>
        <v/>
      </c>
      <c r="DD391" t="str">
        <f>""</f>
        <v/>
      </c>
      <c r="DE391" t="str">
        <f>""</f>
        <v/>
      </c>
      <c r="DF391" t="str">
        <f>""</f>
        <v/>
      </c>
      <c r="DG391" t="str">
        <f>""</f>
        <v/>
      </c>
      <c r="DH391" t="str">
        <f>""</f>
        <v/>
      </c>
      <c r="DI391" t="str">
        <f>""</f>
        <v/>
      </c>
      <c r="DJ391" t="str">
        <f>""</f>
        <v/>
      </c>
      <c r="DK391" t="str">
        <f>""</f>
        <v/>
      </c>
      <c r="DL391" t="str">
        <f>""</f>
        <v/>
      </c>
      <c r="DM391" t="str">
        <f>""</f>
        <v/>
      </c>
      <c r="DN391" t="str">
        <f>""</f>
        <v/>
      </c>
      <c r="DO391" t="str">
        <f>""</f>
        <v/>
      </c>
      <c r="DP391" t="str">
        <f>""</f>
        <v/>
      </c>
      <c r="DQ391" t="str">
        <f>""</f>
        <v/>
      </c>
      <c r="DR391" t="str">
        <f>""</f>
        <v/>
      </c>
      <c r="DS391" t="str">
        <f>""</f>
        <v/>
      </c>
      <c r="DT391" t="str">
        <f>""</f>
        <v/>
      </c>
      <c r="DU391" t="str">
        <f>""</f>
        <v/>
      </c>
    </row>
    <row r="392" spans="1:125">
      <c r="A392" t="str">
        <f>$A$77</f>
        <v xml:space="preserve">    Mack-Cali Realty Corp</v>
      </c>
      <c r="B392" t="str">
        <f>$B$77</f>
        <v>CLI US Equity</v>
      </c>
      <c r="C392" t="str">
        <f>$C$77</f>
        <v>IS972</v>
      </c>
      <c r="D392" t="str">
        <f>$D$77</f>
        <v>IS_ADJUSTED_EBITDA_AS_REPORTED</v>
      </c>
      <c r="E392" t="str">
        <f>$E$77</f>
        <v>动态</v>
      </c>
      <c r="F392" t="str">
        <f ca="1">BDH($B$77,$C$77,$B$292,$B$293,CONCATENATE("Per=",$B$290),"Dts=H","Dir=H",CONCATENATE("Points=",$B$291),"Sort=R","Days=A","Fill=B",CONCATENATE("FX=", $B$289) )</f>
        <v>#N/A Authorization</v>
      </c>
      <c r="BN392" t="str">
        <f>""</f>
        <v/>
      </c>
      <c r="BO392" t="str">
        <f>""</f>
        <v/>
      </c>
      <c r="BP392" t="str">
        <f>""</f>
        <v/>
      </c>
      <c r="BQ392" t="str">
        <f>""</f>
        <v/>
      </c>
      <c r="BR392" t="str">
        <f>""</f>
        <v/>
      </c>
      <c r="BS392" t="str">
        <f>""</f>
        <v/>
      </c>
      <c r="BT392" t="str">
        <f>""</f>
        <v/>
      </c>
      <c r="BU392" t="str">
        <f>""</f>
        <v/>
      </c>
      <c r="BV392" t="str">
        <f>""</f>
        <v/>
      </c>
      <c r="BW392" t="str">
        <f>""</f>
        <v/>
      </c>
      <c r="BX392" t="str">
        <f>""</f>
        <v/>
      </c>
      <c r="BY392" t="str">
        <f>""</f>
        <v/>
      </c>
      <c r="BZ392" t="str">
        <f>""</f>
        <v/>
      </c>
      <c r="CA392" t="str">
        <f>""</f>
        <v/>
      </c>
      <c r="CB392" t="str">
        <f>""</f>
        <v/>
      </c>
      <c r="CC392" t="str">
        <f>""</f>
        <v/>
      </c>
      <c r="CD392" t="str">
        <f>""</f>
        <v/>
      </c>
      <c r="CE392" t="str">
        <f>""</f>
        <v/>
      </c>
      <c r="CF392" t="str">
        <f>""</f>
        <v/>
      </c>
      <c r="CG392" t="str">
        <f>""</f>
        <v/>
      </c>
      <c r="CH392" t="str">
        <f>""</f>
        <v/>
      </c>
      <c r="CI392" t="str">
        <f>""</f>
        <v/>
      </c>
      <c r="CJ392" t="str">
        <f>""</f>
        <v/>
      </c>
      <c r="CK392" t="str">
        <f>""</f>
        <v/>
      </c>
      <c r="CL392" t="str">
        <f>""</f>
        <v/>
      </c>
      <c r="CM392" t="str">
        <f>""</f>
        <v/>
      </c>
      <c r="CN392" t="str">
        <f>""</f>
        <v/>
      </c>
      <c r="CO392" t="str">
        <f>""</f>
        <v/>
      </c>
      <c r="CP392" t="str">
        <f>""</f>
        <v/>
      </c>
      <c r="CQ392" t="str">
        <f>""</f>
        <v/>
      </c>
      <c r="CR392" t="str">
        <f>""</f>
        <v/>
      </c>
      <c r="CS392" t="str">
        <f>""</f>
        <v/>
      </c>
      <c r="CT392" t="str">
        <f>""</f>
        <v/>
      </c>
      <c r="CU392" t="str">
        <f>""</f>
        <v/>
      </c>
      <c r="CV392" t="str">
        <f>""</f>
        <v/>
      </c>
      <c r="CW392" t="str">
        <f>""</f>
        <v/>
      </c>
      <c r="CX392" t="str">
        <f>""</f>
        <v/>
      </c>
      <c r="CY392" t="str">
        <f>""</f>
        <v/>
      </c>
      <c r="CZ392" t="str">
        <f>""</f>
        <v/>
      </c>
      <c r="DA392" t="str">
        <f>""</f>
        <v/>
      </c>
      <c r="DB392" t="str">
        <f>""</f>
        <v/>
      </c>
      <c r="DC392" t="str">
        <f>""</f>
        <v/>
      </c>
      <c r="DD392" t="str">
        <f>""</f>
        <v/>
      </c>
      <c r="DE392" t="str">
        <f>""</f>
        <v/>
      </c>
      <c r="DF392" t="str">
        <f>""</f>
        <v/>
      </c>
      <c r="DG392" t="str">
        <f>""</f>
        <v/>
      </c>
      <c r="DH392" t="str">
        <f>""</f>
        <v/>
      </c>
      <c r="DI392" t="str">
        <f>""</f>
        <v/>
      </c>
      <c r="DJ392" t="str">
        <f>""</f>
        <v/>
      </c>
      <c r="DK392" t="str">
        <f>""</f>
        <v/>
      </c>
      <c r="DL392" t="str">
        <f>""</f>
        <v/>
      </c>
      <c r="DM392" t="str">
        <f>""</f>
        <v/>
      </c>
      <c r="DN392" t="str">
        <f>""</f>
        <v/>
      </c>
      <c r="DO392" t="str">
        <f>""</f>
        <v/>
      </c>
      <c r="DP392" t="str">
        <f>""</f>
        <v/>
      </c>
      <c r="DQ392" t="str">
        <f>""</f>
        <v/>
      </c>
      <c r="DR392" t="str">
        <f>""</f>
        <v/>
      </c>
      <c r="DS392" t="str">
        <f>""</f>
        <v/>
      </c>
      <c r="DT392" t="str">
        <f>""</f>
        <v/>
      </c>
      <c r="DU392" t="str">
        <f>""</f>
        <v/>
      </c>
    </row>
    <row r="393" spans="1:125">
      <c r="A393" t="str">
        <f>$A$78</f>
        <v xml:space="preserve">    Piedmont Office Realty Trust I</v>
      </c>
      <c r="B393" t="str">
        <f>$B$78</f>
        <v>PDM US Equity</v>
      </c>
      <c r="C393" t="str">
        <f>$C$78</f>
        <v>IS972</v>
      </c>
      <c r="D393" t="str">
        <f>$D$78</f>
        <v>IS_ADJUSTED_EBITDA_AS_REPORTED</v>
      </c>
      <c r="E393" t="str">
        <f>$E$78</f>
        <v>动态</v>
      </c>
      <c r="F393" t="str">
        <f ca="1">BDH($B$78,$C$78,$B$292,$B$293,CONCATENATE("Per=",$B$290),"Dts=H","Dir=H",CONCATENATE("Points=",$B$291),"Sort=R","Days=A","Fill=B",CONCATENATE("FX=", $B$289) )</f>
        <v>#N/A Authorization</v>
      </c>
      <c r="BN393" t="str">
        <f>""</f>
        <v/>
      </c>
      <c r="BO393" t="str">
        <f>""</f>
        <v/>
      </c>
      <c r="BP393" t="str">
        <f>""</f>
        <v/>
      </c>
      <c r="BQ393" t="str">
        <f>""</f>
        <v/>
      </c>
      <c r="BR393" t="str">
        <f>""</f>
        <v/>
      </c>
      <c r="BS393" t="str">
        <f>""</f>
        <v/>
      </c>
      <c r="BT393" t="str">
        <f>""</f>
        <v/>
      </c>
      <c r="BU393" t="str">
        <f>""</f>
        <v/>
      </c>
      <c r="BV393" t="str">
        <f>""</f>
        <v/>
      </c>
      <c r="BW393" t="str">
        <f>""</f>
        <v/>
      </c>
      <c r="BX393" t="str">
        <f>""</f>
        <v/>
      </c>
      <c r="BY393" t="str">
        <f>""</f>
        <v/>
      </c>
      <c r="BZ393" t="str">
        <f>""</f>
        <v/>
      </c>
      <c r="CA393" t="str">
        <f>""</f>
        <v/>
      </c>
      <c r="CB393" t="str">
        <f>""</f>
        <v/>
      </c>
      <c r="CC393" t="str">
        <f>""</f>
        <v/>
      </c>
      <c r="CD393" t="str">
        <f>""</f>
        <v/>
      </c>
      <c r="CE393" t="str">
        <f>""</f>
        <v/>
      </c>
      <c r="CF393" t="str">
        <f>""</f>
        <v/>
      </c>
      <c r="CG393" t="str">
        <f>""</f>
        <v/>
      </c>
      <c r="CH393" t="str">
        <f>""</f>
        <v/>
      </c>
      <c r="CI393" t="str">
        <f>""</f>
        <v/>
      </c>
      <c r="CJ393" t="str">
        <f>""</f>
        <v/>
      </c>
      <c r="CK393" t="str">
        <f>""</f>
        <v/>
      </c>
      <c r="CL393" t="str">
        <f>""</f>
        <v/>
      </c>
      <c r="CM393" t="str">
        <f>""</f>
        <v/>
      </c>
      <c r="CN393" t="str">
        <f>""</f>
        <v/>
      </c>
      <c r="CO393" t="str">
        <f>""</f>
        <v/>
      </c>
      <c r="CP393" t="str">
        <f>""</f>
        <v/>
      </c>
      <c r="CQ393" t="str">
        <f>""</f>
        <v/>
      </c>
      <c r="CR393" t="str">
        <f>""</f>
        <v/>
      </c>
      <c r="CS393" t="str">
        <f>""</f>
        <v/>
      </c>
      <c r="CT393" t="str">
        <f>""</f>
        <v/>
      </c>
      <c r="CU393" t="str">
        <f>""</f>
        <v/>
      </c>
      <c r="CV393" t="str">
        <f>""</f>
        <v/>
      </c>
      <c r="CW393" t="str">
        <f>""</f>
        <v/>
      </c>
      <c r="CX393" t="str">
        <f>""</f>
        <v/>
      </c>
      <c r="CY393" t="str">
        <f>""</f>
        <v/>
      </c>
      <c r="CZ393" t="str">
        <f>""</f>
        <v/>
      </c>
      <c r="DA393" t="str">
        <f>""</f>
        <v/>
      </c>
      <c r="DB393" t="str">
        <f>""</f>
        <v/>
      </c>
      <c r="DC393" t="str">
        <f>""</f>
        <v/>
      </c>
      <c r="DD393" t="str">
        <f>""</f>
        <v/>
      </c>
      <c r="DE393" t="str">
        <f>""</f>
        <v/>
      </c>
      <c r="DF393" t="str">
        <f>""</f>
        <v/>
      </c>
      <c r="DG393" t="str">
        <f>""</f>
        <v/>
      </c>
      <c r="DH393" t="str">
        <f>""</f>
        <v/>
      </c>
      <c r="DI393" t="str">
        <f>""</f>
        <v/>
      </c>
      <c r="DJ393" t="str">
        <f>""</f>
        <v/>
      </c>
      <c r="DK393" t="str">
        <f>""</f>
        <v/>
      </c>
      <c r="DL393" t="str">
        <f>""</f>
        <v/>
      </c>
      <c r="DM393" t="str">
        <f>""</f>
        <v/>
      </c>
      <c r="DN393" t="str">
        <f>""</f>
        <v/>
      </c>
      <c r="DO393" t="str">
        <f>""</f>
        <v/>
      </c>
      <c r="DP393" t="str">
        <f>""</f>
        <v/>
      </c>
      <c r="DQ393" t="str">
        <f>""</f>
        <v/>
      </c>
      <c r="DR393" t="str">
        <f>""</f>
        <v/>
      </c>
      <c r="DS393" t="str">
        <f>""</f>
        <v/>
      </c>
      <c r="DT393" t="str">
        <f>""</f>
        <v/>
      </c>
      <c r="DU393" t="str">
        <f>""</f>
        <v/>
      </c>
    </row>
    <row r="394" spans="1:125">
      <c r="A394" t="str">
        <f>$A$79</f>
        <v xml:space="preserve">    SL Green Realty Corp</v>
      </c>
      <c r="B394" t="str">
        <f>$B$79</f>
        <v>SLG US Equity</v>
      </c>
      <c r="C394" t="str">
        <f>$C$79</f>
        <v>IS972</v>
      </c>
      <c r="D394" t="str">
        <f>$D$79</f>
        <v>IS_ADJUSTED_EBITDA_AS_REPORTED</v>
      </c>
      <c r="E394" t="str">
        <f>$E$79</f>
        <v>动态</v>
      </c>
      <c r="F394" t="str">
        <f ca="1">BDH($B$79,$C$79,$B$292,$B$293,CONCATENATE("Per=",$B$290),"Dts=H","Dir=H",CONCATENATE("Points=",$B$291),"Sort=R","Days=A","Fill=B",CONCATENATE("FX=", $B$289) )</f>
        <v>#N/A Authorization</v>
      </c>
      <c r="BN394" t="str">
        <f>""</f>
        <v/>
      </c>
      <c r="BO394" t="str">
        <f>""</f>
        <v/>
      </c>
      <c r="BP394" t="str">
        <f>""</f>
        <v/>
      </c>
      <c r="BQ394" t="str">
        <f>""</f>
        <v/>
      </c>
      <c r="BR394" t="str">
        <f>""</f>
        <v/>
      </c>
      <c r="BS394" t="str">
        <f>""</f>
        <v/>
      </c>
      <c r="BT394" t="str">
        <f>""</f>
        <v/>
      </c>
      <c r="BU394" t="str">
        <f>""</f>
        <v/>
      </c>
      <c r="BV394" t="str">
        <f>""</f>
        <v/>
      </c>
      <c r="BW394" t="str">
        <f>""</f>
        <v/>
      </c>
      <c r="BX394" t="str">
        <f>""</f>
        <v/>
      </c>
      <c r="BY394" t="str">
        <f>""</f>
        <v/>
      </c>
      <c r="BZ394" t="str">
        <f>""</f>
        <v/>
      </c>
      <c r="CA394" t="str">
        <f>""</f>
        <v/>
      </c>
      <c r="CB394" t="str">
        <f>""</f>
        <v/>
      </c>
      <c r="CC394" t="str">
        <f>""</f>
        <v/>
      </c>
      <c r="CD394" t="str">
        <f>""</f>
        <v/>
      </c>
      <c r="CE394" t="str">
        <f>""</f>
        <v/>
      </c>
      <c r="CF394" t="str">
        <f>""</f>
        <v/>
      </c>
      <c r="CG394" t="str">
        <f>""</f>
        <v/>
      </c>
      <c r="CH394" t="str">
        <f>""</f>
        <v/>
      </c>
      <c r="CI394" t="str">
        <f>""</f>
        <v/>
      </c>
      <c r="CJ394" t="str">
        <f>""</f>
        <v/>
      </c>
      <c r="CK394" t="str">
        <f>""</f>
        <v/>
      </c>
      <c r="CL394" t="str">
        <f>""</f>
        <v/>
      </c>
      <c r="CM394" t="str">
        <f>""</f>
        <v/>
      </c>
      <c r="CN394" t="str">
        <f>""</f>
        <v/>
      </c>
      <c r="CO394" t="str">
        <f>""</f>
        <v/>
      </c>
      <c r="CP394" t="str">
        <f>""</f>
        <v/>
      </c>
      <c r="CQ394" t="str">
        <f>""</f>
        <v/>
      </c>
      <c r="CR394" t="str">
        <f>""</f>
        <v/>
      </c>
      <c r="CS394" t="str">
        <f>""</f>
        <v/>
      </c>
      <c r="CT394" t="str">
        <f>""</f>
        <v/>
      </c>
      <c r="CU394" t="str">
        <f>""</f>
        <v/>
      </c>
      <c r="CV394" t="str">
        <f>""</f>
        <v/>
      </c>
      <c r="CW394" t="str">
        <f>""</f>
        <v/>
      </c>
      <c r="CX394" t="str">
        <f>""</f>
        <v/>
      </c>
      <c r="CY394" t="str">
        <f>""</f>
        <v/>
      </c>
      <c r="CZ394" t="str">
        <f>""</f>
        <v/>
      </c>
      <c r="DA394" t="str">
        <f>""</f>
        <v/>
      </c>
      <c r="DB394" t="str">
        <f>""</f>
        <v/>
      </c>
      <c r="DC394" t="str">
        <f>""</f>
        <v/>
      </c>
      <c r="DD394" t="str">
        <f>""</f>
        <v/>
      </c>
      <c r="DE394" t="str">
        <f>""</f>
        <v/>
      </c>
      <c r="DF394" t="str">
        <f>""</f>
        <v/>
      </c>
      <c r="DG394" t="str">
        <f>""</f>
        <v/>
      </c>
      <c r="DH394" t="str">
        <f>""</f>
        <v/>
      </c>
      <c r="DI394" t="str">
        <f>""</f>
        <v/>
      </c>
      <c r="DJ394" t="str">
        <f>""</f>
        <v/>
      </c>
      <c r="DK394" t="str">
        <f>""</f>
        <v/>
      </c>
      <c r="DL394" t="str">
        <f>""</f>
        <v/>
      </c>
      <c r="DM394" t="str">
        <f>""</f>
        <v/>
      </c>
      <c r="DN394" t="str">
        <f>""</f>
        <v/>
      </c>
      <c r="DO394" t="str">
        <f>""</f>
        <v/>
      </c>
      <c r="DP394" t="str">
        <f>""</f>
        <v/>
      </c>
      <c r="DQ394" t="str">
        <f>""</f>
        <v/>
      </c>
      <c r="DR394" t="str">
        <f>""</f>
        <v/>
      </c>
      <c r="DS394" t="str">
        <f>""</f>
        <v/>
      </c>
      <c r="DT394" t="str">
        <f>""</f>
        <v/>
      </c>
      <c r="DU394" t="str">
        <f>""</f>
        <v/>
      </c>
    </row>
    <row r="395" spans="1:125">
      <c r="A395" t="str">
        <f>$A$80</f>
        <v xml:space="preserve">    Vornado Realty Trust</v>
      </c>
      <c r="B395" t="str">
        <f>$B$80</f>
        <v>VNO US Equity</v>
      </c>
      <c r="C395" t="str">
        <f>$C$80</f>
        <v>IS972</v>
      </c>
      <c r="D395" t="str">
        <f>$D$80</f>
        <v>IS_ADJUSTED_EBITDA_AS_REPORTED</v>
      </c>
      <c r="E395" t="str">
        <f>$E$80</f>
        <v>动态</v>
      </c>
      <c r="F395" t="str">
        <f ca="1">BDH($B$80,$C$80,$B$292,$B$293,CONCATENATE("Per=",$B$290),"Dts=H","Dir=H",CONCATENATE("Points=",$B$291),"Sort=R","Days=A","Fill=B",CONCATENATE("FX=", $B$289) )</f>
        <v>#N/A Authorization</v>
      </c>
      <c r="BN395" t="str">
        <f>""</f>
        <v/>
      </c>
      <c r="BO395" t="str">
        <f>""</f>
        <v/>
      </c>
      <c r="BP395" t="str">
        <f>""</f>
        <v/>
      </c>
      <c r="BQ395" t="str">
        <f>""</f>
        <v/>
      </c>
      <c r="BR395" t="str">
        <f>""</f>
        <v/>
      </c>
      <c r="BS395" t="str">
        <f>""</f>
        <v/>
      </c>
      <c r="BT395" t="str">
        <f>""</f>
        <v/>
      </c>
      <c r="BU395" t="str">
        <f>""</f>
        <v/>
      </c>
      <c r="BV395" t="str">
        <f>""</f>
        <v/>
      </c>
      <c r="BW395" t="str">
        <f>""</f>
        <v/>
      </c>
      <c r="BX395" t="str">
        <f>""</f>
        <v/>
      </c>
      <c r="BY395" t="str">
        <f>""</f>
        <v/>
      </c>
      <c r="BZ395" t="str">
        <f>""</f>
        <v/>
      </c>
      <c r="CA395" t="str">
        <f>""</f>
        <v/>
      </c>
      <c r="CB395" t="str">
        <f>""</f>
        <v/>
      </c>
      <c r="CC395" t="str">
        <f>""</f>
        <v/>
      </c>
      <c r="CD395" t="str">
        <f>""</f>
        <v/>
      </c>
      <c r="CE395" t="str">
        <f>""</f>
        <v/>
      </c>
      <c r="CF395" t="str">
        <f>""</f>
        <v/>
      </c>
      <c r="CG395" t="str">
        <f>""</f>
        <v/>
      </c>
      <c r="CH395" t="str">
        <f>""</f>
        <v/>
      </c>
      <c r="CI395" t="str">
        <f>""</f>
        <v/>
      </c>
      <c r="CJ395" t="str">
        <f>""</f>
        <v/>
      </c>
      <c r="CK395" t="str">
        <f>""</f>
        <v/>
      </c>
      <c r="CL395" t="str">
        <f>""</f>
        <v/>
      </c>
      <c r="CM395" t="str">
        <f>""</f>
        <v/>
      </c>
      <c r="CN395" t="str">
        <f>""</f>
        <v/>
      </c>
      <c r="CO395" t="str">
        <f>""</f>
        <v/>
      </c>
      <c r="CP395" t="str">
        <f>""</f>
        <v/>
      </c>
      <c r="CQ395" t="str">
        <f>""</f>
        <v/>
      </c>
      <c r="CR395" t="str">
        <f>""</f>
        <v/>
      </c>
      <c r="CS395" t="str">
        <f>""</f>
        <v/>
      </c>
      <c r="CT395" t="str">
        <f>""</f>
        <v/>
      </c>
      <c r="CU395" t="str">
        <f>""</f>
        <v/>
      </c>
      <c r="CV395" t="str">
        <f>""</f>
        <v/>
      </c>
      <c r="CW395" t="str">
        <f>""</f>
        <v/>
      </c>
      <c r="CX395" t="str">
        <f>""</f>
        <v/>
      </c>
      <c r="CY395" t="str">
        <f>""</f>
        <v/>
      </c>
      <c r="CZ395" t="str">
        <f>""</f>
        <v/>
      </c>
      <c r="DA395" t="str">
        <f>""</f>
        <v/>
      </c>
      <c r="DB395" t="str">
        <f>""</f>
        <v/>
      </c>
      <c r="DC395" t="str">
        <f>""</f>
        <v/>
      </c>
      <c r="DD395" t="str">
        <f>""</f>
        <v/>
      </c>
      <c r="DE395" t="str">
        <f>""</f>
        <v/>
      </c>
      <c r="DF395" t="str">
        <f>""</f>
        <v/>
      </c>
      <c r="DG395" t="str">
        <f>""</f>
        <v/>
      </c>
      <c r="DH395" t="str">
        <f>""</f>
        <v/>
      </c>
      <c r="DI395" t="str">
        <f>""</f>
        <v/>
      </c>
      <c r="DJ395" t="str">
        <f>""</f>
        <v/>
      </c>
      <c r="DK395" t="str">
        <f>""</f>
        <v/>
      </c>
      <c r="DL395" t="str">
        <f>""</f>
        <v/>
      </c>
      <c r="DM395" t="str">
        <f>""</f>
        <v/>
      </c>
      <c r="DN395" t="str">
        <f>""</f>
        <v/>
      </c>
      <c r="DO395" t="str">
        <f>""</f>
        <v/>
      </c>
      <c r="DP395" t="str">
        <f>""</f>
        <v/>
      </c>
      <c r="DQ395" t="str">
        <f>""</f>
        <v/>
      </c>
      <c r="DR395" t="str">
        <f>""</f>
        <v/>
      </c>
      <c r="DS395" t="str">
        <f>""</f>
        <v/>
      </c>
      <c r="DT395" t="str">
        <f>""</f>
        <v/>
      </c>
      <c r="DU395" t="str">
        <f>""</f>
        <v/>
      </c>
    </row>
    <row r="396" spans="1:125">
      <c r="A396" t="str">
        <f>$A$82</f>
        <v xml:space="preserve">    Boston Properties Inc</v>
      </c>
      <c r="B396" t="str">
        <f>$B$82</f>
        <v>BXP US Equity</v>
      </c>
      <c r="C396" t="str">
        <f>$C$82</f>
        <v>CF039</v>
      </c>
      <c r="D396" t="str">
        <f>$D$82</f>
        <v>CF_FFO</v>
      </c>
      <c r="E396" t="str">
        <f>$E$82</f>
        <v>动态</v>
      </c>
      <c r="F396" t="str">
        <f ca="1">BDH($B$82,$C$82,$B$292,$B$293,CONCATENATE("Per=",$B$290),"Dts=H","Dir=H",CONCATENATE("Points=",$B$291),"Sort=R","Days=A","Fill=B",CONCATENATE("FX=", $B$289) )</f>
        <v>#N/A Authorization</v>
      </c>
      <c r="BN396" t="str">
        <f>""</f>
        <v/>
      </c>
      <c r="BO396" t="str">
        <f>""</f>
        <v/>
      </c>
      <c r="BP396" t="str">
        <f>""</f>
        <v/>
      </c>
      <c r="BQ396" t="str">
        <f>""</f>
        <v/>
      </c>
      <c r="BR396" t="str">
        <f>""</f>
        <v/>
      </c>
      <c r="BS396" t="str">
        <f>""</f>
        <v/>
      </c>
      <c r="BT396" t="str">
        <f>""</f>
        <v/>
      </c>
      <c r="BU396" t="str">
        <f>""</f>
        <v/>
      </c>
      <c r="BV396" t="str">
        <f>""</f>
        <v/>
      </c>
      <c r="BW396" t="str">
        <f>""</f>
        <v/>
      </c>
      <c r="BX396" t="str">
        <f>""</f>
        <v/>
      </c>
      <c r="BY396" t="str">
        <f>""</f>
        <v/>
      </c>
      <c r="BZ396" t="str">
        <f>""</f>
        <v/>
      </c>
      <c r="CA396" t="str">
        <f>""</f>
        <v/>
      </c>
      <c r="CB396" t="str">
        <f>""</f>
        <v/>
      </c>
      <c r="CC396" t="str">
        <f>""</f>
        <v/>
      </c>
      <c r="CD396" t="str">
        <f>""</f>
        <v/>
      </c>
      <c r="CE396" t="str">
        <f>""</f>
        <v/>
      </c>
      <c r="CF396" t="str">
        <f>""</f>
        <v/>
      </c>
      <c r="CG396" t="str">
        <f>""</f>
        <v/>
      </c>
      <c r="CH396" t="str">
        <f>""</f>
        <v/>
      </c>
      <c r="CI396" t="str">
        <f>""</f>
        <v/>
      </c>
      <c r="CJ396" t="str">
        <f>""</f>
        <v/>
      </c>
      <c r="CK396" t="str">
        <f>""</f>
        <v/>
      </c>
      <c r="CL396" t="str">
        <f>""</f>
        <v/>
      </c>
      <c r="CM396" t="str">
        <f>""</f>
        <v/>
      </c>
      <c r="CN396" t="str">
        <f>""</f>
        <v/>
      </c>
      <c r="CO396" t="str">
        <f>""</f>
        <v/>
      </c>
      <c r="CP396" t="str">
        <f>""</f>
        <v/>
      </c>
      <c r="CQ396" t="str">
        <f>""</f>
        <v/>
      </c>
      <c r="CR396" t="str">
        <f>""</f>
        <v/>
      </c>
      <c r="CS396" t="str">
        <f>""</f>
        <v/>
      </c>
      <c r="CT396" t="str">
        <f>""</f>
        <v/>
      </c>
      <c r="CU396" t="str">
        <f>""</f>
        <v/>
      </c>
      <c r="CV396" t="str">
        <f>""</f>
        <v/>
      </c>
      <c r="CW396" t="str">
        <f>""</f>
        <v/>
      </c>
      <c r="CX396" t="str">
        <f>""</f>
        <v/>
      </c>
      <c r="CY396" t="str">
        <f>""</f>
        <v/>
      </c>
      <c r="CZ396" t="str">
        <f>""</f>
        <v/>
      </c>
      <c r="DA396" t="str">
        <f>""</f>
        <v/>
      </c>
      <c r="DB396" t="str">
        <f>""</f>
        <v/>
      </c>
      <c r="DC396" t="str">
        <f>""</f>
        <v/>
      </c>
      <c r="DD396" t="str">
        <f>""</f>
        <v/>
      </c>
      <c r="DE396" t="str">
        <f>""</f>
        <v/>
      </c>
      <c r="DF396" t="str">
        <f>""</f>
        <v/>
      </c>
      <c r="DG396" t="str">
        <f>""</f>
        <v/>
      </c>
      <c r="DH396" t="str">
        <f>""</f>
        <v/>
      </c>
      <c r="DI396" t="str">
        <f>""</f>
        <v/>
      </c>
      <c r="DJ396" t="str">
        <f>""</f>
        <v/>
      </c>
      <c r="DK396" t="str">
        <f>""</f>
        <v/>
      </c>
      <c r="DL396" t="str">
        <f>""</f>
        <v/>
      </c>
      <c r="DM396" t="str">
        <f>""</f>
        <v/>
      </c>
      <c r="DN396" t="str">
        <f>""</f>
        <v/>
      </c>
      <c r="DO396" t="str">
        <f>""</f>
        <v/>
      </c>
      <c r="DP396" t="str">
        <f>""</f>
        <v/>
      </c>
      <c r="DQ396" t="str">
        <f>""</f>
        <v/>
      </c>
      <c r="DR396" t="str">
        <f>""</f>
        <v/>
      </c>
      <c r="DS396" t="str">
        <f>""</f>
        <v/>
      </c>
      <c r="DT396" t="str">
        <f>""</f>
        <v/>
      </c>
      <c r="DU396" t="str">
        <f>""</f>
        <v/>
      </c>
    </row>
    <row r="397" spans="1:125">
      <c r="A397" t="str">
        <f>$A$83</f>
        <v xml:space="preserve">    Brandywine Realty Trust</v>
      </c>
      <c r="B397" t="str">
        <f>$B$83</f>
        <v>BDN US Equity</v>
      </c>
      <c r="C397" t="str">
        <f>$C$83</f>
        <v>CF039</v>
      </c>
      <c r="D397" t="str">
        <f>$D$83</f>
        <v>CF_FFO</v>
      </c>
      <c r="E397" t="str">
        <f>$E$83</f>
        <v>动态</v>
      </c>
      <c r="F397" t="str">
        <f ca="1">BDH($B$83,$C$83,$B$292,$B$293,CONCATENATE("Per=",$B$290),"Dts=H","Dir=H",CONCATENATE("Points=",$B$291),"Sort=R","Days=A","Fill=B",CONCATENATE("FX=", $B$289) )</f>
        <v>#N/A Authorization</v>
      </c>
      <c r="BN397" t="str">
        <f>""</f>
        <v/>
      </c>
      <c r="BO397" t="str">
        <f>""</f>
        <v/>
      </c>
      <c r="BP397" t="str">
        <f>""</f>
        <v/>
      </c>
      <c r="BQ397" t="str">
        <f>""</f>
        <v/>
      </c>
      <c r="BR397" t="str">
        <f>""</f>
        <v/>
      </c>
      <c r="BS397" t="str">
        <f>""</f>
        <v/>
      </c>
      <c r="BT397" t="str">
        <f>""</f>
        <v/>
      </c>
      <c r="BU397" t="str">
        <f>""</f>
        <v/>
      </c>
      <c r="BV397" t="str">
        <f>""</f>
        <v/>
      </c>
      <c r="BW397" t="str">
        <f>""</f>
        <v/>
      </c>
      <c r="BX397" t="str">
        <f>""</f>
        <v/>
      </c>
      <c r="BY397" t="str">
        <f>""</f>
        <v/>
      </c>
      <c r="BZ397" t="str">
        <f>""</f>
        <v/>
      </c>
      <c r="CA397" t="str">
        <f>""</f>
        <v/>
      </c>
      <c r="CB397" t="str">
        <f>""</f>
        <v/>
      </c>
      <c r="CC397" t="str">
        <f>""</f>
        <v/>
      </c>
      <c r="CD397" t="str">
        <f>""</f>
        <v/>
      </c>
      <c r="CE397" t="str">
        <f>""</f>
        <v/>
      </c>
      <c r="CF397" t="str">
        <f>""</f>
        <v/>
      </c>
      <c r="CG397" t="str">
        <f>""</f>
        <v/>
      </c>
      <c r="CH397" t="str">
        <f>""</f>
        <v/>
      </c>
      <c r="CI397" t="str">
        <f>""</f>
        <v/>
      </c>
      <c r="CJ397" t="str">
        <f>""</f>
        <v/>
      </c>
      <c r="CK397" t="str">
        <f>""</f>
        <v/>
      </c>
      <c r="CL397" t="str">
        <f>""</f>
        <v/>
      </c>
      <c r="CM397" t="str">
        <f>""</f>
        <v/>
      </c>
      <c r="CN397" t="str">
        <f>""</f>
        <v/>
      </c>
      <c r="CO397" t="str">
        <f>""</f>
        <v/>
      </c>
      <c r="CP397" t="str">
        <f>""</f>
        <v/>
      </c>
      <c r="CQ397" t="str">
        <f>""</f>
        <v/>
      </c>
      <c r="CR397" t="str">
        <f>""</f>
        <v/>
      </c>
      <c r="CS397" t="str">
        <f>""</f>
        <v/>
      </c>
      <c r="CT397" t="str">
        <f>""</f>
        <v/>
      </c>
      <c r="CU397" t="str">
        <f>""</f>
        <v/>
      </c>
      <c r="CV397" t="str">
        <f>""</f>
        <v/>
      </c>
      <c r="CW397" t="str">
        <f>""</f>
        <v/>
      </c>
      <c r="CX397" t="str">
        <f>""</f>
        <v/>
      </c>
      <c r="CY397" t="str">
        <f>""</f>
        <v/>
      </c>
      <c r="CZ397" t="str">
        <f>""</f>
        <v/>
      </c>
      <c r="DA397" t="str">
        <f>""</f>
        <v/>
      </c>
      <c r="DB397" t="str">
        <f>""</f>
        <v/>
      </c>
      <c r="DC397" t="str">
        <f>""</f>
        <v/>
      </c>
      <c r="DD397" t="str">
        <f>""</f>
        <v/>
      </c>
      <c r="DE397" t="str">
        <f>""</f>
        <v/>
      </c>
      <c r="DF397" t="str">
        <f>""</f>
        <v/>
      </c>
      <c r="DG397" t="str">
        <f>""</f>
        <v/>
      </c>
      <c r="DH397" t="str">
        <f>""</f>
        <v/>
      </c>
      <c r="DI397" t="str">
        <f>""</f>
        <v/>
      </c>
      <c r="DJ397" t="str">
        <f>""</f>
        <v/>
      </c>
      <c r="DK397" t="str">
        <f>""</f>
        <v/>
      </c>
      <c r="DL397" t="str">
        <f>""</f>
        <v/>
      </c>
      <c r="DM397" t="str">
        <f>""</f>
        <v/>
      </c>
      <c r="DN397" t="str">
        <f>""</f>
        <v/>
      </c>
      <c r="DO397" t="str">
        <f>""</f>
        <v/>
      </c>
      <c r="DP397" t="str">
        <f>""</f>
        <v/>
      </c>
      <c r="DQ397" t="str">
        <f>""</f>
        <v/>
      </c>
      <c r="DR397" t="str">
        <f>""</f>
        <v/>
      </c>
      <c r="DS397" t="str">
        <f>""</f>
        <v/>
      </c>
      <c r="DT397" t="str">
        <f>""</f>
        <v/>
      </c>
      <c r="DU397" t="str">
        <f>""</f>
        <v/>
      </c>
    </row>
    <row r="398" spans="1:125">
      <c r="A398" t="str">
        <f>$A$84</f>
        <v xml:space="preserve">    Columbia Property Trust Inc</v>
      </c>
      <c r="B398" t="str">
        <f>$B$84</f>
        <v>CXP US Equity</v>
      </c>
      <c r="C398" t="str">
        <f>$C$84</f>
        <v>CF039</v>
      </c>
      <c r="D398" t="str">
        <f>$D$84</f>
        <v>CF_FFO</v>
      </c>
      <c r="E398" t="str">
        <f>$E$84</f>
        <v>动态</v>
      </c>
      <c r="F398" t="str">
        <f ca="1">BDH($B$84,$C$84,$B$292,$B$293,CONCATENATE("Per=",$B$290),"Dts=H","Dir=H",CONCATENATE("Points=",$B$291),"Sort=R","Days=A","Fill=B",CONCATENATE("FX=", $B$289) )</f>
        <v>#N/A Authorization</v>
      </c>
      <c r="BN398" t="str">
        <f>""</f>
        <v/>
      </c>
      <c r="BO398" t="str">
        <f>""</f>
        <v/>
      </c>
      <c r="BP398" t="str">
        <f>""</f>
        <v/>
      </c>
      <c r="BQ398" t="str">
        <f>""</f>
        <v/>
      </c>
      <c r="BR398" t="str">
        <f>""</f>
        <v/>
      </c>
      <c r="BS398" t="str">
        <f>""</f>
        <v/>
      </c>
      <c r="BT398" t="str">
        <f>""</f>
        <v/>
      </c>
      <c r="BU398" t="str">
        <f>""</f>
        <v/>
      </c>
      <c r="BV398" t="str">
        <f>""</f>
        <v/>
      </c>
      <c r="BW398" t="str">
        <f>""</f>
        <v/>
      </c>
      <c r="BX398" t="str">
        <f>""</f>
        <v/>
      </c>
      <c r="BY398" t="str">
        <f>""</f>
        <v/>
      </c>
      <c r="BZ398" t="str">
        <f>""</f>
        <v/>
      </c>
      <c r="CA398" t="str">
        <f>""</f>
        <v/>
      </c>
      <c r="CB398" t="str">
        <f>""</f>
        <v/>
      </c>
      <c r="CC398" t="str">
        <f>""</f>
        <v/>
      </c>
      <c r="CD398" t="str">
        <f>""</f>
        <v/>
      </c>
      <c r="CE398" t="str">
        <f>""</f>
        <v/>
      </c>
      <c r="CF398" t="str">
        <f>""</f>
        <v/>
      </c>
      <c r="CG398" t="str">
        <f>""</f>
        <v/>
      </c>
      <c r="CH398" t="str">
        <f>""</f>
        <v/>
      </c>
      <c r="CI398" t="str">
        <f>""</f>
        <v/>
      </c>
      <c r="CJ398" t="str">
        <f>""</f>
        <v/>
      </c>
      <c r="CK398" t="str">
        <f>""</f>
        <v/>
      </c>
      <c r="CL398" t="str">
        <f>""</f>
        <v/>
      </c>
      <c r="CM398" t="str">
        <f>""</f>
        <v/>
      </c>
      <c r="CN398" t="str">
        <f>""</f>
        <v/>
      </c>
      <c r="CO398" t="str">
        <f>""</f>
        <v/>
      </c>
      <c r="CP398" t="str">
        <f>""</f>
        <v/>
      </c>
      <c r="CQ398" t="str">
        <f>""</f>
        <v/>
      </c>
      <c r="CR398" t="str">
        <f>""</f>
        <v/>
      </c>
      <c r="CS398" t="str">
        <f>""</f>
        <v/>
      </c>
      <c r="CT398" t="str">
        <f>""</f>
        <v/>
      </c>
      <c r="CU398" t="str">
        <f>""</f>
        <v/>
      </c>
      <c r="CV398" t="str">
        <f>""</f>
        <v/>
      </c>
      <c r="CW398" t="str">
        <f>""</f>
        <v/>
      </c>
      <c r="CX398" t="str">
        <f>""</f>
        <v/>
      </c>
      <c r="CY398" t="str">
        <f>""</f>
        <v/>
      </c>
      <c r="CZ398" t="str">
        <f>""</f>
        <v/>
      </c>
      <c r="DA398" t="str">
        <f>""</f>
        <v/>
      </c>
      <c r="DB398" t="str">
        <f>""</f>
        <v/>
      </c>
      <c r="DC398" t="str">
        <f>""</f>
        <v/>
      </c>
      <c r="DD398" t="str">
        <f>""</f>
        <v/>
      </c>
      <c r="DE398" t="str">
        <f>""</f>
        <v/>
      </c>
      <c r="DF398" t="str">
        <f>""</f>
        <v/>
      </c>
      <c r="DG398" t="str">
        <f>""</f>
        <v/>
      </c>
      <c r="DH398" t="str">
        <f>""</f>
        <v/>
      </c>
      <c r="DI398" t="str">
        <f>""</f>
        <v/>
      </c>
      <c r="DJ398" t="str">
        <f>""</f>
        <v/>
      </c>
      <c r="DK398" t="str">
        <f>""</f>
        <v/>
      </c>
      <c r="DL398" t="str">
        <f>""</f>
        <v/>
      </c>
      <c r="DM398" t="str">
        <f>""</f>
        <v/>
      </c>
      <c r="DN398" t="str">
        <f>""</f>
        <v/>
      </c>
      <c r="DO398" t="str">
        <f>""</f>
        <v/>
      </c>
      <c r="DP398" t="str">
        <f>""</f>
        <v/>
      </c>
      <c r="DQ398" t="str">
        <f>""</f>
        <v/>
      </c>
      <c r="DR398" t="str">
        <f>""</f>
        <v/>
      </c>
      <c r="DS398" t="str">
        <f>""</f>
        <v/>
      </c>
      <c r="DT398" t="str">
        <f>""</f>
        <v/>
      </c>
      <c r="DU398" t="str">
        <f>""</f>
        <v/>
      </c>
    </row>
    <row r="399" spans="1:125">
      <c r="A399" t="str">
        <f>$A$85</f>
        <v xml:space="preserve">    Corporate Office Properties Tr</v>
      </c>
      <c r="B399" t="str">
        <f>$B$85</f>
        <v>OFC US Equity</v>
      </c>
      <c r="C399" t="str">
        <f>$C$85</f>
        <v>CF039</v>
      </c>
      <c r="D399" t="str">
        <f>$D$85</f>
        <v>CF_FFO</v>
      </c>
      <c r="E399" t="str">
        <f>$E$85</f>
        <v>动态</v>
      </c>
      <c r="F399" t="str">
        <f ca="1">BDH($B$85,$C$85,$B$292,$B$293,CONCATENATE("Per=",$B$290),"Dts=H","Dir=H",CONCATENATE("Points=",$B$291),"Sort=R","Days=A","Fill=B",CONCATENATE("FX=", $B$289) )</f>
        <v>#N/A Authorization</v>
      </c>
      <c r="BN399" t="str">
        <f>""</f>
        <v/>
      </c>
      <c r="BO399" t="str">
        <f>""</f>
        <v/>
      </c>
      <c r="BP399" t="str">
        <f>""</f>
        <v/>
      </c>
      <c r="BQ399" t="str">
        <f>""</f>
        <v/>
      </c>
      <c r="BR399" t="str">
        <f>""</f>
        <v/>
      </c>
      <c r="BS399" t="str">
        <f>""</f>
        <v/>
      </c>
      <c r="BT399" t="str">
        <f>""</f>
        <v/>
      </c>
      <c r="BU399" t="str">
        <f>""</f>
        <v/>
      </c>
      <c r="BV399" t="str">
        <f>""</f>
        <v/>
      </c>
      <c r="BW399" t="str">
        <f>""</f>
        <v/>
      </c>
      <c r="BX399" t="str">
        <f>""</f>
        <v/>
      </c>
      <c r="BY399" t="str">
        <f>""</f>
        <v/>
      </c>
      <c r="BZ399" t="str">
        <f>""</f>
        <v/>
      </c>
      <c r="CA399" t="str">
        <f>""</f>
        <v/>
      </c>
      <c r="CB399" t="str">
        <f>""</f>
        <v/>
      </c>
      <c r="CC399" t="str">
        <f>""</f>
        <v/>
      </c>
      <c r="CD399" t="str">
        <f>""</f>
        <v/>
      </c>
      <c r="CE399" t="str">
        <f>""</f>
        <v/>
      </c>
      <c r="CF399" t="str">
        <f>""</f>
        <v/>
      </c>
      <c r="CG399" t="str">
        <f>""</f>
        <v/>
      </c>
      <c r="CH399" t="str">
        <f>""</f>
        <v/>
      </c>
      <c r="CI399" t="str">
        <f>""</f>
        <v/>
      </c>
      <c r="CJ399" t="str">
        <f>""</f>
        <v/>
      </c>
      <c r="CK399" t="str">
        <f>""</f>
        <v/>
      </c>
      <c r="CL399" t="str">
        <f>""</f>
        <v/>
      </c>
      <c r="CM399" t="str">
        <f>""</f>
        <v/>
      </c>
      <c r="CN399" t="str">
        <f>""</f>
        <v/>
      </c>
      <c r="CO399" t="str">
        <f>""</f>
        <v/>
      </c>
      <c r="CP399" t="str">
        <f>""</f>
        <v/>
      </c>
      <c r="CQ399" t="str">
        <f>""</f>
        <v/>
      </c>
      <c r="CR399" t="str">
        <f>""</f>
        <v/>
      </c>
      <c r="CS399" t="str">
        <f>""</f>
        <v/>
      </c>
      <c r="CT399" t="str">
        <f>""</f>
        <v/>
      </c>
      <c r="CU399" t="str">
        <f>""</f>
        <v/>
      </c>
      <c r="CV399" t="str">
        <f>""</f>
        <v/>
      </c>
      <c r="CW399" t="str">
        <f>""</f>
        <v/>
      </c>
      <c r="CX399" t="str">
        <f>""</f>
        <v/>
      </c>
      <c r="CY399" t="str">
        <f>""</f>
        <v/>
      </c>
      <c r="CZ399" t="str">
        <f>""</f>
        <v/>
      </c>
      <c r="DA399" t="str">
        <f>""</f>
        <v/>
      </c>
      <c r="DB399" t="str">
        <f>""</f>
        <v/>
      </c>
      <c r="DC399" t="str">
        <f>""</f>
        <v/>
      </c>
      <c r="DD399" t="str">
        <f>""</f>
        <v/>
      </c>
      <c r="DE399" t="str">
        <f>""</f>
        <v/>
      </c>
      <c r="DF399" t="str">
        <f>""</f>
        <v/>
      </c>
      <c r="DG399" t="str">
        <f>""</f>
        <v/>
      </c>
      <c r="DH399" t="str">
        <f>""</f>
        <v/>
      </c>
      <c r="DI399" t="str">
        <f>""</f>
        <v/>
      </c>
      <c r="DJ399" t="str">
        <f>""</f>
        <v/>
      </c>
      <c r="DK399" t="str">
        <f>""</f>
        <v/>
      </c>
      <c r="DL399" t="str">
        <f>""</f>
        <v/>
      </c>
      <c r="DM399" t="str">
        <f>""</f>
        <v/>
      </c>
      <c r="DN399" t="str">
        <f>""</f>
        <v/>
      </c>
      <c r="DO399" t="str">
        <f>""</f>
        <v/>
      </c>
      <c r="DP399" t="str">
        <f>""</f>
        <v/>
      </c>
      <c r="DQ399" t="str">
        <f>""</f>
        <v/>
      </c>
      <c r="DR399" t="str">
        <f>""</f>
        <v/>
      </c>
      <c r="DS399" t="str">
        <f>""</f>
        <v/>
      </c>
      <c r="DT399" t="str">
        <f>""</f>
        <v/>
      </c>
      <c r="DU399" t="str">
        <f>""</f>
        <v/>
      </c>
    </row>
    <row r="400" spans="1:125">
      <c r="A400" t="str">
        <f>$A$86</f>
        <v xml:space="preserve">    Highwoods Properties Inc</v>
      </c>
      <c r="B400" t="str">
        <f>$B$86</f>
        <v>HIW US Equity</v>
      </c>
      <c r="C400" t="str">
        <f>$C$86</f>
        <v>CF039</v>
      </c>
      <c r="D400" t="str">
        <f>$D$86</f>
        <v>CF_FFO</v>
      </c>
      <c r="E400" t="str">
        <f>$E$86</f>
        <v>动态</v>
      </c>
      <c r="F400" t="str">
        <f ca="1">BDH($B$86,$C$86,$B$292,$B$293,CONCATENATE("Per=",$B$290),"Dts=H","Dir=H",CONCATENATE("Points=",$B$291),"Sort=R","Days=A","Fill=B",CONCATENATE("FX=", $B$289) )</f>
        <v>#N/A Authorization</v>
      </c>
      <c r="BN400" t="str">
        <f>""</f>
        <v/>
      </c>
      <c r="BO400" t="str">
        <f>""</f>
        <v/>
      </c>
      <c r="BP400" t="str">
        <f>""</f>
        <v/>
      </c>
      <c r="BQ400" t="str">
        <f>""</f>
        <v/>
      </c>
      <c r="BR400" t="str">
        <f>""</f>
        <v/>
      </c>
      <c r="BS400" t="str">
        <f>""</f>
        <v/>
      </c>
      <c r="BT400" t="str">
        <f>""</f>
        <v/>
      </c>
      <c r="BU400" t="str">
        <f>""</f>
        <v/>
      </c>
      <c r="BV400" t="str">
        <f>""</f>
        <v/>
      </c>
      <c r="BW400" t="str">
        <f>""</f>
        <v/>
      </c>
      <c r="BX400" t="str">
        <f>""</f>
        <v/>
      </c>
      <c r="BY400" t="str">
        <f>""</f>
        <v/>
      </c>
      <c r="BZ400" t="str">
        <f>""</f>
        <v/>
      </c>
      <c r="CA400" t="str">
        <f>""</f>
        <v/>
      </c>
      <c r="CB400" t="str">
        <f>""</f>
        <v/>
      </c>
      <c r="CC400" t="str">
        <f>""</f>
        <v/>
      </c>
      <c r="CD400" t="str">
        <f>""</f>
        <v/>
      </c>
      <c r="CE400" t="str">
        <f>""</f>
        <v/>
      </c>
      <c r="CF400" t="str">
        <f>""</f>
        <v/>
      </c>
      <c r="CG400" t="str">
        <f>""</f>
        <v/>
      </c>
      <c r="CH400" t="str">
        <f>""</f>
        <v/>
      </c>
      <c r="CI400" t="str">
        <f>""</f>
        <v/>
      </c>
      <c r="CJ400" t="str">
        <f>""</f>
        <v/>
      </c>
      <c r="CK400" t="str">
        <f>""</f>
        <v/>
      </c>
      <c r="CL400" t="str">
        <f>""</f>
        <v/>
      </c>
      <c r="CM400" t="str">
        <f>""</f>
        <v/>
      </c>
      <c r="CN400" t="str">
        <f>""</f>
        <v/>
      </c>
      <c r="CO400" t="str">
        <f>""</f>
        <v/>
      </c>
      <c r="CP400" t="str">
        <f>""</f>
        <v/>
      </c>
      <c r="CQ400" t="str">
        <f>""</f>
        <v/>
      </c>
      <c r="CR400" t="str">
        <f>""</f>
        <v/>
      </c>
      <c r="CS400" t="str">
        <f>""</f>
        <v/>
      </c>
      <c r="CT400" t="str">
        <f>""</f>
        <v/>
      </c>
      <c r="CU400" t="str">
        <f>""</f>
        <v/>
      </c>
      <c r="CV400" t="str">
        <f>""</f>
        <v/>
      </c>
      <c r="CW400" t="str">
        <f>""</f>
        <v/>
      </c>
      <c r="CX400" t="str">
        <f>""</f>
        <v/>
      </c>
      <c r="CY400" t="str">
        <f>""</f>
        <v/>
      </c>
      <c r="CZ400" t="str">
        <f>""</f>
        <v/>
      </c>
      <c r="DA400" t="str">
        <f>""</f>
        <v/>
      </c>
      <c r="DB400" t="str">
        <f>""</f>
        <v/>
      </c>
      <c r="DC400" t="str">
        <f>""</f>
        <v/>
      </c>
      <c r="DD400" t="str">
        <f>""</f>
        <v/>
      </c>
      <c r="DE400" t="str">
        <f>""</f>
        <v/>
      </c>
      <c r="DF400" t="str">
        <f>""</f>
        <v/>
      </c>
      <c r="DG400" t="str">
        <f>""</f>
        <v/>
      </c>
      <c r="DH400" t="str">
        <f>""</f>
        <v/>
      </c>
      <c r="DI400" t="str">
        <f>""</f>
        <v/>
      </c>
      <c r="DJ400" t="str">
        <f>""</f>
        <v/>
      </c>
      <c r="DK400" t="str">
        <f>""</f>
        <v/>
      </c>
      <c r="DL400" t="str">
        <f>""</f>
        <v/>
      </c>
      <c r="DM400" t="str">
        <f>""</f>
        <v/>
      </c>
      <c r="DN400" t="str">
        <f>""</f>
        <v/>
      </c>
      <c r="DO400" t="str">
        <f>""</f>
        <v/>
      </c>
      <c r="DP400" t="str">
        <f>""</f>
        <v/>
      </c>
      <c r="DQ400" t="str">
        <f>""</f>
        <v/>
      </c>
      <c r="DR400" t="str">
        <f>""</f>
        <v/>
      </c>
      <c r="DS400" t="str">
        <f>""</f>
        <v/>
      </c>
      <c r="DT400" t="str">
        <f>""</f>
        <v/>
      </c>
      <c r="DU400" t="str">
        <f>""</f>
        <v/>
      </c>
    </row>
    <row r="401" spans="1:125">
      <c r="A401" t="str">
        <f>$A$87</f>
        <v xml:space="preserve">    Kilroy Realty Corp</v>
      </c>
      <c r="B401" t="str">
        <f>$B$87</f>
        <v>KRC US Equity</v>
      </c>
      <c r="C401" t="str">
        <f>$C$87</f>
        <v>CF039</v>
      </c>
      <c r="D401" t="str">
        <f>$D$87</f>
        <v>CF_FFO</v>
      </c>
      <c r="E401" t="str">
        <f>$E$87</f>
        <v>动态</v>
      </c>
      <c r="F401" t="str">
        <f ca="1">BDH($B$87,$C$87,$B$292,$B$293,CONCATENATE("Per=",$B$290),"Dts=H","Dir=H",CONCATENATE("Points=",$B$291),"Sort=R","Days=A","Fill=B",CONCATENATE("FX=", $B$289) )</f>
        <v>#N/A Authorization</v>
      </c>
      <c r="BN401" t="str">
        <f>""</f>
        <v/>
      </c>
      <c r="BO401" t="str">
        <f>""</f>
        <v/>
      </c>
      <c r="BP401" t="str">
        <f>""</f>
        <v/>
      </c>
      <c r="BQ401" t="str">
        <f>""</f>
        <v/>
      </c>
      <c r="BR401" t="str">
        <f>""</f>
        <v/>
      </c>
      <c r="BS401" t="str">
        <f>""</f>
        <v/>
      </c>
      <c r="BT401" t="str">
        <f>""</f>
        <v/>
      </c>
      <c r="BU401" t="str">
        <f>""</f>
        <v/>
      </c>
      <c r="BV401" t="str">
        <f>""</f>
        <v/>
      </c>
      <c r="BW401" t="str">
        <f>""</f>
        <v/>
      </c>
      <c r="BX401" t="str">
        <f>""</f>
        <v/>
      </c>
      <c r="BY401" t="str">
        <f>""</f>
        <v/>
      </c>
      <c r="BZ401" t="str">
        <f>""</f>
        <v/>
      </c>
      <c r="CA401" t="str">
        <f>""</f>
        <v/>
      </c>
      <c r="CB401" t="str">
        <f>""</f>
        <v/>
      </c>
      <c r="CC401" t="str">
        <f>""</f>
        <v/>
      </c>
      <c r="CD401" t="str">
        <f>""</f>
        <v/>
      </c>
      <c r="CE401" t="str">
        <f>""</f>
        <v/>
      </c>
      <c r="CF401" t="str">
        <f>""</f>
        <v/>
      </c>
      <c r="CG401" t="str">
        <f>""</f>
        <v/>
      </c>
      <c r="CH401" t="str">
        <f>""</f>
        <v/>
      </c>
      <c r="CI401" t="str">
        <f>""</f>
        <v/>
      </c>
      <c r="CJ401" t="str">
        <f>""</f>
        <v/>
      </c>
      <c r="CK401" t="str">
        <f>""</f>
        <v/>
      </c>
      <c r="CL401" t="str">
        <f>""</f>
        <v/>
      </c>
      <c r="CM401" t="str">
        <f>""</f>
        <v/>
      </c>
      <c r="CN401" t="str">
        <f>""</f>
        <v/>
      </c>
      <c r="CO401" t="str">
        <f>""</f>
        <v/>
      </c>
      <c r="CP401" t="str">
        <f>""</f>
        <v/>
      </c>
      <c r="CQ401" t="str">
        <f>""</f>
        <v/>
      </c>
      <c r="CR401" t="str">
        <f>""</f>
        <v/>
      </c>
      <c r="CS401" t="str">
        <f>""</f>
        <v/>
      </c>
      <c r="CT401" t="str">
        <f>""</f>
        <v/>
      </c>
      <c r="CU401" t="str">
        <f>""</f>
        <v/>
      </c>
      <c r="CV401" t="str">
        <f>""</f>
        <v/>
      </c>
      <c r="CW401" t="str">
        <f>""</f>
        <v/>
      </c>
      <c r="CX401" t="str">
        <f>""</f>
        <v/>
      </c>
      <c r="CY401" t="str">
        <f>""</f>
        <v/>
      </c>
      <c r="CZ401" t="str">
        <f>""</f>
        <v/>
      </c>
      <c r="DA401" t="str">
        <f>""</f>
        <v/>
      </c>
      <c r="DB401" t="str">
        <f>""</f>
        <v/>
      </c>
      <c r="DC401" t="str">
        <f>""</f>
        <v/>
      </c>
      <c r="DD401" t="str">
        <f>""</f>
        <v/>
      </c>
      <c r="DE401" t="str">
        <f>""</f>
        <v/>
      </c>
      <c r="DF401" t="str">
        <f>""</f>
        <v/>
      </c>
      <c r="DG401" t="str">
        <f>""</f>
        <v/>
      </c>
      <c r="DH401" t="str">
        <f>""</f>
        <v/>
      </c>
      <c r="DI401" t="str">
        <f>""</f>
        <v/>
      </c>
      <c r="DJ401" t="str">
        <f>""</f>
        <v/>
      </c>
      <c r="DK401" t="str">
        <f>""</f>
        <v/>
      </c>
      <c r="DL401" t="str">
        <f>""</f>
        <v/>
      </c>
      <c r="DM401" t="str">
        <f>""</f>
        <v/>
      </c>
      <c r="DN401" t="str">
        <f>""</f>
        <v/>
      </c>
      <c r="DO401" t="str">
        <f>""</f>
        <v/>
      </c>
      <c r="DP401" t="str">
        <f>""</f>
        <v/>
      </c>
      <c r="DQ401" t="str">
        <f>""</f>
        <v/>
      </c>
      <c r="DR401" t="str">
        <f>""</f>
        <v/>
      </c>
      <c r="DS401" t="str">
        <f>""</f>
        <v/>
      </c>
      <c r="DT401" t="str">
        <f>""</f>
        <v/>
      </c>
      <c r="DU401" t="str">
        <f>""</f>
        <v/>
      </c>
    </row>
    <row r="402" spans="1:125">
      <c r="A402" t="str">
        <f>$A$88</f>
        <v xml:space="preserve">    Mack-Cali Realty Corp</v>
      </c>
      <c r="B402" t="str">
        <f>$B$88</f>
        <v>CLI US Equity</v>
      </c>
      <c r="C402" t="str">
        <f>$C$88</f>
        <v>CF039</v>
      </c>
      <c r="D402" t="str">
        <f>$D$88</f>
        <v>CF_FFO</v>
      </c>
      <c r="E402" t="str">
        <f>$E$88</f>
        <v>动态</v>
      </c>
      <c r="F402" t="str">
        <f ca="1">BDH($B$88,$C$88,$B$292,$B$293,CONCATENATE("Per=",$B$290),"Dts=H","Dir=H",CONCATENATE("Points=",$B$291),"Sort=R","Days=A","Fill=B",CONCATENATE("FX=", $B$289) )</f>
        <v>#N/A Authorization</v>
      </c>
      <c r="BN402" t="str">
        <f>""</f>
        <v/>
      </c>
      <c r="BO402" t="str">
        <f>""</f>
        <v/>
      </c>
      <c r="BP402" t="str">
        <f>""</f>
        <v/>
      </c>
      <c r="BQ402" t="str">
        <f>""</f>
        <v/>
      </c>
      <c r="BR402" t="str">
        <f>""</f>
        <v/>
      </c>
      <c r="BS402" t="str">
        <f>""</f>
        <v/>
      </c>
      <c r="BT402" t="str">
        <f>""</f>
        <v/>
      </c>
      <c r="BU402" t="str">
        <f>""</f>
        <v/>
      </c>
      <c r="BV402" t="str">
        <f>""</f>
        <v/>
      </c>
      <c r="BW402" t="str">
        <f>""</f>
        <v/>
      </c>
      <c r="BX402" t="str">
        <f>""</f>
        <v/>
      </c>
      <c r="BY402" t="str">
        <f>""</f>
        <v/>
      </c>
      <c r="BZ402" t="str">
        <f>""</f>
        <v/>
      </c>
      <c r="CA402" t="str">
        <f>""</f>
        <v/>
      </c>
      <c r="CB402" t="str">
        <f>""</f>
        <v/>
      </c>
      <c r="CC402" t="str">
        <f>""</f>
        <v/>
      </c>
      <c r="CD402" t="str">
        <f>""</f>
        <v/>
      </c>
      <c r="CE402" t="str">
        <f>""</f>
        <v/>
      </c>
      <c r="CF402" t="str">
        <f>""</f>
        <v/>
      </c>
      <c r="CG402" t="str">
        <f>""</f>
        <v/>
      </c>
      <c r="CH402" t="str">
        <f>""</f>
        <v/>
      </c>
      <c r="CI402" t="str">
        <f>""</f>
        <v/>
      </c>
      <c r="CJ402" t="str">
        <f>""</f>
        <v/>
      </c>
      <c r="CK402" t="str">
        <f>""</f>
        <v/>
      </c>
      <c r="CL402" t="str">
        <f>""</f>
        <v/>
      </c>
      <c r="CM402" t="str">
        <f>""</f>
        <v/>
      </c>
      <c r="CN402" t="str">
        <f>""</f>
        <v/>
      </c>
      <c r="CO402" t="str">
        <f>""</f>
        <v/>
      </c>
      <c r="CP402" t="str">
        <f>""</f>
        <v/>
      </c>
      <c r="CQ402" t="str">
        <f>""</f>
        <v/>
      </c>
      <c r="CR402" t="str">
        <f>""</f>
        <v/>
      </c>
      <c r="CS402" t="str">
        <f>""</f>
        <v/>
      </c>
      <c r="CT402" t="str">
        <f>""</f>
        <v/>
      </c>
      <c r="CU402" t="str">
        <f>""</f>
        <v/>
      </c>
      <c r="CV402" t="str">
        <f>""</f>
        <v/>
      </c>
      <c r="CW402" t="str">
        <f>""</f>
        <v/>
      </c>
      <c r="CX402" t="str">
        <f>""</f>
        <v/>
      </c>
      <c r="CY402" t="str">
        <f>""</f>
        <v/>
      </c>
      <c r="CZ402" t="str">
        <f>""</f>
        <v/>
      </c>
      <c r="DA402" t="str">
        <f>""</f>
        <v/>
      </c>
      <c r="DB402" t="str">
        <f>""</f>
        <v/>
      </c>
      <c r="DC402" t="str">
        <f>""</f>
        <v/>
      </c>
      <c r="DD402" t="str">
        <f>""</f>
        <v/>
      </c>
      <c r="DE402" t="str">
        <f>""</f>
        <v/>
      </c>
      <c r="DF402" t="str">
        <f>""</f>
        <v/>
      </c>
      <c r="DG402" t="str">
        <f>""</f>
        <v/>
      </c>
      <c r="DH402" t="str">
        <f>""</f>
        <v/>
      </c>
      <c r="DI402" t="str">
        <f>""</f>
        <v/>
      </c>
      <c r="DJ402" t="str">
        <f>""</f>
        <v/>
      </c>
      <c r="DK402" t="str">
        <f>""</f>
        <v/>
      </c>
      <c r="DL402" t="str">
        <f>""</f>
        <v/>
      </c>
      <c r="DM402" t="str">
        <f>""</f>
        <v/>
      </c>
      <c r="DN402" t="str">
        <f>""</f>
        <v/>
      </c>
      <c r="DO402" t="str">
        <f>""</f>
        <v/>
      </c>
      <c r="DP402" t="str">
        <f>""</f>
        <v/>
      </c>
      <c r="DQ402" t="str">
        <f>""</f>
        <v/>
      </c>
      <c r="DR402" t="str">
        <f>""</f>
        <v/>
      </c>
      <c r="DS402" t="str">
        <f>""</f>
        <v/>
      </c>
      <c r="DT402" t="str">
        <f>""</f>
        <v/>
      </c>
      <c r="DU402" t="str">
        <f>""</f>
        <v/>
      </c>
    </row>
    <row r="403" spans="1:125">
      <c r="A403" t="str">
        <f>$A$89</f>
        <v xml:space="preserve">    Piedmont Office Realty Trust I</v>
      </c>
      <c r="B403" t="str">
        <f>$B$89</f>
        <v>PDM US Equity</v>
      </c>
      <c r="C403" t="str">
        <f>$C$89</f>
        <v>CF039</v>
      </c>
      <c r="D403" t="str">
        <f>$D$89</f>
        <v>CF_FFO</v>
      </c>
      <c r="E403" t="str">
        <f>$E$89</f>
        <v>动态</v>
      </c>
      <c r="F403" t="str">
        <f ca="1">BDH($B$89,$C$89,$B$292,$B$293,CONCATENATE("Per=",$B$290),"Dts=H","Dir=H",CONCATENATE("Points=",$B$291),"Sort=R","Days=A","Fill=B",CONCATENATE("FX=", $B$289) )</f>
        <v>#N/A Authorization</v>
      </c>
      <c r="BN403" t="str">
        <f>""</f>
        <v/>
      </c>
      <c r="BO403" t="str">
        <f>""</f>
        <v/>
      </c>
      <c r="BP403" t="str">
        <f>""</f>
        <v/>
      </c>
      <c r="BQ403" t="str">
        <f>""</f>
        <v/>
      </c>
      <c r="BR403" t="str">
        <f>""</f>
        <v/>
      </c>
      <c r="BS403" t="str">
        <f>""</f>
        <v/>
      </c>
      <c r="BT403" t="str">
        <f>""</f>
        <v/>
      </c>
      <c r="BU403" t="str">
        <f>""</f>
        <v/>
      </c>
      <c r="BV403" t="str">
        <f>""</f>
        <v/>
      </c>
      <c r="BW403" t="str">
        <f>""</f>
        <v/>
      </c>
      <c r="BX403" t="str">
        <f>""</f>
        <v/>
      </c>
      <c r="BY403" t="str">
        <f>""</f>
        <v/>
      </c>
      <c r="BZ403" t="str">
        <f>""</f>
        <v/>
      </c>
      <c r="CA403" t="str">
        <f>""</f>
        <v/>
      </c>
      <c r="CB403" t="str">
        <f>""</f>
        <v/>
      </c>
      <c r="CC403" t="str">
        <f>""</f>
        <v/>
      </c>
      <c r="CD403" t="str">
        <f>""</f>
        <v/>
      </c>
      <c r="CE403" t="str">
        <f>""</f>
        <v/>
      </c>
      <c r="CF403" t="str">
        <f>""</f>
        <v/>
      </c>
      <c r="CG403" t="str">
        <f>""</f>
        <v/>
      </c>
      <c r="CH403" t="str">
        <f>""</f>
        <v/>
      </c>
      <c r="CI403" t="str">
        <f>""</f>
        <v/>
      </c>
      <c r="CJ403" t="str">
        <f>""</f>
        <v/>
      </c>
      <c r="CK403" t="str">
        <f>""</f>
        <v/>
      </c>
      <c r="CL403" t="str">
        <f>""</f>
        <v/>
      </c>
      <c r="CM403" t="str">
        <f>""</f>
        <v/>
      </c>
      <c r="CN403" t="str">
        <f>""</f>
        <v/>
      </c>
      <c r="CO403" t="str">
        <f>""</f>
        <v/>
      </c>
      <c r="CP403" t="str">
        <f>""</f>
        <v/>
      </c>
      <c r="CQ403" t="str">
        <f>""</f>
        <v/>
      </c>
      <c r="CR403" t="str">
        <f>""</f>
        <v/>
      </c>
      <c r="CS403" t="str">
        <f>""</f>
        <v/>
      </c>
      <c r="CT403" t="str">
        <f>""</f>
        <v/>
      </c>
      <c r="CU403" t="str">
        <f>""</f>
        <v/>
      </c>
      <c r="CV403" t="str">
        <f>""</f>
        <v/>
      </c>
      <c r="CW403" t="str">
        <f>""</f>
        <v/>
      </c>
      <c r="CX403" t="str">
        <f>""</f>
        <v/>
      </c>
      <c r="CY403" t="str">
        <f>""</f>
        <v/>
      </c>
      <c r="CZ403" t="str">
        <f>""</f>
        <v/>
      </c>
      <c r="DA403" t="str">
        <f>""</f>
        <v/>
      </c>
      <c r="DB403" t="str">
        <f>""</f>
        <v/>
      </c>
      <c r="DC403" t="str">
        <f>""</f>
        <v/>
      </c>
      <c r="DD403" t="str">
        <f>""</f>
        <v/>
      </c>
      <c r="DE403" t="str">
        <f>""</f>
        <v/>
      </c>
      <c r="DF403" t="str">
        <f>""</f>
        <v/>
      </c>
      <c r="DG403" t="str">
        <f>""</f>
        <v/>
      </c>
      <c r="DH403" t="str">
        <f>""</f>
        <v/>
      </c>
      <c r="DI403" t="str">
        <f>""</f>
        <v/>
      </c>
      <c r="DJ403" t="str">
        <f>""</f>
        <v/>
      </c>
      <c r="DK403" t="str">
        <f>""</f>
        <v/>
      </c>
      <c r="DL403" t="str">
        <f>""</f>
        <v/>
      </c>
      <c r="DM403" t="str">
        <f>""</f>
        <v/>
      </c>
      <c r="DN403" t="str">
        <f>""</f>
        <v/>
      </c>
      <c r="DO403" t="str">
        <f>""</f>
        <v/>
      </c>
      <c r="DP403" t="str">
        <f>""</f>
        <v/>
      </c>
      <c r="DQ403" t="str">
        <f>""</f>
        <v/>
      </c>
      <c r="DR403" t="str">
        <f>""</f>
        <v/>
      </c>
      <c r="DS403" t="str">
        <f>""</f>
        <v/>
      </c>
      <c r="DT403" t="str">
        <f>""</f>
        <v/>
      </c>
      <c r="DU403" t="str">
        <f>""</f>
        <v/>
      </c>
    </row>
    <row r="404" spans="1:125">
      <c r="A404" t="str">
        <f>$A$90</f>
        <v xml:space="preserve">    SL Green Realty Corp</v>
      </c>
      <c r="B404" t="str">
        <f>$B$90</f>
        <v>SLG US Equity</v>
      </c>
      <c r="C404" t="str">
        <f>$C$90</f>
        <v>CF039</v>
      </c>
      <c r="D404" t="str">
        <f>$D$90</f>
        <v>CF_FFO</v>
      </c>
      <c r="E404" t="str">
        <f>$E$90</f>
        <v>动态</v>
      </c>
      <c r="F404" t="str">
        <f ca="1">BDH($B$90,$C$90,$B$292,$B$293,CONCATENATE("Per=",$B$290),"Dts=H","Dir=H",CONCATENATE("Points=",$B$291),"Sort=R","Days=A","Fill=B",CONCATENATE("FX=", $B$289) )</f>
        <v>#N/A Authorization</v>
      </c>
      <c r="BN404" t="str">
        <f>""</f>
        <v/>
      </c>
      <c r="BO404" t="str">
        <f>""</f>
        <v/>
      </c>
      <c r="BP404" t="str">
        <f>""</f>
        <v/>
      </c>
      <c r="BQ404" t="str">
        <f>""</f>
        <v/>
      </c>
      <c r="BR404" t="str">
        <f>""</f>
        <v/>
      </c>
      <c r="BS404" t="str">
        <f>""</f>
        <v/>
      </c>
      <c r="BT404" t="str">
        <f>""</f>
        <v/>
      </c>
      <c r="BU404" t="str">
        <f>""</f>
        <v/>
      </c>
      <c r="BV404" t="str">
        <f>""</f>
        <v/>
      </c>
      <c r="BW404" t="str">
        <f>""</f>
        <v/>
      </c>
      <c r="BX404" t="str">
        <f>""</f>
        <v/>
      </c>
      <c r="BY404" t="str">
        <f>""</f>
        <v/>
      </c>
      <c r="BZ404" t="str">
        <f>""</f>
        <v/>
      </c>
      <c r="CA404" t="str">
        <f>""</f>
        <v/>
      </c>
      <c r="CB404" t="str">
        <f>""</f>
        <v/>
      </c>
      <c r="CC404" t="str">
        <f>""</f>
        <v/>
      </c>
      <c r="CD404" t="str">
        <f>""</f>
        <v/>
      </c>
      <c r="CE404" t="str">
        <f>""</f>
        <v/>
      </c>
      <c r="CF404" t="str">
        <f>""</f>
        <v/>
      </c>
      <c r="CG404" t="str">
        <f>""</f>
        <v/>
      </c>
      <c r="CH404" t="str">
        <f>""</f>
        <v/>
      </c>
      <c r="CI404" t="str">
        <f>""</f>
        <v/>
      </c>
      <c r="CJ404" t="str">
        <f>""</f>
        <v/>
      </c>
      <c r="CK404" t="str">
        <f>""</f>
        <v/>
      </c>
      <c r="CL404" t="str">
        <f>""</f>
        <v/>
      </c>
      <c r="CM404" t="str">
        <f>""</f>
        <v/>
      </c>
      <c r="CN404" t="str">
        <f>""</f>
        <v/>
      </c>
      <c r="CO404" t="str">
        <f>""</f>
        <v/>
      </c>
      <c r="CP404" t="str">
        <f>""</f>
        <v/>
      </c>
      <c r="CQ404" t="str">
        <f>""</f>
        <v/>
      </c>
      <c r="CR404" t="str">
        <f>""</f>
        <v/>
      </c>
      <c r="CS404" t="str">
        <f>""</f>
        <v/>
      </c>
      <c r="CT404" t="str">
        <f>""</f>
        <v/>
      </c>
      <c r="CU404" t="str">
        <f>""</f>
        <v/>
      </c>
      <c r="CV404" t="str">
        <f>""</f>
        <v/>
      </c>
      <c r="CW404" t="str">
        <f>""</f>
        <v/>
      </c>
      <c r="CX404" t="str">
        <f>""</f>
        <v/>
      </c>
      <c r="CY404" t="str">
        <f>""</f>
        <v/>
      </c>
      <c r="CZ404" t="str">
        <f>""</f>
        <v/>
      </c>
      <c r="DA404" t="str">
        <f>""</f>
        <v/>
      </c>
      <c r="DB404" t="str">
        <f>""</f>
        <v/>
      </c>
      <c r="DC404" t="str">
        <f>""</f>
        <v/>
      </c>
      <c r="DD404" t="str">
        <f>""</f>
        <v/>
      </c>
      <c r="DE404" t="str">
        <f>""</f>
        <v/>
      </c>
      <c r="DF404" t="str">
        <f>""</f>
        <v/>
      </c>
      <c r="DG404" t="str">
        <f>""</f>
        <v/>
      </c>
      <c r="DH404" t="str">
        <f>""</f>
        <v/>
      </c>
      <c r="DI404" t="str">
        <f>""</f>
        <v/>
      </c>
      <c r="DJ404" t="str">
        <f>""</f>
        <v/>
      </c>
      <c r="DK404" t="str">
        <f>""</f>
        <v/>
      </c>
      <c r="DL404" t="str">
        <f>""</f>
        <v/>
      </c>
      <c r="DM404" t="str">
        <f>""</f>
        <v/>
      </c>
      <c r="DN404" t="str">
        <f>""</f>
        <v/>
      </c>
      <c r="DO404" t="str">
        <f>""</f>
        <v/>
      </c>
      <c r="DP404" t="str">
        <f>""</f>
        <v/>
      </c>
      <c r="DQ404" t="str">
        <f>""</f>
        <v/>
      </c>
      <c r="DR404" t="str">
        <f>""</f>
        <v/>
      </c>
      <c r="DS404" t="str">
        <f>""</f>
        <v/>
      </c>
      <c r="DT404" t="str">
        <f>""</f>
        <v/>
      </c>
      <c r="DU404" t="str">
        <f>""</f>
        <v/>
      </c>
    </row>
    <row r="405" spans="1:125">
      <c r="A405" t="str">
        <f>$A$91</f>
        <v xml:space="preserve">    Vornado Realty Trust</v>
      </c>
      <c r="B405" t="str">
        <f>$B$91</f>
        <v>VNO US Equity</v>
      </c>
      <c r="C405" t="str">
        <f>$C$91</f>
        <v>CF039</v>
      </c>
      <c r="D405" t="str">
        <f>$D$91</f>
        <v>CF_FFO</v>
      </c>
      <c r="E405" t="str">
        <f>$E$91</f>
        <v>动态</v>
      </c>
      <c r="F405" t="str">
        <f ca="1">BDH($B$91,$C$91,$B$292,$B$293,CONCATENATE("Per=",$B$290),"Dts=H","Dir=H",CONCATENATE("Points=",$B$291),"Sort=R","Days=A","Fill=B",CONCATENATE("FX=", $B$289) )</f>
        <v>#N/A Authorization</v>
      </c>
      <c r="BN405" t="str">
        <f>""</f>
        <v/>
      </c>
      <c r="BO405" t="str">
        <f>""</f>
        <v/>
      </c>
      <c r="BP405" t="str">
        <f>""</f>
        <v/>
      </c>
      <c r="BQ405" t="str">
        <f>""</f>
        <v/>
      </c>
      <c r="BR405" t="str">
        <f>""</f>
        <v/>
      </c>
      <c r="BS405" t="str">
        <f>""</f>
        <v/>
      </c>
      <c r="BT405" t="str">
        <f>""</f>
        <v/>
      </c>
      <c r="BU405" t="str">
        <f>""</f>
        <v/>
      </c>
      <c r="BV405" t="str">
        <f>""</f>
        <v/>
      </c>
      <c r="BW405" t="str">
        <f>""</f>
        <v/>
      </c>
      <c r="BX405" t="str">
        <f>""</f>
        <v/>
      </c>
      <c r="BY405" t="str">
        <f>""</f>
        <v/>
      </c>
      <c r="BZ405" t="str">
        <f>""</f>
        <v/>
      </c>
      <c r="CA405" t="str">
        <f>""</f>
        <v/>
      </c>
      <c r="CB405" t="str">
        <f>""</f>
        <v/>
      </c>
      <c r="CC405" t="str">
        <f>""</f>
        <v/>
      </c>
      <c r="CD405" t="str">
        <f>""</f>
        <v/>
      </c>
      <c r="CE405" t="str">
        <f>""</f>
        <v/>
      </c>
      <c r="CF405" t="str">
        <f>""</f>
        <v/>
      </c>
      <c r="CG405" t="str">
        <f>""</f>
        <v/>
      </c>
      <c r="CH405" t="str">
        <f>""</f>
        <v/>
      </c>
      <c r="CI405" t="str">
        <f>""</f>
        <v/>
      </c>
      <c r="CJ405" t="str">
        <f>""</f>
        <v/>
      </c>
      <c r="CK405" t="str">
        <f>""</f>
        <v/>
      </c>
      <c r="CL405" t="str">
        <f>""</f>
        <v/>
      </c>
      <c r="CM405" t="str">
        <f>""</f>
        <v/>
      </c>
      <c r="CN405" t="str">
        <f>""</f>
        <v/>
      </c>
      <c r="CO405" t="str">
        <f>""</f>
        <v/>
      </c>
      <c r="CP405" t="str">
        <f>""</f>
        <v/>
      </c>
      <c r="CQ405" t="str">
        <f>""</f>
        <v/>
      </c>
      <c r="CR405" t="str">
        <f>""</f>
        <v/>
      </c>
      <c r="CS405" t="str">
        <f>""</f>
        <v/>
      </c>
      <c r="CT405" t="str">
        <f>""</f>
        <v/>
      </c>
      <c r="CU405" t="str">
        <f>""</f>
        <v/>
      </c>
      <c r="CV405" t="str">
        <f>""</f>
        <v/>
      </c>
      <c r="CW405" t="str">
        <f>""</f>
        <v/>
      </c>
      <c r="CX405" t="str">
        <f>""</f>
        <v/>
      </c>
      <c r="CY405" t="str">
        <f>""</f>
        <v/>
      </c>
      <c r="CZ405" t="str">
        <f>""</f>
        <v/>
      </c>
      <c r="DA405" t="str">
        <f>""</f>
        <v/>
      </c>
      <c r="DB405" t="str">
        <f>""</f>
        <v/>
      </c>
      <c r="DC405" t="str">
        <f>""</f>
        <v/>
      </c>
      <c r="DD405" t="str">
        <f>""</f>
        <v/>
      </c>
      <c r="DE405" t="str">
        <f>""</f>
        <v/>
      </c>
      <c r="DF405" t="str">
        <f>""</f>
        <v/>
      </c>
      <c r="DG405" t="str">
        <f>""</f>
        <v/>
      </c>
      <c r="DH405" t="str">
        <f>""</f>
        <v/>
      </c>
      <c r="DI405" t="str">
        <f>""</f>
        <v/>
      </c>
      <c r="DJ405" t="str">
        <f>""</f>
        <v/>
      </c>
      <c r="DK405" t="str">
        <f>""</f>
        <v/>
      </c>
      <c r="DL405" t="str">
        <f>""</f>
        <v/>
      </c>
      <c r="DM405" t="str">
        <f>""</f>
        <v/>
      </c>
      <c r="DN405" t="str">
        <f>""</f>
        <v/>
      </c>
      <c r="DO405" t="str">
        <f>""</f>
        <v/>
      </c>
      <c r="DP405" t="str">
        <f>""</f>
        <v/>
      </c>
      <c r="DQ405" t="str">
        <f>""</f>
        <v/>
      </c>
      <c r="DR405" t="str">
        <f>""</f>
        <v/>
      </c>
      <c r="DS405" t="str">
        <f>""</f>
        <v/>
      </c>
      <c r="DT405" t="str">
        <f>""</f>
        <v/>
      </c>
      <c r="DU405" t="str">
        <f>""</f>
        <v/>
      </c>
    </row>
    <row r="406" spans="1:125">
      <c r="A406" t="str">
        <f>$A$93</f>
        <v xml:space="preserve">    Boston Properties Inc</v>
      </c>
      <c r="B406" t="str">
        <f>$B$93</f>
        <v>BXP US Equity</v>
      </c>
      <c r="C406" t="str">
        <f>$C$93</f>
        <v>F0578</v>
      </c>
      <c r="D406" t="str">
        <f>$D$93</f>
        <v>FUNDS_AVAILABLE_FOR_DISTRIBUTION</v>
      </c>
      <c r="E406" t="str">
        <f>$E$93</f>
        <v>动态</v>
      </c>
      <c r="F406" t="str">
        <f ca="1">BDH($B$93,$C$93,$B$292,$B$293,CONCATENATE("Per=",$B$290),"Dts=H","Dir=H",CONCATENATE("Points=",$B$291),"Sort=R","Days=A","Fill=B",CONCATENATE("FX=", $B$289) )</f>
        <v>#N/A Authorization</v>
      </c>
      <c r="BN406" t="str">
        <f>""</f>
        <v/>
      </c>
      <c r="BO406" t="str">
        <f>""</f>
        <v/>
      </c>
      <c r="BP406" t="str">
        <f>""</f>
        <v/>
      </c>
      <c r="BQ406" t="str">
        <f>""</f>
        <v/>
      </c>
      <c r="BR406" t="str">
        <f>""</f>
        <v/>
      </c>
      <c r="BS406" t="str">
        <f>""</f>
        <v/>
      </c>
      <c r="BT406" t="str">
        <f>""</f>
        <v/>
      </c>
      <c r="BU406" t="str">
        <f>""</f>
        <v/>
      </c>
      <c r="BV406" t="str">
        <f>""</f>
        <v/>
      </c>
      <c r="BW406" t="str">
        <f>""</f>
        <v/>
      </c>
      <c r="BX406" t="str">
        <f>""</f>
        <v/>
      </c>
      <c r="BY406" t="str">
        <f>""</f>
        <v/>
      </c>
      <c r="BZ406" t="str">
        <f>""</f>
        <v/>
      </c>
      <c r="CA406" t="str">
        <f>""</f>
        <v/>
      </c>
      <c r="CB406" t="str">
        <f>""</f>
        <v/>
      </c>
      <c r="CC406" t="str">
        <f>""</f>
        <v/>
      </c>
      <c r="CD406" t="str">
        <f>""</f>
        <v/>
      </c>
      <c r="CE406" t="str">
        <f>""</f>
        <v/>
      </c>
      <c r="CF406" t="str">
        <f>""</f>
        <v/>
      </c>
      <c r="CG406" t="str">
        <f>""</f>
        <v/>
      </c>
      <c r="CH406" t="str">
        <f>""</f>
        <v/>
      </c>
      <c r="CI406" t="str">
        <f>""</f>
        <v/>
      </c>
      <c r="CJ406" t="str">
        <f>""</f>
        <v/>
      </c>
      <c r="CK406" t="str">
        <f>""</f>
        <v/>
      </c>
      <c r="CL406" t="str">
        <f>""</f>
        <v/>
      </c>
      <c r="CM406" t="str">
        <f>""</f>
        <v/>
      </c>
      <c r="CN406" t="str">
        <f>""</f>
        <v/>
      </c>
      <c r="CO406" t="str">
        <f>""</f>
        <v/>
      </c>
      <c r="CP406" t="str">
        <f>""</f>
        <v/>
      </c>
      <c r="CQ406" t="str">
        <f>""</f>
        <v/>
      </c>
      <c r="CR406" t="str">
        <f>""</f>
        <v/>
      </c>
      <c r="CS406" t="str">
        <f>""</f>
        <v/>
      </c>
      <c r="CT406" t="str">
        <f>""</f>
        <v/>
      </c>
      <c r="CU406" t="str">
        <f>""</f>
        <v/>
      </c>
      <c r="CV406" t="str">
        <f>""</f>
        <v/>
      </c>
      <c r="CW406" t="str">
        <f>""</f>
        <v/>
      </c>
      <c r="CX406" t="str">
        <f>""</f>
        <v/>
      </c>
      <c r="CY406" t="str">
        <f>""</f>
        <v/>
      </c>
      <c r="CZ406" t="str">
        <f>""</f>
        <v/>
      </c>
      <c r="DA406" t="str">
        <f>""</f>
        <v/>
      </c>
      <c r="DB406" t="str">
        <f>""</f>
        <v/>
      </c>
      <c r="DC406" t="str">
        <f>""</f>
        <v/>
      </c>
      <c r="DD406" t="str">
        <f>""</f>
        <v/>
      </c>
      <c r="DE406" t="str">
        <f>""</f>
        <v/>
      </c>
      <c r="DF406" t="str">
        <f>""</f>
        <v/>
      </c>
      <c r="DG406" t="str">
        <f>""</f>
        <v/>
      </c>
      <c r="DH406" t="str">
        <f>""</f>
        <v/>
      </c>
      <c r="DI406" t="str">
        <f>""</f>
        <v/>
      </c>
      <c r="DJ406" t="str">
        <f>""</f>
        <v/>
      </c>
      <c r="DK406" t="str">
        <f>""</f>
        <v/>
      </c>
      <c r="DL406" t="str">
        <f>""</f>
        <v/>
      </c>
      <c r="DM406" t="str">
        <f>""</f>
        <v/>
      </c>
      <c r="DN406" t="str">
        <f>""</f>
        <v/>
      </c>
      <c r="DO406" t="str">
        <f>""</f>
        <v/>
      </c>
      <c r="DP406" t="str">
        <f>""</f>
        <v/>
      </c>
      <c r="DQ406" t="str">
        <f>""</f>
        <v/>
      </c>
      <c r="DR406" t="str">
        <f>""</f>
        <v/>
      </c>
      <c r="DS406" t="str">
        <f>""</f>
        <v/>
      </c>
      <c r="DT406" t="str">
        <f>""</f>
        <v/>
      </c>
      <c r="DU406" t="str">
        <f>""</f>
        <v/>
      </c>
    </row>
    <row r="407" spans="1:125">
      <c r="A407" t="str">
        <f>$A$94</f>
        <v xml:space="preserve">    Brandywine Realty Trust</v>
      </c>
      <c r="B407" t="str">
        <f>$B$94</f>
        <v>BDN US Equity</v>
      </c>
      <c r="C407" t="str">
        <f>$C$94</f>
        <v>F0578</v>
      </c>
      <c r="D407" t="str">
        <f>$D$94</f>
        <v>FUNDS_AVAILABLE_FOR_DISTRIBUTION</v>
      </c>
      <c r="E407" t="str">
        <f>$E$94</f>
        <v>动态</v>
      </c>
      <c r="F407" t="str">
        <f ca="1">BDH($B$94,$C$94,$B$292,$B$293,CONCATENATE("Per=",$B$290),"Dts=H","Dir=H",CONCATENATE("Points=",$B$291),"Sort=R","Days=A","Fill=B",CONCATENATE("FX=", $B$289) )</f>
        <v>#N/A Authorization</v>
      </c>
      <c r="BN407" t="str">
        <f>""</f>
        <v/>
      </c>
      <c r="BO407" t="str">
        <f>""</f>
        <v/>
      </c>
      <c r="BP407" t="str">
        <f>""</f>
        <v/>
      </c>
      <c r="BQ407" t="str">
        <f>""</f>
        <v/>
      </c>
      <c r="BR407" t="str">
        <f>""</f>
        <v/>
      </c>
      <c r="BS407" t="str">
        <f>""</f>
        <v/>
      </c>
      <c r="BT407" t="str">
        <f>""</f>
        <v/>
      </c>
      <c r="BU407" t="str">
        <f>""</f>
        <v/>
      </c>
      <c r="BV407" t="str">
        <f>""</f>
        <v/>
      </c>
      <c r="BW407" t="str">
        <f>""</f>
        <v/>
      </c>
      <c r="BX407" t="str">
        <f>""</f>
        <v/>
      </c>
      <c r="BY407" t="str">
        <f>""</f>
        <v/>
      </c>
      <c r="BZ407" t="str">
        <f>""</f>
        <v/>
      </c>
      <c r="CA407" t="str">
        <f>""</f>
        <v/>
      </c>
      <c r="CB407" t="str">
        <f>""</f>
        <v/>
      </c>
      <c r="CC407" t="str">
        <f>""</f>
        <v/>
      </c>
      <c r="CD407" t="str">
        <f>""</f>
        <v/>
      </c>
      <c r="CE407" t="str">
        <f>""</f>
        <v/>
      </c>
      <c r="CF407" t="str">
        <f>""</f>
        <v/>
      </c>
      <c r="CG407" t="str">
        <f>""</f>
        <v/>
      </c>
      <c r="CH407" t="str">
        <f>""</f>
        <v/>
      </c>
      <c r="CI407" t="str">
        <f>""</f>
        <v/>
      </c>
      <c r="CJ407" t="str">
        <f>""</f>
        <v/>
      </c>
      <c r="CK407" t="str">
        <f>""</f>
        <v/>
      </c>
      <c r="CL407" t="str">
        <f>""</f>
        <v/>
      </c>
      <c r="CM407" t="str">
        <f>""</f>
        <v/>
      </c>
      <c r="CN407" t="str">
        <f>""</f>
        <v/>
      </c>
      <c r="CO407" t="str">
        <f>""</f>
        <v/>
      </c>
      <c r="CP407" t="str">
        <f>""</f>
        <v/>
      </c>
      <c r="CQ407" t="str">
        <f>""</f>
        <v/>
      </c>
      <c r="CR407" t="str">
        <f>""</f>
        <v/>
      </c>
      <c r="CS407" t="str">
        <f>""</f>
        <v/>
      </c>
      <c r="CT407" t="str">
        <f>""</f>
        <v/>
      </c>
      <c r="CU407" t="str">
        <f>""</f>
        <v/>
      </c>
      <c r="CV407" t="str">
        <f>""</f>
        <v/>
      </c>
      <c r="CW407" t="str">
        <f>""</f>
        <v/>
      </c>
      <c r="CX407" t="str">
        <f>""</f>
        <v/>
      </c>
      <c r="CY407" t="str">
        <f>""</f>
        <v/>
      </c>
      <c r="CZ407" t="str">
        <f>""</f>
        <v/>
      </c>
      <c r="DA407" t="str">
        <f>""</f>
        <v/>
      </c>
      <c r="DB407" t="str">
        <f>""</f>
        <v/>
      </c>
      <c r="DC407" t="str">
        <f>""</f>
        <v/>
      </c>
      <c r="DD407" t="str">
        <f>""</f>
        <v/>
      </c>
      <c r="DE407" t="str">
        <f>""</f>
        <v/>
      </c>
      <c r="DF407" t="str">
        <f>""</f>
        <v/>
      </c>
      <c r="DG407" t="str">
        <f>""</f>
        <v/>
      </c>
      <c r="DH407" t="str">
        <f>""</f>
        <v/>
      </c>
      <c r="DI407" t="str">
        <f>""</f>
        <v/>
      </c>
      <c r="DJ407" t="str">
        <f>""</f>
        <v/>
      </c>
      <c r="DK407" t="str">
        <f>""</f>
        <v/>
      </c>
      <c r="DL407" t="str">
        <f>""</f>
        <v/>
      </c>
      <c r="DM407" t="str">
        <f>""</f>
        <v/>
      </c>
      <c r="DN407" t="str">
        <f>""</f>
        <v/>
      </c>
      <c r="DO407" t="str">
        <f>""</f>
        <v/>
      </c>
      <c r="DP407" t="str">
        <f>""</f>
        <v/>
      </c>
      <c r="DQ407" t="str">
        <f>""</f>
        <v/>
      </c>
      <c r="DR407" t="str">
        <f>""</f>
        <v/>
      </c>
      <c r="DS407" t="str">
        <f>""</f>
        <v/>
      </c>
      <c r="DT407" t="str">
        <f>""</f>
        <v/>
      </c>
      <c r="DU407" t="str">
        <f>""</f>
        <v/>
      </c>
    </row>
    <row r="408" spans="1:125">
      <c r="A408" t="str">
        <f>$A$95</f>
        <v xml:space="preserve">    Columbia Property Trust Inc</v>
      </c>
      <c r="B408" t="str">
        <f>$B$95</f>
        <v>CXP US Equity</v>
      </c>
      <c r="C408" t="str">
        <f>$C$95</f>
        <v>F0578</v>
      </c>
      <c r="D408" t="str">
        <f>$D$95</f>
        <v>FUNDS_AVAILABLE_FOR_DISTRIBUTION</v>
      </c>
      <c r="E408" t="str">
        <f>$E$95</f>
        <v>动态</v>
      </c>
      <c r="F408" t="str">
        <f ca="1">BDH($B$95,$C$95,$B$292,$B$293,CONCATENATE("Per=",$B$290),"Dts=H","Dir=H",CONCATENATE("Points=",$B$291),"Sort=R","Days=A","Fill=B",CONCATENATE("FX=", $B$289) )</f>
        <v>#N/A Authorization</v>
      </c>
      <c r="BN408" t="str">
        <f>""</f>
        <v/>
      </c>
      <c r="BO408" t="str">
        <f>""</f>
        <v/>
      </c>
      <c r="BP408" t="str">
        <f>""</f>
        <v/>
      </c>
      <c r="BQ408" t="str">
        <f>""</f>
        <v/>
      </c>
      <c r="BR408" t="str">
        <f>""</f>
        <v/>
      </c>
      <c r="BS408" t="str">
        <f>""</f>
        <v/>
      </c>
      <c r="BT408" t="str">
        <f>""</f>
        <v/>
      </c>
      <c r="BU408" t="str">
        <f>""</f>
        <v/>
      </c>
      <c r="BV408" t="str">
        <f>""</f>
        <v/>
      </c>
      <c r="BW408" t="str">
        <f>""</f>
        <v/>
      </c>
      <c r="BX408" t="str">
        <f>""</f>
        <v/>
      </c>
      <c r="BY408" t="str">
        <f>""</f>
        <v/>
      </c>
      <c r="BZ408" t="str">
        <f>""</f>
        <v/>
      </c>
      <c r="CA408" t="str">
        <f>""</f>
        <v/>
      </c>
      <c r="CB408" t="str">
        <f>""</f>
        <v/>
      </c>
      <c r="CC408" t="str">
        <f>""</f>
        <v/>
      </c>
      <c r="CD408" t="str">
        <f>""</f>
        <v/>
      </c>
      <c r="CE408" t="str">
        <f>""</f>
        <v/>
      </c>
      <c r="CF408" t="str">
        <f>""</f>
        <v/>
      </c>
      <c r="CG408" t="str">
        <f>""</f>
        <v/>
      </c>
      <c r="CH408" t="str">
        <f>""</f>
        <v/>
      </c>
      <c r="CI408" t="str">
        <f>""</f>
        <v/>
      </c>
      <c r="CJ408" t="str">
        <f>""</f>
        <v/>
      </c>
      <c r="CK408" t="str">
        <f>""</f>
        <v/>
      </c>
      <c r="CL408" t="str">
        <f>""</f>
        <v/>
      </c>
      <c r="CM408" t="str">
        <f>""</f>
        <v/>
      </c>
      <c r="CN408" t="str">
        <f>""</f>
        <v/>
      </c>
      <c r="CO408" t="str">
        <f>""</f>
        <v/>
      </c>
      <c r="CP408" t="str">
        <f>""</f>
        <v/>
      </c>
      <c r="CQ408" t="str">
        <f>""</f>
        <v/>
      </c>
      <c r="CR408" t="str">
        <f>""</f>
        <v/>
      </c>
      <c r="CS408" t="str">
        <f>""</f>
        <v/>
      </c>
      <c r="CT408" t="str">
        <f>""</f>
        <v/>
      </c>
      <c r="CU408" t="str">
        <f>""</f>
        <v/>
      </c>
      <c r="CV408" t="str">
        <f>""</f>
        <v/>
      </c>
      <c r="CW408" t="str">
        <f>""</f>
        <v/>
      </c>
      <c r="CX408" t="str">
        <f>""</f>
        <v/>
      </c>
      <c r="CY408" t="str">
        <f>""</f>
        <v/>
      </c>
      <c r="CZ408" t="str">
        <f>""</f>
        <v/>
      </c>
      <c r="DA408" t="str">
        <f>""</f>
        <v/>
      </c>
      <c r="DB408" t="str">
        <f>""</f>
        <v/>
      </c>
      <c r="DC408" t="str">
        <f>""</f>
        <v/>
      </c>
      <c r="DD408" t="str">
        <f>""</f>
        <v/>
      </c>
      <c r="DE408" t="str">
        <f>""</f>
        <v/>
      </c>
      <c r="DF408" t="str">
        <f>""</f>
        <v/>
      </c>
      <c r="DG408" t="str">
        <f>""</f>
        <v/>
      </c>
      <c r="DH408" t="str">
        <f>""</f>
        <v/>
      </c>
      <c r="DI408" t="str">
        <f>""</f>
        <v/>
      </c>
      <c r="DJ408" t="str">
        <f>""</f>
        <v/>
      </c>
      <c r="DK408" t="str">
        <f>""</f>
        <v/>
      </c>
      <c r="DL408" t="str">
        <f>""</f>
        <v/>
      </c>
      <c r="DM408" t="str">
        <f>""</f>
        <v/>
      </c>
      <c r="DN408" t="str">
        <f>""</f>
        <v/>
      </c>
      <c r="DO408" t="str">
        <f>""</f>
        <v/>
      </c>
      <c r="DP408" t="str">
        <f>""</f>
        <v/>
      </c>
      <c r="DQ408" t="str">
        <f>""</f>
        <v/>
      </c>
      <c r="DR408" t="str">
        <f>""</f>
        <v/>
      </c>
      <c r="DS408" t="str">
        <f>""</f>
        <v/>
      </c>
      <c r="DT408" t="str">
        <f>""</f>
        <v/>
      </c>
      <c r="DU408" t="str">
        <f>""</f>
        <v/>
      </c>
    </row>
    <row r="409" spans="1:125">
      <c r="A409" t="str">
        <f>$A$96</f>
        <v xml:space="preserve">    Corporate Office Properties Tr</v>
      </c>
      <c r="B409" t="str">
        <f>$B$96</f>
        <v>OFC US Equity</v>
      </c>
      <c r="C409" t="str">
        <f>$C$96</f>
        <v>F0578</v>
      </c>
      <c r="D409" t="str">
        <f>$D$96</f>
        <v>FUNDS_AVAILABLE_FOR_DISTRIBUTION</v>
      </c>
      <c r="E409" t="str">
        <f>$E$96</f>
        <v>动态</v>
      </c>
      <c r="F409" t="str">
        <f ca="1">BDH($B$96,$C$96,$B$292,$B$293,CONCATENATE("Per=",$B$290),"Dts=H","Dir=H",CONCATENATE("Points=",$B$291),"Sort=R","Days=A","Fill=B",CONCATENATE("FX=", $B$289) )</f>
        <v>#N/A Authorization</v>
      </c>
      <c r="BN409" t="str">
        <f>""</f>
        <v/>
      </c>
      <c r="BO409" t="str">
        <f>""</f>
        <v/>
      </c>
      <c r="BP409" t="str">
        <f>""</f>
        <v/>
      </c>
      <c r="BQ409" t="str">
        <f>""</f>
        <v/>
      </c>
      <c r="BR409" t="str">
        <f>""</f>
        <v/>
      </c>
      <c r="BS409" t="str">
        <f>""</f>
        <v/>
      </c>
      <c r="BT409" t="str">
        <f>""</f>
        <v/>
      </c>
      <c r="BU409" t="str">
        <f>""</f>
        <v/>
      </c>
      <c r="BV409" t="str">
        <f>""</f>
        <v/>
      </c>
      <c r="BW409" t="str">
        <f>""</f>
        <v/>
      </c>
      <c r="BX409" t="str">
        <f>""</f>
        <v/>
      </c>
      <c r="BY409" t="str">
        <f>""</f>
        <v/>
      </c>
      <c r="BZ409" t="str">
        <f>""</f>
        <v/>
      </c>
      <c r="CA409" t="str">
        <f>""</f>
        <v/>
      </c>
      <c r="CB409" t="str">
        <f>""</f>
        <v/>
      </c>
      <c r="CC409" t="str">
        <f>""</f>
        <v/>
      </c>
      <c r="CD409" t="str">
        <f>""</f>
        <v/>
      </c>
      <c r="CE409" t="str">
        <f>""</f>
        <v/>
      </c>
      <c r="CF409" t="str">
        <f>""</f>
        <v/>
      </c>
      <c r="CG409" t="str">
        <f>""</f>
        <v/>
      </c>
      <c r="CH409" t="str">
        <f>""</f>
        <v/>
      </c>
      <c r="CI409" t="str">
        <f>""</f>
        <v/>
      </c>
      <c r="CJ409" t="str">
        <f>""</f>
        <v/>
      </c>
      <c r="CK409" t="str">
        <f>""</f>
        <v/>
      </c>
      <c r="CL409" t="str">
        <f>""</f>
        <v/>
      </c>
      <c r="CM409" t="str">
        <f>""</f>
        <v/>
      </c>
      <c r="CN409" t="str">
        <f>""</f>
        <v/>
      </c>
      <c r="CO409" t="str">
        <f>""</f>
        <v/>
      </c>
      <c r="CP409" t="str">
        <f>""</f>
        <v/>
      </c>
      <c r="CQ409" t="str">
        <f>""</f>
        <v/>
      </c>
      <c r="CR409" t="str">
        <f>""</f>
        <v/>
      </c>
      <c r="CS409" t="str">
        <f>""</f>
        <v/>
      </c>
      <c r="CT409" t="str">
        <f>""</f>
        <v/>
      </c>
      <c r="CU409" t="str">
        <f>""</f>
        <v/>
      </c>
      <c r="CV409" t="str">
        <f>""</f>
        <v/>
      </c>
      <c r="CW409" t="str">
        <f>""</f>
        <v/>
      </c>
      <c r="CX409" t="str">
        <f>""</f>
        <v/>
      </c>
      <c r="CY409" t="str">
        <f>""</f>
        <v/>
      </c>
      <c r="CZ409" t="str">
        <f>""</f>
        <v/>
      </c>
      <c r="DA409" t="str">
        <f>""</f>
        <v/>
      </c>
      <c r="DB409" t="str">
        <f>""</f>
        <v/>
      </c>
      <c r="DC409" t="str">
        <f>""</f>
        <v/>
      </c>
      <c r="DD409" t="str">
        <f>""</f>
        <v/>
      </c>
      <c r="DE409" t="str">
        <f>""</f>
        <v/>
      </c>
      <c r="DF409" t="str">
        <f>""</f>
        <v/>
      </c>
      <c r="DG409" t="str">
        <f>""</f>
        <v/>
      </c>
      <c r="DH409" t="str">
        <f>""</f>
        <v/>
      </c>
      <c r="DI409" t="str">
        <f>""</f>
        <v/>
      </c>
      <c r="DJ409" t="str">
        <f>""</f>
        <v/>
      </c>
      <c r="DK409" t="str">
        <f>""</f>
        <v/>
      </c>
      <c r="DL409" t="str">
        <f>""</f>
        <v/>
      </c>
      <c r="DM409" t="str">
        <f>""</f>
        <v/>
      </c>
      <c r="DN409" t="str">
        <f>""</f>
        <v/>
      </c>
      <c r="DO409" t="str">
        <f>""</f>
        <v/>
      </c>
      <c r="DP409" t="str">
        <f>""</f>
        <v/>
      </c>
      <c r="DQ409" t="str">
        <f>""</f>
        <v/>
      </c>
      <c r="DR409" t="str">
        <f>""</f>
        <v/>
      </c>
      <c r="DS409" t="str">
        <f>""</f>
        <v/>
      </c>
      <c r="DT409" t="str">
        <f>""</f>
        <v/>
      </c>
      <c r="DU409" t="str">
        <f>""</f>
        <v/>
      </c>
    </row>
    <row r="410" spans="1:125">
      <c r="A410" t="str">
        <f>$A$97</f>
        <v xml:space="preserve">    Highwoods Properties Inc</v>
      </c>
      <c r="B410" t="str">
        <f>$B$97</f>
        <v>HIW US Equity</v>
      </c>
      <c r="C410" t="str">
        <f>$C$97</f>
        <v>F0578</v>
      </c>
      <c r="D410" t="str">
        <f>$D$97</f>
        <v>FUNDS_AVAILABLE_FOR_DISTRIBUTION</v>
      </c>
      <c r="E410" t="str">
        <f>$E$97</f>
        <v>动态</v>
      </c>
      <c r="F410" t="str">
        <f ca="1">BDH($B$97,$C$97,$B$292,$B$293,CONCATENATE("Per=",$B$290),"Dts=H","Dir=H",CONCATENATE("Points=",$B$291),"Sort=R","Days=A","Fill=B",CONCATENATE("FX=", $B$289) )</f>
        <v>#N/A Authorization</v>
      </c>
      <c r="BN410" t="str">
        <f>""</f>
        <v/>
      </c>
      <c r="BO410" t="str">
        <f>""</f>
        <v/>
      </c>
      <c r="BP410" t="str">
        <f>""</f>
        <v/>
      </c>
      <c r="BQ410" t="str">
        <f>""</f>
        <v/>
      </c>
      <c r="BR410" t="str">
        <f>""</f>
        <v/>
      </c>
      <c r="BS410" t="str">
        <f>""</f>
        <v/>
      </c>
      <c r="BT410" t="str">
        <f>""</f>
        <v/>
      </c>
      <c r="BU410" t="str">
        <f>""</f>
        <v/>
      </c>
      <c r="BV410" t="str">
        <f>""</f>
        <v/>
      </c>
      <c r="BW410" t="str">
        <f>""</f>
        <v/>
      </c>
      <c r="BX410" t="str">
        <f>""</f>
        <v/>
      </c>
      <c r="BY410" t="str">
        <f>""</f>
        <v/>
      </c>
      <c r="BZ410" t="str">
        <f>""</f>
        <v/>
      </c>
      <c r="CA410" t="str">
        <f>""</f>
        <v/>
      </c>
      <c r="CB410" t="str">
        <f>""</f>
        <v/>
      </c>
      <c r="CC410" t="str">
        <f>""</f>
        <v/>
      </c>
      <c r="CD410" t="str">
        <f>""</f>
        <v/>
      </c>
      <c r="CE410" t="str">
        <f>""</f>
        <v/>
      </c>
      <c r="CF410" t="str">
        <f>""</f>
        <v/>
      </c>
      <c r="CG410" t="str">
        <f>""</f>
        <v/>
      </c>
      <c r="CH410" t="str">
        <f>""</f>
        <v/>
      </c>
      <c r="CI410" t="str">
        <f>""</f>
        <v/>
      </c>
      <c r="CJ410" t="str">
        <f>""</f>
        <v/>
      </c>
      <c r="CK410" t="str">
        <f>""</f>
        <v/>
      </c>
      <c r="CL410" t="str">
        <f>""</f>
        <v/>
      </c>
      <c r="CM410" t="str">
        <f>""</f>
        <v/>
      </c>
      <c r="CN410" t="str">
        <f>""</f>
        <v/>
      </c>
      <c r="CO410" t="str">
        <f>""</f>
        <v/>
      </c>
      <c r="CP410" t="str">
        <f>""</f>
        <v/>
      </c>
      <c r="CQ410" t="str">
        <f>""</f>
        <v/>
      </c>
      <c r="CR410" t="str">
        <f>""</f>
        <v/>
      </c>
      <c r="CS410" t="str">
        <f>""</f>
        <v/>
      </c>
      <c r="CT410" t="str">
        <f>""</f>
        <v/>
      </c>
      <c r="CU410" t="str">
        <f>""</f>
        <v/>
      </c>
      <c r="CV410" t="str">
        <f>""</f>
        <v/>
      </c>
      <c r="CW410" t="str">
        <f>""</f>
        <v/>
      </c>
      <c r="CX410" t="str">
        <f>""</f>
        <v/>
      </c>
      <c r="CY410" t="str">
        <f>""</f>
        <v/>
      </c>
      <c r="CZ410" t="str">
        <f>""</f>
        <v/>
      </c>
      <c r="DA410" t="str">
        <f>""</f>
        <v/>
      </c>
      <c r="DB410" t="str">
        <f>""</f>
        <v/>
      </c>
      <c r="DC410" t="str">
        <f>""</f>
        <v/>
      </c>
      <c r="DD410" t="str">
        <f>""</f>
        <v/>
      </c>
      <c r="DE410" t="str">
        <f>""</f>
        <v/>
      </c>
      <c r="DF410" t="str">
        <f>""</f>
        <v/>
      </c>
      <c r="DG410" t="str">
        <f>""</f>
        <v/>
      </c>
      <c r="DH410" t="str">
        <f>""</f>
        <v/>
      </c>
      <c r="DI410" t="str">
        <f>""</f>
        <v/>
      </c>
      <c r="DJ410" t="str">
        <f>""</f>
        <v/>
      </c>
      <c r="DK410" t="str">
        <f>""</f>
        <v/>
      </c>
      <c r="DL410" t="str">
        <f>""</f>
        <v/>
      </c>
      <c r="DM410" t="str">
        <f>""</f>
        <v/>
      </c>
      <c r="DN410" t="str">
        <f>""</f>
        <v/>
      </c>
      <c r="DO410" t="str">
        <f>""</f>
        <v/>
      </c>
      <c r="DP410" t="str">
        <f>""</f>
        <v/>
      </c>
      <c r="DQ410" t="str">
        <f>""</f>
        <v/>
      </c>
      <c r="DR410" t="str">
        <f>""</f>
        <v/>
      </c>
      <c r="DS410" t="str">
        <f>""</f>
        <v/>
      </c>
      <c r="DT410" t="str">
        <f>""</f>
        <v/>
      </c>
      <c r="DU410" t="str">
        <f>""</f>
        <v/>
      </c>
    </row>
    <row r="411" spans="1:125">
      <c r="A411" t="str">
        <f>$A$98</f>
        <v xml:space="preserve">    Kilroy Realty Corp</v>
      </c>
      <c r="B411" t="str">
        <f>$B$98</f>
        <v>KRC US Equity</v>
      </c>
      <c r="C411" t="str">
        <f>$C$98</f>
        <v>F0578</v>
      </c>
      <c r="D411" t="str">
        <f>$D$98</f>
        <v>FUNDS_AVAILABLE_FOR_DISTRIBUTION</v>
      </c>
      <c r="E411" t="str">
        <f>$E$98</f>
        <v>动态</v>
      </c>
      <c r="F411" t="str">
        <f ca="1">BDH($B$98,$C$98,$B$292,$B$293,CONCATENATE("Per=",$B$290),"Dts=H","Dir=H",CONCATENATE("Points=",$B$291),"Sort=R","Days=A","Fill=B",CONCATENATE("FX=", $B$289) )</f>
        <v>#N/A Authorization</v>
      </c>
      <c r="BN411" t="str">
        <f>""</f>
        <v/>
      </c>
      <c r="BO411" t="str">
        <f>""</f>
        <v/>
      </c>
      <c r="BP411" t="str">
        <f>""</f>
        <v/>
      </c>
      <c r="BQ411" t="str">
        <f>""</f>
        <v/>
      </c>
      <c r="BR411" t="str">
        <f>""</f>
        <v/>
      </c>
      <c r="BS411" t="str">
        <f>""</f>
        <v/>
      </c>
      <c r="BT411" t="str">
        <f>""</f>
        <v/>
      </c>
      <c r="BU411" t="str">
        <f>""</f>
        <v/>
      </c>
      <c r="BV411" t="str">
        <f>""</f>
        <v/>
      </c>
      <c r="BW411" t="str">
        <f>""</f>
        <v/>
      </c>
      <c r="BX411" t="str">
        <f>""</f>
        <v/>
      </c>
      <c r="BY411" t="str">
        <f>""</f>
        <v/>
      </c>
      <c r="BZ411" t="str">
        <f>""</f>
        <v/>
      </c>
      <c r="CA411" t="str">
        <f>""</f>
        <v/>
      </c>
      <c r="CB411" t="str">
        <f>""</f>
        <v/>
      </c>
      <c r="CC411" t="str">
        <f>""</f>
        <v/>
      </c>
      <c r="CD411" t="str">
        <f>""</f>
        <v/>
      </c>
      <c r="CE411" t="str">
        <f>""</f>
        <v/>
      </c>
      <c r="CF411" t="str">
        <f>""</f>
        <v/>
      </c>
      <c r="CG411" t="str">
        <f>""</f>
        <v/>
      </c>
      <c r="CH411" t="str">
        <f>""</f>
        <v/>
      </c>
      <c r="CI411" t="str">
        <f>""</f>
        <v/>
      </c>
      <c r="CJ411" t="str">
        <f>""</f>
        <v/>
      </c>
      <c r="CK411" t="str">
        <f>""</f>
        <v/>
      </c>
      <c r="CL411" t="str">
        <f>""</f>
        <v/>
      </c>
      <c r="CM411" t="str">
        <f>""</f>
        <v/>
      </c>
      <c r="CN411" t="str">
        <f>""</f>
        <v/>
      </c>
      <c r="CO411" t="str">
        <f>""</f>
        <v/>
      </c>
      <c r="CP411" t="str">
        <f>""</f>
        <v/>
      </c>
      <c r="CQ411" t="str">
        <f>""</f>
        <v/>
      </c>
      <c r="CR411" t="str">
        <f>""</f>
        <v/>
      </c>
      <c r="CS411" t="str">
        <f>""</f>
        <v/>
      </c>
      <c r="CT411" t="str">
        <f>""</f>
        <v/>
      </c>
      <c r="CU411" t="str">
        <f>""</f>
        <v/>
      </c>
      <c r="CV411" t="str">
        <f>""</f>
        <v/>
      </c>
      <c r="CW411" t="str">
        <f>""</f>
        <v/>
      </c>
      <c r="CX411" t="str">
        <f>""</f>
        <v/>
      </c>
      <c r="CY411" t="str">
        <f>""</f>
        <v/>
      </c>
      <c r="CZ411" t="str">
        <f>""</f>
        <v/>
      </c>
      <c r="DA411" t="str">
        <f>""</f>
        <v/>
      </c>
      <c r="DB411" t="str">
        <f>""</f>
        <v/>
      </c>
      <c r="DC411" t="str">
        <f>""</f>
        <v/>
      </c>
      <c r="DD411" t="str">
        <f>""</f>
        <v/>
      </c>
      <c r="DE411" t="str">
        <f>""</f>
        <v/>
      </c>
      <c r="DF411" t="str">
        <f>""</f>
        <v/>
      </c>
      <c r="DG411" t="str">
        <f>""</f>
        <v/>
      </c>
      <c r="DH411" t="str">
        <f>""</f>
        <v/>
      </c>
      <c r="DI411" t="str">
        <f>""</f>
        <v/>
      </c>
      <c r="DJ411" t="str">
        <f>""</f>
        <v/>
      </c>
      <c r="DK411" t="str">
        <f>""</f>
        <v/>
      </c>
      <c r="DL411" t="str">
        <f>""</f>
        <v/>
      </c>
      <c r="DM411" t="str">
        <f>""</f>
        <v/>
      </c>
      <c r="DN411" t="str">
        <f>""</f>
        <v/>
      </c>
      <c r="DO411" t="str">
        <f>""</f>
        <v/>
      </c>
      <c r="DP411" t="str">
        <f>""</f>
        <v/>
      </c>
      <c r="DQ411" t="str">
        <f>""</f>
        <v/>
      </c>
      <c r="DR411" t="str">
        <f>""</f>
        <v/>
      </c>
      <c r="DS411" t="str">
        <f>""</f>
        <v/>
      </c>
      <c r="DT411" t="str">
        <f>""</f>
        <v/>
      </c>
      <c r="DU411" t="str">
        <f>""</f>
        <v/>
      </c>
    </row>
    <row r="412" spans="1:125">
      <c r="A412" t="str">
        <f>$A$99</f>
        <v xml:space="preserve">    Mack-Cali Realty Corp</v>
      </c>
      <c r="B412" t="str">
        <f>$B$99</f>
        <v>CLI US Equity</v>
      </c>
      <c r="C412" t="str">
        <f>$C$99</f>
        <v>F0578</v>
      </c>
      <c r="D412" t="str">
        <f>$D$99</f>
        <v>FUNDS_AVAILABLE_FOR_DISTRIBUTION</v>
      </c>
      <c r="E412" t="str">
        <f>$E$99</f>
        <v>动态</v>
      </c>
      <c r="F412" t="str">
        <f ca="1">BDH($B$99,$C$99,$B$292,$B$293,CONCATENATE("Per=",$B$290),"Dts=H","Dir=H",CONCATENATE("Points=",$B$291),"Sort=R","Days=A","Fill=B",CONCATENATE("FX=", $B$289) )</f>
        <v>#N/A Authorization</v>
      </c>
      <c r="BN412" t="str">
        <f>""</f>
        <v/>
      </c>
      <c r="BO412" t="str">
        <f>""</f>
        <v/>
      </c>
      <c r="BP412" t="str">
        <f>""</f>
        <v/>
      </c>
      <c r="BQ412" t="str">
        <f>""</f>
        <v/>
      </c>
      <c r="BR412" t="str">
        <f>""</f>
        <v/>
      </c>
      <c r="BS412" t="str">
        <f>""</f>
        <v/>
      </c>
      <c r="BT412" t="str">
        <f>""</f>
        <v/>
      </c>
      <c r="BU412" t="str">
        <f>""</f>
        <v/>
      </c>
      <c r="BV412" t="str">
        <f>""</f>
        <v/>
      </c>
      <c r="BW412" t="str">
        <f>""</f>
        <v/>
      </c>
      <c r="BX412" t="str">
        <f>""</f>
        <v/>
      </c>
      <c r="BY412" t="str">
        <f>""</f>
        <v/>
      </c>
      <c r="BZ412" t="str">
        <f>""</f>
        <v/>
      </c>
      <c r="CA412" t="str">
        <f>""</f>
        <v/>
      </c>
      <c r="CB412" t="str">
        <f>""</f>
        <v/>
      </c>
      <c r="CC412" t="str">
        <f>""</f>
        <v/>
      </c>
      <c r="CD412" t="str">
        <f>""</f>
        <v/>
      </c>
      <c r="CE412" t="str">
        <f>""</f>
        <v/>
      </c>
      <c r="CF412" t="str">
        <f>""</f>
        <v/>
      </c>
      <c r="CG412" t="str">
        <f>""</f>
        <v/>
      </c>
      <c r="CH412" t="str">
        <f>""</f>
        <v/>
      </c>
      <c r="CI412" t="str">
        <f>""</f>
        <v/>
      </c>
      <c r="CJ412" t="str">
        <f>""</f>
        <v/>
      </c>
      <c r="CK412" t="str">
        <f>""</f>
        <v/>
      </c>
      <c r="CL412" t="str">
        <f>""</f>
        <v/>
      </c>
      <c r="CM412" t="str">
        <f>""</f>
        <v/>
      </c>
      <c r="CN412" t="str">
        <f>""</f>
        <v/>
      </c>
      <c r="CO412" t="str">
        <f>""</f>
        <v/>
      </c>
      <c r="CP412" t="str">
        <f>""</f>
        <v/>
      </c>
      <c r="CQ412" t="str">
        <f>""</f>
        <v/>
      </c>
      <c r="CR412" t="str">
        <f>""</f>
        <v/>
      </c>
      <c r="CS412" t="str">
        <f>""</f>
        <v/>
      </c>
      <c r="CT412" t="str">
        <f>""</f>
        <v/>
      </c>
      <c r="CU412" t="str">
        <f>""</f>
        <v/>
      </c>
      <c r="CV412" t="str">
        <f>""</f>
        <v/>
      </c>
      <c r="CW412" t="str">
        <f>""</f>
        <v/>
      </c>
      <c r="CX412" t="str">
        <f>""</f>
        <v/>
      </c>
      <c r="CY412" t="str">
        <f>""</f>
        <v/>
      </c>
      <c r="CZ412" t="str">
        <f>""</f>
        <v/>
      </c>
      <c r="DA412" t="str">
        <f>""</f>
        <v/>
      </c>
      <c r="DB412" t="str">
        <f>""</f>
        <v/>
      </c>
      <c r="DC412" t="str">
        <f>""</f>
        <v/>
      </c>
      <c r="DD412" t="str">
        <f>""</f>
        <v/>
      </c>
      <c r="DE412" t="str">
        <f>""</f>
        <v/>
      </c>
      <c r="DF412" t="str">
        <f>""</f>
        <v/>
      </c>
      <c r="DG412" t="str">
        <f>""</f>
        <v/>
      </c>
      <c r="DH412" t="str">
        <f>""</f>
        <v/>
      </c>
      <c r="DI412" t="str">
        <f>""</f>
        <v/>
      </c>
      <c r="DJ412" t="str">
        <f>""</f>
        <v/>
      </c>
      <c r="DK412" t="str">
        <f>""</f>
        <v/>
      </c>
      <c r="DL412" t="str">
        <f>""</f>
        <v/>
      </c>
      <c r="DM412" t="str">
        <f>""</f>
        <v/>
      </c>
      <c r="DN412" t="str">
        <f>""</f>
        <v/>
      </c>
      <c r="DO412" t="str">
        <f>""</f>
        <v/>
      </c>
      <c r="DP412" t="str">
        <f>""</f>
        <v/>
      </c>
      <c r="DQ412" t="str">
        <f>""</f>
        <v/>
      </c>
      <c r="DR412" t="str">
        <f>""</f>
        <v/>
      </c>
      <c r="DS412" t="str">
        <f>""</f>
        <v/>
      </c>
      <c r="DT412" t="str">
        <f>""</f>
        <v/>
      </c>
      <c r="DU412" t="str">
        <f>""</f>
        <v/>
      </c>
    </row>
    <row r="413" spans="1:125">
      <c r="A413" t="str">
        <f>$A$100</f>
        <v xml:space="preserve">    Piedmont Office Realty Trust I</v>
      </c>
      <c r="B413" t="str">
        <f>$B$100</f>
        <v>PDM US Equity</v>
      </c>
      <c r="C413" t="str">
        <f>$C$100</f>
        <v>F0578</v>
      </c>
      <c r="D413" t="str">
        <f>$D$100</f>
        <v>FUNDS_AVAILABLE_FOR_DISTRIBUTION</v>
      </c>
      <c r="E413" t="str">
        <f>$E$100</f>
        <v>动态</v>
      </c>
      <c r="F413" t="str">
        <f ca="1">BDH($B$100,$C$100,$B$292,$B$293,CONCATENATE("Per=",$B$290),"Dts=H","Dir=H",CONCATENATE("Points=",$B$291),"Sort=R","Days=A","Fill=B",CONCATENATE("FX=", $B$289) )</f>
        <v>#N/A Authorization</v>
      </c>
      <c r="BN413" t="str">
        <f>""</f>
        <v/>
      </c>
      <c r="BO413" t="str">
        <f>""</f>
        <v/>
      </c>
      <c r="BP413" t="str">
        <f>""</f>
        <v/>
      </c>
      <c r="BQ413" t="str">
        <f>""</f>
        <v/>
      </c>
      <c r="BR413" t="str">
        <f>""</f>
        <v/>
      </c>
      <c r="BS413" t="str">
        <f>""</f>
        <v/>
      </c>
      <c r="BT413" t="str">
        <f>""</f>
        <v/>
      </c>
      <c r="BU413" t="str">
        <f>""</f>
        <v/>
      </c>
      <c r="BV413" t="str">
        <f>""</f>
        <v/>
      </c>
      <c r="BW413" t="str">
        <f>""</f>
        <v/>
      </c>
      <c r="BX413" t="str">
        <f>""</f>
        <v/>
      </c>
      <c r="BY413" t="str">
        <f>""</f>
        <v/>
      </c>
      <c r="BZ413" t="str">
        <f>""</f>
        <v/>
      </c>
      <c r="CA413" t="str">
        <f>""</f>
        <v/>
      </c>
      <c r="CB413" t="str">
        <f>""</f>
        <v/>
      </c>
      <c r="CC413" t="str">
        <f>""</f>
        <v/>
      </c>
      <c r="CD413" t="str">
        <f>""</f>
        <v/>
      </c>
      <c r="CE413" t="str">
        <f>""</f>
        <v/>
      </c>
      <c r="CF413" t="str">
        <f>""</f>
        <v/>
      </c>
      <c r="CG413" t="str">
        <f>""</f>
        <v/>
      </c>
      <c r="CH413" t="str">
        <f>""</f>
        <v/>
      </c>
      <c r="CI413" t="str">
        <f>""</f>
        <v/>
      </c>
      <c r="CJ413" t="str">
        <f>""</f>
        <v/>
      </c>
      <c r="CK413" t="str">
        <f>""</f>
        <v/>
      </c>
      <c r="CL413" t="str">
        <f>""</f>
        <v/>
      </c>
      <c r="CM413" t="str">
        <f>""</f>
        <v/>
      </c>
      <c r="CN413" t="str">
        <f>""</f>
        <v/>
      </c>
      <c r="CO413" t="str">
        <f>""</f>
        <v/>
      </c>
      <c r="CP413" t="str">
        <f>""</f>
        <v/>
      </c>
      <c r="CQ413" t="str">
        <f>""</f>
        <v/>
      </c>
      <c r="CR413" t="str">
        <f>""</f>
        <v/>
      </c>
      <c r="CS413" t="str">
        <f>""</f>
        <v/>
      </c>
      <c r="CT413" t="str">
        <f>""</f>
        <v/>
      </c>
      <c r="CU413" t="str">
        <f>""</f>
        <v/>
      </c>
      <c r="CV413" t="str">
        <f>""</f>
        <v/>
      </c>
      <c r="CW413" t="str">
        <f>""</f>
        <v/>
      </c>
      <c r="CX413" t="str">
        <f>""</f>
        <v/>
      </c>
      <c r="CY413" t="str">
        <f>""</f>
        <v/>
      </c>
      <c r="CZ413" t="str">
        <f>""</f>
        <v/>
      </c>
      <c r="DA413" t="str">
        <f>""</f>
        <v/>
      </c>
      <c r="DB413" t="str">
        <f>""</f>
        <v/>
      </c>
      <c r="DC413" t="str">
        <f>""</f>
        <v/>
      </c>
      <c r="DD413" t="str">
        <f>""</f>
        <v/>
      </c>
      <c r="DE413" t="str">
        <f>""</f>
        <v/>
      </c>
      <c r="DF413" t="str">
        <f>""</f>
        <v/>
      </c>
      <c r="DG413" t="str">
        <f>""</f>
        <v/>
      </c>
      <c r="DH413" t="str">
        <f>""</f>
        <v/>
      </c>
      <c r="DI413" t="str">
        <f>""</f>
        <v/>
      </c>
      <c r="DJ413" t="str">
        <f>""</f>
        <v/>
      </c>
      <c r="DK413" t="str">
        <f>""</f>
        <v/>
      </c>
      <c r="DL413" t="str">
        <f>""</f>
        <v/>
      </c>
      <c r="DM413" t="str">
        <f>""</f>
        <v/>
      </c>
      <c r="DN413" t="str">
        <f>""</f>
        <v/>
      </c>
      <c r="DO413" t="str">
        <f>""</f>
        <v/>
      </c>
      <c r="DP413" t="str">
        <f>""</f>
        <v/>
      </c>
      <c r="DQ413" t="str">
        <f>""</f>
        <v/>
      </c>
      <c r="DR413" t="str">
        <f>""</f>
        <v/>
      </c>
      <c r="DS413" t="str">
        <f>""</f>
        <v/>
      </c>
      <c r="DT413" t="str">
        <f>""</f>
        <v/>
      </c>
      <c r="DU413" t="str">
        <f>""</f>
        <v/>
      </c>
    </row>
    <row r="414" spans="1:125">
      <c r="A414" t="str">
        <f>$A$101</f>
        <v xml:space="preserve">    SL Green Realty Corp</v>
      </c>
      <c r="B414" t="str">
        <f>$B$101</f>
        <v>SLG US Equity</v>
      </c>
      <c r="C414" t="str">
        <f>$C$101</f>
        <v>F0578</v>
      </c>
      <c r="D414" t="str">
        <f>$D$101</f>
        <v>FUNDS_AVAILABLE_FOR_DISTRIBUTION</v>
      </c>
      <c r="E414" t="str">
        <f>$E$101</f>
        <v>动态</v>
      </c>
      <c r="F414" t="str">
        <f ca="1">BDH($B$101,$C$101,$B$292,$B$293,CONCATENATE("Per=",$B$290),"Dts=H","Dir=H",CONCATENATE("Points=",$B$291),"Sort=R","Days=A","Fill=B",CONCATENATE("FX=", $B$289) )</f>
        <v>#N/A Authorization</v>
      </c>
      <c r="BN414" t="str">
        <f>""</f>
        <v/>
      </c>
      <c r="BO414" t="str">
        <f>""</f>
        <v/>
      </c>
      <c r="BP414" t="str">
        <f>""</f>
        <v/>
      </c>
      <c r="BQ414" t="str">
        <f>""</f>
        <v/>
      </c>
      <c r="BR414" t="str">
        <f>""</f>
        <v/>
      </c>
      <c r="BS414" t="str">
        <f>""</f>
        <v/>
      </c>
      <c r="BT414" t="str">
        <f>""</f>
        <v/>
      </c>
      <c r="BU414" t="str">
        <f>""</f>
        <v/>
      </c>
      <c r="BV414" t="str">
        <f>""</f>
        <v/>
      </c>
      <c r="BW414" t="str">
        <f>""</f>
        <v/>
      </c>
      <c r="BX414" t="str">
        <f>""</f>
        <v/>
      </c>
      <c r="BY414" t="str">
        <f>""</f>
        <v/>
      </c>
      <c r="BZ414" t="str">
        <f>""</f>
        <v/>
      </c>
      <c r="CA414" t="str">
        <f>""</f>
        <v/>
      </c>
      <c r="CB414" t="str">
        <f>""</f>
        <v/>
      </c>
      <c r="CC414" t="str">
        <f>""</f>
        <v/>
      </c>
      <c r="CD414" t="str">
        <f>""</f>
        <v/>
      </c>
      <c r="CE414" t="str">
        <f>""</f>
        <v/>
      </c>
      <c r="CF414" t="str">
        <f>""</f>
        <v/>
      </c>
      <c r="CG414" t="str">
        <f>""</f>
        <v/>
      </c>
      <c r="CH414" t="str">
        <f>""</f>
        <v/>
      </c>
      <c r="CI414" t="str">
        <f>""</f>
        <v/>
      </c>
      <c r="CJ414" t="str">
        <f>""</f>
        <v/>
      </c>
      <c r="CK414" t="str">
        <f>""</f>
        <v/>
      </c>
      <c r="CL414" t="str">
        <f>""</f>
        <v/>
      </c>
      <c r="CM414" t="str">
        <f>""</f>
        <v/>
      </c>
      <c r="CN414" t="str">
        <f>""</f>
        <v/>
      </c>
      <c r="CO414" t="str">
        <f>""</f>
        <v/>
      </c>
      <c r="CP414" t="str">
        <f>""</f>
        <v/>
      </c>
      <c r="CQ414" t="str">
        <f>""</f>
        <v/>
      </c>
      <c r="CR414" t="str">
        <f>""</f>
        <v/>
      </c>
      <c r="CS414" t="str">
        <f>""</f>
        <v/>
      </c>
      <c r="CT414" t="str">
        <f>""</f>
        <v/>
      </c>
      <c r="CU414" t="str">
        <f>""</f>
        <v/>
      </c>
      <c r="CV414" t="str">
        <f>""</f>
        <v/>
      </c>
      <c r="CW414" t="str">
        <f>""</f>
        <v/>
      </c>
      <c r="CX414" t="str">
        <f>""</f>
        <v/>
      </c>
      <c r="CY414" t="str">
        <f>""</f>
        <v/>
      </c>
      <c r="CZ414" t="str">
        <f>""</f>
        <v/>
      </c>
      <c r="DA414" t="str">
        <f>""</f>
        <v/>
      </c>
      <c r="DB414" t="str">
        <f>""</f>
        <v/>
      </c>
      <c r="DC414" t="str">
        <f>""</f>
        <v/>
      </c>
      <c r="DD414" t="str">
        <f>""</f>
        <v/>
      </c>
      <c r="DE414" t="str">
        <f>""</f>
        <v/>
      </c>
      <c r="DF414" t="str">
        <f>""</f>
        <v/>
      </c>
      <c r="DG414" t="str">
        <f>""</f>
        <v/>
      </c>
      <c r="DH414" t="str">
        <f>""</f>
        <v/>
      </c>
      <c r="DI414" t="str">
        <f>""</f>
        <v/>
      </c>
      <c r="DJ414" t="str">
        <f>""</f>
        <v/>
      </c>
      <c r="DK414" t="str">
        <f>""</f>
        <v/>
      </c>
      <c r="DL414" t="str">
        <f>""</f>
        <v/>
      </c>
      <c r="DM414" t="str">
        <f>""</f>
        <v/>
      </c>
      <c r="DN414" t="str">
        <f>""</f>
        <v/>
      </c>
      <c r="DO414" t="str">
        <f>""</f>
        <v/>
      </c>
      <c r="DP414" t="str">
        <f>""</f>
        <v/>
      </c>
      <c r="DQ414" t="str">
        <f>""</f>
        <v/>
      </c>
      <c r="DR414" t="str">
        <f>""</f>
        <v/>
      </c>
      <c r="DS414" t="str">
        <f>""</f>
        <v/>
      </c>
      <c r="DT414" t="str">
        <f>""</f>
        <v/>
      </c>
      <c r="DU414" t="str">
        <f>""</f>
        <v/>
      </c>
    </row>
    <row r="415" spans="1:125">
      <c r="A415" t="str">
        <f>$A$102</f>
        <v xml:space="preserve">    Vornado Realty Trust</v>
      </c>
      <c r="B415" t="str">
        <f>$B$102</f>
        <v>VNO US Equity</v>
      </c>
      <c r="C415" t="str">
        <f>$C$102</f>
        <v>F0578</v>
      </c>
      <c r="D415" t="str">
        <f>$D$102</f>
        <v>FUNDS_AVAILABLE_FOR_DISTRIBUTION</v>
      </c>
      <c r="E415" t="str">
        <f>$E$102</f>
        <v>动态</v>
      </c>
      <c r="F415" t="str">
        <f ca="1">BDH($B$102,$C$102,$B$292,$B$293,CONCATENATE("Per=",$B$290),"Dts=H","Dir=H",CONCATENATE("Points=",$B$291),"Sort=R","Days=A","Fill=B",CONCATENATE("FX=", $B$289) )</f>
        <v>#N/A Authorization</v>
      </c>
      <c r="BN415" t="str">
        <f>""</f>
        <v/>
      </c>
      <c r="BO415" t="str">
        <f>""</f>
        <v/>
      </c>
      <c r="BP415" t="str">
        <f>""</f>
        <v/>
      </c>
      <c r="BQ415" t="str">
        <f>""</f>
        <v/>
      </c>
      <c r="BR415" t="str">
        <f>""</f>
        <v/>
      </c>
      <c r="BS415" t="str">
        <f>""</f>
        <v/>
      </c>
      <c r="BT415" t="str">
        <f>""</f>
        <v/>
      </c>
      <c r="BU415" t="str">
        <f>""</f>
        <v/>
      </c>
      <c r="BV415" t="str">
        <f>""</f>
        <v/>
      </c>
      <c r="BW415" t="str">
        <f>""</f>
        <v/>
      </c>
      <c r="BX415" t="str">
        <f>""</f>
        <v/>
      </c>
      <c r="BY415" t="str">
        <f>""</f>
        <v/>
      </c>
      <c r="BZ415" t="str">
        <f>""</f>
        <v/>
      </c>
      <c r="CA415" t="str">
        <f>""</f>
        <v/>
      </c>
      <c r="CB415" t="str">
        <f>""</f>
        <v/>
      </c>
      <c r="CC415" t="str">
        <f>""</f>
        <v/>
      </c>
      <c r="CD415" t="str">
        <f>""</f>
        <v/>
      </c>
      <c r="CE415" t="str">
        <f>""</f>
        <v/>
      </c>
      <c r="CF415" t="str">
        <f>""</f>
        <v/>
      </c>
      <c r="CG415" t="str">
        <f>""</f>
        <v/>
      </c>
      <c r="CH415" t="str">
        <f>""</f>
        <v/>
      </c>
      <c r="CI415" t="str">
        <f>""</f>
        <v/>
      </c>
      <c r="CJ415" t="str">
        <f>""</f>
        <v/>
      </c>
      <c r="CK415" t="str">
        <f>""</f>
        <v/>
      </c>
      <c r="CL415" t="str">
        <f>""</f>
        <v/>
      </c>
      <c r="CM415" t="str">
        <f>""</f>
        <v/>
      </c>
      <c r="CN415" t="str">
        <f>""</f>
        <v/>
      </c>
      <c r="CO415" t="str">
        <f>""</f>
        <v/>
      </c>
      <c r="CP415" t="str">
        <f>""</f>
        <v/>
      </c>
      <c r="CQ415" t="str">
        <f>""</f>
        <v/>
      </c>
      <c r="CR415" t="str">
        <f>""</f>
        <v/>
      </c>
      <c r="CS415" t="str">
        <f>""</f>
        <v/>
      </c>
      <c r="CT415" t="str">
        <f>""</f>
        <v/>
      </c>
      <c r="CU415" t="str">
        <f>""</f>
        <v/>
      </c>
      <c r="CV415" t="str">
        <f>""</f>
        <v/>
      </c>
      <c r="CW415" t="str">
        <f>""</f>
        <v/>
      </c>
      <c r="CX415" t="str">
        <f>""</f>
        <v/>
      </c>
      <c r="CY415" t="str">
        <f>""</f>
        <v/>
      </c>
      <c r="CZ415" t="str">
        <f>""</f>
        <v/>
      </c>
      <c r="DA415" t="str">
        <f>""</f>
        <v/>
      </c>
      <c r="DB415" t="str">
        <f>""</f>
        <v/>
      </c>
      <c r="DC415" t="str">
        <f>""</f>
        <v/>
      </c>
      <c r="DD415" t="str">
        <f>""</f>
        <v/>
      </c>
      <c r="DE415" t="str">
        <f>""</f>
        <v/>
      </c>
      <c r="DF415" t="str">
        <f>""</f>
        <v/>
      </c>
      <c r="DG415" t="str">
        <f>""</f>
        <v/>
      </c>
      <c r="DH415" t="str">
        <f>""</f>
        <v/>
      </c>
      <c r="DI415" t="str">
        <f>""</f>
        <v/>
      </c>
      <c r="DJ415" t="str">
        <f>""</f>
        <v/>
      </c>
      <c r="DK415" t="str">
        <f>""</f>
        <v/>
      </c>
      <c r="DL415" t="str">
        <f>""</f>
        <v/>
      </c>
      <c r="DM415" t="str">
        <f>""</f>
        <v/>
      </c>
      <c r="DN415" t="str">
        <f>""</f>
        <v/>
      </c>
      <c r="DO415" t="str">
        <f>""</f>
        <v/>
      </c>
      <c r="DP415" t="str">
        <f>""</f>
        <v/>
      </c>
      <c r="DQ415" t="str">
        <f>""</f>
        <v/>
      </c>
      <c r="DR415" t="str">
        <f>""</f>
        <v/>
      </c>
      <c r="DS415" t="str">
        <f>""</f>
        <v/>
      </c>
      <c r="DT415" t="str">
        <f>""</f>
        <v/>
      </c>
      <c r="DU415" t="str">
        <f>""</f>
        <v/>
      </c>
    </row>
    <row r="416" spans="1:125">
      <c r="A416" t="str">
        <f>$A$104</f>
        <v xml:space="preserve">    Boston Properties Inc</v>
      </c>
      <c r="B416" t="str">
        <f>$B$104</f>
        <v>BXP US Equity</v>
      </c>
      <c r="C416" t="str">
        <f>$C$104</f>
        <v>RR033</v>
      </c>
      <c r="D416" t="str">
        <f>$D$104</f>
        <v>SALES_GROWTH</v>
      </c>
      <c r="E416" t="str">
        <f>$E$104</f>
        <v>动态</v>
      </c>
      <c r="F416" t="str">
        <f ca="1">BDH($B$104,$C$104,$B$292,$B$293,CONCATENATE("Per=",$B$290),"Dts=H","Dir=H",CONCATENATE("Points=",$B$291),"Sort=R","Days=A","Fill=B",CONCATENATE("FX=", $B$289) )</f>
        <v>#N/A Authorization</v>
      </c>
      <c r="BN416" t="str">
        <f>""</f>
        <v/>
      </c>
      <c r="BO416" t="str">
        <f>""</f>
        <v/>
      </c>
      <c r="BP416" t="str">
        <f>""</f>
        <v/>
      </c>
      <c r="BQ416" t="str">
        <f>""</f>
        <v/>
      </c>
      <c r="BR416" t="str">
        <f>""</f>
        <v/>
      </c>
      <c r="BS416" t="str">
        <f>""</f>
        <v/>
      </c>
      <c r="BT416" t="str">
        <f>""</f>
        <v/>
      </c>
      <c r="BU416" t="str">
        <f>""</f>
        <v/>
      </c>
      <c r="BV416" t="str">
        <f>""</f>
        <v/>
      </c>
      <c r="BW416" t="str">
        <f>""</f>
        <v/>
      </c>
      <c r="BX416" t="str">
        <f>""</f>
        <v/>
      </c>
      <c r="BY416" t="str">
        <f>""</f>
        <v/>
      </c>
      <c r="BZ416" t="str">
        <f>""</f>
        <v/>
      </c>
      <c r="CA416" t="str">
        <f>""</f>
        <v/>
      </c>
      <c r="CB416" t="str">
        <f>""</f>
        <v/>
      </c>
      <c r="CC416" t="str">
        <f>""</f>
        <v/>
      </c>
      <c r="CD416" t="str">
        <f>""</f>
        <v/>
      </c>
      <c r="CE416" t="str">
        <f>""</f>
        <v/>
      </c>
      <c r="CF416" t="str">
        <f>""</f>
        <v/>
      </c>
      <c r="CG416" t="str">
        <f>""</f>
        <v/>
      </c>
      <c r="CH416" t="str">
        <f>""</f>
        <v/>
      </c>
      <c r="CI416" t="str">
        <f>""</f>
        <v/>
      </c>
      <c r="CJ416" t="str">
        <f>""</f>
        <v/>
      </c>
      <c r="CK416" t="str">
        <f>""</f>
        <v/>
      </c>
      <c r="CL416" t="str">
        <f>""</f>
        <v/>
      </c>
      <c r="CM416" t="str">
        <f>""</f>
        <v/>
      </c>
      <c r="CN416" t="str">
        <f>""</f>
        <v/>
      </c>
      <c r="CO416" t="str">
        <f>""</f>
        <v/>
      </c>
      <c r="CP416" t="str">
        <f>""</f>
        <v/>
      </c>
      <c r="CQ416" t="str">
        <f>""</f>
        <v/>
      </c>
      <c r="CR416" t="str">
        <f>""</f>
        <v/>
      </c>
      <c r="CS416" t="str">
        <f>""</f>
        <v/>
      </c>
      <c r="CT416" t="str">
        <f>""</f>
        <v/>
      </c>
      <c r="CU416" t="str">
        <f>""</f>
        <v/>
      </c>
      <c r="CV416" t="str">
        <f>""</f>
        <v/>
      </c>
      <c r="CW416" t="str">
        <f>""</f>
        <v/>
      </c>
      <c r="CX416" t="str">
        <f>""</f>
        <v/>
      </c>
      <c r="CY416" t="str">
        <f>""</f>
        <v/>
      </c>
      <c r="CZ416" t="str">
        <f>""</f>
        <v/>
      </c>
      <c r="DA416" t="str">
        <f>""</f>
        <v/>
      </c>
      <c r="DB416" t="str">
        <f>""</f>
        <v/>
      </c>
      <c r="DC416" t="str">
        <f>""</f>
        <v/>
      </c>
      <c r="DD416" t="str">
        <f>""</f>
        <v/>
      </c>
      <c r="DE416" t="str">
        <f>""</f>
        <v/>
      </c>
      <c r="DF416" t="str">
        <f>""</f>
        <v/>
      </c>
      <c r="DG416" t="str">
        <f>""</f>
        <v/>
      </c>
      <c r="DH416" t="str">
        <f>""</f>
        <v/>
      </c>
      <c r="DI416" t="str">
        <f>""</f>
        <v/>
      </c>
      <c r="DJ416" t="str">
        <f>""</f>
        <v/>
      </c>
      <c r="DK416" t="str">
        <f>""</f>
        <v/>
      </c>
      <c r="DL416" t="str">
        <f>""</f>
        <v/>
      </c>
      <c r="DM416" t="str">
        <f>""</f>
        <v/>
      </c>
      <c r="DN416" t="str">
        <f>""</f>
        <v/>
      </c>
      <c r="DO416" t="str">
        <f>""</f>
        <v/>
      </c>
      <c r="DP416" t="str">
        <f>""</f>
        <v/>
      </c>
      <c r="DQ416" t="str">
        <f>""</f>
        <v/>
      </c>
      <c r="DR416" t="str">
        <f>""</f>
        <v/>
      </c>
      <c r="DS416" t="str">
        <f>""</f>
        <v/>
      </c>
      <c r="DT416" t="str">
        <f>""</f>
        <v/>
      </c>
      <c r="DU416" t="str">
        <f>""</f>
        <v/>
      </c>
    </row>
    <row r="417" spans="1:125">
      <c r="A417" t="str">
        <f>$A$105</f>
        <v xml:space="preserve">    Brandywine Realty Trust</v>
      </c>
      <c r="B417" t="str">
        <f>$B$105</f>
        <v>BDN US Equity</v>
      </c>
      <c r="C417" t="str">
        <f>$C$105</f>
        <v>RR033</v>
      </c>
      <c r="D417" t="str">
        <f>$D$105</f>
        <v>SALES_GROWTH</v>
      </c>
      <c r="E417" t="str">
        <f>$E$105</f>
        <v>动态</v>
      </c>
      <c r="F417" t="str">
        <f ca="1">BDH($B$105,$C$105,$B$292,$B$293,CONCATENATE("Per=",$B$290),"Dts=H","Dir=H",CONCATENATE("Points=",$B$291),"Sort=R","Days=A","Fill=B",CONCATENATE("FX=", $B$289) )</f>
        <v>#N/A Authorization</v>
      </c>
      <c r="BN417" t="str">
        <f>""</f>
        <v/>
      </c>
      <c r="BO417" t="str">
        <f>""</f>
        <v/>
      </c>
      <c r="BP417" t="str">
        <f>""</f>
        <v/>
      </c>
      <c r="BQ417" t="str">
        <f>""</f>
        <v/>
      </c>
      <c r="BR417" t="str">
        <f>""</f>
        <v/>
      </c>
      <c r="BS417" t="str">
        <f>""</f>
        <v/>
      </c>
      <c r="BT417" t="str">
        <f>""</f>
        <v/>
      </c>
      <c r="BU417" t="str">
        <f>""</f>
        <v/>
      </c>
      <c r="BV417" t="str">
        <f>""</f>
        <v/>
      </c>
      <c r="BW417" t="str">
        <f>""</f>
        <v/>
      </c>
      <c r="BX417" t="str">
        <f>""</f>
        <v/>
      </c>
      <c r="BY417" t="str">
        <f>""</f>
        <v/>
      </c>
      <c r="BZ417" t="str">
        <f>""</f>
        <v/>
      </c>
      <c r="CA417" t="str">
        <f>""</f>
        <v/>
      </c>
      <c r="CB417" t="str">
        <f>""</f>
        <v/>
      </c>
      <c r="CC417" t="str">
        <f>""</f>
        <v/>
      </c>
      <c r="CD417" t="str">
        <f>""</f>
        <v/>
      </c>
      <c r="CE417" t="str">
        <f>""</f>
        <v/>
      </c>
      <c r="CF417" t="str">
        <f>""</f>
        <v/>
      </c>
      <c r="CG417" t="str">
        <f>""</f>
        <v/>
      </c>
      <c r="CH417" t="str">
        <f>""</f>
        <v/>
      </c>
      <c r="CI417" t="str">
        <f>""</f>
        <v/>
      </c>
      <c r="CJ417" t="str">
        <f>""</f>
        <v/>
      </c>
      <c r="CK417" t="str">
        <f>""</f>
        <v/>
      </c>
      <c r="CL417" t="str">
        <f>""</f>
        <v/>
      </c>
      <c r="CM417" t="str">
        <f>""</f>
        <v/>
      </c>
      <c r="CN417" t="str">
        <f>""</f>
        <v/>
      </c>
      <c r="CO417" t="str">
        <f>""</f>
        <v/>
      </c>
      <c r="CP417" t="str">
        <f>""</f>
        <v/>
      </c>
      <c r="CQ417" t="str">
        <f>""</f>
        <v/>
      </c>
      <c r="CR417" t="str">
        <f>""</f>
        <v/>
      </c>
      <c r="CS417" t="str">
        <f>""</f>
        <v/>
      </c>
      <c r="CT417" t="str">
        <f>""</f>
        <v/>
      </c>
      <c r="CU417" t="str">
        <f>""</f>
        <v/>
      </c>
      <c r="CV417" t="str">
        <f>""</f>
        <v/>
      </c>
      <c r="CW417" t="str">
        <f>""</f>
        <v/>
      </c>
      <c r="CX417" t="str">
        <f>""</f>
        <v/>
      </c>
      <c r="CY417" t="str">
        <f>""</f>
        <v/>
      </c>
      <c r="CZ417" t="str">
        <f>""</f>
        <v/>
      </c>
      <c r="DA417" t="str">
        <f>""</f>
        <v/>
      </c>
      <c r="DB417" t="str">
        <f>""</f>
        <v/>
      </c>
      <c r="DC417" t="str">
        <f>""</f>
        <v/>
      </c>
      <c r="DD417" t="str">
        <f>""</f>
        <v/>
      </c>
      <c r="DE417" t="str">
        <f>""</f>
        <v/>
      </c>
      <c r="DF417" t="str">
        <f>""</f>
        <v/>
      </c>
      <c r="DG417" t="str">
        <f>""</f>
        <v/>
      </c>
      <c r="DH417" t="str">
        <f>""</f>
        <v/>
      </c>
      <c r="DI417" t="str">
        <f>""</f>
        <v/>
      </c>
      <c r="DJ417" t="str">
        <f>""</f>
        <v/>
      </c>
      <c r="DK417" t="str">
        <f>""</f>
        <v/>
      </c>
      <c r="DL417" t="str">
        <f>""</f>
        <v/>
      </c>
      <c r="DM417" t="str">
        <f>""</f>
        <v/>
      </c>
      <c r="DN417" t="str">
        <f>""</f>
        <v/>
      </c>
      <c r="DO417" t="str">
        <f>""</f>
        <v/>
      </c>
      <c r="DP417" t="str">
        <f>""</f>
        <v/>
      </c>
      <c r="DQ417" t="str">
        <f>""</f>
        <v/>
      </c>
      <c r="DR417" t="str">
        <f>""</f>
        <v/>
      </c>
      <c r="DS417" t="str">
        <f>""</f>
        <v/>
      </c>
      <c r="DT417" t="str">
        <f>""</f>
        <v/>
      </c>
      <c r="DU417" t="str">
        <f>""</f>
        <v/>
      </c>
    </row>
    <row r="418" spans="1:125">
      <c r="A418" t="str">
        <f>$A$106</f>
        <v xml:space="preserve">    Columbia Property Trust Inc</v>
      </c>
      <c r="B418" t="str">
        <f>$B$106</f>
        <v>CXP US Equity</v>
      </c>
      <c r="C418" t="str">
        <f>$C$106</f>
        <v>RR033</v>
      </c>
      <c r="D418" t="str">
        <f>$D$106</f>
        <v>SALES_GROWTH</v>
      </c>
      <c r="E418" t="str">
        <f>$E$106</f>
        <v>动态</v>
      </c>
      <c r="F418" t="str">
        <f ca="1">BDH($B$106,$C$106,$B$292,$B$293,CONCATENATE("Per=",$B$290),"Dts=H","Dir=H",CONCATENATE("Points=",$B$291),"Sort=R","Days=A","Fill=B",CONCATENATE("FX=", $B$289) )</f>
        <v>#N/A Authorization</v>
      </c>
      <c r="BN418" t="str">
        <f>""</f>
        <v/>
      </c>
      <c r="BO418" t="str">
        <f>""</f>
        <v/>
      </c>
      <c r="BP418" t="str">
        <f>""</f>
        <v/>
      </c>
      <c r="BQ418" t="str">
        <f>""</f>
        <v/>
      </c>
      <c r="BR418" t="str">
        <f>""</f>
        <v/>
      </c>
      <c r="BS418" t="str">
        <f>""</f>
        <v/>
      </c>
      <c r="BT418" t="str">
        <f>""</f>
        <v/>
      </c>
      <c r="BU418" t="str">
        <f>""</f>
        <v/>
      </c>
      <c r="BV418" t="str">
        <f>""</f>
        <v/>
      </c>
      <c r="BW418" t="str">
        <f>""</f>
        <v/>
      </c>
      <c r="BX418" t="str">
        <f>""</f>
        <v/>
      </c>
      <c r="BY418" t="str">
        <f>""</f>
        <v/>
      </c>
      <c r="BZ418" t="str">
        <f>""</f>
        <v/>
      </c>
      <c r="CA418" t="str">
        <f>""</f>
        <v/>
      </c>
      <c r="CB418" t="str">
        <f>""</f>
        <v/>
      </c>
      <c r="CC418" t="str">
        <f>""</f>
        <v/>
      </c>
      <c r="CD418" t="str">
        <f>""</f>
        <v/>
      </c>
      <c r="CE418" t="str">
        <f>""</f>
        <v/>
      </c>
      <c r="CF418" t="str">
        <f>""</f>
        <v/>
      </c>
      <c r="CG418" t="str">
        <f>""</f>
        <v/>
      </c>
      <c r="CH418" t="str">
        <f>""</f>
        <v/>
      </c>
      <c r="CI418" t="str">
        <f>""</f>
        <v/>
      </c>
      <c r="CJ418" t="str">
        <f>""</f>
        <v/>
      </c>
      <c r="CK418" t="str">
        <f>""</f>
        <v/>
      </c>
      <c r="CL418" t="str">
        <f>""</f>
        <v/>
      </c>
      <c r="CM418" t="str">
        <f>""</f>
        <v/>
      </c>
      <c r="CN418" t="str">
        <f>""</f>
        <v/>
      </c>
      <c r="CO418" t="str">
        <f>""</f>
        <v/>
      </c>
      <c r="CP418" t="str">
        <f>""</f>
        <v/>
      </c>
      <c r="CQ418" t="str">
        <f>""</f>
        <v/>
      </c>
      <c r="CR418" t="str">
        <f>""</f>
        <v/>
      </c>
      <c r="CS418" t="str">
        <f>""</f>
        <v/>
      </c>
      <c r="CT418" t="str">
        <f>""</f>
        <v/>
      </c>
      <c r="CU418" t="str">
        <f>""</f>
        <v/>
      </c>
      <c r="CV418" t="str">
        <f>""</f>
        <v/>
      </c>
      <c r="CW418" t="str">
        <f>""</f>
        <v/>
      </c>
      <c r="CX418" t="str">
        <f>""</f>
        <v/>
      </c>
      <c r="CY418" t="str">
        <f>""</f>
        <v/>
      </c>
      <c r="CZ418" t="str">
        <f>""</f>
        <v/>
      </c>
      <c r="DA418" t="str">
        <f>""</f>
        <v/>
      </c>
      <c r="DB418" t="str">
        <f>""</f>
        <v/>
      </c>
      <c r="DC418" t="str">
        <f>""</f>
        <v/>
      </c>
      <c r="DD418" t="str">
        <f>""</f>
        <v/>
      </c>
      <c r="DE418" t="str">
        <f>""</f>
        <v/>
      </c>
      <c r="DF418" t="str">
        <f>""</f>
        <v/>
      </c>
      <c r="DG418" t="str">
        <f>""</f>
        <v/>
      </c>
      <c r="DH418" t="str">
        <f>""</f>
        <v/>
      </c>
      <c r="DI418" t="str">
        <f>""</f>
        <v/>
      </c>
      <c r="DJ418" t="str">
        <f>""</f>
        <v/>
      </c>
      <c r="DK418" t="str">
        <f>""</f>
        <v/>
      </c>
      <c r="DL418" t="str">
        <f>""</f>
        <v/>
      </c>
      <c r="DM418" t="str">
        <f>""</f>
        <v/>
      </c>
      <c r="DN418" t="str">
        <f>""</f>
        <v/>
      </c>
      <c r="DO418" t="str">
        <f>""</f>
        <v/>
      </c>
      <c r="DP418" t="str">
        <f>""</f>
        <v/>
      </c>
      <c r="DQ418" t="str">
        <f>""</f>
        <v/>
      </c>
      <c r="DR418" t="str">
        <f>""</f>
        <v/>
      </c>
      <c r="DS418" t="str">
        <f>""</f>
        <v/>
      </c>
      <c r="DT418" t="str">
        <f>""</f>
        <v/>
      </c>
      <c r="DU418" t="str">
        <f>""</f>
        <v/>
      </c>
    </row>
    <row r="419" spans="1:125">
      <c r="A419" t="str">
        <f>$A$107</f>
        <v xml:space="preserve">    Corporate Office Properties Tr</v>
      </c>
      <c r="B419" t="str">
        <f>$B$107</f>
        <v>OFC US Equity</v>
      </c>
      <c r="C419" t="str">
        <f>$C$107</f>
        <v>RR033</v>
      </c>
      <c r="D419" t="str">
        <f>$D$107</f>
        <v>SALES_GROWTH</v>
      </c>
      <c r="E419" t="str">
        <f>$E$107</f>
        <v>动态</v>
      </c>
      <c r="F419" t="str">
        <f ca="1">BDH($B$107,$C$107,$B$292,$B$293,CONCATENATE("Per=",$B$290),"Dts=H","Dir=H",CONCATENATE("Points=",$B$291),"Sort=R","Days=A","Fill=B",CONCATENATE("FX=", $B$289) )</f>
        <v>#N/A Authorization</v>
      </c>
      <c r="BN419" t="str">
        <f>""</f>
        <v/>
      </c>
      <c r="BO419" t="str">
        <f>""</f>
        <v/>
      </c>
      <c r="BP419" t="str">
        <f>""</f>
        <v/>
      </c>
      <c r="BQ419" t="str">
        <f>""</f>
        <v/>
      </c>
      <c r="BR419" t="str">
        <f>""</f>
        <v/>
      </c>
      <c r="BS419" t="str">
        <f>""</f>
        <v/>
      </c>
      <c r="BT419" t="str">
        <f>""</f>
        <v/>
      </c>
      <c r="BU419" t="str">
        <f>""</f>
        <v/>
      </c>
      <c r="BV419" t="str">
        <f>""</f>
        <v/>
      </c>
      <c r="BW419" t="str">
        <f>""</f>
        <v/>
      </c>
      <c r="BX419" t="str">
        <f>""</f>
        <v/>
      </c>
      <c r="BY419" t="str">
        <f>""</f>
        <v/>
      </c>
      <c r="BZ419" t="str">
        <f>""</f>
        <v/>
      </c>
      <c r="CA419" t="str">
        <f>""</f>
        <v/>
      </c>
      <c r="CB419" t="str">
        <f>""</f>
        <v/>
      </c>
      <c r="CC419" t="str">
        <f>""</f>
        <v/>
      </c>
      <c r="CD419" t="str">
        <f>""</f>
        <v/>
      </c>
      <c r="CE419" t="str">
        <f>""</f>
        <v/>
      </c>
      <c r="CF419" t="str">
        <f>""</f>
        <v/>
      </c>
      <c r="CG419" t="str">
        <f>""</f>
        <v/>
      </c>
      <c r="CH419" t="str">
        <f>""</f>
        <v/>
      </c>
      <c r="CI419" t="str">
        <f>""</f>
        <v/>
      </c>
      <c r="CJ419" t="str">
        <f>""</f>
        <v/>
      </c>
      <c r="CK419" t="str">
        <f>""</f>
        <v/>
      </c>
      <c r="CL419" t="str">
        <f>""</f>
        <v/>
      </c>
      <c r="CM419" t="str">
        <f>""</f>
        <v/>
      </c>
      <c r="CN419" t="str">
        <f>""</f>
        <v/>
      </c>
      <c r="CO419" t="str">
        <f>""</f>
        <v/>
      </c>
      <c r="CP419" t="str">
        <f>""</f>
        <v/>
      </c>
      <c r="CQ419" t="str">
        <f>""</f>
        <v/>
      </c>
      <c r="CR419" t="str">
        <f>""</f>
        <v/>
      </c>
      <c r="CS419" t="str">
        <f>""</f>
        <v/>
      </c>
      <c r="CT419" t="str">
        <f>""</f>
        <v/>
      </c>
      <c r="CU419" t="str">
        <f>""</f>
        <v/>
      </c>
      <c r="CV419" t="str">
        <f>""</f>
        <v/>
      </c>
      <c r="CW419" t="str">
        <f>""</f>
        <v/>
      </c>
      <c r="CX419" t="str">
        <f>""</f>
        <v/>
      </c>
      <c r="CY419" t="str">
        <f>""</f>
        <v/>
      </c>
      <c r="CZ419" t="str">
        <f>""</f>
        <v/>
      </c>
      <c r="DA419" t="str">
        <f>""</f>
        <v/>
      </c>
      <c r="DB419" t="str">
        <f>""</f>
        <v/>
      </c>
      <c r="DC419" t="str">
        <f>""</f>
        <v/>
      </c>
      <c r="DD419" t="str">
        <f>""</f>
        <v/>
      </c>
      <c r="DE419" t="str">
        <f>""</f>
        <v/>
      </c>
      <c r="DF419" t="str">
        <f>""</f>
        <v/>
      </c>
      <c r="DG419" t="str">
        <f>""</f>
        <v/>
      </c>
      <c r="DH419" t="str">
        <f>""</f>
        <v/>
      </c>
      <c r="DI419" t="str">
        <f>""</f>
        <v/>
      </c>
      <c r="DJ419" t="str">
        <f>""</f>
        <v/>
      </c>
      <c r="DK419" t="str">
        <f>""</f>
        <v/>
      </c>
      <c r="DL419" t="str">
        <f>""</f>
        <v/>
      </c>
      <c r="DM419" t="str">
        <f>""</f>
        <v/>
      </c>
      <c r="DN419" t="str">
        <f>""</f>
        <v/>
      </c>
      <c r="DO419" t="str">
        <f>""</f>
        <v/>
      </c>
      <c r="DP419" t="str">
        <f>""</f>
        <v/>
      </c>
      <c r="DQ419" t="str">
        <f>""</f>
        <v/>
      </c>
      <c r="DR419" t="str">
        <f>""</f>
        <v/>
      </c>
      <c r="DS419" t="str">
        <f>""</f>
        <v/>
      </c>
      <c r="DT419" t="str">
        <f>""</f>
        <v/>
      </c>
      <c r="DU419" t="str">
        <f>""</f>
        <v/>
      </c>
    </row>
    <row r="420" spans="1:125">
      <c r="A420" t="str">
        <f>$A$108</f>
        <v xml:space="preserve">    Highwoods Properties Inc</v>
      </c>
      <c r="B420" t="str">
        <f>$B$108</f>
        <v>HIW US Equity</v>
      </c>
      <c r="C420" t="str">
        <f>$C$108</f>
        <v>RR033</v>
      </c>
      <c r="D420" t="str">
        <f>$D$108</f>
        <v>SALES_GROWTH</v>
      </c>
      <c r="E420" t="str">
        <f>$E$108</f>
        <v>动态</v>
      </c>
      <c r="F420" t="str">
        <f ca="1">BDH($B$108,$C$108,$B$292,$B$293,CONCATENATE("Per=",$B$290),"Dts=H","Dir=H",CONCATENATE("Points=",$B$291),"Sort=R","Days=A","Fill=B",CONCATENATE("FX=", $B$289) )</f>
        <v>#N/A Authorization</v>
      </c>
      <c r="BN420" t="str">
        <f>""</f>
        <v/>
      </c>
      <c r="BO420" t="str">
        <f>""</f>
        <v/>
      </c>
      <c r="BP420" t="str">
        <f>""</f>
        <v/>
      </c>
      <c r="BQ420" t="str">
        <f>""</f>
        <v/>
      </c>
      <c r="BR420" t="str">
        <f>""</f>
        <v/>
      </c>
      <c r="BS420" t="str">
        <f>""</f>
        <v/>
      </c>
      <c r="BT420" t="str">
        <f>""</f>
        <v/>
      </c>
      <c r="BU420" t="str">
        <f>""</f>
        <v/>
      </c>
      <c r="BV420" t="str">
        <f>""</f>
        <v/>
      </c>
      <c r="BW420" t="str">
        <f>""</f>
        <v/>
      </c>
      <c r="BX420" t="str">
        <f>""</f>
        <v/>
      </c>
      <c r="BY420" t="str">
        <f>""</f>
        <v/>
      </c>
      <c r="BZ420" t="str">
        <f>""</f>
        <v/>
      </c>
      <c r="CA420" t="str">
        <f>""</f>
        <v/>
      </c>
      <c r="CB420" t="str">
        <f>""</f>
        <v/>
      </c>
      <c r="CC420" t="str">
        <f>""</f>
        <v/>
      </c>
      <c r="CD420" t="str">
        <f>""</f>
        <v/>
      </c>
      <c r="CE420" t="str">
        <f>""</f>
        <v/>
      </c>
      <c r="CF420" t="str">
        <f>""</f>
        <v/>
      </c>
      <c r="CG420" t="str">
        <f>""</f>
        <v/>
      </c>
      <c r="CH420" t="str">
        <f>""</f>
        <v/>
      </c>
      <c r="CI420" t="str">
        <f>""</f>
        <v/>
      </c>
      <c r="CJ420" t="str">
        <f>""</f>
        <v/>
      </c>
      <c r="CK420" t="str">
        <f>""</f>
        <v/>
      </c>
      <c r="CL420" t="str">
        <f>""</f>
        <v/>
      </c>
      <c r="CM420" t="str">
        <f>""</f>
        <v/>
      </c>
      <c r="CN420" t="str">
        <f>""</f>
        <v/>
      </c>
      <c r="CO420" t="str">
        <f>""</f>
        <v/>
      </c>
      <c r="CP420" t="str">
        <f>""</f>
        <v/>
      </c>
      <c r="CQ420" t="str">
        <f>""</f>
        <v/>
      </c>
      <c r="CR420" t="str">
        <f>""</f>
        <v/>
      </c>
      <c r="CS420" t="str">
        <f>""</f>
        <v/>
      </c>
      <c r="CT420" t="str">
        <f>""</f>
        <v/>
      </c>
      <c r="CU420" t="str">
        <f>""</f>
        <v/>
      </c>
      <c r="CV420" t="str">
        <f>""</f>
        <v/>
      </c>
      <c r="CW420" t="str">
        <f>""</f>
        <v/>
      </c>
      <c r="CX420" t="str">
        <f>""</f>
        <v/>
      </c>
      <c r="CY420" t="str">
        <f>""</f>
        <v/>
      </c>
      <c r="CZ420" t="str">
        <f>""</f>
        <v/>
      </c>
      <c r="DA420" t="str">
        <f>""</f>
        <v/>
      </c>
      <c r="DB420" t="str">
        <f>""</f>
        <v/>
      </c>
      <c r="DC420" t="str">
        <f>""</f>
        <v/>
      </c>
      <c r="DD420" t="str">
        <f>""</f>
        <v/>
      </c>
      <c r="DE420" t="str">
        <f>""</f>
        <v/>
      </c>
      <c r="DF420" t="str">
        <f>""</f>
        <v/>
      </c>
      <c r="DG420" t="str">
        <f>""</f>
        <v/>
      </c>
      <c r="DH420" t="str">
        <f>""</f>
        <v/>
      </c>
      <c r="DI420" t="str">
        <f>""</f>
        <v/>
      </c>
      <c r="DJ420" t="str">
        <f>""</f>
        <v/>
      </c>
      <c r="DK420" t="str">
        <f>""</f>
        <v/>
      </c>
      <c r="DL420" t="str">
        <f>""</f>
        <v/>
      </c>
      <c r="DM420" t="str">
        <f>""</f>
        <v/>
      </c>
      <c r="DN420" t="str">
        <f>""</f>
        <v/>
      </c>
      <c r="DO420" t="str">
        <f>""</f>
        <v/>
      </c>
      <c r="DP420" t="str">
        <f>""</f>
        <v/>
      </c>
      <c r="DQ420" t="str">
        <f>""</f>
        <v/>
      </c>
      <c r="DR420" t="str">
        <f>""</f>
        <v/>
      </c>
      <c r="DS420" t="str">
        <f>""</f>
        <v/>
      </c>
      <c r="DT420" t="str">
        <f>""</f>
        <v/>
      </c>
      <c r="DU420" t="str">
        <f>""</f>
        <v/>
      </c>
    </row>
    <row r="421" spans="1:125">
      <c r="A421" t="str">
        <f>$A$109</f>
        <v xml:space="preserve">    Kilroy Realty Corp</v>
      </c>
      <c r="B421" t="str">
        <f>$B$109</f>
        <v>KRC US Equity</v>
      </c>
      <c r="C421" t="str">
        <f>$C$109</f>
        <v>RR033</v>
      </c>
      <c r="D421" t="str">
        <f>$D$109</f>
        <v>SALES_GROWTH</v>
      </c>
      <c r="E421" t="str">
        <f>$E$109</f>
        <v>动态</v>
      </c>
      <c r="F421" t="str">
        <f ca="1">BDH($B$109,$C$109,$B$292,$B$293,CONCATENATE("Per=",$B$290),"Dts=H","Dir=H",CONCATENATE("Points=",$B$291),"Sort=R","Days=A","Fill=B",CONCATENATE("FX=", $B$289) )</f>
        <v>#N/A Authorization</v>
      </c>
      <c r="BN421" t="str">
        <f>""</f>
        <v/>
      </c>
      <c r="BO421" t="str">
        <f>""</f>
        <v/>
      </c>
      <c r="BP421" t="str">
        <f>""</f>
        <v/>
      </c>
      <c r="BQ421" t="str">
        <f>""</f>
        <v/>
      </c>
      <c r="BR421" t="str">
        <f>""</f>
        <v/>
      </c>
      <c r="BS421" t="str">
        <f>""</f>
        <v/>
      </c>
      <c r="BT421" t="str">
        <f>""</f>
        <v/>
      </c>
      <c r="BU421" t="str">
        <f>""</f>
        <v/>
      </c>
      <c r="BV421" t="str">
        <f>""</f>
        <v/>
      </c>
      <c r="BW421" t="str">
        <f>""</f>
        <v/>
      </c>
      <c r="BX421" t="str">
        <f>""</f>
        <v/>
      </c>
      <c r="BY421" t="str">
        <f>""</f>
        <v/>
      </c>
      <c r="BZ421" t="str">
        <f>""</f>
        <v/>
      </c>
      <c r="CA421" t="str">
        <f>""</f>
        <v/>
      </c>
      <c r="CB421" t="str">
        <f>""</f>
        <v/>
      </c>
      <c r="CC421" t="str">
        <f>""</f>
        <v/>
      </c>
      <c r="CD421" t="str">
        <f>""</f>
        <v/>
      </c>
      <c r="CE421" t="str">
        <f>""</f>
        <v/>
      </c>
      <c r="CF421" t="str">
        <f>""</f>
        <v/>
      </c>
      <c r="CG421" t="str">
        <f>""</f>
        <v/>
      </c>
      <c r="CH421" t="str">
        <f>""</f>
        <v/>
      </c>
      <c r="CI421" t="str">
        <f>""</f>
        <v/>
      </c>
      <c r="CJ421" t="str">
        <f>""</f>
        <v/>
      </c>
      <c r="CK421" t="str">
        <f>""</f>
        <v/>
      </c>
      <c r="CL421" t="str">
        <f>""</f>
        <v/>
      </c>
      <c r="CM421" t="str">
        <f>""</f>
        <v/>
      </c>
      <c r="CN421" t="str">
        <f>""</f>
        <v/>
      </c>
      <c r="CO421" t="str">
        <f>""</f>
        <v/>
      </c>
      <c r="CP421" t="str">
        <f>""</f>
        <v/>
      </c>
      <c r="CQ421" t="str">
        <f>""</f>
        <v/>
      </c>
      <c r="CR421" t="str">
        <f>""</f>
        <v/>
      </c>
      <c r="CS421" t="str">
        <f>""</f>
        <v/>
      </c>
      <c r="CT421" t="str">
        <f>""</f>
        <v/>
      </c>
      <c r="CU421" t="str">
        <f>""</f>
        <v/>
      </c>
      <c r="CV421" t="str">
        <f>""</f>
        <v/>
      </c>
      <c r="CW421" t="str">
        <f>""</f>
        <v/>
      </c>
      <c r="CX421" t="str">
        <f>""</f>
        <v/>
      </c>
      <c r="CY421" t="str">
        <f>""</f>
        <v/>
      </c>
      <c r="CZ421" t="str">
        <f>""</f>
        <v/>
      </c>
      <c r="DA421" t="str">
        <f>""</f>
        <v/>
      </c>
      <c r="DB421" t="str">
        <f>""</f>
        <v/>
      </c>
      <c r="DC421" t="str">
        <f>""</f>
        <v/>
      </c>
      <c r="DD421" t="str">
        <f>""</f>
        <v/>
      </c>
      <c r="DE421" t="str">
        <f>""</f>
        <v/>
      </c>
      <c r="DF421" t="str">
        <f>""</f>
        <v/>
      </c>
      <c r="DG421" t="str">
        <f>""</f>
        <v/>
      </c>
      <c r="DH421" t="str">
        <f>""</f>
        <v/>
      </c>
      <c r="DI421" t="str">
        <f>""</f>
        <v/>
      </c>
      <c r="DJ421" t="str">
        <f>""</f>
        <v/>
      </c>
      <c r="DK421" t="str">
        <f>""</f>
        <v/>
      </c>
      <c r="DL421" t="str">
        <f>""</f>
        <v/>
      </c>
      <c r="DM421" t="str">
        <f>""</f>
        <v/>
      </c>
      <c r="DN421" t="str">
        <f>""</f>
        <v/>
      </c>
      <c r="DO421" t="str">
        <f>""</f>
        <v/>
      </c>
      <c r="DP421" t="str">
        <f>""</f>
        <v/>
      </c>
      <c r="DQ421" t="str">
        <f>""</f>
        <v/>
      </c>
      <c r="DR421" t="str">
        <f>""</f>
        <v/>
      </c>
      <c r="DS421" t="str">
        <f>""</f>
        <v/>
      </c>
      <c r="DT421" t="str">
        <f>""</f>
        <v/>
      </c>
      <c r="DU421" t="str">
        <f>""</f>
        <v/>
      </c>
    </row>
    <row r="422" spans="1:125">
      <c r="A422" t="str">
        <f>$A$110</f>
        <v xml:space="preserve">    Mack-Cali Realty Corp</v>
      </c>
      <c r="B422" t="str">
        <f>$B$110</f>
        <v>CLI US Equity</v>
      </c>
      <c r="C422" t="str">
        <f>$C$110</f>
        <v>RR033</v>
      </c>
      <c r="D422" t="str">
        <f>$D$110</f>
        <v>SALES_GROWTH</v>
      </c>
      <c r="E422" t="str">
        <f>$E$110</f>
        <v>动态</v>
      </c>
      <c r="F422" t="str">
        <f ca="1">BDH($B$110,$C$110,$B$292,$B$293,CONCATENATE("Per=",$B$290),"Dts=H","Dir=H",CONCATENATE("Points=",$B$291),"Sort=R","Days=A","Fill=B",CONCATENATE("FX=", $B$289) )</f>
        <v>#N/A Authorization</v>
      </c>
      <c r="BN422" t="str">
        <f>""</f>
        <v/>
      </c>
      <c r="BO422" t="str">
        <f>""</f>
        <v/>
      </c>
      <c r="BP422" t="str">
        <f>""</f>
        <v/>
      </c>
      <c r="BQ422" t="str">
        <f>""</f>
        <v/>
      </c>
      <c r="BR422" t="str">
        <f>""</f>
        <v/>
      </c>
      <c r="BS422" t="str">
        <f>""</f>
        <v/>
      </c>
      <c r="BT422" t="str">
        <f>""</f>
        <v/>
      </c>
      <c r="BU422" t="str">
        <f>""</f>
        <v/>
      </c>
      <c r="BV422" t="str">
        <f>""</f>
        <v/>
      </c>
      <c r="BW422" t="str">
        <f>""</f>
        <v/>
      </c>
      <c r="BX422" t="str">
        <f>""</f>
        <v/>
      </c>
      <c r="BY422" t="str">
        <f>""</f>
        <v/>
      </c>
      <c r="BZ422" t="str">
        <f>""</f>
        <v/>
      </c>
      <c r="CA422" t="str">
        <f>""</f>
        <v/>
      </c>
      <c r="CB422" t="str">
        <f>""</f>
        <v/>
      </c>
      <c r="CC422" t="str">
        <f>""</f>
        <v/>
      </c>
      <c r="CD422" t="str">
        <f>""</f>
        <v/>
      </c>
      <c r="CE422" t="str">
        <f>""</f>
        <v/>
      </c>
      <c r="CF422" t="str">
        <f>""</f>
        <v/>
      </c>
      <c r="CG422" t="str">
        <f>""</f>
        <v/>
      </c>
      <c r="CH422" t="str">
        <f>""</f>
        <v/>
      </c>
      <c r="CI422" t="str">
        <f>""</f>
        <v/>
      </c>
      <c r="CJ422" t="str">
        <f>""</f>
        <v/>
      </c>
      <c r="CK422" t="str">
        <f>""</f>
        <v/>
      </c>
      <c r="CL422" t="str">
        <f>""</f>
        <v/>
      </c>
      <c r="CM422" t="str">
        <f>""</f>
        <v/>
      </c>
      <c r="CN422" t="str">
        <f>""</f>
        <v/>
      </c>
      <c r="CO422" t="str">
        <f>""</f>
        <v/>
      </c>
      <c r="CP422" t="str">
        <f>""</f>
        <v/>
      </c>
      <c r="CQ422" t="str">
        <f>""</f>
        <v/>
      </c>
      <c r="CR422" t="str">
        <f>""</f>
        <v/>
      </c>
      <c r="CS422" t="str">
        <f>""</f>
        <v/>
      </c>
      <c r="CT422" t="str">
        <f>""</f>
        <v/>
      </c>
      <c r="CU422" t="str">
        <f>""</f>
        <v/>
      </c>
      <c r="CV422" t="str">
        <f>""</f>
        <v/>
      </c>
      <c r="CW422" t="str">
        <f>""</f>
        <v/>
      </c>
      <c r="CX422" t="str">
        <f>""</f>
        <v/>
      </c>
      <c r="CY422" t="str">
        <f>""</f>
        <v/>
      </c>
      <c r="CZ422" t="str">
        <f>""</f>
        <v/>
      </c>
      <c r="DA422" t="str">
        <f>""</f>
        <v/>
      </c>
      <c r="DB422" t="str">
        <f>""</f>
        <v/>
      </c>
      <c r="DC422" t="str">
        <f>""</f>
        <v/>
      </c>
      <c r="DD422" t="str">
        <f>""</f>
        <v/>
      </c>
      <c r="DE422" t="str">
        <f>""</f>
        <v/>
      </c>
      <c r="DF422" t="str">
        <f>""</f>
        <v/>
      </c>
      <c r="DG422" t="str">
        <f>""</f>
        <v/>
      </c>
      <c r="DH422" t="str">
        <f>""</f>
        <v/>
      </c>
      <c r="DI422" t="str">
        <f>""</f>
        <v/>
      </c>
      <c r="DJ422" t="str">
        <f>""</f>
        <v/>
      </c>
      <c r="DK422" t="str">
        <f>""</f>
        <v/>
      </c>
      <c r="DL422" t="str">
        <f>""</f>
        <v/>
      </c>
      <c r="DM422" t="str">
        <f>""</f>
        <v/>
      </c>
      <c r="DN422" t="str">
        <f>""</f>
        <v/>
      </c>
      <c r="DO422" t="str">
        <f>""</f>
        <v/>
      </c>
      <c r="DP422" t="str">
        <f>""</f>
        <v/>
      </c>
      <c r="DQ422" t="str">
        <f>""</f>
        <v/>
      </c>
      <c r="DR422" t="str">
        <f>""</f>
        <v/>
      </c>
      <c r="DS422" t="str">
        <f>""</f>
        <v/>
      </c>
      <c r="DT422" t="str">
        <f>""</f>
        <v/>
      </c>
      <c r="DU422" t="str">
        <f>""</f>
        <v/>
      </c>
    </row>
    <row r="423" spans="1:125">
      <c r="A423" t="str">
        <f>$A$111</f>
        <v xml:space="preserve">    Piedmont Office Realty Trust I</v>
      </c>
      <c r="B423" t="str">
        <f>$B$111</f>
        <v>PDM US Equity</v>
      </c>
      <c r="C423" t="str">
        <f>$C$111</f>
        <v>RR033</v>
      </c>
      <c r="D423" t="str">
        <f>$D$111</f>
        <v>SALES_GROWTH</v>
      </c>
      <c r="E423" t="str">
        <f>$E$111</f>
        <v>动态</v>
      </c>
      <c r="F423" t="str">
        <f ca="1">BDH($B$111,$C$111,$B$292,$B$293,CONCATENATE("Per=",$B$290),"Dts=H","Dir=H",CONCATENATE("Points=",$B$291),"Sort=R","Days=A","Fill=B",CONCATENATE("FX=", $B$289) )</f>
        <v>#N/A Authorization</v>
      </c>
      <c r="BN423" t="str">
        <f>""</f>
        <v/>
      </c>
      <c r="BO423" t="str">
        <f>""</f>
        <v/>
      </c>
      <c r="BP423" t="str">
        <f>""</f>
        <v/>
      </c>
      <c r="BQ423" t="str">
        <f>""</f>
        <v/>
      </c>
      <c r="BR423" t="str">
        <f>""</f>
        <v/>
      </c>
      <c r="BS423" t="str">
        <f>""</f>
        <v/>
      </c>
      <c r="BT423" t="str">
        <f>""</f>
        <v/>
      </c>
      <c r="BU423" t="str">
        <f>""</f>
        <v/>
      </c>
      <c r="BV423" t="str">
        <f>""</f>
        <v/>
      </c>
      <c r="BW423" t="str">
        <f>""</f>
        <v/>
      </c>
      <c r="BX423" t="str">
        <f>""</f>
        <v/>
      </c>
      <c r="BY423" t="str">
        <f>""</f>
        <v/>
      </c>
      <c r="BZ423" t="str">
        <f>""</f>
        <v/>
      </c>
      <c r="CA423" t="str">
        <f>""</f>
        <v/>
      </c>
      <c r="CB423" t="str">
        <f>""</f>
        <v/>
      </c>
      <c r="CC423" t="str">
        <f>""</f>
        <v/>
      </c>
      <c r="CD423" t="str">
        <f>""</f>
        <v/>
      </c>
      <c r="CE423" t="str">
        <f>""</f>
        <v/>
      </c>
      <c r="CF423" t="str">
        <f>""</f>
        <v/>
      </c>
      <c r="CG423" t="str">
        <f>""</f>
        <v/>
      </c>
      <c r="CH423" t="str">
        <f>""</f>
        <v/>
      </c>
      <c r="CI423" t="str">
        <f>""</f>
        <v/>
      </c>
      <c r="CJ423" t="str">
        <f>""</f>
        <v/>
      </c>
      <c r="CK423" t="str">
        <f>""</f>
        <v/>
      </c>
      <c r="CL423" t="str">
        <f>""</f>
        <v/>
      </c>
      <c r="CM423" t="str">
        <f>""</f>
        <v/>
      </c>
      <c r="CN423" t="str">
        <f>""</f>
        <v/>
      </c>
      <c r="CO423" t="str">
        <f>""</f>
        <v/>
      </c>
      <c r="CP423" t="str">
        <f>""</f>
        <v/>
      </c>
      <c r="CQ423" t="str">
        <f>""</f>
        <v/>
      </c>
      <c r="CR423" t="str">
        <f>""</f>
        <v/>
      </c>
      <c r="CS423" t="str">
        <f>""</f>
        <v/>
      </c>
      <c r="CT423" t="str">
        <f>""</f>
        <v/>
      </c>
      <c r="CU423" t="str">
        <f>""</f>
        <v/>
      </c>
      <c r="CV423" t="str">
        <f>""</f>
        <v/>
      </c>
      <c r="CW423" t="str">
        <f>""</f>
        <v/>
      </c>
      <c r="CX423" t="str">
        <f>""</f>
        <v/>
      </c>
      <c r="CY423" t="str">
        <f>""</f>
        <v/>
      </c>
      <c r="CZ423" t="str">
        <f>""</f>
        <v/>
      </c>
      <c r="DA423" t="str">
        <f>""</f>
        <v/>
      </c>
      <c r="DB423" t="str">
        <f>""</f>
        <v/>
      </c>
      <c r="DC423" t="str">
        <f>""</f>
        <v/>
      </c>
      <c r="DD423" t="str">
        <f>""</f>
        <v/>
      </c>
      <c r="DE423" t="str">
        <f>""</f>
        <v/>
      </c>
      <c r="DF423" t="str">
        <f>""</f>
        <v/>
      </c>
      <c r="DG423" t="str">
        <f>""</f>
        <v/>
      </c>
      <c r="DH423" t="str">
        <f>""</f>
        <v/>
      </c>
      <c r="DI423" t="str">
        <f>""</f>
        <v/>
      </c>
      <c r="DJ423" t="str">
        <f>""</f>
        <v/>
      </c>
      <c r="DK423" t="str">
        <f>""</f>
        <v/>
      </c>
      <c r="DL423" t="str">
        <f>""</f>
        <v/>
      </c>
      <c r="DM423" t="str">
        <f>""</f>
        <v/>
      </c>
      <c r="DN423" t="str">
        <f>""</f>
        <v/>
      </c>
      <c r="DO423" t="str">
        <f>""</f>
        <v/>
      </c>
      <c r="DP423" t="str">
        <f>""</f>
        <v/>
      </c>
      <c r="DQ423" t="str">
        <f>""</f>
        <v/>
      </c>
      <c r="DR423" t="str">
        <f>""</f>
        <v/>
      </c>
      <c r="DS423" t="str">
        <f>""</f>
        <v/>
      </c>
      <c r="DT423" t="str">
        <f>""</f>
        <v/>
      </c>
      <c r="DU423" t="str">
        <f>""</f>
        <v/>
      </c>
    </row>
    <row r="424" spans="1:125">
      <c r="A424" t="str">
        <f>$A$112</f>
        <v xml:space="preserve">    SL Green Realty Corp</v>
      </c>
      <c r="B424" t="str">
        <f>$B$112</f>
        <v>SLG US Equity</v>
      </c>
      <c r="C424" t="str">
        <f>$C$112</f>
        <v>RR033</v>
      </c>
      <c r="D424" t="str">
        <f>$D$112</f>
        <v>SALES_GROWTH</v>
      </c>
      <c r="E424" t="str">
        <f>$E$112</f>
        <v>动态</v>
      </c>
      <c r="F424" t="str">
        <f ca="1">BDH($B$112,$C$112,$B$292,$B$293,CONCATENATE("Per=",$B$290),"Dts=H","Dir=H",CONCATENATE("Points=",$B$291),"Sort=R","Days=A","Fill=B",CONCATENATE("FX=", $B$289) )</f>
        <v>#N/A Authorization</v>
      </c>
      <c r="BN424" t="str">
        <f>""</f>
        <v/>
      </c>
      <c r="BO424" t="str">
        <f>""</f>
        <v/>
      </c>
      <c r="BP424" t="str">
        <f>""</f>
        <v/>
      </c>
      <c r="BQ424" t="str">
        <f>""</f>
        <v/>
      </c>
      <c r="BR424" t="str">
        <f>""</f>
        <v/>
      </c>
      <c r="BS424" t="str">
        <f>""</f>
        <v/>
      </c>
      <c r="BT424" t="str">
        <f>""</f>
        <v/>
      </c>
      <c r="BU424" t="str">
        <f>""</f>
        <v/>
      </c>
      <c r="BV424" t="str">
        <f>""</f>
        <v/>
      </c>
      <c r="BW424" t="str">
        <f>""</f>
        <v/>
      </c>
      <c r="BX424" t="str">
        <f>""</f>
        <v/>
      </c>
      <c r="BY424" t="str">
        <f>""</f>
        <v/>
      </c>
      <c r="BZ424" t="str">
        <f>""</f>
        <v/>
      </c>
      <c r="CA424" t="str">
        <f>""</f>
        <v/>
      </c>
      <c r="CB424" t="str">
        <f>""</f>
        <v/>
      </c>
      <c r="CC424" t="str">
        <f>""</f>
        <v/>
      </c>
      <c r="CD424" t="str">
        <f>""</f>
        <v/>
      </c>
      <c r="CE424" t="str">
        <f>""</f>
        <v/>
      </c>
      <c r="CF424" t="str">
        <f>""</f>
        <v/>
      </c>
      <c r="CG424" t="str">
        <f>""</f>
        <v/>
      </c>
      <c r="CH424" t="str">
        <f>""</f>
        <v/>
      </c>
      <c r="CI424" t="str">
        <f>""</f>
        <v/>
      </c>
      <c r="CJ424" t="str">
        <f>""</f>
        <v/>
      </c>
      <c r="CK424" t="str">
        <f>""</f>
        <v/>
      </c>
      <c r="CL424" t="str">
        <f>""</f>
        <v/>
      </c>
      <c r="CM424" t="str">
        <f>""</f>
        <v/>
      </c>
      <c r="CN424" t="str">
        <f>""</f>
        <v/>
      </c>
      <c r="CO424" t="str">
        <f>""</f>
        <v/>
      </c>
      <c r="CP424" t="str">
        <f>""</f>
        <v/>
      </c>
      <c r="CQ424" t="str">
        <f>""</f>
        <v/>
      </c>
      <c r="CR424" t="str">
        <f>""</f>
        <v/>
      </c>
      <c r="CS424" t="str">
        <f>""</f>
        <v/>
      </c>
      <c r="CT424" t="str">
        <f>""</f>
        <v/>
      </c>
      <c r="CU424" t="str">
        <f>""</f>
        <v/>
      </c>
      <c r="CV424" t="str">
        <f>""</f>
        <v/>
      </c>
      <c r="CW424" t="str">
        <f>""</f>
        <v/>
      </c>
      <c r="CX424" t="str">
        <f>""</f>
        <v/>
      </c>
      <c r="CY424" t="str">
        <f>""</f>
        <v/>
      </c>
      <c r="CZ424" t="str">
        <f>""</f>
        <v/>
      </c>
      <c r="DA424" t="str">
        <f>""</f>
        <v/>
      </c>
      <c r="DB424" t="str">
        <f>""</f>
        <v/>
      </c>
      <c r="DC424" t="str">
        <f>""</f>
        <v/>
      </c>
      <c r="DD424" t="str">
        <f>""</f>
        <v/>
      </c>
      <c r="DE424" t="str">
        <f>""</f>
        <v/>
      </c>
      <c r="DF424" t="str">
        <f>""</f>
        <v/>
      </c>
      <c r="DG424" t="str">
        <f>""</f>
        <v/>
      </c>
      <c r="DH424" t="str">
        <f>""</f>
        <v/>
      </c>
      <c r="DI424" t="str">
        <f>""</f>
        <v/>
      </c>
      <c r="DJ424" t="str">
        <f>""</f>
        <v/>
      </c>
      <c r="DK424" t="str">
        <f>""</f>
        <v/>
      </c>
      <c r="DL424" t="str">
        <f>""</f>
        <v/>
      </c>
      <c r="DM424" t="str">
        <f>""</f>
        <v/>
      </c>
      <c r="DN424" t="str">
        <f>""</f>
        <v/>
      </c>
      <c r="DO424" t="str">
        <f>""</f>
        <v/>
      </c>
      <c r="DP424" t="str">
        <f>""</f>
        <v/>
      </c>
      <c r="DQ424" t="str">
        <f>""</f>
        <v/>
      </c>
      <c r="DR424" t="str">
        <f>""</f>
        <v/>
      </c>
      <c r="DS424" t="str">
        <f>""</f>
        <v/>
      </c>
      <c r="DT424" t="str">
        <f>""</f>
        <v/>
      </c>
      <c r="DU424" t="str">
        <f>""</f>
        <v/>
      </c>
    </row>
    <row r="425" spans="1:125">
      <c r="A425" t="str">
        <f>$A$113</f>
        <v xml:space="preserve">    Vornado Realty Trust</v>
      </c>
      <c r="B425" t="str">
        <f>$B$113</f>
        <v>VNO US Equity</v>
      </c>
      <c r="C425" t="str">
        <f>$C$113</f>
        <v>RR033</v>
      </c>
      <c r="D425" t="str">
        <f>$D$113</f>
        <v>SALES_GROWTH</v>
      </c>
      <c r="E425" t="str">
        <f>$E$113</f>
        <v>动态</v>
      </c>
      <c r="F425" t="str">
        <f ca="1">BDH($B$113,$C$113,$B$292,$B$293,CONCATENATE("Per=",$B$290),"Dts=H","Dir=H",CONCATENATE("Points=",$B$291),"Sort=R","Days=A","Fill=B",CONCATENATE("FX=", $B$289) )</f>
        <v>#N/A Authorization</v>
      </c>
      <c r="BN425" t="str">
        <f>""</f>
        <v/>
      </c>
      <c r="BO425" t="str">
        <f>""</f>
        <v/>
      </c>
      <c r="BP425" t="str">
        <f>""</f>
        <v/>
      </c>
      <c r="BQ425" t="str">
        <f>""</f>
        <v/>
      </c>
      <c r="BR425" t="str">
        <f>""</f>
        <v/>
      </c>
      <c r="BS425" t="str">
        <f>""</f>
        <v/>
      </c>
      <c r="BT425" t="str">
        <f>""</f>
        <v/>
      </c>
      <c r="BU425" t="str">
        <f>""</f>
        <v/>
      </c>
      <c r="BV425" t="str">
        <f>""</f>
        <v/>
      </c>
      <c r="BW425" t="str">
        <f>""</f>
        <v/>
      </c>
      <c r="BX425" t="str">
        <f>""</f>
        <v/>
      </c>
      <c r="BY425" t="str">
        <f>""</f>
        <v/>
      </c>
      <c r="BZ425" t="str">
        <f>""</f>
        <v/>
      </c>
      <c r="CA425" t="str">
        <f>""</f>
        <v/>
      </c>
      <c r="CB425" t="str">
        <f>""</f>
        <v/>
      </c>
      <c r="CC425" t="str">
        <f>""</f>
        <v/>
      </c>
      <c r="CD425" t="str">
        <f>""</f>
        <v/>
      </c>
      <c r="CE425" t="str">
        <f>""</f>
        <v/>
      </c>
      <c r="CF425" t="str">
        <f>""</f>
        <v/>
      </c>
      <c r="CG425" t="str">
        <f>""</f>
        <v/>
      </c>
      <c r="CH425" t="str">
        <f>""</f>
        <v/>
      </c>
      <c r="CI425" t="str">
        <f>""</f>
        <v/>
      </c>
      <c r="CJ425" t="str">
        <f>""</f>
        <v/>
      </c>
      <c r="CK425" t="str">
        <f>""</f>
        <v/>
      </c>
      <c r="CL425" t="str">
        <f>""</f>
        <v/>
      </c>
      <c r="CM425" t="str">
        <f>""</f>
        <v/>
      </c>
      <c r="CN425" t="str">
        <f>""</f>
        <v/>
      </c>
      <c r="CO425" t="str">
        <f>""</f>
        <v/>
      </c>
      <c r="CP425" t="str">
        <f>""</f>
        <v/>
      </c>
      <c r="CQ425" t="str">
        <f>""</f>
        <v/>
      </c>
      <c r="CR425" t="str">
        <f>""</f>
        <v/>
      </c>
      <c r="CS425" t="str">
        <f>""</f>
        <v/>
      </c>
      <c r="CT425" t="str">
        <f>""</f>
        <v/>
      </c>
      <c r="CU425" t="str">
        <f>""</f>
        <v/>
      </c>
      <c r="CV425" t="str">
        <f>""</f>
        <v/>
      </c>
      <c r="CW425" t="str">
        <f>""</f>
        <v/>
      </c>
      <c r="CX425" t="str">
        <f>""</f>
        <v/>
      </c>
      <c r="CY425" t="str">
        <f>""</f>
        <v/>
      </c>
      <c r="CZ425" t="str">
        <f>""</f>
        <v/>
      </c>
      <c r="DA425" t="str">
        <f>""</f>
        <v/>
      </c>
      <c r="DB425" t="str">
        <f>""</f>
        <v/>
      </c>
      <c r="DC425" t="str">
        <f>""</f>
        <v/>
      </c>
      <c r="DD425" t="str">
        <f>""</f>
        <v/>
      </c>
      <c r="DE425" t="str">
        <f>""</f>
        <v/>
      </c>
      <c r="DF425" t="str">
        <f>""</f>
        <v/>
      </c>
      <c r="DG425" t="str">
        <f>""</f>
        <v/>
      </c>
      <c r="DH425" t="str">
        <f>""</f>
        <v/>
      </c>
      <c r="DI425" t="str">
        <f>""</f>
        <v/>
      </c>
      <c r="DJ425" t="str">
        <f>""</f>
        <v/>
      </c>
      <c r="DK425" t="str">
        <f>""</f>
        <v/>
      </c>
      <c r="DL425" t="str">
        <f>""</f>
        <v/>
      </c>
      <c r="DM425" t="str">
        <f>""</f>
        <v/>
      </c>
      <c r="DN425" t="str">
        <f>""</f>
        <v/>
      </c>
      <c r="DO425" t="str">
        <f>""</f>
        <v/>
      </c>
      <c r="DP425" t="str">
        <f>""</f>
        <v/>
      </c>
      <c r="DQ425" t="str">
        <f>""</f>
        <v/>
      </c>
      <c r="DR425" t="str">
        <f>""</f>
        <v/>
      </c>
      <c r="DS425" t="str">
        <f>""</f>
        <v/>
      </c>
      <c r="DT425" t="str">
        <f>""</f>
        <v/>
      </c>
      <c r="DU425" t="str">
        <f>""</f>
        <v/>
      </c>
    </row>
    <row r="426" spans="1:125">
      <c r="A426" t="str">
        <f>$A$115</f>
        <v xml:space="preserve">    Boston Properties Inc</v>
      </c>
      <c r="B426" t="str">
        <f>$B$115</f>
        <v>BXP US Equity</v>
      </c>
      <c r="C426" t="str">
        <f>$C$115</f>
        <v>RR551</v>
      </c>
      <c r="D426" t="str">
        <f>$D$115</f>
        <v>NOI_GROWTH</v>
      </c>
      <c r="E426" t="str">
        <f>$E$115</f>
        <v>动态</v>
      </c>
      <c r="F426" t="str">
        <f ca="1">BDH($B$115,$C$115,$B$292,$B$293,CONCATENATE("Per=",$B$290),"Dts=H","Dir=H",CONCATENATE("Points=",$B$291),"Sort=R","Days=A","Fill=B",CONCATENATE("FX=", $B$289) )</f>
        <v>#N/A Authorization</v>
      </c>
      <c r="BN426" t="str">
        <f>""</f>
        <v/>
      </c>
      <c r="BO426" t="str">
        <f>""</f>
        <v/>
      </c>
      <c r="BP426" t="str">
        <f>""</f>
        <v/>
      </c>
      <c r="BQ426" t="str">
        <f>""</f>
        <v/>
      </c>
      <c r="BR426" t="str">
        <f>""</f>
        <v/>
      </c>
      <c r="BS426" t="str">
        <f>""</f>
        <v/>
      </c>
      <c r="BT426" t="str">
        <f>""</f>
        <v/>
      </c>
      <c r="BU426" t="str">
        <f>""</f>
        <v/>
      </c>
      <c r="BV426" t="str">
        <f>""</f>
        <v/>
      </c>
      <c r="BW426" t="str">
        <f>""</f>
        <v/>
      </c>
      <c r="BX426" t="str">
        <f>""</f>
        <v/>
      </c>
      <c r="BY426" t="str">
        <f>""</f>
        <v/>
      </c>
      <c r="BZ426" t="str">
        <f>""</f>
        <v/>
      </c>
      <c r="CA426" t="str">
        <f>""</f>
        <v/>
      </c>
      <c r="CB426" t="str">
        <f>""</f>
        <v/>
      </c>
      <c r="CC426" t="str">
        <f>""</f>
        <v/>
      </c>
      <c r="CD426" t="str">
        <f>""</f>
        <v/>
      </c>
      <c r="CE426" t="str">
        <f>""</f>
        <v/>
      </c>
      <c r="CF426" t="str">
        <f>""</f>
        <v/>
      </c>
      <c r="CG426" t="str">
        <f>""</f>
        <v/>
      </c>
      <c r="CH426" t="str">
        <f>""</f>
        <v/>
      </c>
      <c r="CI426" t="str">
        <f>""</f>
        <v/>
      </c>
      <c r="CJ426" t="str">
        <f>""</f>
        <v/>
      </c>
      <c r="CK426" t="str">
        <f>""</f>
        <v/>
      </c>
      <c r="CL426" t="str">
        <f>""</f>
        <v/>
      </c>
      <c r="CM426" t="str">
        <f>""</f>
        <v/>
      </c>
      <c r="CN426" t="str">
        <f>""</f>
        <v/>
      </c>
      <c r="CO426" t="str">
        <f>""</f>
        <v/>
      </c>
      <c r="CP426" t="str">
        <f>""</f>
        <v/>
      </c>
      <c r="CQ426" t="str">
        <f>""</f>
        <v/>
      </c>
      <c r="CR426" t="str">
        <f>""</f>
        <v/>
      </c>
      <c r="CS426" t="str">
        <f>""</f>
        <v/>
      </c>
      <c r="CT426" t="str">
        <f>""</f>
        <v/>
      </c>
      <c r="CU426" t="str">
        <f>""</f>
        <v/>
      </c>
      <c r="CV426" t="str">
        <f>""</f>
        <v/>
      </c>
      <c r="CW426" t="str">
        <f>""</f>
        <v/>
      </c>
      <c r="CX426" t="str">
        <f>""</f>
        <v/>
      </c>
      <c r="CY426" t="str">
        <f>""</f>
        <v/>
      </c>
      <c r="CZ426" t="str">
        <f>""</f>
        <v/>
      </c>
      <c r="DA426" t="str">
        <f>""</f>
        <v/>
      </c>
      <c r="DB426" t="str">
        <f>""</f>
        <v/>
      </c>
      <c r="DC426" t="str">
        <f>""</f>
        <v/>
      </c>
      <c r="DD426" t="str">
        <f>""</f>
        <v/>
      </c>
      <c r="DE426" t="str">
        <f>""</f>
        <v/>
      </c>
      <c r="DF426" t="str">
        <f>""</f>
        <v/>
      </c>
      <c r="DG426" t="str">
        <f>""</f>
        <v/>
      </c>
      <c r="DH426" t="str">
        <f>""</f>
        <v/>
      </c>
      <c r="DI426" t="str">
        <f>""</f>
        <v/>
      </c>
      <c r="DJ426" t="str">
        <f>""</f>
        <v/>
      </c>
      <c r="DK426" t="str">
        <f>""</f>
        <v/>
      </c>
      <c r="DL426" t="str">
        <f>""</f>
        <v/>
      </c>
      <c r="DM426" t="str">
        <f>""</f>
        <v/>
      </c>
      <c r="DN426" t="str">
        <f>""</f>
        <v/>
      </c>
      <c r="DO426" t="str">
        <f>""</f>
        <v/>
      </c>
      <c r="DP426" t="str">
        <f>""</f>
        <v/>
      </c>
      <c r="DQ426" t="str">
        <f>""</f>
        <v/>
      </c>
      <c r="DR426" t="str">
        <f>""</f>
        <v/>
      </c>
      <c r="DS426" t="str">
        <f>""</f>
        <v/>
      </c>
      <c r="DT426" t="str">
        <f>""</f>
        <v/>
      </c>
      <c r="DU426" t="str">
        <f>""</f>
        <v/>
      </c>
    </row>
    <row r="427" spans="1:125">
      <c r="A427" t="str">
        <f>$A$116</f>
        <v xml:space="preserve">    Brandywine Realty Trust</v>
      </c>
      <c r="B427" t="str">
        <f>$B$116</f>
        <v>BDN US Equity</v>
      </c>
      <c r="C427" t="str">
        <f>$C$116</f>
        <v>RR551</v>
      </c>
      <c r="D427" t="str">
        <f>$D$116</f>
        <v>NOI_GROWTH</v>
      </c>
      <c r="E427" t="str">
        <f>$E$116</f>
        <v>动态</v>
      </c>
      <c r="F427" t="str">
        <f ca="1">BDH($B$116,$C$116,$B$292,$B$293,CONCATENATE("Per=",$B$290),"Dts=H","Dir=H",CONCATENATE("Points=",$B$291),"Sort=R","Days=A","Fill=B",CONCATENATE("FX=", $B$289) )</f>
        <v>#N/A Authorization</v>
      </c>
      <c r="BN427" t="str">
        <f>""</f>
        <v/>
      </c>
      <c r="BO427" t="str">
        <f>""</f>
        <v/>
      </c>
      <c r="BP427" t="str">
        <f>""</f>
        <v/>
      </c>
      <c r="BQ427" t="str">
        <f>""</f>
        <v/>
      </c>
      <c r="BR427" t="str">
        <f>""</f>
        <v/>
      </c>
      <c r="BS427" t="str">
        <f>""</f>
        <v/>
      </c>
      <c r="BT427" t="str">
        <f>""</f>
        <v/>
      </c>
      <c r="BU427" t="str">
        <f>""</f>
        <v/>
      </c>
      <c r="BV427" t="str">
        <f>""</f>
        <v/>
      </c>
      <c r="BW427" t="str">
        <f>""</f>
        <v/>
      </c>
      <c r="BX427" t="str">
        <f>""</f>
        <v/>
      </c>
      <c r="BY427" t="str">
        <f>""</f>
        <v/>
      </c>
      <c r="BZ427" t="str">
        <f>""</f>
        <v/>
      </c>
      <c r="CA427" t="str">
        <f>""</f>
        <v/>
      </c>
      <c r="CB427" t="str">
        <f>""</f>
        <v/>
      </c>
      <c r="CC427" t="str">
        <f>""</f>
        <v/>
      </c>
      <c r="CD427" t="str">
        <f>""</f>
        <v/>
      </c>
      <c r="CE427" t="str">
        <f>""</f>
        <v/>
      </c>
      <c r="CF427" t="str">
        <f>""</f>
        <v/>
      </c>
      <c r="CG427" t="str">
        <f>""</f>
        <v/>
      </c>
      <c r="CH427" t="str">
        <f>""</f>
        <v/>
      </c>
      <c r="CI427" t="str">
        <f>""</f>
        <v/>
      </c>
      <c r="CJ427" t="str">
        <f>""</f>
        <v/>
      </c>
      <c r="CK427" t="str">
        <f>""</f>
        <v/>
      </c>
      <c r="CL427" t="str">
        <f>""</f>
        <v/>
      </c>
      <c r="CM427" t="str">
        <f>""</f>
        <v/>
      </c>
      <c r="CN427" t="str">
        <f>""</f>
        <v/>
      </c>
      <c r="CO427" t="str">
        <f>""</f>
        <v/>
      </c>
      <c r="CP427" t="str">
        <f>""</f>
        <v/>
      </c>
      <c r="CQ427" t="str">
        <f>""</f>
        <v/>
      </c>
      <c r="CR427" t="str">
        <f>""</f>
        <v/>
      </c>
      <c r="CS427" t="str">
        <f>""</f>
        <v/>
      </c>
      <c r="CT427" t="str">
        <f>""</f>
        <v/>
      </c>
      <c r="CU427" t="str">
        <f>""</f>
        <v/>
      </c>
      <c r="CV427" t="str">
        <f>""</f>
        <v/>
      </c>
      <c r="CW427" t="str">
        <f>""</f>
        <v/>
      </c>
      <c r="CX427" t="str">
        <f>""</f>
        <v/>
      </c>
      <c r="CY427" t="str">
        <f>""</f>
        <v/>
      </c>
      <c r="CZ427" t="str">
        <f>""</f>
        <v/>
      </c>
      <c r="DA427" t="str">
        <f>""</f>
        <v/>
      </c>
      <c r="DB427" t="str">
        <f>""</f>
        <v/>
      </c>
      <c r="DC427" t="str">
        <f>""</f>
        <v/>
      </c>
      <c r="DD427" t="str">
        <f>""</f>
        <v/>
      </c>
      <c r="DE427" t="str">
        <f>""</f>
        <v/>
      </c>
      <c r="DF427" t="str">
        <f>""</f>
        <v/>
      </c>
      <c r="DG427" t="str">
        <f>""</f>
        <v/>
      </c>
      <c r="DH427" t="str">
        <f>""</f>
        <v/>
      </c>
      <c r="DI427" t="str">
        <f>""</f>
        <v/>
      </c>
      <c r="DJ427" t="str">
        <f>""</f>
        <v/>
      </c>
      <c r="DK427" t="str">
        <f>""</f>
        <v/>
      </c>
      <c r="DL427" t="str">
        <f>""</f>
        <v/>
      </c>
      <c r="DM427" t="str">
        <f>""</f>
        <v/>
      </c>
      <c r="DN427" t="str">
        <f>""</f>
        <v/>
      </c>
      <c r="DO427" t="str">
        <f>""</f>
        <v/>
      </c>
      <c r="DP427" t="str">
        <f>""</f>
        <v/>
      </c>
      <c r="DQ427" t="str">
        <f>""</f>
        <v/>
      </c>
      <c r="DR427" t="str">
        <f>""</f>
        <v/>
      </c>
      <c r="DS427" t="str">
        <f>""</f>
        <v/>
      </c>
      <c r="DT427" t="str">
        <f>""</f>
        <v/>
      </c>
      <c r="DU427" t="str">
        <f>""</f>
        <v/>
      </c>
    </row>
    <row r="428" spans="1:125">
      <c r="A428" t="str">
        <f>$A$117</f>
        <v xml:space="preserve">    Columbia Property Trust Inc</v>
      </c>
      <c r="B428" t="str">
        <f>$B$117</f>
        <v>CXP US Equity</v>
      </c>
      <c r="C428" t="str">
        <f>$C$117</f>
        <v>RR551</v>
      </c>
      <c r="D428" t="str">
        <f>$D$117</f>
        <v>NOI_GROWTH</v>
      </c>
      <c r="E428" t="str">
        <f>$E$117</f>
        <v>动态</v>
      </c>
      <c r="F428" t="str">
        <f ca="1">BDH($B$117,$C$117,$B$292,$B$293,CONCATENATE("Per=",$B$290),"Dts=H","Dir=H",CONCATENATE("Points=",$B$291),"Sort=R","Days=A","Fill=B",CONCATENATE("FX=", $B$289) )</f>
        <v>#N/A Authorization</v>
      </c>
      <c r="BN428" t="str">
        <f>""</f>
        <v/>
      </c>
      <c r="BO428" t="str">
        <f>""</f>
        <v/>
      </c>
      <c r="BP428" t="str">
        <f>""</f>
        <v/>
      </c>
      <c r="BQ428" t="str">
        <f>""</f>
        <v/>
      </c>
      <c r="BR428" t="str">
        <f>""</f>
        <v/>
      </c>
      <c r="BS428" t="str">
        <f>""</f>
        <v/>
      </c>
      <c r="BT428" t="str">
        <f>""</f>
        <v/>
      </c>
      <c r="BU428" t="str">
        <f>""</f>
        <v/>
      </c>
      <c r="BV428" t="str">
        <f>""</f>
        <v/>
      </c>
      <c r="BW428" t="str">
        <f>""</f>
        <v/>
      </c>
      <c r="BX428" t="str">
        <f>""</f>
        <v/>
      </c>
      <c r="BY428" t="str">
        <f>""</f>
        <v/>
      </c>
      <c r="BZ428" t="str">
        <f>""</f>
        <v/>
      </c>
      <c r="CA428" t="str">
        <f>""</f>
        <v/>
      </c>
      <c r="CB428" t="str">
        <f>""</f>
        <v/>
      </c>
      <c r="CC428" t="str">
        <f>""</f>
        <v/>
      </c>
      <c r="CD428" t="str">
        <f>""</f>
        <v/>
      </c>
      <c r="CE428" t="str">
        <f>""</f>
        <v/>
      </c>
      <c r="CF428" t="str">
        <f>""</f>
        <v/>
      </c>
      <c r="CG428" t="str">
        <f>""</f>
        <v/>
      </c>
      <c r="CH428" t="str">
        <f>""</f>
        <v/>
      </c>
      <c r="CI428" t="str">
        <f>""</f>
        <v/>
      </c>
      <c r="CJ428" t="str">
        <f>""</f>
        <v/>
      </c>
      <c r="CK428" t="str">
        <f>""</f>
        <v/>
      </c>
      <c r="CL428" t="str">
        <f>""</f>
        <v/>
      </c>
      <c r="CM428" t="str">
        <f>""</f>
        <v/>
      </c>
      <c r="CN428" t="str">
        <f>""</f>
        <v/>
      </c>
      <c r="CO428" t="str">
        <f>""</f>
        <v/>
      </c>
      <c r="CP428" t="str">
        <f>""</f>
        <v/>
      </c>
      <c r="CQ428" t="str">
        <f>""</f>
        <v/>
      </c>
      <c r="CR428" t="str">
        <f>""</f>
        <v/>
      </c>
      <c r="CS428" t="str">
        <f>""</f>
        <v/>
      </c>
      <c r="CT428" t="str">
        <f>""</f>
        <v/>
      </c>
      <c r="CU428" t="str">
        <f>""</f>
        <v/>
      </c>
      <c r="CV428" t="str">
        <f>""</f>
        <v/>
      </c>
      <c r="CW428" t="str">
        <f>""</f>
        <v/>
      </c>
      <c r="CX428" t="str">
        <f>""</f>
        <v/>
      </c>
      <c r="CY428" t="str">
        <f>""</f>
        <v/>
      </c>
      <c r="CZ428" t="str">
        <f>""</f>
        <v/>
      </c>
      <c r="DA428" t="str">
        <f>""</f>
        <v/>
      </c>
      <c r="DB428" t="str">
        <f>""</f>
        <v/>
      </c>
      <c r="DC428" t="str">
        <f>""</f>
        <v/>
      </c>
      <c r="DD428" t="str">
        <f>""</f>
        <v/>
      </c>
      <c r="DE428" t="str">
        <f>""</f>
        <v/>
      </c>
      <c r="DF428" t="str">
        <f>""</f>
        <v/>
      </c>
      <c r="DG428" t="str">
        <f>""</f>
        <v/>
      </c>
      <c r="DH428" t="str">
        <f>""</f>
        <v/>
      </c>
      <c r="DI428" t="str">
        <f>""</f>
        <v/>
      </c>
      <c r="DJ428" t="str">
        <f>""</f>
        <v/>
      </c>
      <c r="DK428" t="str">
        <f>""</f>
        <v/>
      </c>
      <c r="DL428" t="str">
        <f>""</f>
        <v/>
      </c>
      <c r="DM428" t="str">
        <f>""</f>
        <v/>
      </c>
      <c r="DN428" t="str">
        <f>""</f>
        <v/>
      </c>
      <c r="DO428" t="str">
        <f>""</f>
        <v/>
      </c>
      <c r="DP428" t="str">
        <f>""</f>
        <v/>
      </c>
      <c r="DQ428" t="str">
        <f>""</f>
        <v/>
      </c>
      <c r="DR428" t="str">
        <f>""</f>
        <v/>
      </c>
      <c r="DS428" t="str">
        <f>""</f>
        <v/>
      </c>
      <c r="DT428" t="str">
        <f>""</f>
        <v/>
      </c>
      <c r="DU428" t="str">
        <f>""</f>
        <v/>
      </c>
    </row>
    <row r="429" spans="1:125">
      <c r="A429" t="str">
        <f>$A$118</f>
        <v xml:space="preserve">    Corporate Office Properties Tr</v>
      </c>
      <c r="B429" t="str">
        <f>$B$118</f>
        <v>OFC US Equity</v>
      </c>
      <c r="C429" t="str">
        <f>$C$118</f>
        <v>RR551</v>
      </c>
      <c r="D429" t="str">
        <f>$D$118</f>
        <v>NOI_GROWTH</v>
      </c>
      <c r="E429" t="str">
        <f>$E$118</f>
        <v>动态</v>
      </c>
      <c r="F429" t="str">
        <f ca="1">BDH($B$118,$C$118,$B$292,$B$293,CONCATENATE("Per=",$B$290),"Dts=H","Dir=H",CONCATENATE("Points=",$B$291),"Sort=R","Days=A","Fill=B",CONCATENATE("FX=", $B$289) )</f>
        <v>#N/A Authorization</v>
      </c>
      <c r="BN429" t="str">
        <f>""</f>
        <v/>
      </c>
      <c r="BO429" t="str">
        <f>""</f>
        <v/>
      </c>
      <c r="BP429" t="str">
        <f>""</f>
        <v/>
      </c>
      <c r="BQ429" t="str">
        <f>""</f>
        <v/>
      </c>
      <c r="BR429" t="str">
        <f>""</f>
        <v/>
      </c>
      <c r="BS429" t="str">
        <f>""</f>
        <v/>
      </c>
      <c r="BT429" t="str">
        <f>""</f>
        <v/>
      </c>
      <c r="BU429" t="str">
        <f>""</f>
        <v/>
      </c>
      <c r="BV429" t="str">
        <f>""</f>
        <v/>
      </c>
      <c r="BW429" t="str">
        <f>""</f>
        <v/>
      </c>
      <c r="BX429" t="str">
        <f>""</f>
        <v/>
      </c>
      <c r="BY429" t="str">
        <f>""</f>
        <v/>
      </c>
      <c r="BZ429" t="str">
        <f>""</f>
        <v/>
      </c>
      <c r="CA429" t="str">
        <f>""</f>
        <v/>
      </c>
      <c r="CB429" t="str">
        <f>""</f>
        <v/>
      </c>
      <c r="CC429" t="str">
        <f>""</f>
        <v/>
      </c>
      <c r="CD429" t="str">
        <f>""</f>
        <v/>
      </c>
      <c r="CE429" t="str">
        <f>""</f>
        <v/>
      </c>
      <c r="CF429" t="str">
        <f>""</f>
        <v/>
      </c>
      <c r="CG429" t="str">
        <f>""</f>
        <v/>
      </c>
      <c r="CH429" t="str">
        <f>""</f>
        <v/>
      </c>
      <c r="CI429" t="str">
        <f>""</f>
        <v/>
      </c>
      <c r="CJ429" t="str">
        <f>""</f>
        <v/>
      </c>
      <c r="CK429" t="str">
        <f>""</f>
        <v/>
      </c>
      <c r="CL429" t="str">
        <f>""</f>
        <v/>
      </c>
      <c r="CM429" t="str">
        <f>""</f>
        <v/>
      </c>
      <c r="CN429" t="str">
        <f>""</f>
        <v/>
      </c>
      <c r="CO429" t="str">
        <f>""</f>
        <v/>
      </c>
      <c r="CP429" t="str">
        <f>""</f>
        <v/>
      </c>
      <c r="CQ429" t="str">
        <f>""</f>
        <v/>
      </c>
      <c r="CR429" t="str">
        <f>""</f>
        <v/>
      </c>
      <c r="CS429" t="str">
        <f>""</f>
        <v/>
      </c>
      <c r="CT429" t="str">
        <f>""</f>
        <v/>
      </c>
      <c r="CU429" t="str">
        <f>""</f>
        <v/>
      </c>
      <c r="CV429" t="str">
        <f>""</f>
        <v/>
      </c>
      <c r="CW429" t="str">
        <f>""</f>
        <v/>
      </c>
      <c r="CX429" t="str">
        <f>""</f>
        <v/>
      </c>
      <c r="CY429" t="str">
        <f>""</f>
        <v/>
      </c>
      <c r="CZ429" t="str">
        <f>""</f>
        <v/>
      </c>
      <c r="DA429" t="str">
        <f>""</f>
        <v/>
      </c>
      <c r="DB429" t="str">
        <f>""</f>
        <v/>
      </c>
      <c r="DC429" t="str">
        <f>""</f>
        <v/>
      </c>
      <c r="DD429" t="str">
        <f>""</f>
        <v/>
      </c>
      <c r="DE429" t="str">
        <f>""</f>
        <v/>
      </c>
      <c r="DF429" t="str">
        <f>""</f>
        <v/>
      </c>
      <c r="DG429" t="str">
        <f>""</f>
        <v/>
      </c>
      <c r="DH429" t="str">
        <f>""</f>
        <v/>
      </c>
      <c r="DI429" t="str">
        <f>""</f>
        <v/>
      </c>
      <c r="DJ429" t="str">
        <f>""</f>
        <v/>
      </c>
      <c r="DK429" t="str">
        <f>""</f>
        <v/>
      </c>
      <c r="DL429" t="str">
        <f>""</f>
        <v/>
      </c>
      <c r="DM429" t="str">
        <f>""</f>
        <v/>
      </c>
      <c r="DN429" t="str">
        <f>""</f>
        <v/>
      </c>
      <c r="DO429" t="str">
        <f>""</f>
        <v/>
      </c>
      <c r="DP429" t="str">
        <f>""</f>
        <v/>
      </c>
      <c r="DQ429" t="str">
        <f>""</f>
        <v/>
      </c>
      <c r="DR429" t="str">
        <f>""</f>
        <v/>
      </c>
      <c r="DS429" t="str">
        <f>""</f>
        <v/>
      </c>
      <c r="DT429" t="str">
        <f>""</f>
        <v/>
      </c>
      <c r="DU429" t="str">
        <f>""</f>
        <v/>
      </c>
    </row>
    <row r="430" spans="1:125">
      <c r="A430" t="str">
        <f>$A$119</f>
        <v xml:space="preserve">    Highwoods Properties Inc</v>
      </c>
      <c r="B430" t="str">
        <f>$B$119</f>
        <v>HIW US Equity</v>
      </c>
      <c r="C430" t="str">
        <f>$C$119</f>
        <v>RR551</v>
      </c>
      <c r="D430" t="str">
        <f>$D$119</f>
        <v>NOI_GROWTH</v>
      </c>
      <c r="E430" t="str">
        <f>$E$119</f>
        <v>动态</v>
      </c>
      <c r="F430" t="str">
        <f ca="1">BDH($B$119,$C$119,$B$292,$B$293,CONCATENATE("Per=",$B$290),"Dts=H","Dir=H",CONCATENATE("Points=",$B$291),"Sort=R","Days=A","Fill=B",CONCATENATE("FX=", $B$289) )</f>
        <v>#N/A Authorization</v>
      </c>
      <c r="BN430" t="str">
        <f>""</f>
        <v/>
      </c>
      <c r="BO430" t="str">
        <f>""</f>
        <v/>
      </c>
      <c r="BP430" t="str">
        <f>""</f>
        <v/>
      </c>
      <c r="BQ430" t="str">
        <f>""</f>
        <v/>
      </c>
      <c r="BR430" t="str">
        <f>""</f>
        <v/>
      </c>
      <c r="BS430" t="str">
        <f>""</f>
        <v/>
      </c>
      <c r="BT430" t="str">
        <f>""</f>
        <v/>
      </c>
      <c r="BU430" t="str">
        <f>""</f>
        <v/>
      </c>
      <c r="BV430" t="str">
        <f>""</f>
        <v/>
      </c>
      <c r="BW430" t="str">
        <f>""</f>
        <v/>
      </c>
      <c r="BX430" t="str">
        <f>""</f>
        <v/>
      </c>
      <c r="BY430" t="str">
        <f>""</f>
        <v/>
      </c>
      <c r="BZ430" t="str">
        <f>""</f>
        <v/>
      </c>
      <c r="CA430" t="str">
        <f>""</f>
        <v/>
      </c>
      <c r="CB430" t="str">
        <f>""</f>
        <v/>
      </c>
      <c r="CC430" t="str">
        <f>""</f>
        <v/>
      </c>
      <c r="CD430" t="str">
        <f>""</f>
        <v/>
      </c>
      <c r="CE430" t="str">
        <f>""</f>
        <v/>
      </c>
      <c r="CF430" t="str">
        <f>""</f>
        <v/>
      </c>
      <c r="CG430" t="str">
        <f>""</f>
        <v/>
      </c>
      <c r="CH430" t="str">
        <f>""</f>
        <v/>
      </c>
      <c r="CI430" t="str">
        <f>""</f>
        <v/>
      </c>
      <c r="CJ430" t="str">
        <f>""</f>
        <v/>
      </c>
      <c r="CK430" t="str">
        <f>""</f>
        <v/>
      </c>
      <c r="CL430" t="str">
        <f>""</f>
        <v/>
      </c>
      <c r="CM430" t="str">
        <f>""</f>
        <v/>
      </c>
      <c r="CN430" t="str">
        <f>""</f>
        <v/>
      </c>
      <c r="CO430" t="str">
        <f>""</f>
        <v/>
      </c>
      <c r="CP430" t="str">
        <f>""</f>
        <v/>
      </c>
      <c r="CQ430" t="str">
        <f>""</f>
        <v/>
      </c>
      <c r="CR430" t="str">
        <f>""</f>
        <v/>
      </c>
      <c r="CS430" t="str">
        <f>""</f>
        <v/>
      </c>
      <c r="CT430" t="str">
        <f>""</f>
        <v/>
      </c>
      <c r="CU430" t="str">
        <f>""</f>
        <v/>
      </c>
      <c r="CV430" t="str">
        <f>""</f>
        <v/>
      </c>
      <c r="CW430" t="str">
        <f>""</f>
        <v/>
      </c>
      <c r="CX430" t="str">
        <f>""</f>
        <v/>
      </c>
      <c r="CY430" t="str">
        <f>""</f>
        <v/>
      </c>
      <c r="CZ430" t="str">
        <f>""</f>
        <v/>
      </c>
      <c r="DA430" t="str">
        <f>""</f>
        <v/>
      </c>
      <c r="DB430" t="str">
        <f>""</f>
        <v/>
      </c>
      <c r="DC430" t="str">
        <f>""</f>
        <v/>
      </c>
      <c r="DD430" t="str">
        <f>""</f>
        <v/>
      </c>
      <c r="DE430" t="str">
        <f>""</f>
        <v/>
      </c>
      <c r="DF430" t="str">
        <f>""</f>
        <v/>
      </c>
      <c r="DG430" t="str">
        <f>""</f>
        <v/>
      </c>
      <c r="DH430" t="str">
        <f>""</f>
        <v/>
      </c>
      <c r="DI430" t="str">
        <f>""</f>
        <v/>
      </c>
      <c r="DJ430" t="str">
        <f>""</f>
        <v/>
      </c>
      <c r="DK430" t="str">
        <f>""</f>
        <v/>
      </c>
      <c r="DL430" t="str">
        <f>""</f>
        <v/>
      </c>
      <c r="DM430" t="str">
        <f>""</f>
        <v/>
      </c>
      <c r="DN430" t="str">
        <f>""</f>
        <v/>
      </c>
      <c r="DO430" t="str">
        <f>""</f>
        <v/>
      </c>
      <c r="DP430" t="str">
        <f>""</f>
        <v/>
      </c>
      <c r="DQ430" t="str">
        <f>""</f>
        <v/>
      </c>
      <c r="DR430" t="str">
        <f>""</f>
        <v/>
      </c>
      <c r="DS430" t="str">
        <f>""</f>
        <v/>
      </c>
      <c r="DT430" t="str">
        <f>""</f>
        <v/>
      </c>
      <c r="DU430" t="str">
        <f>""</f>
        <v/>
      </c>
    </row>
    <row r="431" spans="1:125">
      <c r="A431" t="str">
        <f>$A$120</f>
        <v xml:space="preserve">    Kilroy Realty Corp</v>
      </c>
      <c r="B431" t="str">
        <f>$B$120</f>
        <v>KRC US Equity</v>
      </c>
      <c r="C431" t="str">
        <f>$C$120</f>
        <v>RR551</v>
      </c>
      <c r="D431" t="str">
        <f>$D$120</f>
        <v>NOI_GROWTH</v>
      </c>
      <c r="E431" t="str">
        <f>$E$120</f>
        <v>动态</v>
      </c>
      <c r="F431" t="str">
        <f ca="1">BDH($B$120,$C$120,$B$292,$B$293,CONCATENATE("Per=",$B$290),"Dts=H","Dir=H",CONCATENATE("Points=",$B$291),"Sort=R","Days=A","Fill=B",CONCATENATE("FX=", $B$289) )</f>
        <v>#N/A Authorization</v>
      </c>
      <c r="BN431" t="str">
        <f>""</f>
        <v/>
      </c>
      <c r="BO431" t="str">
        <f>""</f>
        <v/>
      </c>
      <c r="BP431" t="str">
        <f>""</f>
        <v/>
      </c>
      <c r="BQ431" t="str">
        <f>""</f>
        <v/>
      </c>
      <c r="BR431" t="str">
        <f>""</f>
        <v/>
      </c>
      <c r="BS431" t="str">
        <f>""</f>
        <v/>
      </c>
      <c r="BT431" t="str">
        <f>""</f>
        <v/>
      </c>
      <c r="BU431" t="str">
        <f>""</f>
        <v/>
      </c>
      <c r="BV431" t="str">
        <f>""</f>
        <v/>
      </c>
      <c r="BW431" t="str">
        <f>""</f>
        <v/>
      </c>
      <c r="BX431" t="str">
        <f>""</f>
        <v/>
      </c>
      <c r="BY431" t="str">
        <f>""</f>
        <v/>
      </c>
      <c r="BZ431" t="str">
        <f>""</f>
        <v/>
      </c>
      <c r="CA431" t="str">
        <f>""</f>
        <v/>
      </c>
      <c r="CB431" t="str">
        <f>""</f>
        <v/>
      </c>
      <c r="CC431" t="str">
        <f>""</f>
        <v/>
      </c>
      <c r="CD431" t="str">
        <f>""</f>
        <v/>
      </c>
      <c r="CE431" t="str">
        <f>""</f>
        <v/>
      </c>
      <c r="CF431" t="str">
        <f>""</f>
        <v/>
      </c>
      <c r="CG431" t="str">
        <f>""</f>
        <v/>
      </c>
      <c r="CH431" t="str">
        <f>""</f>
        <v/>
      </c>
      <c r="CI431" t="str">
        <f>""</f>
        <v/>
      </c>
      <c r="CJ431" t="str">
        <f>""</f>
        <v/>
      </c>
      <c r="CK431" t="str">
        <f>""</f>
        <v/>
      </c>
      <c r="CL431" t="str">
        <f>""</f>
        <v/>
      </c>
      <c r="CM431" t="str">
        <f>""</f>
        <v/>
      </c>
      <c r="CN431" t="str">
        <f>""</f>
        <v/>
      </c>
      <c r="CO431" t="str">
        <f>""</f>
        <v/>
      </c>
      <c r="CP431" t="str">
        <f>""</f>
        <v/>
      </c>
      <c r="CQ431" t="str">
        <f>""</f>
        <v/>
      </c>
      <c r="CR431" t="str">
        <f>""</f>
        <v/>
      </c>
      <c r="CS431" t="str">
        <f>""</f>
        <v/>
      </c>
      <c r="CT431" t="str">
        <f>""</f>
        <v/>
      </c>
      <c r="CU431" t="str">
        <f>""</f>
        <v/>
      </c>
      <c r="CV431" t="str">
        <f>""</f>
        <v/>
      </c>
      <c r="CW431" t="str">
        <f>""</f>
        <v/>
      </c>
      <c r="CX431" t="str">
        <f>""</f>
        <v/>
      </c>
      <c r="CY431" t="str">
        <f>""</f>
        <v/>
      </c>
      <c r="CZ431" t="str">
        <f>""</f>
        <v/>
      </c>
      <c r="DA431" t="str">
        <f>""</f>
        <v/>
      </c>
      <c r="DB431" t="str">
        <f>""</f>
        <v/>
      </c>
      <c r="DC431" t="str">
        <f>""</f>
        <v/>
      </c>
      <c r="DD431" t="str">
        <f>""</f>
        <v/>
      </c>
      <c r="DE431" t="str">
        <f>""</f>
        <v/>
      </c>
      <c r="DF431" t="str">
        <f>""</f>
        <v/>
      </c>
      <c r="DG431" t="str">
        <f>""</f>
        <v/>
      </c>
      <c r="DH431" t="str">
        <f>""</f>
        <v/>
      </c>
      <c r="DI431" t="str">
        <f>""</f>
        <v/>
      </c>
      <c r="DJ431" t="str">
        <f>""</f>
        <v/>
      </c>
      <c r="DK431" t="str">
        <f>""</f>
        <v/>
      </c>
      <c r="DL431" t="str">
        <f>""</f>
        <v/>
      </c>
      <c r="DM431" t="str">
        <f>""</f>
        <v/>
      </c>
      <c r="DN431" t="str">
        <f>""</f>
        <v/>
      </c>
      <c r="DO431" t="str">
        <f>""</f>
        <v/>
      </c>
      <c r="DP431" t="str">
        <f>""</f>
        <v/>
      </c>
      <c r="DQ431" t="str">
        <f>""</f>
        <v/>
      </c>
      <c r="DR431" t="str">
        <f>""</f>
        <v/>
      </c>
      <c r="DS431" t="str">
        <f>""</f>
        <v/>
      </c>
      <c r="DT431" t="str">
        <f>""</f>
        <v/>
      </c>
      <c r="DU431" t="str">
        <f>""</f>
        <v/>
      </c>
    </row>
    <row r="432" spans="1:125">
      <c r="A432" t="str">
        <f>$A$121</f>
        <v xml:space="preserve">    Mack-Cali Realty Corp</v>
      </c>
      <c r="B432" t="str">
        <f>$B$121</f>
        <v>CLI US Equity</v>
      </c>
      <c r="C432" t="str">
        <f>$C$121</f>
        <v>RR551</v>
      </c>
      <c r="D432" t="str">
        <f>$D$121</f>
        <v>NOI_GROWTH</v>
      </c>
      <c r="E432" t="str">
        <f>$E$121</f>
        <v>动态</v>
      </c>
      <c r="F432" t="str">
        <f ca="1">BDH($B$121,$C$121,$B$292,$B$293,CONCATENATE("Per=",$B$290),"Dts=H","Dir=H",CONCATENATE("Points=",$B$291),"Sort=R","Days=A","Fill=B",CONCATENATE("FX=", $B$289) )</f>
        <v>#N/A Authorization</v>
      </c>
      <c r="BN432" t="str">
        <f>""</f>
        <v/>
      </c>
      <c r="BO432" t="str">
        <f>""</f>
        <v/>
      </c>
      <c r="BP432" t="str">
        <f>""</f>
        <v/>
      </c>
      <c r="BQ432" t="str">
        <f>""</f>
        <v/>
      </c>
      <c r="BR432" t="str">
        <f>""</f>
        <v/>
      </c>
      <c r="BS432" t="str">
        <f>""</f>
        <v/>
      </c>
      <c r="BT432" t="str">
        <f>""</f>
        <v/>
      </c>
      <c r="BU432" t="str">
        <f>""</f>
        <v/>
      </c>
      <c r="BV432" t="str">
        <f>""</f>
        <v/>
      </c>
      <c r="BW432" t="str">
        <f>""</f>
        <v/>
      </c>
      <c r="BX432" t="str">
        <f>""</f>
        <v/>
      </c>
      <c r="BY432" t="str">
        <f>""</f>
        <v/>
      </c>
      <c r="BZ432" t="str">
        <f>""</f>
        <v/>
      </c>
      <c r="CA432" t="str">
        <f>""</f>
        <v/>
      </c>
      <c r="CB432" t="str">
        <f>""</f>
        <v/>
      </c>
      <c r="CC432" t="str">
        <f>""</f>
        <v/>
      </c>
      <c r="CD432" t="str">
        <f>""</f>
        <v/>
      </c>
      <c r="CE432" t="str">
        <f>""</f>
        <v/>
      </c>
      <c r="CF432" t="str">
        <f>""</f>
        <v/>
      </c>
      <c r="CG432" t="str">
        <f>""</f>
        <v/>
      </c>
      <c r="CH432" t="str">
        <f>""</f>
        <v/>
      </c>
      <c r="CI432" t="str">
        <f>""</f>
        <v/>
      </c>
      <c r="CJ432" t="str">
        <f>""</f>
        <v/>
      </c>
      <c r="CK432" t="str">
        <f>""</f>
        <v/>
      </c>
      <c r="CL432" t="str">
        <f>""</f>
        <v/>
      </c>
      <c r="CM432" t="str">
        <f>""</f>
        <v/>
      </c>
      <c r="CN432" t="str">
        <f>""</f>
        <v/>
      </c>
      <c r="CO432" t="str">
        <f>""</f>
        <v/>
      </c>
      <c r="CP432" t="str">
        <f>""</f>
        <v/>
      </c>
      <c r="CQ432" t="str">
        <f>""</f>
        <v/>
      </c>
      <c r="CR432" t="str">
        <f>""</f>
        <v/>
      </c>
      <c r="CS432" t="str">
        <f>""</f>
        <v/>
      </c>
      <c r="CT432" t="str">
        <f>""</f>
        <v/>
      </c>
      <c r="CU432" t="str">
        <f>""</f>
        <v/>
      </c>
      <c r="CV432" t="str">
        <f>""</f>
        <v/>
      </c>
      <c r="CW432" t="str">
        <f>""</f>
        <v/>
      </c>
      <c r="CX432" t="str">
        <f>""</f>
        <v/>
      </c>
      <c r="CY432" t="str">
        <f>""</f>
        <v/>
      </c>
      <c r="CZ432" t="str">
        <f>""</f>
        <v/>
      </c>
      <c r="DA432" t="str">
        <f>""</f>
        <v/>
      </c>
      <c r="DB432" t="str">
        <f>""</f>
        <v/>
      </c>
      <c r="DC432" t="str">
        <f>""</f>
        <v/>
      </c>
      <c r="DD432" t="str">
        <f>""</f>
        <v/>
      </c>
      <c r="DE432" t="str">
        <f>""</f>
        <v/>
      </c>
      <c r="DF432" t="str">
        <f>""</f>
        <v/>
      </c>
      <c r="DG432" t="str">
        <f>""</f>
        <v/>
      </c>
      <c r="DH432" t="str">
        <f>""</f>
        <v/>
      </c>
      <c r="DI432" t="str">
        <f>""</f>
        <v/>
      </c>
      <c r="DJ432" t="str">
        <f>""</f>
        <v/>
      </c>
      <c r="DK432" t="str">
        <f>""</f>
        <v/>
      </c>
      <c r="DL432" t="str">
        <f>""</f>
        <v/>
      </c>
      <c r="DM432" t="str">
        <f>""</f>
        <v/>
      </c>
      <c r="DN432" t="str">
        <f>""</f>
        <v/>
      </c>
      <c r="DO432" t="str">
        <f>""</f>
        <v/>
      </c>
      <c r="DP432" t="str">
        <f>""</f>
        <v/>
      </c>
      <c r="DQ432" t="str">
        <f>""</f>
        <v/>
      </c>
      <c r="DR432" t="str">
        <f>""</f>
        <v/>
      </c>
      <c r="DS432" t="str">
        <f>""</f>
        <v/>
      </c>
      <c r="DT432" t="str">
        <f>""</f>
        <v/>
      </c>
      <c r="DU432" t="str">
        <f>""</f>
        <v/>
      </c>
    </row>
    <row r="433" spans="1:125">
      <c r="A433" t="str">
        <f>$A$122</f>
        <v xml:space="preserve">    Piedmont Office Realty Trust I</v>
      </c>
      <c r="B433" t="str">
        <f>$B$122</f>
        <v>PDM US Equity</v>
      </c>
      <c r="C433" t="str">
        <f>$C$122</f>
        <v>RR551</v>
      </c>
      <c r="D433" t="str">
        <f>$D$122</f>
        <v>NOI_GROWTH</v>
      </c>
      <c r="E433" t="str">
        <f>$E$122</f>
        <v>动态</v>
      </c>
      <c r="F433" t="str">
        <f ca="1">BDH($B$122,$C$122,$B$292,$B$293,CONCATENATE("Per=",$B$290),"Dts=H","Dir=H",CONCATENATE("Points=",$B$291),"Sort=R","Days=A","Fill=B",CONCATENATE("FX=", $B$289) )</f>
        <v>#N/A Authorization</v>
      </c>
      <c r="BN433" t="str">
        <f>""</f>
        <v/>
      </c>
      <c r="BO433" t="str">
        <f>""</f>
        <v/>
      </c>
      <c r="BP433" t="str">
        <f>""</f>
        <v/>
      </c>
      <c r="BQ433" t="str">
        <f>""</f>
        <v/>
      </c>
      <c r="BR433" t="str">
        <f>""</f>
        <v/>
      </c>
      <c r="BS433" t="str">
        <f>""</f>
        <v/>
      </c>
      <c r="BT433" t="str">
        <f>""</f>
        <v/>
      </c>
      <c r="BU433" t="str">
        <f>""</f>
        <v/>
      </c>
      <c r="BV433" t="str">
        <f>""</f>
        <v/>
      </c>
      <c r="BW433" t="str">
        <f>""</f>
        <v/>
      </c>
      <c r="BX433" t="str">
        <f>""</f>
        <v/>
      </c>
      <c r="BY433" t="str">
        <f>""</f>
        <v/>
      </c>
      <c r="BZ433" t="str">
        <f>""</f>
        <v/>
      </c>
      <c r="CA433" t="str">
        <f>""</f>
        <v/>
      </c>
      <c r="CB433" t="str">
        <f>""</f>
        <v/>
      </c>
      <c r="CC433" t="str">
        <f>""</f>
        <v/>
      </c>
      <c r="CD433" t="str">
        <f>""</f>
        <v/>
      </c>
      <c r="CE433" t="str">
        <f>""</f>
        <v/>
      </c>
      <c r="CF433" t="str">
        <f>""</f>
        <v/>
      </c>
      <c r="CG433" t="str">
        <f>""</f>
        <v/>
      </c>
      <c r="CH433" t="str">
        <f>""</f>
        <v/>
      </c>
      <c r="CI433" t="str">
        <f>""</f>
        <v/>
      </c>
      <c r="CJ433" t="str">
        <f>""</f>
        <v/>
      </c>
      <c r="CK433" t="str">
        <f>""</f>
        <v/>
      </c>
      <c r="CL433" t="str">
        <f>""</f>
        <v/>
      </c>
      <c r="CM433" t="str">
        <f>""</f>
        <v/>
      </c>
      <c r="CN433" t="str">
        <f>""</f>
        <v/>
      </c>
      <c r="CO433" t="str">
        <f>""</f>
        <v/>
      </c>
      <c r="CP433" t="str">
        <f>""</f>
        <v/>
      </c>
      <c r="CQ433" t="str">
        <f>""</f>
        <v/>
      </c>
      <c r="CR433" t="str">
        <f>""</f>
        <v/>
      </c>
      <c r="CS433" t="str">
        <f>""</f>
        <v/>
      </c>
      <c r="CT433" t="str">
        <f>""</f>
        <v/>
      </c>
      <c r="CU433" t="str">
        <f>""</f>
        <v/>
      </c>
      <c r="CV433" t="str">
        <f>""</f>
        <v/>
      </c>
      <c r="CW433" t="str">
        <f>""</f>
        <v/>
      </c>
      <c r="CX433" t="str">
        <f>""</f>
        <v/>
      </c>
      <c r="CY433" t="str">
        <f>""</f>
        <v/>
      </c>
      <c r="CZ433" t="str">
        <f>""</f>
        <v/>
      </c>
      <c r="DA433" t="str">
        <f>""</f>
        <v/>
      </c>
      <c r="DB433" t="str">
        <f>""</f>
        <v/>
      </c>
      <c r="DC433" t="str">
        <f>""</f>
        <v/>
      </c>
      <c r="DD433" t="str">
        <f>""</f>
        <v/>
      </c>
      <c r="DE433" t="str">
        <f>""</f>
        <v/>
      </c>
      <c r="DF433" t="str">
        <f>""</f>
        <v/>
      </c>
      <c r="DG433" t="str">
        <f>""</f>
        <v/>
      </c>
      <c r="DH433" t="str">
        <f>""</f>
        <v/>
      </c>
      <c r="DI433" t="str">
        <f>""</f>
        <v/>
      </c>
      <c r="DJ433" t="str">
        <f>""</f>
        <v/>
      </c>
      <c r="DK433" t="str">
        <f>""</f>
        <v/>
      </c>
      <c r="DL433" t="str">
        <f>""</f>
        <v/>
      </c>
      <c r="DM433" t="str">
        <f>""</f>
        <v/>
      </c>
      <c r="DN433" t="str">
        <f>""</f>
        <v/>
      </c>
      <c r="DO433" t="str">
        <f>""</f>
        <v/>
      </c>
      <c r="DP433" t="str">
        <f>""</f>
        <v/>
      </c>
      <c r="DQ433" t="str">
        <f>""</f>
        <v/>
      </c>
      <c r="DR433" t="str">
        <f>""</f>
        <v/>
      </c>
      <c r="DS433" t="str">
        <f>""</f>
        <v/>
      </c>
      <c r="DT433" t="str">
        <f>""</f>
        <v/>
      </c>
      <c r="DU433" t="str">
        <f>""</f>
        <v/>
      </c>
    </row>
    <row r="434" spans="1:125">
      <c r="A434" t="str">
        <f>$A$123</f>
        <v xml:space="preserve">    SL Green Realty Corp</v>
      </c>
      <c r="B434" t="str">
        <f>$B$123</f>
        <v>SLG US Equity</v>
      </c>
      <c r="C434" t="str">
        <f>$C$123</f>
        <v>RR551</v>
      </c>
      <c r="D434" t="str">
        <f>$D$123</f>
        <v>NOI_GROWTH</v>
      </c>
      <c r="E434" t="str">
        <f>$E$123</f>
        <v>动态</v>
      </c>
      <c r="F434" t="str">
        <f ca="1">BDH($B$123,$C$123,$B$292,$B$293,CONCATENATE("Per=",$B$290),"Dts=H","Dir=H",CONCATENATE("Points=",$B$291),"Sort=R","Days=A","Fill=B",CONCATENATE("FX=", $B$289) )</f>
        <v>#N/A Authorization</v>
      </c>
      <c r="BN434" t="str">
        <f>""</f>
        <v/>
      </c>
      <c r="BO434" t="str">
        <f>""</f>
        <v/>
      </c>
      <c r="BP434" t="str">
        <f>""</f>
        <v/>
      </c>
      <c r="BQ434" t="str">
        <f>""</f>
        <v/>
      </c>
      <c r="BR434" t="str">
        <f>""</f>
        <v/>
      </c>
      <c r="BS434" t="str">
        <f>""</f>
        <v/>
      </c>
      <c r="BT434" t="str">
        <f>""</f>
        <v/>
      </c>
      <c r="BU434" t="str">
        <f>""</f>
        <v/>
      </c>
      <c r="BV434" t="str">
        <f>""</f>
        <v/>
      </c>
      <c r="BW434" t="str">
        <f>""</f>
        <v/>
      </c>
      <c r="BX434" t="str">
        <f>""</f>
        <v/>
      </c>
      <c r="BY434" t="str">
        <f>""</f>
        <v/>
      </c>
      <c r="BZ434" t="str">
        <f>""</f>
        <v/>
      </c>
      <c r="CA434" t="str">
        <f>""</f>
        <v/>
      </c>
      <c r="CB434" t="str">
        <f>""</f>
        <v/>
      </c>
      <c r="CC434" t="str">
        <f>""</f>
        <v/>
      </c>
      <c r="CD434" t="str">
        <f>""</f>
        <v/>
      </c>
      <c r="CE434" t="str">
        <f>""</f>
        <v/>
      </c>
      <c r="CF434" t="str">
        <f>""</f>
        <v/>
      </c>
      <c r="CG434" t="str">
        <f>""</f>
        <v/>
      </c>
      <c r="CH434" t="str">
        <f>""</f>
        <v/>
      </c>
      <c r="CI434" t="str">
        <f>""</f>
        <v/>
      </c>
      <c r="CJ434" t="str">
        <f>""</f>
        <v/>
      </c>
      <c r="CK434" t="str">
        <f>""</f>
        <v/>
      </c>
      <c r="CL434" t="str">
        <f>""</f>
        <v/>
      </c>
      <c r="CM434" t="str">
        <f>""</f>
        <v/>
      </c>
      <c r="CN434" t="str">
        <f>""</f>
        <v/>
      </c>
      <c r="CO434" t="str">
        <f>""</f>
        <v/>
      </c>
      <c r="CP434" t="str">
        <f>""</f>
        <v/>
      </c>
      <c r="CQ434" t="str">
        <f>""</f>
        <v/>
      </c>
      <c r="CR434" t="str">
        <f>""</f>
        <v/>
      </c>
      <c r="CS434" t="str">
        <f>""</f>
        <v/>
      </c>
      <c r="CT434" t="str">
        <f>""</f>
        <v/>
      </c>
      <c r="CU434" t="str">
        <f>""</f>
        <v/>
      </c>
      <c r="CV434" t="str">
        <f>""</f>
        <v/>
      </c>
      <c r="CW434" t="str">
        <f>""</f>
        <v/>
      </c>
      <c r="CX434" t="str">
        <f>""</f>
        <v/>
      </c>
      <c r="CY434" t="str">
        <f>""</f>
        <v/>
      </c>
      <c r="CZ434" t="str">
        <f>""</f>
        <v/>
      </c>
      <c r="DA434" t="str">
        <f>""</f>
        <v/>
      </c>
      <c r="DB434" t="str">
        <f>""</f>
        <v/>
      </c>
      <c r="DC434" t="str">
        <f>""</f>
        <v/>
      </c>
      <c r="DD434" t="str">
        <f>""</f>
        <v/>
      </c>
      <c r="DE434" t="str">
        <f>""</f>
        <v/>
      </c>
      <c r="DF434" t="str">
        <f>""</f>
        <v/>
      </c>
      <c r="DG434" t="str">
        <f>""</f>
        <v/>
      </c>
      <c r="DH434" t="str">
        <f>""</f>
        <v/>
      </c>
      <c r="DI434" t="str">
        <f>""</f>
        <v/>
      </c>
      <c r="DJ434" t="str">
        <f>""</f>
        <v/>
      </c>
      <c r="DK434" t="str">
        <f>""</f>
        <v/>
      </c>
      <c r="DL434" t="str">
        <f>""</f>
        <v/>
      </c>
      <c r="DM434" t="str">
        <f>""</f>
        <v/>
      </c>
      <c r="DN434" t="str">
        <f>""</f>
        <v/>
      </c>
      <c r="DO434" t="str">
        <f>""</f>
        <v/>
      </c>
      <c r="DP434" t="str">
        <f>""</f>
        <v/>
      </c>
      <c r="DQ434" t="str">
        <f>""</f>
        <v/>
      </c>
      <c r="DR434" t="str">
        <f>""</f>
        <v/>
      </c>
      <c r="DS434" t="str">
        <f>""</f>
        <v/>
      </c>
      <c r="DT434" t="str">
        <f>""</f>
        <v/>
      </c>
      <c r="DU434" t="str">
        <f>""</f>
        <v/>
      </c>
    </row>
    <row r="435" spans="1:125">
      <c r="A435" t="str">
        <f>$A$124</f>
        <v xml:space="preserve">    Vornado Realty Trust</v>
      </c>
      <c r="B435" t="str">
        <f>$B$124</f>
        <v>VNO US Equity</v>
      </c>
      <c r="C435" t="str">
        <f>$C$124</f>
        <v>RR551</v>
      </c>
      <c r="D435" t="str">
        <f>$D$124</f>
        <v>NOI_GROWTH</v>
      </c>
      <c r="E435" t="str">
        <f>$E$124</f>
        <v>动态</v>
      </c>
      <c r="F435" t="str">
        <f ca="1">BDH($B$124,$C$124,$B$292,$B$293,CONCATENATE("Per=",$B$290),"Dts=H","Dir=H",CONCATENATE("Points=",$B$291),"Sort=R","Days=A","Fill=B",CONCATENATE("FX=", $B$289) )</f>
        <v>#N/A Authorization</v>
      </c>
      <c r="BN435" t="str">
        <f>""</f>
        <v/>
      </c>
      <c r="BO435" t="str">
        <f>""</f>
        <v/>
      </c>
      <c r="BP435" t="str">
        <f>""</f>
        <v/>
      </c>
      <c r="BQ435" t="str">
        <f>""</f>
        <v/>
      </c>
      <c r="BR435" t="str">
        <f>""</f>
        <v/>
      </c>
      <c r="BS435" t="str">
        <f>""</f>
        <v/>
      </c>
      <c r="BT435" t="str">
        <f>""</f>
        <v/>
      </c>
      <c r="BU435" t="str">
        <f>""</f>
        <v/>
      </c>
      <c r="BV435" t="str">
        <f>""</f>
        <v/>
      </c>
      <c r="BW435" t="str">
        <f>""</f>
        <v/>
      </c>
      <c r="BX435" t="str">
        <f>""</f>
        <v/>
      </c>
      <c r="BY435" t="str">
        <f>""</f>
        <v/>
      </c>
      <c r="BZ435" t="str">
        <f>""</f>
        <v/>
      </c>
      <c r="CA435" t="str">
        <f>""</f>
        <v/>
      </c>
      <c r="CB435" t="str">
        <f>""</f>
        <v/>
      </c>
      <c r="CC435" t="str">
        <f>""</f>
        <v/>
      </c>
      <c r="CD435" t="str">
        <f>""</f>
        <v/>
      </c>
      <c r="CE435" t="str">
        <f>""</f>
        <v/>
      </c>
      <c r="CF435" t="str">
        <f>""</f>
        <v/>
      </c>
      <c r="CG435" t="str">
        <f>""</f>
        <v/>
      </c>
      <c r="CH435" t="str">
        <f>""</f>
        <v/>
      </c>
      <c r="CI435" t="str">
        <f>""</f>
        <v/>
      </c>
      <c r="CJ435" t="str">
        <f>""</f>
        <v/>
      </c>
      <c r="CK435" t="str">
        <f>""</f>
        <v/>
      </c>
      <c r="CL435" t="str">
        <f>""</f>
        <v/>
      </c>
      <c r="CM435" t="str">
        <f>""</f>
        <v/>
      </c>
      <c r="CN435" t="str">
        <f>""</f>
        <v/>
      </c>
      <c r="CO435" t="str">
        <f>""</f>
        <v/>
      </c>
      <c r="CP435" t="str">
        <f>""</f>
        <v/>
      </c>
      <c r="CQ435" t="str">
        <f>""</f>
        <v/>
      </c>
      <c r="CR435" t="str">
        <f>""</f>
        <v/>
      </c>
      <c r="CS435" t="str">
        <f>""</f>
        <v/>
      </c>
      <c r="CT435" t="str">
        <f>""</f>
        <v/>
      </c>
      <c r="CU435" t="str">
        <f>""</f>
        <v/>
      </c>
      <c r="CV435" t="str">
        <f>""</f>
        <v/>
      </c>
      <c r="CW435" t="str">
        <f>""</f>
        <v/>
      </c>
      <c r="CX435" t="str">
        <f>""</f>
        <v/>
      </c>
      <c r="CY435" t="str">
        <f>""</f>
        <v/>
      </c>
      <c r="CZ435" t="str">
        <f>""</f>
        <v/>
      </c>
      <c r="DA435" t="str">
        <f>""</f>
        <v/>
      </c>
      <c r="DB435" t="str">
        <f>""</f>
        <v/>
      </c>
      <c r="DC435" t="str">
        <f>""</f>
        <v/>
      </c>
      <c r="DD435" t="str">
        <f>""</f>
        <v/>
      </c>
      <c r="DE435" t="str">
        <f>""</f>
        <v/>
      </c>
      <c r="DF435" t="str">
        <f>""</f>
        <v/>
      </c>
      <c r="DG435" t="str">
        <f>""</f>
        <v/>
      </c>
      <c r="DH435" t="str">
        <f>""</f>
        <v/>
      </c>
      <c r="DI435" t="str">
        <f>""</f>
        <v/>
      </c>
      <c r="DJ435" t="str">
        <f>""</f>
        <v/>
      </c>
      <c r="DK435" t="str">
        <f>""</f>
        <v/>
      </c>
      <c r="DL435" t="str">
        <f>""</f>
        <v/>
      </c>
      <c r="DM435" t="str">
        <f>""</f>
        <v/>
      </c>
      <c r="DN435" t="str">
        <f>""</f>
        <v/>
      </c>
      <c r="DO435" t="str">
        <f>""</f>
        <v/>
      </c>
      <c r="DP435" t="str">
        <f>""</f>
        <v/>
      </c>
      <c r="DQ435" t="str">
        <f>""</f>
        <v/>
      </c>
      <c r="DR435" t="str">
        <f>""</f>
        <v/>
      </c>
      <c r="DS435" t="str">
        <f>""</f>
        <v/>
      </c>
      <c r="DT435" t="str">
        <f>""</f>
        <v/>
      </c>
      <c r="DU435" t="str">
        <f>""</f>
        <v/>
      </c>
    </row>
    <row r="436" spans="1:125">
      <c r="A436" t="str">
        <f>$A$126</f>
        <v xml:space="preserve">    Boston Properties Inc</v>
      </c>
      <c r="B436" t="str">
        <f>$B$126</f>
        <v>BXP US Equity</v>
      </c>
      <c r="C436" t="str">
        <f>$C$126</f>
        <v>BE592</v>
      </c>
      <c r="D436" t="str">
        <f>$D$126</f>
        <v>BEST_FFOPS_YOY_GTH</v>
      </c>
      <c r="E436" t="str">
        <f>$E$126</f>
        <v>动态</v>
      </c>
      <c r="F436" t="str">
        <f ca="1">BDH($B$126,$C$126,$B$292,$B$293,CONCATENATE("Per=",$B$290),"Dts=H","Dir=H",CONCATENATE("Points=",$B$291),"Sort=R","Days=A","Fill=B","BE997=1GY",CONCATENATE("FX=", $B$289) )</f>
        <v>#N/A Authorization</v>
      </c>
      <c r="BN436" t="str">
        <f>""</f>
        <v/>
      </c>
      <c r="BO436" t="str">
        <f>""</f>
        <v/>
      </c>
      <c r="BP436" t="str">
        <f>""</f>
        <v/>
      </c>
      <c r="BQ436" t="str">
        <f>""</f>
        <v/>
      </c>
      <c r="BR436" t="str">
        <f>""</f>
        <v/>
      </c>
      <c r="BS436" t="str">
        <f>""</f>
        <v/>
      </c>
      <c r="BT436" t="str">
        <f>""</f>
        <v/>
      </c>
      <c r="BU436" t="str">
        <f>""</f>
        <v/>
      </c>
      <c r="BV436" t="str">
        <f>""</f>
        <v/>
      </c>
      <c r="BW436" t="str">
        <f>""</f>
        <v/>
      </c>
      <c r="BX436" t="str">
        <f>""</f>
        <v/>
      </c>
      <c r="BY436" t="str">
        <f>""</f>
        <v/>
      </c>
      <c r="BZ436" t="str">
        <f>""</f>
        <v/>
      </c>
      <c r="CA436" t="str">
        <f>""</f>
        <v/>
      </c>
      <c r="CB436" t="str">
        <f>""</f>
        <v/>
      </c>
      <c r="CC436" t="str">
        <f>""</f>
        <v/>
      </c>
      <c r="CD436" t="str">
        <f>""</f>
        <v/>
      </c>
      <c r="CE436" t="str">
        <f>""</f>
        <v/>
      </c>
      <c r="CF436" t="str">
        <f>""</f>
        <v/>
      </c>
      <c r="CG436" t="str">
        <f>""</f>
        <v/>
      </c>
      <c r="CH436" t="str">
        <f>""</f>
        <v/>
      </c>
      <c r="CI436" t="str">
        <f>""</f>
        <v/>
      </c>
      <c r="CJ436" t="str">
        <f>""</f>
        <v/>
      </c>
      <c r="CK436" t="str">
        <f>""</f>
        <v/>
      </c>
      <c r="CL436" t="str">
        <f>""</f>
        <v/>
      </c>
      <c r="CM436" t="str">
        <f>""</f>
        <v/>
      </c>
      <c r="CN436" t="str">
        <f>""</f>
        <v/>
      </c>
      <c r="CO436" t="str">
        <f>""</f>
        <v/>
      </c>
      <c r="CP436" t="str">
        <f>""</f>
        <v/>
      </c>
      <c r="CQ436" t="str">
        <f>""</f>
        <v/>
      </c>
      <c r="CR436" t="str">
        <f>""</f>
        <v/>
      </c>
      <c r="CS436" t="str">
        <f>""</f>
        <v/>
      </c>
      <c r="CT436" t="str">
        <f>""</f>
        <v/>
      </c>
      <c r="CU436" t="str">
        <f>""</f>
        <v/>
      </c>
      <c r="CV436" t="str">
        <f>""</f>
        <v/>
      </c>
      <c r="CW436" t="str">
        <f>""</f>
        <v/>
      </c>
      <c r="CX436" t="str">
        <f>""</f>
        <v/>
      </c>
      <c r="CY436" t="str">
        <f>""</f>
        <v/>
      </c>
      <c r="CZ436" t="str">
        <f>""</f>
        <v/>
      </c>
      <c r="DA436" t="str">
        <f>""</f>
        <v/>
      </c>
      <c r="DB436" t="str">
        <f>""</f>
        <v/>
      </c>
      <c r="DC436" t="str">
        <f>""</f>
        <v/>
      </c>
      <c r="DD436" t="str">
        <f>""</f>
        <v/>
      </c>
      <c r="DE436" t="str">
        <f>""</f>
        <v/>
      </c>
      <c r="DF436" t="str">
        <f>""</f>
        <v/>
      </c>
      <c r="DG436" t="str">
        <f>""</f>
        <v/>
      </c>
      <c r="DH436" t="str">
        <f>""</f>
        <v/>
      </c>
      <c r="DI436" t="str">
        <f>""</f>
        <v/>
      </c>
      <c r="DJ436" t="str">
        <f>""</f>
        <v/>
      </c>
      <c r="DK436" t="str">
        <f>""</f>
        <v/>
      </c>
      <c r="DL436" t="str">
        <f>""</f>
        <v/>
      </c>
      <c r="DM436" t="str">
        <f>""</f>
        <v/>
      </c>
      <c r="DN436" t="str">
        <f>""</f>
        <v/>
      </c>
      <c r="DO436" t="str">
        <f>""</f>
        <v/>
      </c>
      <c r="DP436" t="str">
        <f>""</f>
        <v/>
      </c>
      <c r="DQ436" t="str">
        <f>""</f>
        <v/>
      </c>
      <c r="DR436" t="str">
        <f>""</f>
        <v/>
      </c>
      <c r="DS436" t="str">
        <f>""</f>
        <v/>
      </c>
      <c r="DT436" t="str">
        <f>""</f>
        <v/>
      </c>
      <c r="DU436" t="str">
        <f>""</f>
        <v/>
      </c>
    </row>
    <row r="437" spans="1:125">
      <c r="A437" t="str">
        <f>$A$127</f>
        <v xml:space="preserve">    Brandywine Realty Trust</v>
      </c>
      <c r="B437" t="str">
        <f>$B$127</f>
        <v>BDN US Equity</v>
      </c>
      <c r="C437" t="str">
        <f>$C$127</f>
        <v>BE592</v>
      </c>
      <c r="D437" t="str">
        <f>$D$127</f>
        <v>BEST_FFOPS_YOY_GTH</v>
      </c>
      <c r="E437" t="str">
        <f>$E$127</f>
        <v>动态</v>
      </c>
      <c r="F437" t="str">
        <f ca="1">BDH($B$127,$C$127,$B$292,$B$293,CONCATENATE("Per=",$B$290),"Dts=H","Dir=H",CONCATENATE("Points=",$B$291),"Sort=R","Days=A","Fill=B","BE997=1GY",CONCATENATE("FX=", $B$289) )</f>
        <v>#N/A Authorization</v>
      </c>
      <c r="BN437" t="str">
        <f>""</f>
        <v/>
      </c>
      <c r="BO437" t="str">
        <f>""</f>
        <v/>
      </c>
      <c r="BP437" t="str">
        <f>""</f>
        <v/>
      </c>
      <c r="BQ437" t="str">
        <f>""</f>
        <v/>
      </c>
      <c r="BR437" t="str">
        <f>""</f>
        <v/>
      </c>
      <c r="BS437" t="str">
        <f>""</f>
        <v/>
      </c>
      <c r="BT437" t="str">
        <f>""</f>
        <v/>
      </c>
      <c r="BU437" t="str">
        <f>""</f>
        <v/>
      </c>
      <c r="BV437" t="str">
        <f>""</f>
        <v/>
      </c>
      <c r="BW437" t="str">
        <f>""</f>
        <v/>
      </c>
      <c r="BX437" t="str">
        <f>""</f>
        <v/>
      </c>
      <c r="BY437" t="str">
        <f>""</f>
        <v/>
      </c>
      <c r="BZ437" t="str">
        <f>""</f>
        <v/>
      </c>
      <c r="CA437" t="str">
        <f>""</f>
        <v/>
      </c>
      <c r="CB437" t="str">
        <f>""</f>
        <v/>
      </c>
      <c r="CC437" t="str">
        <f>""</f>
        <v/>
      </c>
      <c r="CD437" t="str">
        <f>""</f>
        <v/>
      </c>
      <c r="CE437" t="str">
        <f>""</f>
        <v/>
      </c>
      <c r="CF437" t="str">
        <f>""</f>
        <v/>
      </c>
      <c r="CG437" t="str">
        <f>""</f>
        <v/>
      </c>
      <c r="CH437" t="str">
        <f>""</f>
        <v/>
      </c>
      <c r="CI437" t="str">
        <f>""</f>
        <v/>
      </c>
      <c r="CJ437" t="str">
        <f>""</f>
        <v/>
      </c>
      <c r="CK437" t="str">
        <f>""</f>
        <v/>
      </c>
      <c r="CL437" t="str">
        <f>""</f>
        <v/>
      </c>
      <c r="CM437" t="str">
        <f>""</f>
        <v/>
      </c>
      <c r="CN437" t="str">
        <f>""</f>
        <v/>
      </c>
      <c r="CO437" t="str">
        <f>""</f>
        <v/>
      </c>
      <c r="CP437" t="str">
        <f>""</f>
        <v/>
      </c>
      <c r="CQ437" t="str">
        <f>""</f>
        <v/>
      </c>
      <c r="CR437" t="str">
        <f>""</f>
        <v/>
      </c>
      <c r="CS437" t="str">
        <f>""</f>
        <v/>
      </c>
      <c r="CT437" t="str">
        <f>""</f>
        <v/>
      </c>
      <c r="CU437" t="str">
        <f>""</f>
        <v/>
      </c>
      <c r="CV437" t="str">
        <f>""</f>
        <v/>
      </c>
      <c r="CW437" t="str">
        <f>""</f>
        <v/>
      </c>
      <c r="CX437" t="str">
        <f>""</f>
        <v/>
      </c>
      <c r="CY437" t="str">
        <f>""</f>
        <v/>
      </c>
      <c r="CZ437" t="str">
        <f>""</f>
        <v/>
      </c>
      <c r="DA437" t="str">
        <f>""</f>
        <v/>
      </c>
      <c r="DB437" t="str">
        <f>""</f>
        <v/>
      </c>
      <c r="DC437" t="str">
        <f>""</f>
        <v/>
      </c>
      <c r="DD437" t="str">
        <f>""</f>
        <v/>
      </c>
      <c r="DE437" t="str">
        <f>""</f>
        <v/>
      </c>
      <c r="DF437" t="str">
        <f>""</f>
        <v/>
      </c>
      <c r="DG437" t="str">
        <f>""</f>
        <v/>
      </c>
      <c r="DH437" t="str">
        <f>""</f>
        <v/>
      </c>
      <c r="DI437" t="str">
        <f>""</f>
        <v/>
      </c>
      <c r="DJ437" t="str">
        <f>""</f>
        <v/>
      </c>
      <c r="DK437" t="str">
        <f>""</f>
        <v/>
      </c>
      <c r="DL437" t="str">
        <f>""</f>
        <v/>
      </c>
      <c r="DM437" t="str">
        <f>""</f>
        <v/>
      </c>
      <c r="DN437" t="str">
        <f>""</f>
        <v/>
      </c>
      <c r="DO437" t="str">
        <f>""</f>
        <v/>
      </c>
      <c r="DP437" t="str">
        <f>""</f>
        <v/>
      </c>
      <c r="DQ437" t="str">
        <f>""</f>
        <v/>
      </c>
      <c r="DR437" t="str">
        <f>""</f>
        <v/>
      </c>
      <c r="DS437" t="str">
        <f>""</f>
        <v/>
      </c>
      <c r="DT437" t="str">
        <f>""</f>
        <v/>
      </c>
      <c r="DU437" t="str">
        <f>""</f>
        <v/>
      </c>
    </row>
    <row r="438" spans="1:125">
      <c r="A438" t="str">
        <f>$A$128</f>
        <v xml:space="preserve">    Columbia Property Trust Inc</v>
      </c>
      <c r="B438" t="str">
        <f>$B$128</f>
        <v>CXP US Equity</v>
      </c>
      <c r="C438" t="str">
        <f>$C$128</f>
        <v>BE592</v>
      </c>
      <c r="D438" t="str">
        <f>$D$128</f>
        <v>BEST_FFOPS_YOY_GTH</v>
      </c>
      <c r="E438" t="str">
        <f>$E$128</f>
        <v>动态</v>
      </c>
      <c r="F438" t="str">
        <f ca="1">BDH($B$128,$C$128,$B$292,$B$293,CONCATENATE("Per=",$B$290),"Dts=H","Dir=H",CONCATENATE("Points=",$B$291),"Sort=R","Days=A","Fill=B","BE997=1GY",CONCATENATE("FX=", $B$289) )</f>
        <v>#N/A Authorization</v>
      </c>
      <c r="BN438" t="str">
        <f>""</f>
        <v/>
      </c>
      <c r="BO438" t="str">
        <f>""</f>
        <v/>
      </c>
      <c r="BP438" t="str">
        <f>""</f>
        <v/>
      </c>
      <c r="BQ438" t="str">
        <f>""</f>
        <v/>
      </c>
      <c r="BR438" t="str">
        <f>""</f>
        <v/>
      </c>
      <c r="BS438" t="str">
        <f>""</f>
        <v/>
      </c>
      <c r="BT438" t="str">
        <f>""</f>
        <v/>
      </c>
      <c r="BU438" t="str">
        <f>""</f>
        <v/>
      </c>
      <c r="BV438" t="str">
        <f>""</f>
        <v/>
      </c>
      <c r="BW438" t="str">
        <f>""</f>
        <v/>
      </c>
      <c r="BX438" t="str">
        <f>""</f>
        <v/>
      </c>
      <c r="BY438" t="str">
        <f>""</f>
        <v/>
      </c>
      <c r="BZ438" t="str">
        <f>""</f>
        <v/>
      </c>
      <c r="CA438" t="str">
        <f>""</f>
        <v/>
      </c>
      <c r="CB438" t="str">
        <f>""</f>
        <v/>
      </c>
      <c r="CC438" t="str">
        <f>""</f>
        <v/>
      </c>
      <c r="CD438" t="str">
        <f>""</f>
        <v/>
      </c>
      <c r="CE438" t="str">
        <f>""</f>
        <v/>
      </c>
      <c r="CF438" t="str">
        <f>""</f>
        <v/>
      </c>
      <c r="CG438" t="str">
        <f>""</f>
        <v/>
      </c>
      <c r="CH438" t="str">
        <f>""</f>
        <v/>
      </c>
      <c r="CI438" t="str">
        <f>""</f>
        <v/>
      </c>
      <c r="CJ438" t="str">
        <f>""</f>
        <v/>
      </c>
      <c r="CK438" t="str">
        <f>""</f>
        <v/>
      </c>
      <c r="CL438" t="str">
        <f>""</f>
        <v/>
      </c>
      <c r="CM438" t="str">
        <f>""</f>
        <v/>
      </c>
      <c r="CN438" t="str">
        <f>""</f>
        <v/>
      </c>
      <c r="CO438" t="str">
        <f>""</f>
        <v/>
      </c>
      <c r="CP438" t="str">
        <f>""</f>
        <v/>
      </c>
      <c r="CQ438" t="str">
        <f>""</f>
        <v/>
      </c>
      <c r="CR438" t="str">
        <f>""</f>
        <v/>
      </c>
      <c r="CS438" t="str">
        <f>""</f>
        <v/>
      </c>
      <c r="CT438" t="str">
        <f>""</f>
        <v/>
      </c>
      <c r="CU438" t="str">
        <f>""</f>
        <v/>
      </c>
      <c r="CV438" t="str">
        <f>""</f>
        <v/>
      </c>
      <c r="CW438" t="str">
        <f>""</f>
        <v/>
      </c>
      <c r="CX438" t="str">
        <f>""</f>
        <v/>
      </c>
      <c r="CY438" t="str">
        <f>""</f>
        <v/>
      </c>
      <c r="CZ438" t="str">
        <f>""</f>
        <v/>
      </c>
      <c r="DA438" t="str">
        <f>""</f>
        <v/>
      </c>
      <c r="DB438" t="str">
        <f>""</f>
        <v/>
      </c>
      <c r="DC438" t="str">
        <f>""</f>
        <v/>
      </c>
      <c r="DD438" t="str">
        <f>""</f>
        <v/>
      </c>
      <c r="DE438" t="str">
        <f>""</f>
        <v/>
      </c>
      <c r="DF438" t="str">
        <f>""</f>
        <v/>
      </c>
      <c r="DG438" t="str">
        <f>""</f>
        <v/>
      </c>
      <c r="DH438" t="str">
        <f>""</f>
        <v/>
      </c>
      <c r="DI438" t="str">
        <f>""</f>
        <v/>
      </c>
      <c r="DJ438" t="str">
        <f>""</f>
        <v/>
      </c>
      <c r="DK438" t="str">
        <f>""</f>
        <v/>
      </c>
      <c r="DL438" t="str">
        <f>""</f>
        <v/>
      </c>
      <c r="DM438" t="str">
        <f>""</f>
        <v/>
      </c>
      <c r="DN438" t="str">
        <f>""</f>
        <v/>
      </c>
      <c r="DO438" t="str">
        <f>""</f>
        <v/>
      </c>
      <c r="DP438" t="str">
        <f>""</f>
        <v/>
      </c>
      <c r="DQ438" t="str">
        <f>""</f>
        <v/>
      </c>
      <c r="DR438" t="str">
        <f>""</f>
        <v/>
      </c>
      <c r="DS438" t="str">
        <f>""</f>
        <v/>
      </c>
      <c r="DT438" t="str">
        <f>""</f>
        <v/>
      </c>
      <c r="DU438" t="str">
        <f>""</f>
        <v/>
      </c>
    </row>
    <row r="439" spans="1:125">
      <c r="A439" t="str">
        <f>$A$129</f>
        <v xml:space="preserve">    Corporate Office Properties Tr</v>
      </c>
      <c r="B439" t="str">
        <f>$B$129</f>
        <v>OFC US Equity</v>
      </c>
      <c r="C439" t="str">
        <f>$C$129</f>
        <v>BE592</v>
      </c>
      <c r="D439" t="str">
        <f>$D$129</f>
        <v>BEST_FFOPS_YOY_GTH</v>
      </c>
      <c r="E439" t="str">
        <f>$E$129</f>
        <v>动态</v>
      </c>
      <c r="F439" t="str">
        <f ca="1">BDH($B$129,$C$129,$B$292,$B$293,CONCATENATE("Per=",$B$290),"Dts=H","Dir=H",CONCATENATE("Points=",$B$291),"Sort=R","Days=A","Fill=B","BE997=1GY",CONCATENATE("FX=", $B$289) )</f>
        <v>#N/A Authorization</v>
      </c>
      <c r="BN439" t="str">
        <f>""</f>
        <v/>
      </c>
      <c r="BO439" t="str">
        <f>""</f>
        <v/>
      </c>
      <c r="BP439" t="str">
        <f>""</f>
        <v/>
      </c>
      <c r="BQ439" t="str">
        <f>""</f>
        <v/>
      </c>
      <c r="BR439" t="str">
        <f>""</f>
        <v/>
      </c>
      <c r="BS439" t="str">
        <f>""</f>
        <v/>
      </c>
      <c r="BT439" t="str">
        <f>""</f>
        <v/>
      </c>
      <c r="BU439" t="str">
        <f>""</f>
        <v/>
      </c>
      <c r="BV439" t="str">
        <f>""</f>
        <v/>
      </c>
      <c r="BW439" t="str">
        <f>""</f>
        <v/>
      </c>
      <c r="BX439" t="str">
        <f>""</f>
        <v/>
      </c>
      <c r="BY439" t="str">
        <f>""</f>
        <v/>
      </c>
      <c r="BZ439" t="str">
        <f>""</f>
        <v/>
      </c>
      <c r="CA439" t="str">
        <f>""</f>
        <v/>
      </c>
      <c r="CB439" t="str">
        <f>""</f>
        <v/>
      </c>
      <c r="CC439" t="str">
        <f>""</f>
        <v/>
      </c>
      <c r="CD439" t="str">
        <f>""</f>
        <v/>
      </c>
      <c r="CE439" t="str">
        <f>""</f>
        <v/>
      </c>
      <c r="CF439" t="str">
        <f>""</f>
        <v/>
      </c>
      <c r="CG439" t="str">
        <f>""</f>
        <v/>
      </c>
      <c r="CH439" t="str">
        <f>""</f>
        <v/>
      </c>
      <c r="CI439" t="str">
        <f>""</f>
        <v/>
      </c>
      <c r="CJ439" t="str">
        <f>""</f>
        <v/>
      </c>
      <c r="CK439" t="str">
        <f>""</f>
        <v/>
      </c>
      <c r="CL439" t="str">
        <f>""</f>
        <v/>
      </c>
      <c r="CM439" t="str">
        <f>""</f>
        <v/>
      </c>
      <c r="CN439" t="str">
        <f>""</f>
        <v/>
      </c>
      <c r="CO439" t="str">
        <f>""</f>
        <v/>
      </c>
      <c r="CP439" t="str">
        <f>""</f>
        <v/>
      </c>
      <c r="CQ439" t="str">
        <f>""</f>
        <v/>
      </c>
      <c r="CR439" t="str">
        <f>""</f>
        <v/>
      </c>
      <c r="CS439" t="str">
        <f>""</f>
        <v/>
      </c>
      <c r="CT439" t="str">
        <f>""</f>
        <v/>
      </c>
      <c r="CU439" t="str">
        <f>""</f>
        <v/>
      </c>
      <c r="CV439" t="str">
        <f>""</f>
        <v/>
      </c>
      <c r="CW439" t="str">
        <f>""</f>
        <v/>
      </c>
      <c r="CX439" t="str">
        <f>""</f>
        <v/>
      </c>
      <c r="CY439" t="str">
        <f>""</f>
        <v/>
      </c>
      <c r="CZ439" t="str">
        <f>""</f>
        <v/>
      </c>
      <c r="DA439" t="str">
        <f>""</f>
        <v/>
      </c>
      <c r="DB439" t="str">
        <f>""</f>
        <v/>
      </c>
      <c r="DC439" t="str">
        <f>""</f>
        <v/>
      </c>
      <c r="DD439" t="str">
        <f>""</f>
        <v/>
      </c>
      <c r="DE439" t="str">
        <f>""</f>
        <v/>
      </c>
      <c r="DF439" t="str">
        <f>""</f>
        <v/>
      </c>
      <c r="DG439" t="str">
        <f>""</f>
        <v/>
      </c>
      <c r="DH439" t="str">
        <f>""</f>
        <v/>
      </c>
      <c r="DI439" t="str">
        <f>""</f>
        <v/>
      </c>
      <c r="DJ439" t="str">
        <f>""</f>
        <v/>
      </c>
      <c r="DK439" t="str">
        <f>""</f>
        <v/>
      </c>
      <c r="DL439" t="str">
        <f>""</f>
        <v/>
      </c>
      <c r="DM439" t="str">
        <f>""</f>
        <v/>
      </c>
      <c r="DN439" t="str">
        <f>""</f>
        <v/>
      </c>
      <c r="DO439" t="str">
        <f>""</f>
        <v/>
      </c>
      <c r="DP439" t="str">
        <f>""</f>
        <v/>
      </c>
      <c r="DQ439" t="str">
        <f>""</f>
        <v/>
      </c>
      <c r="DR439" t="str">
        <f>""</f>
        <v/>
      </c>
      <c r="DS439" t="str">
        <f>""</f>
        <v/>
      </c>
      <c r="DT439" t="str">
        <f>""</f>
        <v/>
      </c>
      <c r="DU439" t="str">
        <f>""</f>
        <v/>
      </c>
    </row>
    <row r="440" spans="1:125">
      <c r="A440" t="str">
        <f>$A$130</f>
        <v xml:space="preserve">    Highwoods Properties Inc</v>
      </c>
      <c r="B440" t="str">
        <f>$B$130</f>
        <v>HIW US Equity</v>
      </c>
      <c r="C440" t="str">
        <f>$C$130</f>
        <v>BE592</v>
      </c>
      <c r="D440" t="str">
        <f>$D$130</f>
        <v>BEST_FFOPS_YOY_GTH</v>
      </c>
      <c r="E440" t="str">
        <f>$E$130</f>
        <v>动态</v>
      </c>
      <c r="F440" t="str">
        <f ca="1">BDH($B$130,$C$130,$B$292,$B$293,CONCATENATE("Per=",$B$290),"Dts=H","Dir=H",CONCATENATE("Points=",$B$291),"Sort=R","Days=A","Fill=B","BE997=1GY",CONCATENATE("FX=", $B$289) )</f>
        <v>#N/A Authorization</v>
      </c>
      <c r="BN440" t="str">
        <f>""</f>
        <v/>
      </c>
      <c r="BO440" t="str">
        <f>""</f>
        <v/>
      </c>
      <c r="BP440" t="str">
        <f>""</f>
        <v/>
      </c>
      <c r="BQ440" t="str">
        <f>""</f>
        <v/>
      </c>
      <c r="BR440" t="str">
        <f>""</f>
        <v/>
      </c>
      <c r="BS440" t="str">
        <f>""</f>
        <v/>
      </c>
      <c r="BT440" t="str">
        <f>""</f>
        <v/>
      </c>
      <c r="BU440" t="str">
        <f>""</f>
        <v/>
      </c>
      <c r="BV440" t="str">
        <f>""</f>
        <v/>
      </c>
      <c r="BW440" t="str">
        <f>""</f>
        <v/>
      </c>
      <c r="BX440" t="str">
        <f>""</f>
        <v/>
      </c>
      <c r="BY440" t="str">
        <f>""</f>
        <v/>
      </c>
      <c r="BZ440" t="str">
        <f>""</f>
        <v/>
      </c>
      <c r="CA440" t="str">
        <f>""</f>
        <v/>
      </c>
      <c r="CB440" t="str">
        <f>""</f>
        <v/>
      </c>
      <c r="CC440" t="str">
        <f>""</f>
        <v/>
      </c>
      <c r="CD440" t="str">
        <f>""</f>
        <v/>
      </c>
      <c r="CE440" t="str">
        <f>""</f>
        <v/>
      </c>
      <c r="CF440" t="str">
        <f>""</f>
        <v/>
      </c>
      <c r="CG440" t="str">
        <f>""</f>
        <v/>
      </c>
      <c r="CH440" t="str">
        <f>""</f>
        <v/>
      </c>
      <c r="CI440" t="str">
        <f>""</f>
        <v/>
      </c>
      <c r="CJ440" t="str">
        <f>""</f>
        <v/>
      </c>
      <c r="CK440" t="str">
        <f>""</f>
        <v/>
      </c>
      <c r="CL440" t="str">
        <f>""</f>
        <v/>
      </c>
      <c r="CM440" t="str">
        <f>""</f>
        <v/>
      </c>
      <c r="CN440" t="str">
        <f>""</f>
        <v/>
      </c>
      <c r="CO440" t="str">
        <f>""</f>
        <v/>
      </c>
      <c r="CP440" t="str">
        <f>""</f>
        <v/>
      </c>
      <c r="CQ440" t="str">
        <f>""</f>
        <v/>
      </c>
      <c r="CR440" t="str">
        <f>""</f>
        <v/>
      </c>
      <c r="CS440" t="str">
        <f>""</f>
        <v/>
      </c>
      <c r="CT440" t="str">
        <f>""</f>
        <v/>
      </c>
      <c r="CU440" t="str">
        <f>""</f>
        <v/>
      </c>
      <c r="CV440" t="str">
        <f>""</f>
        <v/>
      </c>
      <c r="CW440" t="str">
        <f>""</f>
        <v/>
      </c>
      <c r="CX440" t="str">
        <f>""</f>
        <v/>
      </c>
      <c r="CY440" t="str">
        <f>""</f>
        <v/>
      </c>
      <c r="CZ440" t="str">
        <f>""</f>
        <v/>
      </c>
      <c r="DA440" t="str">
        <f>""</f>
        <v/>
      </c>
      <c r="DB440" t="str">
        <f>""</f>
        <v/>
      </c>
      <c r="DC440" t="str">
        <f>""</f>
        <v/>
      </c>
      <c r="DD440" t="str">
        <f>""</f>
        <v/>
      </c>
      <c r="DE440" t="str">
        <f>""</f>
        <v/>
      </c>
      <c r="DF440" t="str">
        <f>""</f>
        <v/>
      </c>
      <c r="DG440" t="str">
        <f>""</f>
        <v/>
      </c>
      <c r="DH440" t="str">
        <f>""</f>
        <v/>
      </c>
      <c r="DI440" t="str">
        <f>""</f>
        <v/>
      </c>
      <c r="DJ440" t="str">
        <f>""</f>
        <v/>
      </c>
      <c r="DK440" t="str">
        <f>""</f>
        <v/>
      </c>
      <c r="DL440" t="str">
        <f>""</f>
        <v/>
      </c>
      <c r="DM440" t="str">
        <f>""</f>
        <v/>
      </c>
      <c r="DN440" t="str">
        <f>""</f>
        <v/>
      </c>
      <c r="DO440" t="str">
        <f>""</f>
        <v/>
      </c>
      <c r="DP440" t="str">
        <f>""</f>
        <v/>
      </c>
      <c r="DQ440" t="str">
        <f>""</f>
        <v/>
      </c>
      <c r="DR440" t="str">
        <f>""</f>
        <v/>
      </c>
      <c r="DS440" t="str">
        <f>""</f>
        <v/>
      </c>
      <c r="DT440" t="str">
        <f>""</f>
        <v/>
      </c>
      <c r="DU440" t="str">
        <f>""</f>
        <v/>
      </c>
    </row>
    <row r="441" spans="1:125">
      <c r="A441" t="str">
        <f>$A$131</f>
        <v xml:space="preserve">    Kilroy Realty Corp</v>
      </c>
      <c r="B441" t="str">
        <f>$B$131</f>
        <v>KRC US Equity</v>
      </c>
      <c r="C441" t="str">
        <f>$C$131</f>
        <v>BE592</v>
      </c>
      <c r="D441" t="str">
        <f>$D$131</f>
        <v>BEST_FFOPS_YOY_GTH</v>
      </c>
      <c r="E441" t="str">
        <f>$E$131</f>
        <v>动态</v>
      </c>
      <c r="F441" t="str">
        <f ca="1">BDH($B$131,$C$131,$B$292,$B$293,CONCATENATE("Per=",$B$290),"Dts=H","Dir=H",CONCATENATE("Points=",$B$291),"Sort=R","Days=A","Fill=B","BE997=1GY",CONCATENATE("FX=", $B$289) )</f>
        <v>#N/A Authorization</v>
      </c>
      <c r="BN441" t="str">
        <f>""</f>
        <v/>
      </c>
      <c r="BO441" t="str">
        <f>""</f>
        <v/>
      </c>
      <c r="BP441" t="str">
        <f>""</f>
        <v/>
      </c>
      <c r="BQ441" t="str">
        <f>""</f>
        <v/>
      </c>
      <c r="BR441" t="str">
        <f>""</f>
        <v/>
      </c>
      <c r="BS441" t="str">
        <f>""</f>
        <v/>
      </c>
      <c r="BT441" t="str">
        <f>""</f>
        <v/>
      </c>
      <c r="BU441" t="str">
        <f>""</f>
        <v/>
      </c>
      <c r="BV441" t="str">
        <f>""</f>
        <v/>
      </c>
      <c r="BW441" t="str">
        <f>""</f>
        <v/>
      </c>
      <c r="BX441" t="str">
        <f>""</f>
        <v/>
      </c>
      <c r="BY441" t="str">
        <f>""</f>
        <v/>
      </c>
      <c r="BZ441" t="str">
        <f>""</f>
        <v/>
      </c>
      <c r="CA441" t="str">
        <f>""</f>
        <v/>
      </c>
      <c r="CB441" t="str">
        <f>""</f>
        <v/>
      </c>
      <c r="CC441" t="str">
        <f>""</f>
        <v/>
      </c>
      <c r="CD441" t="str">
        <f>""</f>
        <v/>
      </c>
      <c r="CE441" t="str">
        <f>""</f>
        <v/>
      </c>
      <c r="CF441" t="str">
        <f>""</f>
        <v/>
      </c>
      <c r="CG441" t="str">
        <f>""</f>
        <v/>
      </c>
      <c r="CH441" t="str">
        <f>""</f>
        <v/>
      </c>
      <c r="CI441" t="str">
        <f>""</f>
        <v/>
      </c>
      <c r="CJ441" t="str">
        <f>""</f>
        <v/>
      </c>
      <c r="CK441" t="str">
        <f>""</f>
        <v/>
      </c>
      <c r="CL441" t="str">
        <f>""</f>
        <v/>
      </c>
      <c r="CM441" t="str">
        <f>""</f>
        <v/>
      </c>
      <c r="CN441" t="str">
        <f>""</f>
        <v/>
      </c>
      <c r="CO441" t="str">
        <f>""</f>
        <v/>
      </c>
      <c r="CP441" t="str">
        <f>""</f>
        <v/>
      </c>
      <c r="CQ441" t="str">
        <f>""</f>
        <v/>
      </c>
      <c r="CR441" t="str">
        <f>""</f>
        <v/>
      </c>
      <c r="CS441" t="str">
        <f>""</f>
        <v/>
      </c>
      <c r="CT441" t="str">
        <f>""</f>
        <v/>
      </c>
      <c r="CU441" t="str">
        <f>""</f>
        <v/>
      </c>
      <c r="CV441" t="str">
        <f>""</f>
        <v/>
      </c>
      <c r="CW441" t="str">
        <f>""</f>
        <v/>
      </c>
      <c r="CX441" t="str">
        <f>""</f>
        <v/>
      </c>
      <c r="CY441" t="str">
        <f>""</f>
        <v/>
      </c>
      <c r="CZ441" t="str">
        <f>""</f>
        <v/>
      </c>
      <c r="DA441" t="str">
        <f>""</f>
        <v/>
      </c>
      <c r="DB441" t="str">
        <f>""</f>
        <v/>
      </c>
      <c r="DC441" t="str">
        <f>""</f>
        <v/>
      </c>
      <c r="DD441" t="str">
        <f>""</f>
        <v/>
      </c>
      <c r="DE441" t="str">
        <f>""</f>
        <v/>
      </c>
      <c r="DF441" t="str">
        <f>""</f>
        <v/>
      </c>
      <c r="DG441" t="str">
        <f>""</f>
        <v/>
      </c>
      <c r="DH441" t="str">
        <f>""</f>
        <v/>
      </c>
      <c r="DI441" t="str">
        <f>""</f>
        <v/>
      </c>
      <c r="DJ441" t="str">
        <f>""</f>
        <v/>
      </c>
      <c r="DK441" t="str">
        <f>""</f>
        <v/>
      </c>
      <c r="DL441" t="str">
        <f>""</f>
        <v/>
      </c>
      <c r="DM441" t="str">
        <f>""</f>
        <v/>
      </c>
      <c r="DN441" t="str">
        <f>""</f>
        <v/>
      </c>
      <c r="DO441" t="str">
        <f>""</f>
        <v/>
      </c>
      <c r="DP441" t="str">
        <f>""</f>
        <v/>
      </c>
      <c r="DQ441" t="str">
        <f>""</f>
        <v/>
      </c>
      <c r="DR441" t="str">
        <f>""</f>
        <v/>
      </c>
      <c r="DS441" t="str">
        <f>""</f>
        <v/>
      </c>
      <c r="DT441" t="str">
        <f>""</f>
        <v/>
      </c>
      <c r="DU441" t="str">
        <f>""</f>
        <v/>
      </c>
    </row>
    <row r="442" spans="1:125">
      <c r="A442" t="str">
        <f>$A$132</f>
        <v xml:space="preserve">    Mack-Cali Realty Corp</v>
      </c>
      <c r="B442" t="str">
        <f>$B$132</f>
        <v>CLI US Equity</v>
      </c>
      <c r="C442" t="str">
        <f>$C$132</f>
        <v>BE592</v>
      </c>
      <c r="D442" t="str">
        <f>$D$132</f>
        <v>BEST_FFOPS_YOY_GTH</v>
      </c>
      <c r="E442" t="str">
        <f>$E$132</f>
        <v>动态</v>
      </c>
      <c r="F442" t="str">
        <f ca="1">BDH($B$132,$C$132,$B$292,$B$293,CONCATENATE("Per=",$B$290),"Dts=H","Dir=H",CONCATENATE("Points=",$B$291),"Sort=R","Days=A","Fill=B","BE997=1GY",CONCATENATE("FX=", $B$289) )</f>
        <v>#N/A Authorization</v>
      </c>
      <c r="BN442" t="str">
        <f>""</f>
        <v/>
      </c>
      <c r="BO442" t="str">
        <f>""</f>
        <v/>
      </c>
      <c r="BP442" t="str">
        <f>""</f>
        <v/>
      </c>
      <c r="BQ442" t="str">
        <f>""</f>
        <v/>
      </c>
      <c r="BR442" t="str">
        <f>""</f>
        <v/>
      </c>
      <c r="BS442" t="str">
        <f>""</f>
        <v/>
      </c>
      <c r="BT442" t="str">
        <f>""</f>
        <v/>
      </c>
      <c r="BU442" t="str">
        <f>""</f>
        <v/>
      </c>
      <c r="BV442" t="str">
        <f>""</f>
        <v/>
      </c>
      <c r="BW442" t="str">
        <f>""</f>
        <v/>
      </c>
      <c r="BX442" t="str">
        <f>""</f>
        <v/>
      </c>
      <c r="BY442" t="str">
        <f>""</f>
        <v/>
      </c>
      <c r="BZ442" t="str">
        <f>""</f>
        <v/>
      </c>
      <c r="CA442" t="str">
        <f>""</f>
        <v/>
      </c>
      <c r="CB442" t="str">
        <f>""</f>
        <v/>
      </c>
      <c r="CC442" t="str">
        <f>""</f>
        <v/>
      </c>
      <c r="CD442" t="str">
        <f>""</f>
        <v/>
      </c>
      <c r="CE442" t="str">
        <f>""</f>
        <v/>
      </c>
      <c r="CF442" t="str">
        <f>""</f>
        <v/>
      </c>
      <c r="CG442" t="str">
        <f>""</f>
        <v/>
      </c>
      <c r="CH442" t="str">
        <f>""</f>
        <v/>
      </c>
      <c r="CI442" t="str">
        <f>""</f>
        <v/>
      </c>
      <c r="CJ442" t="str">
        <f>""</f>
        <v/>
      </c>
      <c r="CK442" t="str">
        <f>""</f>
        <v/>
      </c>
      <c r="CL442" t="str">
        <f>""</f>
        <v/>
      </c>
      <c r="CM442" t="str">
        <f>""</f>
        <v/>
      </c>
      <c r="CN442" t="str">
        <f>""</f>
        <v/>
      </c>
      <c r="CO442" t="str">
        <f>""</f>
        <v/>
      </c>
      <c r="CP442" t="str">
        <f>""</f>
        <v/>
      </c>
      <c r="CQ442" t="str">
        <f>""</f>
        <v/>
      </c>
      <c r="CR442" t="str">
        <f>""</f>
        <v/>
      </c>
      <c r="CS442" t="str">
        <f>""</f>
        <v/>
      </c>
      <c r="CT442" t="str">
        <f>""</f>
        <v/>
      </c>
      <c r="CU442" t="str">
        <f>""</f>
        <v/>
      </c>
      <c r="CV442" t="str">
        <f>""</f>
        <v/>
      </c>
      <c r="CW442" t="str">
        <f>""</f>
        <v/>
      </c>
      <c r="CX442" t="str">
        <f>""</f>
        <v/>
      </c>
      <c r="CY442" t="str">
        <f>""</f>
        <v/>
      </c>
      <c r="CZ442" t="str">
        <f>""</f>
        <v/>
      </c>
      <c r="DA442" t="str">
        <f>""</f>
        <v/>
      </c>
      <c r="DB442" t="str">
        <f>""</f>
        <v/>
      </c>
      <c r="DC442" t="str">
        <f>""</f>
        <v/>
      </c>
      <c r="DD442" t="str">
        <f>""</f>
        <v/>
      </c>
      <c r="DE442" t="str">
        <f>""</f>
        <v/>
      </c>
      <c r="DF442" t="str">
        <f>""</f>
        <v/>
      </c>
      <c r="DG442" t="str">
        <f>""</f>
        <v/>
      </c>
      <c r="DH442" t="str">
        <f>""</f>
        <v/>
      </c>
      <c r="DI442" t="str">
        <f>""</f>
        <v/>
      </c>
      <c r="DJ442" t="str">
        <f>""</f>
        <v/>
      </c>
      <c r="DK442" t="str">
        <f>""</f>
        <v/>
      </c>
      <c r="DL442" t="str">
        <f>""</f>
        <v/>
      </c>
      <c r="DM442" t="str">
        <f>""</f>
        <v/>
      </c>
      <c r="DN442" t="str">
        <f>""</f>
        <v/>
      </c>
      <c r="DO442" t="str">
        <f>""</f>
        <v/>
      </c>
      <c r="DP442" t="str">
        <f>""</f>
        <v/>
      </c>
      <c r="DQ442" t="str">
        <f>""</f>
        <v/>
      </c>
      <c r="DR442" t="str">
        <f>""</f>
        <v/>
      </c>
      <c r="DS442" t="str">
        <f>""</f>
        <v/>
      </c>
      <c r="DT442" t="str">
        <f>""</f>
        <v/>
      </c>
      <c r="DU442" t="str">
        <f>""</f>
        <v/>
      </c>
    </row>
    <row r="443" spans="1:125">
      <c r="A443" t="str">
        <f>$A$133</f>
        <v xml:space="preserve">    Piedmont Office Realty Trust I</v>
      </c>
      <c r="B443" t="str">
        <f>$B$133</f>
        <v>PDM US Equity</v>
      </c>
      <c r="C443" t="str">
        <f>$C$133</f>
        <v>BE592</v>
      </c>
      <c r="D443" t="str">
        <f>$D$133</f>
        <v>BEST_FFOPS_YOY_GTH</v>
      </c>
      <c r="E443" t="str">
        <f>$E$133</f>
        <v>动态</v>
      </c>
      <c r="F443" t="str">
        <f ca="1">BDH($B$133,$C$133,$B$292,$B$293,CONCATENATE("Per=",$B$290),"Dts=H","Dir=H",CONCATENATE("Points=",$B$291),"Sort=R","Days=A","Fill=B","BE997=1GY",CONCATENATE("FX=", $B$289) )</f>
        <v>#N/A Authorization</v>
      </c>
      <c r="BN443" t="str">
        <f>""</f>
        <v/>
      </c>
      <c r="BO443" t="str">
        <f>""</f>
        <v/>
      </c>
      <c r="BP443" t="str">
        <f>""</f>
        <v/>
      </c>
      <c r="BQ443" t="str">
        <f>""</f>
        <v/>
      </c>
      <c r="BR443" t="str">
        <f>""</f>
        <v/>
      </c>
      <c r="BS443" t="str">
        <f>""</f>
        <v/>
      </c>
      <c r="BT443" t="str">
        <f>""</f>
        <v/>
      </c>
      <c r="BU443" t="str">
        <f>""</f>
        <v/>
      </c>
      <c r="BV443" t="str">
        <f>""</f>
        <v/>
      </c>
      <c r="BW443" t="str">
        <f>""</f>
        <v/>
      </c>
      <c r="BX443" t="str">
        <f>""</f>
        <v/>
      </c>
      <c r="BY443" t="str">
        <f>""</f>
        <v/>
      </c>
      <c r="BZ443" t="str">
        <f>""</f>
        <v/>
      </c>
      <c r="CA443" t="str">
        <f>""</f>
        <v/>
      </c>
      <c r="CB443" t="str">
        <f>""</f>
        <v/>
      </c>
      <c r="CC443" t="str">
        <f>""</f>
        <v/>
      </c>
      <c r="CD443" t="str">
        <f>""</f>
        <v/>
      </c>
      <c r="CE443" t="str">
        <f>""</f>
        <v/>
      </c>
      <c r="CF443" t="str">
        <f>""</f>
        <v/>
      </c>
      <c r="CG443" t="str">
        <f>""</f>
        <v/>
      </c>
      <c r="CH443" t="str">
        <f>""</f>
        <v/>
      </c>
      <c r="CI443" t="str">
        <f>""</f>
        <v/>
      </c>
      <c r="CJ443" t="str">
        <f>""</f>
        <v/>
      </c>
      <c r="CK443" t="str">
        <f>""</f>
        <v/>
      </c>
      <c r="CL443" t="str">
        <f>""</f>
        <v/>
      </c>
      <c r="CM443" t="str">
        <f>""</f>
        <v/>
      </c>
      <c r="CN443" t="str">
        <f>""</f>
        <v/>
      </c>
      <c r="CO443" t="str">
        <f>""</f>
        <v/>
      </c>
      <c r="CP443" t="str">
        <f>""</f>
        <v/>
      </c>
      <c r="CQ443" t="str">
        <f>""</f>
        <v/>
      </c>
      <c r="CR443" t="str">
        <f>""</f>
        <v/>
      </c>
      <c r="CS443" t="str">
        <f>""</f>
        <v/>
      </c>
      <c r="CT443" t="str">
        <f>""</f>
        <v/>
      </c>
      <c r="CU443" t="str">
        <f>""</f>
        <v/>
      </c>
      <c r="CV443" t="str">
        <f>""</f>
        <v/>
      </c>
      <c r="CW443" t="str">
        <f>""</f>
        <v/>
      </c>
      <c r="CX443" t="str">
        <f>""</f>
        <v/>
      </c>
      <c r="CY443" t="str">
        <f>""</f>
        <v/>
      </c>
      <c r="CZ443" t="str">
        <f>""</f>
        <v/>
      </c>
      <c r="DA443" t="str">
        <f>""</f>
        <v/>
      </c>
      <c r="DB443" t="str">
        <f>""</f>
        <v/>
      </c>
      <c r="DC443" t="str">
        <f>""</f>
        <v/>
      </c>
      <c r="DD443" t="str">
        <f>""</f>
        <v/>
      </c>
      <c r="DE443" t="str">
        <f>""</f>
        <v/>
      </c>
      <c r="DF443" t="str">
        <f>""</f>
        <v/>
      </c>
      <c r="DG443" t="str">
        <f>""</f>
        <v/>
      </c>
      <c r="DH443" t="str">
        <f>""</f>
        <v/>
      </c>
      <c r="DI443" t="str">
        <f>""</f>
        <v/>
      </c>
      <c r="DJ443" t="str">
        <f>""</f>
        <v/>
      </c>
      <c r="DK443" t="str">
        <f>""</f>
        <v/>
      </c>
      <c r="DL443" t="str">
        <f>""</f>
        <v/>
      </c>
      <c r="DM443" t="str">
        <f>""</f>
        <v/>
      </c>
      <c r="DN443" t="str">
        <f>""</f>
        <v/>
      </c>
      <c r="DO443" t="str">
        <f>""</f>
        <v/>
      </c>
      <c r="DP443" t="str">
        <f>""</f>
        <v/>
      </c>
      <c r="DQ443" t="str">
        <f>""</f>
        <v/>
      </c>
      <c r="DR443" t="str">
        <f>""</f>
        <v/>
      </c>
      <c r="DS443" t="str">
        <f>""</f>
        <v/>
      </c>
      <c r="DT443" t="str">
        <f>""</f>
        <v/>
      </c>
      <c r="DU443" t="str">
        <f>""</f>
        <v/>
      </c>
    </row>
    <row r="444" spans="1:125">
      <c r="A444" t="str">
        <f>$A$134</f>
        <v xml:space="preserve">    SL Green Realty Corp</v>
      </c>
      <c r="B444" t="str">
        <f>$B$134</f>
        <v>SLG US Equity</v>
      </c>
      <c r="C444" t="str">
        <f>$C$134</f>
        <v>BE592</v>
      </c>
      <c r="D444" t="str">
        <f>$D$134</f>
        <v>BEST_FFOPS_YOY_GTH</v>
      </c>
      <c r="E444" t="str">
        <f>$E$134</f>
        <v>动态</v>
      </c>
      <c r="F444" t="str">
        <f ca="1">BDH($B$134,$C$134,$B$292,$B$293,CONCATENATE("Per=",$B$290),"Dts=H","Dir=H",CONCATENATE("Points=",$B$291),"Sort=R","Days=A","Fill=B","BE997=1GY",CONCATENATE("FX=", $B$289) )</f>
        <v>#N/A Authorization</v>
      </c>
      <c r="BN444" t="str">
        <f>""</f>
        <v/>
      </c>
      <c r="BO444" t="str">
        <f>""</f>
        <v/>
      </c>
      <c r="BP444" t="str">
        <f>""</f>
        <v/>
      </c>
      <c r="BQ444" t="str">
        <f>""</f>
        <v/>
      </c>
      <c r="BR444" t="str">
        <f>""</f>
        <v/>
      </c>
      <c r="BS444" t="str">
        <f>""</f>
        <v/>
      </c>
      <c r="BT444" t="str">
        <f>""</f>
        <v/>
      </c>
      <c r="BU444" t="str">
        <f>""</f>
        <v/>
      </c>
      <c r="BV444" t="str">
        <f>""</f>
        <v/>
      </c>
      <c r="BW444" t="str">
        <f>""</f>
        <v/>
      </c>
      <c r="BX444" t="str">
        <f>""</f>
        <v/>
      </c>
      <c r="BY444" t="str">
        <f>""</f>
        <v/>
      </c>
      <c r="BZ444" t="str">
        <f>""</f>
        <v/>
      </c>
      <c r="CA444" t="str">
        <f>""</f>
        <v/>
      </c>
      <c r="CB444" t="str">
        <f>""</f>
        <v/>
      </c>
      <c r="CC444" t="str">
        <f>""</f>
        <v/>
      </c>
      <c r="CD444" t="str">
        <f>""</f>
        <v/>
      </c>
      <c r="CE444" t="str">
        <f>""</f>
        <v/>
      </c>
      <c r="CF444" t="str">
        <f>""</f>
        <v/>
      </c>
      <c r="CG444" t="str">
        <f>""</f>
        <v/>
      </c>
      <c r="CH444" t="str">
        <f>""</f>
        <v/>
      </c>
      <c r="CI444" t="str">
        <f>""</f>
        <v/>
      </c>
      <c r="CJ444" t="str">
        <f>""</f>
        <v/>
      </c>
      <c r="CK444" t="str">
        <f>""</f>
        <v/>
      </c>
      <c r="CL444" t="str">
        <f>""</f>
        <v/>
      </c>
      <c r="CM444" t="str">
        <f>""</f>
        <v/>
      </c>
      <c r="CN444" t="str">
        <f>""</f>
        <v/>
      </c>
      <c r="CO444" t="str">
        <f>""</f>
        <v/>
      </c>
      <c r="CP444" t="str">
        <f>""</f>
        <v/>
      </c>
      <c r="CQ444" t="str">
        <f>""</f>
        <v/>
      </c>
      <c r="CR444" t="str">
        <f>""</f>
        <v/>
      </c>
      <c r="CS444" t="str">
        <f>""</f>
        <v/>
      </c>
      <c r="CT444" t="str">
        <f>""</f>
        <v/>
      </c>
      <c r="CU444" t="str">
        <f>""</f>
        <v/>
      </c>
      <c r="CV444" t="str">
        <f>""</f>
        <v/>
      </c>
      <c r="CW444" t="str">
        <f>""</f>
        <v/>
      </c>
      <c r="CX444" t="str">
        <f>""</f>
        <v/>
      </c>
      <c r="CY444" t="str">
        <f>""</f>
        <v/>
      </c>
      <c r="CZ444" t="str">
        <f>""</f>
        <v/>
      </c>
      <c r="DA444" t="str">
        <f>""</f>
        <v/>
      </c>
      <c r="DB444" t="str">
        <f>""</f>
        <v/>
      </c>
      <c r="DC444" t="str">
        <f>""</f>
        <v/>
      </c>
      <c r="DD444" t="str">
        <f>""</f>
        <v/>
      </c>
      <c r="DE444" t="str">
        <f>""</f>
        <v/>
      </c>
      <c r="DF444" t="str">
        <f>""</f>
        <v/>
      </c>
      <c r="DG444" t="str">
        <f>""</f>
        <v/>
      </c>
      <c r="DH444" t="str">
        <f>""</f>
        <v/>
      </c>
      <c r="DI444" t="str">
        <f>""</f>
        <v/>
      </c>
      <c r="DJ444" t="str">
        <f>""</f>
        <v/>
      </c>
      <c r="DK444" t="str">
        <f>""</f>
        <v/>
      </c>
      <c r="DL444" t="str">
        <f>""</f>
        <v/>
      </c>
      <c r="DM444" t="str">
        <f>""</f>
        <v/>
      </c>
      <c r="DN444" t="str">
        <f>""</f>
        <v/>
      </c>
      <c r="DO444" t="str">
        <f>""</f>
        <v/>
      </c>
      <c r="DP444" t="str">
        <f>""</f>
        <v/>
      </c>
      <c r="DQ444" t="str">
        <f>""</f>
        <v/>
      </c>
      <c r="DR444" t="str">
        <f>""</f>
        <v/>
      </c>
      <c r="DS444" t="str">
        <f>""</f>
        <v/>
      </c>
      <c r="DT444" t="str">
        <f>""</f>
        <v/>
      </c>
      <c r="DU444" t="str">
        <f>""</f>
        <v/>
      </c>
    </row>
    <row r="445" spans="1:125">
      <c r="A445" t="str">
        <f>$A$135</f>
        <v xml:space="preserve">    Vornado Realty Trust</v>
      </c>
      <c r="B445" t="str">
        <f>$B$135</f>
        <v>VNO US Equity</v>
      </c>
      <c r="C445" t="str">
        <f>$C$135</f>
        <v>BE592</v>
      </c>
      <c r="D445" t="str">
        <f>$D$135</f>
        <v>BEST_FFOPS_YOY_GTH</v>
      </c>
      <c r="E445" t="str">
        <f>$E$135</f>
        <v>动态</v>
      </c>
      <c r="F445" t="str">
        <f ca="1">BDH($B$135,$C$135,$B$292,$B$293,CONCATENATE("Per=",$B$290),"Dts=H","Dir=H",CONCATENATE("Points=",$B$291),"Sort=R","Days=A","Fill=B","BE997=1GY",CONCATENATE("FX=", $B$289) )</f>
        <v>#N/A Authorization</v>
      </c>
      <c r="BN445" t="str">
        <f>""</f>
        <v/>
      </c>
      <c r="BO445" t="str">
        <f>""</f>
        <v/>
      </c>
      <c r="BP445" t="str">
        <f>""</f>
        <v/>
      </c>
      <c r="BQ445" t="str">
        <f>""</f>
        <v/>
      </c>
      <c r="BR445" t="str">
        <f>""</f>
        <v/>
      </c>
      <c r="BS445" t="str">
        <f>""</f>
        <v/>
      </c>
      <c r="BT445" t="str">
        <f>""</f>
        <v/>
      </c>
      <c r="BU445" t="str">
        <f>""</f>
        <v/>
      </c>
      <c r="BV445" t="str">
        <f>""</f>
        <v/>
      </c>
      <c r="BW445" t="str">
        <f>""</f>
        <v/>
      </c>
      <c r="BX445" t="str">
        <f>""</f>
        <v/>
      </c>
      <c r="BY445" t="str">
        <f>""</f>
        <v/>
      </c>
      <c r="BZ445" t="str">
        <f>""</f>
        <v/>
      </c>
      <c r="CA445" t="str">
        <f>""</f>
        <v/>
      </c>
      <c r="CB445" t="str">
        <f>""</f>
        <v/>
      </c>
      <c r="CC445" t="str">
        <f>""</f>
        <v/>
      </c>
      <c r="CD445" t="str">
        <f>""</f>
        <v/>
      </c>
      <c r="CE445" t="str">
        <f>""</f>
        <v/>
      </c>
      <c r="CF445" t="str">
        <f>""</f>
        <v/>
      </c>
      <c r="CG445" t="str">
        <f>""</f>
        <v/>
      </c>
      <c r="CH445" t="str">
        <f>""</f>
        <v/>
      </c>
      <c r="CI445" t="str">
        <f>""</f>
        <v/>
      </c>
      <c r="CJ445" t="str">
        <f>""</f>
        <v/>
      </c>
      <c r="CK445" t="str">
        <f>""</f>
        <v/>
      </c>
      <c r="CL445" t="str">
        <f>""</f>
        <v/>
      </c>
      <c r="CM445" t="str">
        <f>""</f>
        <v/>
      </c>
      <c r="CN445" t="str">
        <f>""</f>
        <v/>
      </c>
      <c r="CO445" t="str">
        <f>""</f>
        <v/>
      </c>
      <c r="CP445" t="str">
        <f>""</f>
        <v/>
      </c>
      <c r="CQ445" t="str">
        <f>""</f>
        <v/>
      </c>
      <c r="CR445" t="str">
        <f>""</f>
        <v/>
      </c>
      <c r="CS445" t="str">
        <f>""</f>
        <v/>
      </c>
      <c r="CT445" t="str">
        <f>""</f>
        <v/>
      </c>
      <c r="CU445" t="str">
        <f>""</f>
        <v/>
      </c>
      <c r="CV445" t="str">
        <f>""</f>
        <v/>
      </c>
      <c r="CW445" t="str">
        <f>""</f>
        <v/>
      </c>
      <c r="CX445" t="str">
        <f>""</f>
        <v/>
      </c>
      <c r="CY445" t="str">
        <f>""</f>
        <v/>
      </c>
      <c r="CZ445" t="str">
        <f>""</f>
        <v/>
      </c>
      <c r="DA445" t="str">
        <f>""</f>
        <v/>
      </c>
      <c r="DB445" t="str">
        <f>""</f>
        <v/>
      </c>
      <c r="DC445" t="str">
        <f>""</f>
        <v/>
      </c>
      <c r="DD445" t="str">
        <f>""</f>
        <v/>
      </c>
      <c r="DE445" t="str">
        <f>""</f>
        <v/>
      </c>
      <c r="DF445" t="str">
        <f>""</f>
        <v/>
      </c>
      <c r="DG445" t="str">
        <f>""</f>
        <v/>
      </c>
      <c r="DH445" t="str">
        <f>""</f>
        <v/>
      </c>
      <c r="DI445" t="str">
        <f>""</f>
        <v/>
      </c>
      <c r="DJ445" t="str">
        <f>""</f>
        <v/>
      </c>
      <c r="DK445" t="str">
        <f>""</f>
        <v/>
      </c>
      <c r="DL445" t="str">
        <f>""</f>
        <v/>
      </c>
      <c r="DM445" t="str">
        <f>""</f>
        <v/>
      </c>
      <c r="DN445" t="str">
        <f>""</f>
        <v/>
      </c>
      <c r="DO445" t="str">
        <f>""</f>
        <v/>
      </c>
      <c r="DP445" t="str">
        <f>""</f>
        <v/>
      </c>
      <c r="DQ445" t="str">
        <f>""</f>
        <v/>
      </c>
      <c r="DR445" t="str">
        <f>""</f>
        <v/>
      </c>
      <c r="DS445" t="str">
        <f>""</f>
        <v/>
      </c>
      <c r="DT445" t="str">
        <f>""</f>
        <v/>
      </c>
      <c r="DU445" t="str">
        <f>""</f>
        <v/>
      </c>
    </row>
    <row r="446" spans="1:125">
      <c r="A446" t="str">
        <f>$A$137</f>
        <v xml:space="preserve">    Boston Properties Inc</v>
      </c>
      <c r="B446" t="str">
        <f>$B$137</f>
        <v>BXP US Equity</v>
      </c>
      <c r="C446" t="str">
        <f>$C$137</f>
        <v>RX225</v>
      </c>
      <c r="D446" t="str">
        <f>$D$137</f>
        <v>EBITDA_TO_REVENUE</v>
      </c>
      <c r="E446" t="str">
        <f>$E$137</f>
        <v>动态</v>
      </c>
      <c r="F446" t="str">
        <f ca="1">BDH($B$137,$C$137,$B$292,$B$293,CONCATENATE("Per=",$B$290),"Dts=H","Dir=H",CONCATENATE("Points=",$B$291),"Sort=R","Days=A","Fill=B",CONCATENATE("FX=", $B$289) )</f>
        <v>#N/A Authorization</v>
      </c>
      <c r="BN446" t="str">
        <f>""</f>
        <v/>
      </c>
      <c r="BO446" t="str">
        <f>""</f>
        <v/>
      </c>
      <c r="BP446" t="str">
        <f>""</f>
        <v/>
      </c>
      <c r="BQ446" t="str">
        <f>""</f>
        <v/>
      </c>
      <c r="BR446" t="str">
        <f>""</f>
        <v/>
      </c>
      <c r="BS446" t="str">
        <f>""</f>
        <v/>
      </c>
      <c r="BT446" t="str">
        <f>""</f>
        <v/>
      </c>
      <c r="BU446" t="str">
        <f>""</f>
        <v/>
      </c>
      <c r="BV446" t="str">
        <f>""</f>
        <v/>
      </c>
      <c r="BW446" t="str">
        <f>""</f>
        <v/>
      </c>
      <c r="BX446" t="str">
        <f>""</f>
        <v/>
      </c>
      <c r="BY446" t="str">
        <f>""</f>
        <v/>
      </c>
      <c r="BZ446" t="str">
        <f>""</f>
        <v/>
      </c>
      <c r="CA446" t="str">
        <f>""</f>
        <v/>
      </c>
      <c r="CB446" t="str">
        <f>""</f>
        <v/>
      </c>
      <c r="CC446" t="str">
        <f>""</f>
        <v/>
      </c>
      <c r="CD446" t="str">
        <f>""</f>
        <v/>
      </c>
      <c r="CE446" t="str">
        <f>""</f>
        <v/>
      </c>
      <c r="CF446" t="str">
        <f>""</f>
        <v/>
      </c>
      <c r="CG446" t="str">
        <f>""</f>
        <v/>
      </c>
      <c r="CH446" t="str">
        <f>""</f>
        <v/>
      </c>
      <c r="CI446" t="str">
        <f>""</f>
        <v/>
      </c>
      <c r="CJ446" t="str">
        <f>""</f>
        <v/>
      </c>
      <c r="CK446" t="str">
        <f>""</f>
        <v/>
      </c>
      <c r="CL446" t="str">
        <f>""</f>
        <v/>
      </c>
      <c r="CM446" t="str">
        <f>""</f>
        <v/>
      </c>
      <c r="CN446" t="str">
        <f>""</f>
        <v/>
      </c>
      <c r="CO446" t="str">
        <f>""</f>
        <v/>
      </c>
      <c r="CP446" t="str">
        <f>""</f>
        <v/>
      </c>
      <c r="CQ446" t="str">
        <f>""</f>
        <v/>
      </c>
      <c r="CR446" t="str">
        <f>""</f>
        <v/>
      </c>
      <c r="CS446" t="str">
        <f>""</f>
        <v/>
      </c>
      <c r="CT446" t="str">
        <f>""</f>
        <v/>
      </c>
      <c r="CU446" t="str">
        <f>""</f>
        <v/>
      </c>
      <c r="CV446" t="str">
        <f>""</f>
        <v/>
      </c>
      <c r="CW446" t="str">
        <f>""</f>
        <v/>
      </c>
      <c r="CX446" t="str">
        <f>""</f>
        <v/>
      </c>
      <c r="CY446" t="str">
        <f>""</f>
        <v/>
      </c>
      <c r="CZ446" t="str">
        <f>""</f>
        <v/>
      </c>
      <c r="DA446" t="str">
        <f>""</f>
        <v/>
      </c>
      <c r="DB446" t="str">
        <f>""</f>
        <v/>
      </c>
      <c r="DC446" t="str">
        <f>""</f>
        <v/>
      </c>
      <c r="DD446" t="str">
        <f>""</f>
        <v/>
      </c>
      <c r="DE446" t="str">
        <f>""</f>
        <v/>
      </c>
      <c r="DF446" t="str">
        <f>""</f>
        <v/>
      </c>
      <c r="DG446" t="str">
        <f>""</f>
        <v/>
      </c>
      <c r="DH446" t="str">
        <f>""</f>
        <v/>
      </c>
      <c r="DI446" t="str">
        <f>""</f>
        <v/>
      </c>
      <c r="DJ446" t="str">
        <f>""</f>
        <v/>
      </c>
      <c r="DK446" t="str">
        <f>""</f>
        <v/>
      </c>
      <c r="DL446" t="str">
        <f>""</f>
        <v/>
      </c>
      <c r="DM446" t="str">
        <f>""</f>
        <v/>
      </c>
      <c r="DN446" t="str">
        <f>""</f>
        <v/>
      </c>
      <c r="DO446" t="str">
        <f>""</f>
        <v/>
      </c>
      <c r="DP446" t="str">
        <f>""</f>
        <v/>
      </c>
      <c r="DQ446" t="str">
        <f>""</f>
        <v/>
      </c>
      <c r="DR446" t="str">
        <f>""</f>
        <v/>
      </c>
      <c r="DS446" t="str">
        <f>""</f>
        <v/>
      </c>
      <c r="DT446" t="str">
        <f>""</f>
        <v/>
      </c>
      <c r="DU446" t="str">
        <f>""</f>
        <v/>
      </c>
    </row>
    <row r="447" spans="1:125">
      <c r="A447" t="str">
        <f>$A$138</f>
        <v xml:space="preserve">    Brandywine Realty Trust</v>
      </c>
      <c r="B447" t="str">
        <f>$B$138</f>
        <v>BDN US Equity</v>
      </c>
      <c r="C447" t="str">
        <f>$C$138</f>
        <v>RX225</v>
      </c>
      <c r="D447" t="str">
        <f>$D$138</f>
        <v>EBITDA_TO_REVENUE</v>
      </c>
      <c r="E447" t="str">
        <f>$E$138</f>
        <v>动态</v>
      </c>
      <c r="F447" t="str">
        <f ca="1">BDH($B$138,$C$138,$B$292,$B$293,CONCATENATE("Per=",$B$290),"Dts=H","Dir=H",CONCATENATE("Points=",$B$291),"Sort=R","Days=A","Fill=B",CONCATENATE("FX=", $B$289) )</f>
        <v>#N/A Authorization</v>
      </c>
      <c r="BN447" t="str">
        <f>""</f>
        <v/>
      </c>
      <c r="BO447" t="str">
        <f>""</f>
        <v/>
      </c>
      <c r="BP447" t="str">
        <f>""</f>
        <v/>
      </c>
      <c r="BQ447" t="str">
        <f>""</f>
        <v/>
      </c>
      <c r="BR447" t="str">
        <f>""</f>
        <v/>
      </c>
      <c r="BS447" t="str">
        <f>""</f>
        <v/>
      </c>
      <c r="BT447" t="str">
        <f>""</f>
        <v/>
      </c>
      <c r="BU447" t="str">
        <f>""</f>
        <v/>
      </c>
      <c r="BV447" t="str">
        <f>""</f>
        <v/>
      </c>
      <c r="BW447" t="str">
        <f>""</f>
        <v/>
      </c>
      <c r="BX447" t="str">
        <f>""</f>
        <v/>
      </c>
      <c r="BY447" t="str">
        <f>""</f>
        <v/>
      </c>
      <c r="BZ447" t="str">
        <f>""</f>
        <v/>
      </c>
      <c r="CA447" t="str">
        <f>""</f>
        <v/>
      </c>
      <c r="CB447" t="str">
        <f>""</f>
        <v/>
      </c>
      <c r="CC447" t="str">
        <f>""</f>
        <v/>
      </c>
      <c r="CD447" t="str">
        <f>""</f>
        <v/>
      </c>
      <c r="CE447" t="str">
        <f>""</f>
        <v/>
      </c>
      <c r="CF447" t="str">
        <f>""</f>
        <v/>
      </c>
      <c r="CG447" t="str">
        <f>""</f>
        <v/>
      </c>
      <c r="CH447" t="str">
        <f>""</f>
        <v/>
      </c>
      <c r="CI447" t="str">
        <f>""</f>
        <v/>
      </c>
      <c r="CJ447" t="str">
        <f>""</f>
        <v/>
      </c>
      <c r="CK447" t="str">
        <f>""</f>
        <v/>
      </c>
      <c r="CL447" t="str">
        <f>""</f>
        <v/>
      </c>
      <c r="CM447" t="str">
        <f>""</f>
        <v/>
      </c>
      <c r="CN447" t="str">
        <f>""</f>
        <v/>
      </c>
      <c r="CO447" t="str">
        <f>""</f>
        <v/>
      </c>
      <c r="CP447" t="str">
        <f>""</f>
        <v/>
      </c>
      <c r="CQ447" t="str">
        <f>""</f>
        <v/>
      </c>
      <c r="CR447" t="str">
        <f>""</f>
        <v/>
      </c>
      <c r="CS447" t="str">
        <f>""</f>
        <v/>
      </c>
      <c r="CT447" t="str">
        <f>""</f>
        <v/>
      </c>
      <c r="CU447" t="str">
        <f>""</f>
        <v/>
      </c>
      <c r="CV447" t="str">
        <f>""</f>
        <v/>
      </c>
      <c r="CW447" t="str">
        <f>""</f>
        <v/>
      </c>
      <c r="CX447" t="str">
        <f>""</f>
        <v/>
      </c>
      <c r="CY447" t="str">
        <f>""</f>
        <v/>
      </c>
      <c r="CZ447" t="str">
        <f>""</f>
        <v/>
      </c>
      <c r="DA447" t="str">
        <f>""</f>
        <v/>
      </c>
      <c r="DB447" t="str">
        <f>""</f>
        <v/>
      </c>
      <c r="DC447" t="str">
        <f>""</f>
        <v/>
      </c>
      <c r="DD447" t="str">
        <f>""</f>
        <v/>
      </c>
      <c r="DE447" t="str">
        <f>""</f>
        <v/>
      </c>
      <c r="DF447" t="str">
        <f>""</f>
        <v/>
      </c>
      <c r="DG447" t="str">
        <f>""</f>
        <v/>
      </c>
      <c r="DH447" t="str">
        <f>""</f>
        <v/>
      </c>
      <c r="DI447" t="str">
        <f>""</f>
        <v/>
      </c>
      <c r="DJ447" t="str">
        <f>""</f>
        <v/>
      </c>
      <c r="DK447" t="str">
        <f>""</f>
        <v/>
      </c>
      <c r="DL447" t="str">
        <f>""</f>
        <v/>
      </c>
      <c r="DM447" t="str">
        <f>""</f>
        <v/>
      </c>
      <c r="DN447" t="str">
        <f>""</f>
        <v/>
      </c>
      <c r="DO447" t="str">
        <f>""</f>
        <v/>
      </c>
      <c r="DP447" t="str">
        <f>""</f>
        <v/>
      </c>
      <c r="DQ447" t="str">
        <f>""</f>
        <v/>
      </c>
      <c r="DR447" t="str">
        <f>""</f>
        <v/>
      </c>
      <c r="DS447" t="str">
        <f>""</f>
        <v/>
      </c>
      <c r="DT447" t="str">
        <f>""</f>
        <v/>
      </c>
      <c r="DU447" t="str">
        <f>""</f>
        <v/>
      </c>
    </row>
    <row r="448" spans="1:125">
      <c r="A448" t="str">
        <f>$A$139</f>
        <v xml:space="preserve">    Columbia Property Trust Inc</v>
      </c>
      <c r="B448" t="str">
        <f>$B$139</f>
        <v>CXP US Equity</v>
      </c>
      <c r="C448" t="str">
        <f>$C$139</f>
        <v>RX225</v>
      </c>
      <c r="D448" t="str">
        <f>$D$139</f>
        <v>EBITDA_TO_REVENUE</v>
      </c>
      <c r="E448" t="str">
        <f>$E$139</f>
        <v>动态</v>
      </c>
      <c r="F448" t="str">
        <f ca="1">BDH($B$139,$C$139,$B$292,$B$293,CONCATENATE("Per=",$B$290),"Dts=H","Dir=H",CONCATENATE("Points=",$B$291),"Sort=R","Days=A","Fill=B",CONCATENATE("FX=", $B$289) )</f>
        <v>#N/A Authorization</v>
      </c>
      <c r="BN448" t="str">
        <f>""</f>
        <v/>
      </c>
      <c r="BO448" t="str">
        <f>""</f>
        <v/>
      </c>
      <c r="BP448" t="str">
        <f>""</f>
        <v/>
      </c>
      <c r="BQ448" t="str">
        <f>""</f>
        <v/>
      </c>
      <c r="BR448" t="str">
        <f>""</f>
        <v/>
      </c>
      <c r="BS448" t="str">
        <f>""</f>
        <v/>
      </c>
      <c r="BT448" t="str">
        <f>""</f>
        <v/>
      </c>
      <c r="BU448" t="str">
        <f>""</f>
        <v/>
      </c>
      <c r="BV448" t="str">
        <f>""</f>
        <v/>
      </c>
      <c r="BW448" t="str">
        <f>""</f>
        <v/>
      </c>
      <c r="BX448" t="str">
        <f>""</f>
        <v/>
      </c>
      <c r="BY448" t="str">
        <f>""</f>
        <v/>
      </c>
      <c r="BZ448" t="str">
        <f>""</f>
        <v/>
      </c>
      <c r="CA448" t="str">
        <f>""</f>
        <v/>
      </c>
      <c r="CB448" t="str">
        <f>""</f>
        <v/>
      </c>
      <c r="CC448" t="str">
        <f>""</f>
        <v/>
      </c>
      <c r="CD448" t="str">
        <f>""</f>
        <v/>
      </c>
      <c r="CE448" t="str">
        <f>""</f>
        <v/>
      </c>
      <c r="CF448" t="str">
        <f>""</f>
        <v/>
      </c>
      <c r="CG448" t="str">
        <f>""</f>
        <v/>
      </c>
      <c r="CH448" t="str">
        <f>""</f>
        <v/>
      </c>
      <c r="CI448" t="str">
        <f>""</f>
        <v/>
      </c>
      <c r="CJ448" t="str">
        <f>""</f>
        <v/>
      </c>
      <c r="CK448" t="str">
        <f>""</f>
        <v/>
      </c>
      <c r="CL448" t="str">
        <f>""</f>
        <v/>
      </c>
      <c r="CM448" t="str">
        <f>""</f>
        <v/>
      </c>
      <c r="CN448" t="str">
        <f>""</f>
        <v/>
      </c>
      <c r="CO448" t="str">
        <f>""</f>
        <v/>
      </c>
      <c r="CP448" t="str">
        <f>""</f>
        <v/>
      </c>
      <c r="CQ448" t="str">
        <f>""</f>
        <v/>
      </c>
      <c r="CR448" t="str">
        <f>""</f>
        <v/>
      </c>
      <c r="CS448" t="str">
        <f>""</f>
        <v/>
      </c>
      <c r="CT448" t="str">
        <f>""</f>
        <v/>
      </c>
      <c r="CU448" t="str">
        <f>""</f>
        <v/>
      </c>
      <c r="CV448" t="str">
        <f>""</f>
        <v/>
      </c>
      <c r="CW448" t="str">
        <f>""</f>
        <v/>
      </c>
      <c r="CX448" t="str">
        <f>""</f>
        <v/>
      </c>
      <c r="CY448" t="str">
        <f>""</f>
        <v/>
      </c>
      <c r="CZ448" t="str">
        <f>""</f>
        <v/>
      </c>
      <c r="DA448" t="str">
        <f>""</f>
        <v/>
      </c>
      <c r="DB448" t="str">
        <f>""</f>
        <v/>
      </c>
      <c r="DC448" t="str">
        <f>""</f>
        <v/>
      </c>
      <c r="DD448" t="str">
        <f>""</f>
        <v/>
      </c>
      <c r="DE448" t="str">
        <f>""</f>
        <v/>
      </c>
      <c r="DF448" t="str">
        <f>""</f>
        <v/>
      </c>
      <c r="DG448" t="str">
        <f>""</f>
        <v/>
      </c>
      <c r="DH448" t="str">
        <f>""</f>
        <v/>
      </c>
      <c r="DI448" t="str">
        <f>""</f>
        <v/>
      </c>
      <c r="DJ448" t="str">
        <f>""</f>
        <v/>
      </c>
      <c r="DK448" t="str">
        <f>""</f>
        <v/>
      </c>
      <c r="DL448" t="str">
        <f>""</f>
        <v/>
      </c>
      <c r="DM448" t="str">
        <f>""</f>
        <v/>
      </c>
      <c r="DN448" t="str">
        <f>""</f>
        <v/>
      </c>
      <c r="DO448" t="str">
        <f>""</f>
        <v/>
      </c>
      <c r="DP448" t="str">
        <f>""</f>
        <v/>
      </c>
      <c r="DQ448" t="str">
        <f>""</f>
        <v/>
      </c>
      <c r="DR448" t="str">
        <f>""</f>
        <v/>
      </c>
      <c r="DS448" t="str">
        <f>""</f>
        <v/>
      </c>
      <c r="DT448" t="str">
        <f>""</f>
        <v/>
      </c>
      <c r="DU448" t="str">
        <f>""</f>
        <v/>
      </c>
    </row>
    <row r="449" spans="1:125">
      <c r="A449" t="str">
        <f>$A$140</f>
        <v xml:space="preserve">    Corporate Office Properties Tr</v>
      </c>
      <c r="B449" t="str">
        <f>$B$140</f>
        <v>OFC US Equity</v>
      </c>
      <c r="C449" t="str">
        <f>$C$140</f>
        <v>RX225</v>
      </c>
      <c r="D449" t="str">
        <f>$D$140</f>
        <v>EBITDA_TO_REVENUE</v>
      </c>
      <c r="E449" t="str">
        <f>$E$140</f>
        <v>动态</v>
      </c>
      <c r="F449" t="str">
        <f ca="1">BDH($B$140,$C$140,$B$292,$B$293,CONCATENATE("Per=",$B$290),"Dts=H","Dir=H",CONCATENATE("Points=",$B$291),"Sort=R","Days=A","Fill=B",CONCATENATE("FX=", $B$289) )</f>
        <v>#N/A Authorization</v>
      </c>
      <c r="BN449" t="str">
        <f>""</f>
        <v/>
      </c>
      <c r="BO449" t="str">
        <f>""</f>
        <v/>
      </c>
      <c r="BP449" t="str">
        <f>""</f>
        <v/>
      </c>
      <c r="BQ449" t="str">
        <f>""</f>
        <v/>
      </c>
      <c r="BR449" t="str">
        <f>""</f>
        <v/>
      </c>
      <c r="BS449" t="str">
        <f>""</f>
        <v/>
      </c>
      <c r="BT449" t="str">
        <f>""</f>
        <v/>
      </c>
      <c r="BU449" t="str">
        <f>""</f>
        <v/>
      </c>
      <c r="BV449" t="str">
        <f>""</f>
        <v/>
      </c>
      <c r="BW449" t="str">
        <f>""</f>
        <v/>
      </c>
      <c r="BX449" t="str">
        <f>""</f>
        <v/>
      </c>
      <c r="BY449" t="str">
        <f>""</f>
        <v/>
      </c>
      <c r="BZ449" t="str">
        <f>""</f>
        <v/>
      </c>
      <c r="CA449" t="str">
        <f>""</f>
        <v/>
      </c>
      <c r="CB449" t="str">
        <f>""</f>
        <v/>
      </c>
      <c r="CC449" t="str">
        <f>""</f>
        <v/>
      </c>
      <c r="CD449" t="str">
        <f>""</f>
        <v/>
      </c>
      <c r="CE449" t="str">
        <f>""</f>
        <v/>
      </c>
      <c r="CF449" t="str">
        <f>""</f>
        <v/>
      </c>
      <c r="CG449" t="str">
        <f>""</f>
        <v/>
      </c>
      <c r="CH449" t="str">
        <f>""</f>
        <v/>
      </c>
      <c r="CI449" t="str">
        <f>""</f>
        <v/>
      </c>
      <c r="CJ449" t="str">
        <f>""</f>
        <v/>
      </c>
      <c r="CK449" t="str">
        <f>""</f>
        <v/>
      </c>
      <c r="CL449" t="str">
        <f>""</f>
        <v/>
      </c>
      <c r="CM449" t="str">
        <f>""</f>
        <v/>
      </c>
      <c r="CN449" t="str">
        <f>""</f>
        <v/>
      </c>
      <c r="CO449" t="str">
        <f>""</f>
        <v/>
      </c>
      <c r="CP449" t="str">
        <f>""</f>
        <v/>
      </c>
      <c r="CQ449" t="str">
        <f>""</f>
        <v/>
      </c>
      <c r="CR449" t="str">
        <f>""</f>
        <v/>
      </c>
      <c r="CS449" t="str">
        <f>""</f>
        <v/>
      </c>
      <c r="CT449" t="str">
        <f>""</f>
        <v/>
      </c>
      <c r="CU449" t="str">
        <f>""</f>
        <v/>
      </c>
      <c r="CV449" t="str">
        <f>""</f>
        <v/>
      </c>
      <c r="CW449" t="str">
        <f>""</f>
        <v/>
      </c>
      <c r="CX449" t="str">
        <f>""</f>
        <v/>
      </c>
      <c r="CY449" t="str">
        <f>""</f>
        <v/>
      </c>
      <c r="CZ449" t="str">
        <f>""</f>
        <v/>
      </c>
      <c r="DA449" t="str">
        <f>""</f>
        <v/>
      </c>
      <c r="DB449" t="str">
        <f>""</f>
        <v/>
      </c>
      <c r="DC449" t="str">
        <f>""</f>
        <v/>
      </c>
      <c r="DD449" t="str">
        <f>""</f>
        <v/>
      </c>
      <c r="DE449" t="str">
        <f>""</f>
        <v/>
      </c>
      <c r="DF449" t="str">
        <f>""</f>
        <v/>
      </c>
      <c r="DG449" t="str">
        <f>""</f>
        <v/>
      </c>
      <c r="DH449" t="str">
        <f>""</f>
        <v/>
      </c>
      <c r="DI449" t="str">
        <f>""</f>
        <v/>
      </c>
      <c r="DJ449" t="str">
        <f>""</f>
        <v/>
      </c>
      <c r="DK449" t="str">
        <f>""</f>
        <v/>
      </c>
      <c r="DL449" t="str">
        <f>""</f>
        <v/>
      </c>
      <c r="DM449" t="str">
        <f>""</f>
        <v/>
      </c>
      <c r="DN449" t="str">
        <f>""</f>
        <v/>
      </c>
      <c r="DO449" t="str">
        <f>""</f>
        <v/>
      </c>
      <c r="DP449" t="str">
        <f>""</f>
        <v/>
      </c>
      <c r="DQ449" t="str">
        <f>""</f>
        <v/>
      </c>
      <c r="DR449" t="str">
        <f>""</f>
        <v/>
      </c>
      <c r="DS449" t="str">
        <f>""</f>
        <v/>
      </c>
      <c r="DT449" t="str">
        <f>""</f>
        <v/>
      </c>
      <c r="DU449" t="str">
        <f>""</f>
        <v/>
      </c>
    </row>
    <row r="450" spans="1:125">
      <c r="A450" t="str">
        <f>$A$141</f>
        <v xml:space="preserve">    Highwoods Properties Inc</v>
      </c>
      <c r="B450" t="str">
        <f>$B$141</f>
        <v>HIW US Equity</v>
      </c>
      <c r="C450" t="str">
        <f>$C$141</f>
        <v>RX225</v>
      </c>
      <c r="D450" t="str">
        <f>$D$141</f>
        <v>EBITDA_TO_REVENUE</v>
      </c>
      <c r="E450" t="str">
        <f>$E$141</f>
        <v>动态</v>
      </c>
      <c r="F450" t="str">
        <f ca="1">BDH($B$141,$C$141,$B$292,$B$293,CONCATENATE("Per=",$B$290),"Dts=H","Dir=H",CONCATENATE("Points=",$B$291),"Sort=R","Days=A","Fill=B",CONCATENATE("FX=", $B$289) )</f>
        <v>#N/A Authorization</v>
      </c>
      <c r="BN450" t="str">
        <f>""</f>
        <v/>
      </c>
      <c r="BO450" t="str">
        <f>""</f>
        <v/>
      </c>
      <c r="BP450" t="str">
        <f>""</f>
        <v/>
      </c>
      <c r="BQ450" t="str">
        <f>""</f>
        <v/>
      </c>
      <c r="BR450" t="str">
        <f>""</f>
        <v/>
      </c>
      <c r="BS450" t="str">
        <f>""</f>
        <v/>
      </c>
      <c r="BT450" t="str">
        <f>""</f>
        <v/>
      </c>
      <c r="BU450" t="str">
        <f>""</f>
        <v/>
      </c>
      <c r="BV450" t="str">
        <f>""</f>
        <v/>
      </c>
      <c r="BW450" t="str">
        <f>""</f>
        <v/>
      </c>
      <c r="BX450" t="str">
        <f>""</f>
        <v/>
      </c>
      <c r="BY450" t="str">
        <f>""</f>
        <v/>
      </c>
      <c r="BZ450" t="str">
        <f>""</f>
        <v/>
      </c>
      <c r="CA450" t="str">
        <f>""</f>
        <v/>
      </c>
      <c r="CB450" t="str">
        <f>""</f>
        <v/>
      </c>
      <c r="CC450" t="str">
        <f>""</f>
        <v/>
      </c>
      <c r="CD450" t="str">
        <f>""</f>
        <v/>
      </c>
      <c r="CE450" t="str">
        <f>""</f>
        <v/>
      </c>
      <c r="CF450" t="str">
        <f>""</f>
        <v/>
      </c>
      <c r="CG450" t="str">
        <f>""</f>
        <v/>
      </c>
      <c r="CH450" t="str">
        <f>""</f>
        <v/>
      </c>
      <c r="CI450" t="str">
        <f>""</f>
        <v/>
      </c>
      <c r="CJ450" t="str">
        <f>""</f>
        <v/>
      </c>
      <c r="CK450" t="str">
        <f>""</f>
        <v/>
      </c>
      <c r="CL450" t="str">
        <f>""</f>
        <v/>
      </c>
      <c r="CM450" t="str">
        <f>""</f>
        <v/>
      </c>
      <c r="CN450" t="str">
        <f>""</f>
        <v/>
      </c>
      <c r="CO450" t="str">
        <f>""</f>
        <v/>
      </c>
      <c r="CP450" t="str">
        <f>""</f>
        <v/>
      </c>
      <c r="CQ450" t="str">
        <f>""</f>
        <v/>
      </c>
      <c r="CR450" t="str">
        <f>""</f>
        <v/>
      </c>
      <c r="CS450" t="str">
        <f>""</f>
        <v/>
      </c>
      <c r="CT450" t="str">
        <f>""</f>
        <v/>
      </c>
      <c r="CU450" t="str">
        <f>""</f>
        <v/>
      </c>
      <c r="CV450" t="str">
        <f>""</f>
        <v/>
      </c>
      <c r="CW450" t="str">
        <f>""</f>
        <v/>
      </c>
      <c r="CX450" t="str">
        <f>""</f>
        <v/>
      </c>
      <c r="CY450" t="str">
        <f>""</f>
        <v/>
      </c>
      <c r="CZ450" t="str">
        <f>""</f>
        <v/>
      </c>
      <c r="DA450" t="str">
        <f>""</f>
        <v/>
      </c>
      <c r="DB450" t="str">
        <f>""</f>
        <v/>
      </c>
      <c r="DC450" t="str">
        <f>""</f>
        <v/>
      </c>
      <c r="DD450" t="str">
        <f>""</f>
        <v/>
      </c>
      <c r="DE450" t="str">
        <f>""</f>
        <v/>
      </c>
      <c r="DF450" t="str">
        <f>""</f>
        <v/>
      </c>
      <c r="DG450" t="str">
        <f>""</f>
        <v/>
      </c>
      <c r="DH450" t="str">
        <f>""</f>
        <v/>
      </c>
      <c r="DI450" t="str">
        <f>""</f>
        <v/>
      </c>
      <c r="DJ450" t="str">
        <f>""</f>
        <v/>
      </c>
      <c r="DK450" t="str">
        <f>""</f>
        <v/>
      </c>
      <c r="DL450" t="str">
        <f>""</f>
        <v/>
      </c>
      <c r="DM450" t="str">
        <f>""</f>
        <v/>
      </c>
      <c r="DN450" t="str">
        <f>""</f>
        <v/>
      </c>
      <c r="DO450" t="str">
        <f>""</f>
        <v/>
      </c>
      <c r="DP450" t="str">
        <f>""</f>
        <v/>
      </c>
      <c r="DQ450" t="str">
        <f>""</f>
        <v/>
      </c>
      <c r="DR450" t="str">
        <f>""</f>
        <v/>
      </c>
      <c r="DS450" t="str">
        <f>""</f>
        <v/>
      </c>
      <c r="DT450" t="str">
        <f>""</f>
        <v/>
      </c>
      <c r="DU450" t="str">
        <f>""</f>
        <v/>
      </c>
    </row>
    <row r="451" spans="1:125">
      <c r="A451" t="str">
        <f>$A$142</f>
        <v xml:space="preserve">    Kilroy Realty Corp</v>
      </c>
      <c r="B451" t="str">
        <f>$B$142</f>
        <v>KRC US Equity</v>
      </c>
      <c r="C451" t="str">
        <f>$C$142</f>
        <v>RX225</v>
      </c>
      <c r="D451" t="str">
        <f>$D$142</f>
        <v>EBITDA_TO_REVENUE</v>
      </c>
      <c r="E451" t="str">
        <f>$E$142</f>
        <v>动态</v>
      </c>
      <c r="F451" t="str">
        <f ca="1">BDH($B$142,$C$142,$B$292,$B$293,CONCATENATE("Per=",$B$290),"Dts=H","Dir=H",CONCATENATE("Points=",$B$291),"Sort=R","Days=A","Fill=B",CONCATENATE("FX=", $B$289) )</f>
        <v>#N/A Authorization</v>
      </c>
      <c r="BN451" t="str">
        <f>""</f>
        <v/>
      </c>
      <c r="BO451" t="str">
        <f>""</f>
        <v/>
      </c>
      <c r="BP451" t="str">
        <f>""</f>
        <v/>
      </c>
      <c r="BQ451" t="str">
        <f>""</f>
        <v/>
      </c>
      <c r="BR451" t="str">
        <f>""</f>
        <v/>
      </c>
      <c r="BS451" t="str">
        <f>""</f>
        <v/>
      </c>
      <c r="BT451" t="str">
        <f>""</f>
        <v/>
      </c>
      <c r="BU451" t="str">
        <f>""</f>
        <v/>
      </c>
      <c r="BV451" t="str">
        <f>""</f>
        <v/>
      </c>
      <c r="BW451" t="str">
        <f>""</f>
        <v/>
      </c>
      <c r="BX451" t="str">
        <f>""</f>
        <v/>
      </c>
      <c r="BY451" t="str">
        <f>""</f>
        <v/>
      </c>
      <c r="BZ451" t="str">
        <f>""</f>
        <v/>
      </c>
      <c r="CA451" t="str">
        <f>""</f>
        <v/>
      </c>
      <c r="CB451" t="str">
        <f>""</f>
        <v/>
      </c>
      <c r="CC451" t="str">
        <f>""</f>
        <v/>
      </c>
      <c r="CD451" t="str">
        <f>""</f>
        <v/>
      </c>
      <c r="CE451" t="str">
        <f>""</f>
        <v/>
      </c>
      <c r="CF451" t="str">
        <f>""</f>
        <v/>
      </c>
      <c r="CG451" t="str">
        <f>""</f>
        <v/>
      </c>
      <c r="CH451" t="str">
        <f>""</f>
        <v/>
      </c>
      <c r="CI451" t="str">
        <f>""</f>
        <v/>
      </c>
      <c r="CJ451" t="str">
        <f>""</f>
        <v/>
      </c>
      <c r="CK451" t="str">
        <f>""</f>
        <v/>
      </c>
      <c r="CL451" t="str">
        <f>""</f>
        <v/>
      </c>
      <c r="CM451" t="str">
        <f>""</f>
        <v/>
      </c>
      <c r="CN451" t="str">
        <f>""</f>
        <v/>
      </c>
      <c r="CO451" t="str">
        <f>""</f>
        <v/>
      </c>
      <c r="CP451" t="str">
        <f>""</f>
        <v/>
      </c>
      <c r="CQ451" t="str">
        <f>""</f>
        <v/>
      </c>
      <c r="CR451" t="str">
        <f>""</f>
        <v/>
      </c>
      <c r="CS451" t="str">
        <f>""</f>
        <v/>
      </c>
      <c r="CT451" t="str">
        <f>""</f>
        <v/>
      </c>
      <c r="CU451" t="str">
        <f>""</f>
        <v/>
      </c>
      <c r="CV451" t="str">
        <f>""</f>
        <v/>
      </c>
      <c r="CW451" t="str">
        <f>""</f>
        <v/>
      </c>
      <c r="CX451" t="str">
        <f>""</f>
        <v/>
      </c>
      <c r="CY451" t="str">
        <f>""</f>
        <v/>
      </c>
      <c r="CZ451" t="str">
        <f>""</f>
        <v/>
      </c>
      <c r="DA451" t="str">
        <f>""</f>
        <v/>
      </c>
      <c r="DB451" t="str">
        <f>""</f>
        <v/>
      </c>
      <c r="DC451" t="str">
        <f>""</f>
        <v/>
      </c>
      <c r="DD451" t="str">
        <f>""</f>
        <v/>
      </c>
      <c r="DE451" t="str">
        <f>""</f>
        <v/>
      </c>
      <c r="DF451" t="str">
        <f>""</f>
        <v/>
      </c>
      <c r="DG451" t="str">
        <f>""</f>
        <v/>
      </c>
      <c r="DH451" t="str">
        <f>""</f>
        <v/>
      </c>
      <c r="DI451" t="str">
        <f>""</f>
        <v/>
      </c>
      <c r="DJ451" t="str">
        <f>""</f>
        <v/>
      </c>
      <c r="DK451" t="str">
        <f>""</f>
        <v/>
      </c>
      <c r="DL451" t="str">
        <f>""</f>
        <v/>
      </c>
      <c r="DM451" t="str">
        <f>""</f>
        <v/>
      </c>
      <c r="DN451" t="str">
        <f>""</f>
        <v/>
      </c>
      <c r="DO451" t="str">
        <f>""</f>
        <v/>
      </c>
      <c r="DP451" t="str">
        <f>""</f>
        <v/>
      </c>
      <c r="DQ451" t="str">
        <f>""</f>
        <v/>
      </c>
      <c r="DR451" t="str">
        <f>""</f>
        <v/>
      </c>
      <c r="DS451" t="str">
        <f>""</f>
        <v/>
      </c>
      <c r="DT451" t="str">
        <f>""</f>
        <v/>
      </c>
      <c r="DU451" t="str">
        <f>""</f>
        <v/>
      </c>
    </row>
    <row r="452" spans="1:125">
      <c r="A452" t="str">
        <f>$A$143</f>
        <v xml:space="preserve">    Mack-Cali Realty Corp</v>
      </c>
      <c r="B452" t="str">
        <f>$B$143</f>
        <v>CLI US Equity</v>
      </c>
      <c r="C452" t="str">
        <f>$C$143</f>
        <v>RX225</v>
      </c>
      <c r="D452" t="str">
        <f>$D$143</f>
        <v>EBITDA_TO_REVENUE</v>
      </c>
      <c r="E452" t="str">
        <f>$E$143</f>
        <v>动态</v>
      </c>
      <c r="F452" t="str">
        <f ca="1">BDH($B$143,$C$143,$B$292,$B$293,CONCATENATE("Per=",$B$290),"Dts=H","Dir=H",CONCATENATE("Points=",$B$291),"Sort=R","Days=A","Fill=B",CONCATENATE("FX=", $B$289) )</f>
        <v>#N/A Authorization</v>
      </c>
      <c r="BN452" t="str">
        <f>""</f>
        <v/>
      </c>
      <c r="BO452" t="str">
        <f>""</f>
        <v/>
      </c>
      <c r="BP452" t="str">
        <f>""</f>
        <v/>
      </c>
      <c r="BQ452" t="str">
        <f>""</f>
        <v/>
      </c>
      <c r="BR452" t="str">
        <f>""</f>
        <v/>
      </c>
      <c r="BS452" t="str">
        <f>""</f>
        <v/>
      </c>
      <c r="BT452" t="str">
        <f>""</f>
        <v/>
      </c>
      <c r="BU452" t="str">
        <f>""</f>
        <v/>
      </c>
      <c r="BV452" t="str">
        <f>""</f>
        <v/>
      </c>
      <c r="BW452" t="str">
        <f>""</f>
        <v/>
      </c>
      <c r="BX452" t="str">
        <f>""</f>
        <v/>
      </c>
      <c r="BY452" t="str">
        <f>""</f>
        <v/>
      </c>
      <c r="BZ452" t="str">
        <f>""</f>
        <v/>
      </c>
      <c r="CA452" t="str">
        <f>""</f>
        <v/>
      </c>
      <c r="CB452" t="str">
        <f>""</f>
        <v/>
      </c>
      <c r="CC452" t="str">
        <f>""</f>
        <v/>
      </c>
      <c r="CD452" t="str">
        <f>""</f>
        <v/>
      </c>
      <c r="CE452" t="str">
        <f>""</f>
        <v/>
      </c>
      <c r="CF452" t="str">
        <f>""</f>
        <v/>
      </c>
      <c r="CG452" t="str">
        <f>""</f>
        <v/>
      </c>
      <c r="CH452" t="str">
        <f>""</f>
        <v/>
      </c>
      <c r="CI452" t="str">
        <f>""</f>
        <v/>
      </c>
      <c r="CJ452" t="str">
        <f>""</f>
        <v/>
      </c>
      <c r="CK452" t="str">
        <f>""</f>
        <v/>
      </c>
      <c r="CL452" t="str">
        <f>""</f>
        <v/>
      </c>
      <c r="CM452" t="str">
        <f>""</f>
        <v/>
      </c>
      <c r="CN452" t="str">
        <f>""</f>
        <v/>
      </c>
      <c r="CO452" t="str">
        <f>""</f>
        <v/>
      </c>
      <c r="CP452" t="str">
        <f>""</f>
        <v/>
      </c>
      <c r="CQ452" t="str">
        <f>""</f>
        <v/>
      </c>
      <c r="CR452" t="str">
        <f>""</f>
        <v/>
      </c>
      <c r="CS452" t="str">
        <f>""</f>
        <v/>
      </c>
      <c r="CT452" t="str">
        <f>""</f>
        <v/>
      </c>
      <c r="CU452" t="str">
        <f>""</f>
        <v/>
      </c>
      <c r="CV452" t="str">
        <f>""</f>
        <v/>
      </c>
      <c r="CW452" t="str">
        <f>""</f>
        <v/>
      </c>
      <c r="CX452" t="str">
        <f>""</f>
        <v/>
      </c>
      <c r="CY452" t="str">
        <f>""</f>
        <v/>
      </c>
      <c r="CZ452" t="str">
        <f>""</f>
        <v/>
      </c>
      <c r="DA452" t="str">
        <f>""</f>
        <v/>
      </c>
      <c r="DB452" t="str">
        <f>""</f>
        <v/>
      </c>
      <c r="DC452" t="str">
        <f>""</f>
        <v/>
      </c>
      <c r="DD452" t="str">
        <f>""</f>
        <v/>
      </c>
      <c r="DE452" t="str">
        <f>""</f>
        <v/>
      </c>
      <c r="DF452" t="str">
        <f>""</f>
        <v/>
      </c>
      <c r="DG452" t="str">
        <f>""</f>
        <v/>
      </c>
      <c r="DH452" t="str">
        <f>""</f>
        <v/>
      </c>
      <c r="DI452" t="str">
        <f>""</f>
        <v/>
      </c>
      <c r="DJ452" t="str">
        <f>""</f>
        <v/>
      </c>
      <c r="DK452" t="str">
        <f>""</f>
        <v/>
      </c>
      <c r="DL452" t="str">
        <f>""</f>
        <v/>
      </c>
      <c r="DM452" t="str">
        <f>""</f>
        <v/>
      </c>
      <c r="DN452" t="str">
        <f>""</f>
        <v/>
      </c>
      <c r="DO452" t="str">
        <f>""</f>
        <v/>
      </c>
      <c r="DP452" t="str">
        <f>""</f>
        <v/>
      </c>
      <c r="DQ452" t="str">
        <f>""</f>
        <v/>
      </c>
      <c r="DR452" t="str">
        <f>""</f>
        <v/>
      </c>
      <c r="DS452" t="str">
        <f>""</f>
        <v/>
      </c>
      <c r="DT452" t="str">
        <f>""</f>
        <v/>
      </c>
      <c r="DU452" t="str">
        <f>""</f>
        <v/>
      </c>
    </row>
    <row r="453" spans="1:125">
      <c r="A453" t="str">
        <f>$A$144</f>
        <v xml:space="preserve">    Piedmont Office Realty Trust I</v>
      </c>
      <c r="B453" t="str">
        <f>$B$144</f>
        <v>PDM US Equity</v>
      </c>
      <c r="C453" t="str">
        <f>$C$144</f>
        <v>RX225</v>
      </c>
      <c r="D453" t="str">
        <f>$D$144</f>
        <v>EBITDA_TO_REVENUE</v>
      </c>
      <c r="E453" t="str">
        <f>$E$144</f>
        <v>动态</v>
      </c>
      <c r="F453" t="str">
        <f ca="1">BDH($B$144,$C$144,$B$292,$B$293,CONCATENATE("Per=",$B$290),"Dts=H","Dir=H",CONCATENATE("Points=",$B$291),"Sort=R","Days=A","Fill=B",CONCATENATE("FX=", $B$289) )</f>
        <v>#N/A Authorization</v>
      </c>
      <c r="BN453" t="str">
        <f>""</f>
        <v/>
      </c>
      <c r="BO453" t="str">
        <f>""</f>
        <v/>
      </c>
      <c r="BP453" t="str">
        <f>""</f>
        <v/>
      </c>
      <c r="BQ453" t="str">
        <f>""</f>
        <v/>
      </c>
      <c r="BR453" t="str">
        <f>""</f>
        <v/>
      </c>
      <c r="BS453" t="str">
        <f>""</f>
        <v/>
      </c>
      <c r="BT453" t="str">
        <f>""</f>
        <v/>
      </c>
      <c r="BU453" t="str">
        <f>""</f>
        <v/>
      </c>
      <c r="BV453" t="str">
        <f>""</f>
        <v/>
      </c>
      <c r="BW453" t="str">
        <f>""</f>
        <v/>
      </c>
      <c r="BX453" t="str">
        <f>""</f>
        <v/>
      </c>
      <c r="BY453" t="str">
        <f>""</f>
        <v/>
      </c>
      <c r="BZ453" t="str">
        <f>""</f>
        <v/>
      </c>
      <c r="CA453" t="str">
        <f>""</f>
        <v/>
      </c>
      <c r="CB453" t="str">
        <f>""</f>
        <v/>
      </c>
      <c r="CC453" t="str">
        <f>""</f>
        <v/>
      </c>
      <c r="CD453" t="str">
        <f>""</f>
        <v/>
      </c>
      <c r="CE453" t="str">
        <f>""</f>
        <v/>
      </c>
      <c r="CF453" t="str">
        <f>""</f>
        <v/>
      </c>
      <c r="CG453" t="str">
        <f>""</f>
        <v/>
      </c>
      <c r="CH453" t="str">
        <f>""</f>
        <v/>
      </c>
      <c r="CI453" t="str">
        <f>""</f>
        <v/>
      </c>
      <c r="CJ453" t="str">
        <f>""</f>
        <v/>
      </c>
      <c r="CK453" t="str">
        <f>""</f>
        <v/>
      </c>
      <c r="CL453" t="str">
        <f>""</f>
        <v/>
      </c>
      <c r="CM453" t="str">
        <f>""</f>
        <v/>
      </c>
      <c r="CN453" t="str">
        <f>""</f>
        <v/>
      </c>
      <c r="CO453" t="str">
        <f>""</f>
        <v/>
      </c>
      <c r="CP453" t="str">
        <f>""</f>
        <v/>
      </c>
      <c r="CQ453" t="str">
        <f>""</f>
        <v/>
      </c>
      <c r="CR453" t="str">
        <f>""</f>
        <v/>
      </c>
      <c r="CS453" t="str">
        <f>""</f>
        <v/>
      </c>
      <c r="CT453" t="str">
        <f>""</f>
        <v/>
      </c>
      <c r="CU453" t="str">
        <f>""</f>
        <v/>
      </c>
      <c r="CV453" t="str">
        <f>""</f>
        <v/>
      </c>
      <c r="CW453" t="str">
        <f>""</f>
        <v/>
      </c>
      <c r="CX453" t="str">
        <f>""</f>
        <v/>
      </c>
      <c r="CY453" t="str">
        <f>""</f>
        <v/>
      </c>
      <c r="CZ453" t="str">
        <f>""</f>
        <v/>
      </c>
      <c r="DA453" t="str">
        <f>""</f>
        <v/>
      </c>
      <c r="DB453" t="str">
        <f>""</f>
        <v/>
      </c>
      <c r="DC453" t="str">
        <f>""</f>
        <v/>
      </c>
      <c r="DD453" t="str">
        <f>""</f>
        <v/>
      </c>
      <c r="DE453" t="str">
        <f>""</f>
        <v/>
      </c>
      <c r="DF453" t="str">
        <f>""</f>
        <v/>
      </c>
      <c r="DG453" t="str">
        <f>""</f>
        <v/>
      </c>
      <c r="DH453" t="str">
        <f>""</f>
        <v/>
      </c>
      <c r="DI453" t="str">
        <f>""</f>
        <v/>
      </c>
      <c r="DJ453" t="str">
        <f>""</f>
        <v/>
      </c>
      <c r="DK453" t="str">
        <f>""</f>
        <v/>
      </c>
      <c r="DL453" t="str">
        <f>""</f>
        <v/>
      </c>
      <c r="DM453" t="str">
        <f>""</f>
        <v/>
      </c>
      <c r="DN453" t="str">
        <f>""</f>
        <v/>
      </c>
      <c r="DO453" t="str">
        <f>""</f>
        <v/>
      </c>
      <c r="DP453" t="str">
        <f>""</f>
        <v/>
      </c>
      <c r="DQ453" t="str">
        <f>""</f>
        <v/>
      </c>
      <c r="DR453" t="str">
        <f>""</f>
        <v/>
      </c>
      <c r="DS453" t="str">
        <f>""</f>
        <v/>
      </c>
      <c r="DT453" t="str">
        <f>""</f>
        <v/>
      </c>
      <c r="DU453" t="str">
        <f>""</f>
        <v/>
      </c>
    </row>
    <row r="454" spans="1:125">
      <c r="A454" t="str">
        <f>$A$145</f>
        <v xml:space="preserve">    SL Green Realty Corp</v>
      </c>
      <c r="B454" t="str">
        <f>$B$145</f>
        <v>SLG US Equity</v>
      </c>
      <c r="C454" t="str">
        <f>$C$145</f>
        <v>RX225</v>
      </c>
      <c r="D454" t="str">
        <f>$D$145</f>
        <v>EBITDA_TO_REVENUE</v>
      </c>
      <c r="E454" t="str">
        <f>$E$145</f>
        <v>动态</v>
      </c>
      <c r="F454" t="str">
        <f ca="1">BDH($B$145,$C$145,$B$292,$B$293,CONCATENATE("Per=",$B$290),"Dts=H","Dir=H",CONCATENATE("Points=",$B$291),"Sort=R","Days=A","Fill=B",CONCATENATE("FX=", $B$289) )</f>
        <v>#N/A Authorization</v>
      </c>
      <c r="BN454" t="str">
        <f>""</f>
        <v/>
      </c>
      <c r="BO454" t="str">
        <f>""</f>
        <v/>
      </c>
      <c r="BP454" t="str">
        <f>""</f>
        <v/>
      </c>
      <c r="BQ454" t="str">
        <f>""</f>
        <v/>
      </c>
      <c r="BR454" t="str">
        <f>""</f>
        <v/>
      </c>
      <c r="BS454" t="str">
        <f>""</f>
        <v/>
      </c>
      <c r="BT454" t="str">
        <f>""</f>
        <v/>
      </c>
      <c r="BU454" t="str">
        <f>""</f>
        <v/>
      </c>
      <c r="BV454" t="str">
        <f>""</f>
        <v/>
      </c>
      <c r="BW454" t="str">
        <f>""</f>
        <v/>
      </c>
      <c r="BX454" t="str">
        <f>""</f>
        <v/>
      </c>
      <c r="BY454" t="str">
        <f>""</f>
        <v/>
      </c>
      <c r="BZ454" t="str">
        <f>""</f>
        <v/>
      </c>
      <c r="CA454" t="str">
        <f>""</f>
        <v/>
      </c>
      <c r="CB454" t="str">
        <f>""</f>
        <v/>
      </c>
      <c r="CC454" t="str">
        <f>""</f>
        <v/>
      </c>
      <c r="CD454" t="str">
        <f>""</f>
        <v/>
      </c>
      <c r="CE454" t="str">
        <f>""</f>
        <v/>
      </c>
      <c r="CF454" t="str">
        <f>""</f>
        <v/>
      </c>
      <c r="CG454" t="str">
        <f>""</f>
        <v/>
      </c>
      <c r="CH454" t="str">
        <f>""</f>
        <v/>
      </c>
      <c r="CI454" t="str">
        <f>""</f>
        <v/>
      </c>
      <c r="CJ454" t="str">
        <f>""</f>
        <v/>
      </c>
      <c r="CK454" t="str">
        <f>""</f>
        <v/>
      </c>
      <c r="CL454" t="str">
        <f>""</f>
        <v/>
      </c>
      <c r="CM454" t="str">
        <f>""</f>
        <v/>
      </c>
      <c r="CN454" t="str">
        <f>""</f>
        <v/>
      </c>
      <c r="CO454" t="str">
        <f>""</f>
        <v/>
      </c>
      <c r="CP454" t="str">
        <f>""</f>
        <v/>
      </c>
      <c r="CQ454" t="str">
        <f>""</f>
        <v/>
      </c>
      <c r="CR454" t="str">
        <f>""</f>
        <v/>
      </c>
      <c r="CS454" t="str">
        <f>""</f>
        <v/>
      </c>
      <c r="CT454" t="str">
        <f>""</f>
        <v/>
      </c>
      <c r="CU454" t="str">
        <f>""</f>
        <v/>
      </c>
      <c r="CV454" t="str">
        <f>""</f>
        <v/>
      </c>
      <c r="CW454" t="str">
        <f>""</f>
        <v/>
      </c>
      <c r="CX454" t="str">
        <f>""</f>
        <v/>
      </c>
      <c r="CY454" t="str">
        <f>""</f>
        <v/>
      </c>
      <c r="CZ454" t="str">
        <f>""</f>
        <v/>
      </c>
      <c r="DA454" t="str">
        <f>""</f>
        <v/>
      </c>
      <c r="DB454" t="str">
        <f>""</f>
        <v/>
      </c>
      <c r="DC454" t="str">
        <f>""</f>
        <v/>
      </c>
      <c r="DD454" t="str">
        <f>""</f>
        <v/>
      </c>
      <c r="DE454" t="str">
        <f>""</f>
        <v/>
      </c>
      <c r="DF454" t="str">
        <f>""</f>
        <v/>
      </c>
      <c r="DG454" t="str">
        <f>""</f>
        <v/>
      </c>
      <c r="DH454" t="str">
        <f>""</f>
        <v/>
      </c>
      <c r="DI454" t="str">
        <f>""</f>
        <v/>
      </c>
      <c r="DJ454" t="str">
        <f>""</f>
        <v/>
      </c>
      <c r="DK454" t="str">
        <f>""</f>
        <v/>
      </c>
      <c r="DL454" t="str">
        <f>""</f>
        <v/>
      </c>
      <c r="DM454" t="str">
        <f>""</f>
        <v/>
      </c>
      <c r="DN454" t="str">
        <f>""</f>
        <v/>
      </c>
      <c r="DO454" t="str">
        <f>""</f>
        <v/>
      </c>
      <c r="DP454" t="str">
        <f>""</f>
        <v/>
      </c>
      <c r="DQ454" t="str">
        <f>""</f>
        <v/>
      </c>
      <c r="DR454" t="str">
        <f>""</f>
        <v/>
      </c>
      <c r="DS454" t="str">
        <f>""</f>
        <v/>
      </c>
      <c r="DT454" t="str">
        <f>""</f>
        <v/>
      </c>
      <c r="DU454" t="str">
        <f>""</f>
        <v/>
      </c>
    </row>
    <row r="455" spans="1:125">
      <c r="A455" t="str">
        <f>$A$146</f>
        <v xml:space="preserve">    Vornado Realty Trust</v>
      </c>
      <c r="B455" t="str">
        <f>$B$146</f>
        <v>VNO US Equity</v>
      </c>
      <c r="C455" t="str">
        <f>$C$146</f>
        <v>RX225</v>
      </c>
      <c r="D455" t="str">
        <f>$D$146</f>
        <v>EBITDA_TO_REVENUE</v>
      </c>
      <c r="E455" t="str">
        <f>$E$146</f>
        <v>动态</v>
      </c>
      <c r="F455" t="str">
        <f ca="1">BDH($B$146,$C$146,$B$292,$B$293,CONCATENATE("Per=",$B$290),"Dts=H","Dir=H",CONCATENATE("Points=",$B$291),"Sort=R","Days=A","Fill=B",CONCATENATE("FX=", $B$289) )</f>
        <v>#N/A Authorization</v>
      </c>
      <c r="BN455" t="str">
        <f>""</f>
        <v/>
      </c>
      <c r="BO455" t="str">
        <f>""</f>
        <v/>
      </c>
      <c r="BP455" t="str">
        <f>""</f>
        <v/>
      </c>
      <c r="BQ455" t="str">
        <f>""</f>
        <v/>
      </c>
      <c r="BR455" t="str">
        <f>""</f>
        <v/>
      </c>
      <c r="BS455" t="str">
        <f>""</f>
        <v/>
      </c>
      <c r="BT455" t="str">
        <f>""</f>
        <v/>
      </c>
      <c r="BU455" t="str">
        <f>""</f>
        <v/>
      </c>
      <c r="BV455" t="str">
        <f>""</f>
        <v/>
      </c>
      <c r="BW455" t="str">
        <f>""</f>
        <v/>
      </c>
      <c r="BX455" t="str">
        <f>""</f>
        <v/>
      </c>
      <c r="BY455" t="str">
        <f>""</f>
        <v/>
      </c>
      <c r="BZ455" t="str">
        <f>""</f>
        <v/>
      </c>
      <c r="CA455" t="str">
        <f>""</f>
        <v/>
      </c>
      <c r="CB455" t="str">
        <f>""</f>
        <v/>
      </c>
      <c r="CC455" t="str">
        <f>""</f>
        <v/>
      </c>
      <c r="CD455" t="str">
        <f>""</f>
        <v/>
      </c>
      <c r="CE455" t="str">
        <f>""</f>
        <v/>
      </c>
      <c r="CF455" t="str">
        <f>""</f>
        <v/>
      </c>
      <c r="CG455" t="str">
        <f>""</f>
        <v/>
      </c>
      <c r="CH455" t="str">
        <f>""</f>
        <v/>
      </c>
      <c r="CI455" t="str">
        <f>""</f>
        <v/>
      </c>
      <c r="CJ455" t="str">
        <f>""</f>
        <v/>
      </c>
      <c r="CK455" t="str">
        <f>""</f>
        <v/>
      </c>
      <c r="CL455" t="str">
        <f>""</f>
        <v/>
      </c>
      <c r="CM455" t="str">
        <f>""</f>
        <v/>
      </c>
      <c r="CN455" t="str">
        <f>""</f>
        <v/>
      </c>
      <c r="CO455" t="str">
        <f>""</f>
        <v/>
      </c>
      <c r="CP455" t="str">
        <f>""</f>
        <v/>
      </c>
      <c r="CQ455" t="str">
        <f>""</f>
        <v/>
      </c>
      <c r="CR455" t="str">
        <f>""</f>
        <v/>
      </c>
      <c r="CS455" t="str">
        <f>""</f>
        <v/>
      </c>
      <c r="CT455" t="str">
        <f>""</f>
        <v/>
      </c>
      <c r="CU455" t="str">
        <f>""</f>
        <v/>
      </c>
      <c r="CV455" t="str">
        <f>""</f>
        <v/>
      </c>
      <c r="CW455" t="str">
        <f>""</f>
        <v/>
      </c>
      <c r="CX455" t="str">
        <f>""</f>
        <v/>
      </c>
      <c r="CY455" t="str">
        <f>""</f>
        <v/>
      </c>
      <c r="CZ455" t="str">
        <f>""</f>
        <v/>
      </c>
      <c r="DA455" t="str">
        <f>""</f>
        <v/>
      </c>
      <c r="DB455" t="str">
        <f>""</f>
        <v/>
      </c>
      <c r="DC455" t="str">
        <f>""</f>
        <v/>
      </c>
      <c r="DD455" t="str">
        <f>""</f>
        <v/>
      </c>
      <c r="DE455" t="str">
        <f>""</f>
        <v/>
      </c>
      <c r="DF455" t="str">
        <f>""</f>
        <v/>
      </c>
      <c r="DG455" t="str">
        <f>""</f>
        <v/>
      </c>
      <c r="DH455" t="str">
        <f>""</f>
        <v/>
      </c>
      <c r="DI455" t="str">
        <f>""</f>
        <v/>
      </c>
      <c r="DJ455" t="str">
        <f>""</f>
        <v/>
      </c>
      <c r="DK455" t="str">
        <f>""</f>
        <v/>
      </c>
      <c r="DL455" t="str">
        <f>""</f>
        <v/>
      </c>
      <c r="DM455" t="str">
        <f>""</f>
        <v/>
      </c>
      <c r="DN455" t="str">
        <f>""</f>
        <v/>
      </c>
      <c r="DO455" t="str">
        <f>""</f>
        <v/>
      </c>
      <c r="DP455" t="str">
        <f>""</f>
        <v/>
      </c>
      <c r="DQ455" t="str">
        <f>""</f>
        <v/>
      </c>
      <c r="DR455" t="str">
        <f>""</f>
        <v/>
      </c>
      <c r="DS455" t="str">
        <f>""</f>
        <v/>
      </c>
      <c r="DT455" t="str">
        <f>""</f>
        <v/>
      </c>
      <c r="DU455" t="str">
        <f>""</f>
        <v/>
      </c>
    </row>
    <row r="456" spans="1:125">
      <c r="A456" t="str">
        <f>$A$148</f>
        <v xml:space="preserve">    Boston Properties Inc</v>
      </c>
      <c r="B456" t="str">
        <f>$B$148</f>
        <v>BXP US Equity</v>
      </c>
      <c r="C456" t="str">
        <f>$C$148</f>
        <v>RX902</v>
      </c>
      <c r="D456" t="str">
        <f>$D$148</f>
        <v>ANN_NOI_GR_AST_NET_RTL_DEV_CTD_%</v>
      </c>
      <c r="E456" t="str">
        <f>$E$148</f>
        <v>动态</v>
      </c>
      <c r="F456" t="str">
        <f ca="1">BDH($B$148,$C$148,$B$292,$B$293,CONCATENATE("Per=",$B$290),"Dts=H","Dir=H",CONCATENATE("Points=",$B$291),"Sort=R","Days=A","Fill=B",CONCATENATE("FX=", $B$289) )</f>
        <v>#N/A Authorization</v>
      </c>
      <c r="BN456" t="str">
        <f>""</f>
        <v/>
      </c>
      <c r="BO456" t="str">
        <f>""</f>
        <v/>
      </c>
      <c r="BP456" t="str">
        <f>""</f>
        <v/>
      </c>
      <c r="BQ456" t="str">
        <f>""</f>
        <v/>
      </c>
      <c r="BR456" t="str">
        <f>""</f>
        <v/>
      </c>
      <c r="BS456" t="str">
        <f>""</f>
        <v/>
      </c>
      <c r="BT456" t="str">
        <f>""</f>
        <v/>
      </c>
      <c r="BU456" t="str">
        <f>""</f>
        <v/>
      </c>
      <c r="BV456" t="str">
        <f>""</f>
        <v/>
      </c>
      <c r="BW456" t="str">
        <f>""</f>
        <v/>
      </c>
      <c r="BX456" t="str">
        <f>""</f>
        <v/>
      </c>
      <c r="BY456" t="str">
        <f>""</f>
        <v/>
      </c>
      <c r="BZ456" t="str">
        <f>""</f>
        <v/>
      </c>
      <c r="CA456" t="str">
        <f>""</f>
        <v/>
      </c>
      <c r="CB456" t="str">
        <f>""</f>
        <v/>
      </c>
      <c r="CC456" t="str">
        <f>""</f>
        <v/>
      </c>
      <c r="CD456" t="str">
        <f>""</f>
        <v/>
      </c>
      <c r="CE456" t="str">
        <f>""</f>
        <v/>
      </c>
      <c r="CF456" t="str">
        <f>""</f>
        <v/>
      </c>
      <c r="CG456" t="str">
        <f>""</f>
        <v/>
      </c>
      <c r="CH456" t="str">
        <f>""</f>
        <v/>
      </c>
      <c r="CI456" t="str">
        <f>""</f>
        <v/>
      </c>
      <c r="CJ456" t="str">
        <f>""</f>
        <v/>
      </c>
      <c r="CK456" t="str">
        <f>""</f>
        <v/>
      </c>
      <c r="CL456" t="str">
        <f>""</f>
        <v/>
      </c>
      <c r="CM456" t="str">
        <f>""</f>
        <v/>
      </c>
      <c r="CN456" t="str">
        <f>""</f>
        <v/>
      </c>
      <c r="CO456" t="str">
        <f>""</f>
        <v/>
      </c>
      <c r="CP456" t="str">
        <f>""</f>
        <v/>
      </c>
      <c r="CQ456" t="str">
        <f>""</f>
        <v/>
      </c>
      <c r="CR456" t="str">
        <f>""</f>
        <v/>
      </c>
      <c r="CS456" t="str">
        <f>""</f>
        <v/>
      </c>
      <c r="CT456" t="str">
        <f>""</f>
        <v/>
      </c>
      <c r="CU456" t="str">
        <f>""</f>
        <v/>
      </c>
      <c r="CV456" t="str">
        <f>""</f>
        <v/>
      </c>
      <c r="CW456" t="str">
        <f>""</f>
        <v/>
      </c>
      <c r="CX456" t="str">
        <f>""</f>
        <v/>
      </c>
      <c r="CY456" t="str">
        <f>""</f>
        <v/>
      </c>
      <c r="CZ456" t="str">
        <f>""</f>
        <v/>
      </c>
      <c r="DA456" t="str">
        <f>""</f>
        <v/>
      </c>
      <c r="DB456" t="str">
        <f>""</f>
        <v/>
      </c>
      <c r="DC456" t="str">
        <f>""</f>
        <v/>
      </c>
      <c r="DD456" t="str">
        <f>""</f>
        <v/>
      </c>
      <c r="DE456" t="str">
        <f>""</f>
        <v/>
      </c>
      <c r="DF456" t="str">
        <f>""</f>
        <v/>
      </c>
      <c r="DG456" t="str">
        <f>""</f>
        <v/>
      </c>
      <c r="DH456" t="str">
        <f>""</f>
        <v/>
      </c>
      <c r="DI456" t="str">
        <f>""</f>
        <v/>
      </c>
      <c r="DJ456" t="str">
        <f>""</f>
        <v/>
      </c>
      <c r="DK456" t="str">
        <f>""</f>
        <v/>
      </c>
      <c r="DL456" t="str">
        <f>""</f>
        <v/>
      </c>
      <c r="DM456" t="str">
        <f>""</f>
        <v/>
      </c>
      <c r="DN456" t="str">
        <f>""</f>
        <v/>
      </c>
      <c r="DO456" t="str">
        <f>""</f>
        <v/>
      </c>
      <c r="DP456" t="str">
        <f>""</f>
        <v/>
      </c>
      <c r="DQ456" t="str">
        <f>""</f>
        <v/>
      </c>
      <c r="DR456" t="str">
        <f>""</f>
        <v/>
      </c>
      <c r="DS456" t="str">
        <f>""</f>
        <v/>
      </c>
      <c r="DT456" t="str">
        <f>""</f>
        <v/>
      </c>
      <c r="DU456" t="str">
        <f>""</f>
        <v/>
      </c>
    </row>
    <row r="457" spans="1:125">
      <c r="A457" t="str">
        <f>$A$149</f>
        <v xml:space="preserve">    Brandywine Realty Trust</v>
      </c>
      <c r="B457" t="str">
        <f>$B$149</f>
        <v>BDN US Equity</v>
      </c>
      <c r="C457" t="str">
        <f>$C$149</f>
        <v>RX902</v>
      </c>
      <c r="D457" t="str">
        <f>$D$149</f>
        <v>ANN_NOI_GR_AST_NET_RTL_DEV_CTD_%</v>
      </c>
      <c r="E457" t="str">
        <f>$E$149</f>
        <v>动态</v>
      </c>
      <c r="F457" t="str">
        <f ca="1">BDH($B$149,$C$149,$B$292,$B$293,CONCATENATE("Per=",$B$290),"Dts=H","Dir=H",CONCATENATE("Points=",$B$291),"Sort=R","Days=A","Fill=B",CONCATENATE("FX=", $B$289) )</f>
        <v>#N/A Authorization</v>
      </c>
      <c r="BN457" t="str">
        <f>""</f>
        <v/>
      </c>
      <c r="BO457" t="str">
        <f>""</f>
        <v/>
      </c>
      <c r="BP457" t="str">
        <f>""</f>
        <v/>
      </c>
      <c r="BQ457" t="str">
        <f>""</f>
        <v/>
      </c>
      <c r="BR457" t="str">
        <f>""</f>
        <v/>
      </c>
      <c r="BS457" t="str">
        <f>""</f>
        <v/>
      </c>
      <c r="BT457" t="str">
        <f>""</f>
        <v/>
      </c>
      <c r="BU457" t="str">
        <f>""</f>
        <v/>
      </c>
      <c r="BV457" t="str">
        <f>""</f>
        <v/>
      </c>
      <c r="BW457" t="str">
        <f>""</f>
        <v/>
      </c>
      <c r="BX457" t="str">
        <f>""</f>
        <v/>
      </c>
      <c r="BY457" t="str">
        <f>""</f>
        <v/>
      </c>
      <c r="BZ457" t="str">
        <f>""</f>
        <v/>
      </c>
      <c r="CA457" t="str">
        <f>""</f>
        <v/>
      </c>
      <c r="CB457" t="str">
        <f>""</f>
        <v/>
      </c>
      <c r="CC457" t="str">
        <f>""</f>
        <v/>
      </c>
      <c r="CD457" t="str">
        <f>""</f>
        <v/>
      </c>
      <c r="CE457" t="str">
        <f>""</f>
        <v/>
      </c>
      <c r="CF457" t="str">
        <f>""</f>
        <v/>
      </c>
      <c r="CG457" t="str">
        <f>""</f>
        <v/>
      </c>
      <c r="CH457" t="str">
        <f>""</f>
        <v/>
      </c>
      <c r="CI457" t="str">
        <f>""</f>
        <v/>
      </c>
      <c r="CJ457" t="str">
        <f>""</f>
        <v/>
      </c>
      <c r="CK457" t="str">
        <f>""</f>
        <v/>
      </c>
      <c r="CL457" t="str">
        <f>""</f>
        <v/>
      </c>
      <c r="CM457" t="str">
        <f>""</f>
        <v/>
      </c>
      <c r="CN457" t="str">
        <f>""</f>
        <v/>
      </c>
      <c r="CO457" t="str">
        <f>""</f>
        <v/>
      </c>
      <c r="CP457" t="str">
        <f>""</f>
        <v/>
      </c>
      <c r="CQ457" t="str">
        <f>""</f>
        <v/>
      </c>
      <c r="CR457" t="str">
        <f>""</f>
        <v/>
      </c>
      <c r="CS457" t="str">
        <f>""</f>
        <v/>
      </c>
      <c r="CT457" t="str">
        <f>""</f>
        <v/>
      </c>
      <c r="CU457" t="str">
        <f>""</f>
        <v/>
      </c>
      <c r="CV457" t="str">
        <f>""</f>
        <v/>
      </c>
      <c r="CW457" t="str">
        <f>""</f>
        <v/>
      </c>
      <c r="CX457" t="str">
        <f>""</f>
        <v/>
      </c>
      <c r="CY457" t="str">
        <f>""</f>
        <v/>
      </c>
      <c r="CZ457" t="str">
        <f>""</f>
        <v/>
      </c>
      <c r="DA457" t="str">
        <f>""</f>
        <v/>
      </c>
      <c r="DB457" t="str">
        <f>""</f>
        <v/>
      </c>
      <c r="DC457" t="str">
        <f>""</f>
        <v/>
      </c>
      <c r="DD457" t="str">
        <f>""</f>
        <v/>
      </c>
      <c r="DE457" t="str">
        <f>""</f>
        <v/>
      </c>
      <c r="DF457" t="str">
        <f>""</f>
        <v/>
      </c>
      <c r="DG457" t="str">
        <f>""</f>
        <v/>
      </c>
      <c r="DH457" t="str">
        <f>""</f>
        <v/>
      </c>
      <c r="DI457" t="str">
        <f>""</f>
        <v/>
      </c>
      <c r="DJ457" t="str">
        <f>""</f>
        <v/>
      </c>
      <c r="DK457" t="str">
        <f>""</f>
        <v/>
      </c>
      <c r="DL457" t="str">
        <f>""</f>
        <v/>
      </c>
      <c r="DM457" t="str">
        <f>""</f>
        <v/>
      </c>
      <c r="DN457" t="str">
        <f>""</f>
        <v/>
      </c>
      <c r="DO457" t="str">
        <f>""</f>
        <v/>
      </c>
      <c r="DP457" t="str">
        <f>""</f>
        <v/>
      </c>
      <c r="DQ457" t="str">
        <f>""</f>
        <v/>
      </c>
      <c r="DR457" t="str">
        <f>""</f>
        <v/>
      </c>
      <c r="DS457" t="str">
        <f>""</f>
        <v/>
      </c>
      <c r="DT457" t="str">
        <f>""</f>
        <v/>
      </c>
      <c r="DU457" t="str">
        <f>""</f>
        <v/>
      </c>
    </row>
    <row r="458" spans="1:125">
      <c r="A458" t="str">
        <f>$A$150</f>
        <v xml:space="preserve">    Columbia Property Trust Inc</v>
      </c>
      <c r="B458" t="str">
        <f>$B$150</f>
        <v>CXP US Equity</v>
      </c>
      <c r="C458" t="str">
        <f>$C$150</f>
        <v>RX902</v>
      </c>
      <c r="D458" t="str">
        <f>$D$150</f>
        <v>ANN_NOI_GR_AST_NET_RTL_DEV_CTD_%</v>
      </c>
      <c r="E458" t="str">
        <f>$E$150</f>
        <v>动态</v>
      </c>
      <c r="F458" t="str">
        <f ca="1">BDH($B$150,$C$150,$B$292,$B$293,CONCATENATE("Per=",$B$290),"Dts=H","Dir=H",CONCATENATE("Points=",$B$291),"Sort=R","Days=A","Fill=B",CONCATENATE("FX=", $B$289) )</f>
        <v>#N/A Authorization</v>
      </c>
      <c r="BN458" t="str">
        <f>""</f>
        <v/>
      </c>
      <c r="BO458" t="str">
        <f>""</f>
        <v/>
      </c>
      <c r="BP458" t="str">
        <f>""</f>
        <v/>
      </c>
      <c r="BQ458" t="str">
        <f>""</f>
        <v/>
      </c>
      <c r="BR458" t="str">
        <f>""</f>
        <v/>
      </c>
      <c r="BS458" t="str">
        <f>""</f>
        <v/>
      </c>
      <c r="BT458" t="str">
        <f>""</f>
        <v/>
      </c>
      <c r="BU458" t="str">
        <f>""</f>
        <v/>
      </c>
      <c r="BV458" t="str">
        <f>""</f>
        <v/>
      </c>
      <c r="BW458" t="str">
        <f>""</f>
        <v/>
      </c>
      <c r="BX458" t="str">
        <f>""</f>
        <v/>
      </c>
      <c r="BY458" t="str">
        <f>""</f>
        <v/>
      </c>
      <c r="BZ458" t="str">
        <f>""</f>
        <v/>
      </c>
      <c r="CA458" t="str">
        <f>""</f>
        <v/>
      </c>
      <c r="CB458" t="str">
        <f>""</f>
        <v/>
      </c>
      <c r="CC458" t="str">
        <f>""</f>
        <v/>
      </c>
      <c r="CD458" t="str">
        <f>""</f>
        <v/>
      </c>
      <c r="CE458" t="str">
        <f>""</f>
        <v/>
      </c>
      <c r="CF458" t="str">
        <f>""</f>
        <v/>
      </c>
      <c r="CG458" t="str">
        <f>""</f>
        <v/>
      </c>
      <c r="CH458" t="str">
        <f>""</f>
        <v/>
      </c>
      <c r="CI458" t="str">
        <f>""</f>
        <v/>
      </c>
      <c r="CJ458" t="str">
        <f>""</f>
        <v/>
      </c>
      <c r="CK458" t="str">
        <f>""</f>
        <v/>
      </c>
      <c r="CL458" t="str">
        <f>""</f>
        <v/>
      </c>
      <c r="CM458" t="str">
        <f>""</f>
        <v/>
      </c>
      <c r="CN458" t="str">
        <f>""</f>
        <v/>
      </c>
      <c r="CO458" t="str">
        <f>""</f>
        <v/>
      </c>
      <c r="CP458" t="str">
        <f>""</f>
        <v/>
      </c>
      <c r="CQ458" t="str">
        <f>""</f>
        <v/>
      </c>
      <c r="CR458" t="str">
        <f>""</f>
        <v/>
      </c>
      <c r="CS458" t="str">
        <f>""</f>
        <v/>
      </c>
      <c r="CT458" t="str">
        <f>""</f>
        <v/>
      </c>
      <c r="CU458" t="str">
        <f>""</f>
        <v/>
      </c>
      <c r="CV458" t="str">
        <f>""</f>
        <v/>
      </c>
      <c r="CW458" t="str">
        <f>""</f>
        <v/>
      </c>
      <c r="CX458" t="str">
        <f>""</f>
        <v/>
      </c>
      <c r="CY458" t="str">
        <f>""</f>
        <v/>
      </c>
      <c r="CZ458" t="str">
        <f>""</f>
        <v/>
      </c>
      <c r="DA458" t="str">
        <f>""</f>
        <v/>
      </c>
      <c r="DB458" t="str">
        <f>""</f>
        <v/>
      </c>
      <c r="DC458" t="str">
        <f>""</f>
        <v/>
      </c>
      <c r="DD458" t="str">
        <f>""</f>
        <v/>
      </c>
      <c r="DE458" t="str">
        <f>""</f>
        <v/>
      </c>
      <c r="DF458" t="str">
        <f>""</f>
        <v/>
      </c>
      <c r="DG458" t="str">
        <f>""</f>
        <v/>
      </c>
      <c r="DH458" t="str">
        <f>""</f>
        <v/>
      </c>
      <c r="DI458" t="str">
        <f>""</f>
        <v/>
      </c>
      <c r="DJ458" t="str">
        <f>""</f>
        <v/>
      </c>
      <c r="DK458" t="str">
        <f>""</f>
        <v/>
      </c>
      <c r="DL458" t="str">
        <f>""</f>
        <v/>
      </c>
      <c r="DM458" t="str">
        <f>""</f>
        <v/>
      </c>
      <c r="DN458" t="str">
        <f>""</f>
        <v/>
      </c>
      <c r="DO458" t="str">
        <f>""</f>
        <v/>
      </c>
      <c r="DP458" t="str">
        <f>""</f>
        <v/>
      </c>
      <c r="DQ458" t="str">
        <f>""</f>
        <v/>
      </c>
      <c r="DR458" t="str">
        <f>""</f>
        <v/>
      </c>
      <c r="DS458" t="str">
        <f>""</f>
        <v/>
      </c>
      <c r="DT458" t="str">
        <f>""</f>
        <v/>
      </c>
      <c r="DU458" t="str">
        <f>""</f>
        <v/>
      </c>
    </row>
    <row r="459" spans="1:125">
      <c r="A459" t="str">
        <f>$A$151</f>
        <v xml:space="preserve">    Corporate Office Properties Tr</v>
      </c>
      <c r="B459" t="str">
        <f>$B$151</f>
        <v>OFC US Equity</v>
      </c>
      <c r="C459" t="str">
        <f>$C$151</f>
        <v>RX902</v>
      </c>
      <c r="D459" t="str">
        <f>$D$151</f>
        <v>ANN_NOI_GR_AST_NET_RTL_DEV_CTD_%</v>
      </c>
      <c r="E459" t="str">
        <f>$E$151</f>
        <v>动态</v>
      </c>
      <c r="F459" t="str">
        <f ca="1">BDH($B$151,$C$151,$B$292,$B$293,CONCATENATE("Per=",$B$290),"Dts=H","Dir=H",CONCATENATE("Points=",$B$291),"Sort=R","Days=A","Fill=B",CONCATENATE("FX=", $B$289) )</f>
        <v>#N/A Authorization</v>
      </c>
      <c r="BN459" t="str">
        <f>""</f>
        <v/>
      </c>
      <c r="BO459" t="str">
        <f>""</f>
        <v/>
      </c>
      <c r="BP459" t="str">
        <f>""</f>
        <v/>
      </c>
      <c r="BQ459" t="str">
        <f>""</f>
        <v/>
      </c>
      <c r="BR459" t="str">
        <f>""</f>
        <v/>
      </c>
      <c r="BS459" t="str">
        <f>""</f>
        <v/>
      </c>
      <c r="BT459" t="str">
        <f>""</f>
        <v/>
      </c>
      <c r="BU459" t="str">
        <f>""</f>
        <v/>
      </c>
      <c r="BV459" t="str">
        <f>""</f>
        <v/>
      </c>
      <c r="BW459" t="str">
        <f>""</f>
        <v/>
      </c>
      <c r="BX459" t="str">
        <f>""</f>
        <v/>
      </c>
      <c r="BY459" t="str">
        <f>""</f>
        <v/>
      </c>
      <c r="BZ459" t="str">
        <f>""</f>
        <v/>
      </c>
      <c r="CA459" t="str">
        <f>""</f>
        <v/>
      </c>
      <c r="CB459" t="str">
        <f>""</f>
        <v/>
      </c>
      <c r="CC459" t="str">
        <f>""</f>
        <v/>
      </c>
      <c r="CD459" t="str">
        <f>""</f>
        <v/>
      </c>
      <c r="CE459" t="str">
        <f>""</f>
        <v/>
      </c>
      <c r="CF459" t="str">
        <f>""</f>
        <v/>
      </c>
      <c r="CG459" t="str">
        <f>""</f>
        <v/>
      </c>
      <c r="CH459" t="str">
        <f>""</f>
        <v/>
      </c>
      <c r="CI459" t="str">
        <f>""</f>
        <v/>
      </c>
      <c r="CJ459" t="str">
        <f>""</f>
        <v/>
      </c>
      <c r="CK459" t="str">
        <f>""</f>
        <v/>
      </c>
      <c r="CL459" t="str">
        <f>""</f>
        <v/>
      </c>
      <c r="CM459" t="str">
        <f>""</f>
        <v/>
      </c>
      <c r="CN459" t="str">
        <f>""</f>
        <v/>
      </c>
      <c r="CO459" t="str">
        <f>""</f>
        <v/>
      </c>
      <c r="CP459" t="str">
        <f>""</f>
        <v/>
      </c>
      <c r="CQ459" t="str">
        <f>""</f>
        <v/>
      </c>
      <c r="CR459" t="str">
        <f>""</f>
        <v/>
      </c>
      <c r="CS459" t="str">
        <f>""</f>
        <v/>
      </c>
      <c r="CT459" t="str">
        <f>""</f>
        <v/>
      </c>
      <c r="CU459" t="str">
        <f>""</f>
        <v/>
      </c>
      <c r="CV459" t="str">
        <f>""</f>
        <v/>
      </c>
      <c r="CW459" t="str">
        <f>""</f>
        <v/>
      </c>
      <c r="CX459" t="str">
        <f>""</f>
        <v/>
      </c>
      <c r="CY459" t="str">
        <f>""</f>
        <v/>
      </c>
      <c r="CZ459" t="str">
        <f>""</f>
        <v/>
      </c>
      <c r="DA459" t="str">
        <f>""</f>
        <v/>
      </c>
      <c r="DB459" t="str">
        <f>""</f>
        <v/>
      </c>
      <c r="DC459" t="str">
        <f>""</f>
        <v/>
      </c>
      <c r="DD459" t="str">
        <f>""</f>
        <v/>
      </c>
      <c r="DE459" t="str">
        <f>""</f>
        <v/>
      </c>
      <c r="DF459" t="str">
        <f>""</f>
        <v/>
      </c>
      <c r="DG459" t="str">
        <f>""</f>
        <v/>
      </c>
      <c r="DH459" t="str">
        <f>""</f>
        <v/>
      </c>
      <c r="DI459" t="str">
        <f>""</f>
        <v/>
      </c>
      <c r="DJ459" t="str">
        <f>""</f>
        <v/>
      </c>
      <c r="DK459" t="str">
        <f>""</f>
        <v/>
      </c>
      <c r="DL459" t="str">
        <f>""</f>
        <v/>
      </c>
      <c r="DM459" t="str">
        <f>""</f>
        <v/>
      </c>
      <c r="DN459" t="str">
        <f>""</f>
        <v/>
      </c>
      <c r="DO459" t="str">
        <f>""</f>
        <v/>
      </c>
      <c r="DP459" t="str">
        <f>""</f>
        <v/>
      </c>
      <c r="DQ459" t="str">
        <f>""</f>
        <v/>
      </c>
      <c r="DR459" t="str">
        <f>""</f>
        <v/>
      </c>
      <c r="DS459" t="str">
        <f>""</f>
        <v/>
      </c>
      <c r="DT459" t="str">
        <f>""</f>
        <v/>
      </c>
      <c r="DU459" t="str">
        <f>""</f>
        <v/>
      </c>
    </row>
    <row r="460" spans="1:125">
      <c r="A460" t="str">
        <f>$A$152</f>
        <v xml:space="preserve">    Highwoods Properties Inc</v>
      </c>
      <c r="B460" t="str">
        <f>$B$152</f>
        <v>HIW US Equity</v>
      </c>
      <c r="C460" t="str">
        <f>$C$152</f>
        <v>RX902</v>
      </c>
      <c r="D460" t="str">
        <f>$D$152</f>
        <v>ANN_NOI_GR_AST_NET_RTL_DEV_CTD_%</v>
      </c>
      <c r="E460" t="str">
        <f>$E$152</f>
        <v>动态</v>
      </c>
      <c r="F460" t="str">
        <f ca="1">BDH($B$152,$C$152,$B$292,$B$293,CONCATENATE("Per=",$B$290),"Dts=H","Dir=H",CONCATENATE("Points=",$B$291),"Sort=R","Days=A","Fill=B",CONCATENATE("FX=", $B$289) )</f>
        <v>#N/A Authorization</v>
      </c>
      <c r="BN460" t="str">
        <f>""</f>
        <v/>
      </c>
      <c r="BO460" t="str">
        <f>""</f>
        <v/>
      </c>
      <c r="BP460" t="str">
        <f>""</f>
        <v/>
      </c>
      <c r="BQ460" t="str">
        <f>""</f>
        <v/>
      </c>
      <c r="BR460" t="str">
        <f>""</f>
        <v/>
      </c>
      <c r="BS460" t="str">
        <f>""</f>
        <v/>
      </c>
      <c r="BT460" t="str">
        <f>""</f>
        <v/>
      </c>
      <c r="BU460" t="str">
        <f>""</f>
        <v/>
      </c>
      <c r="BV460" t="str">
        <f>""</f>
        <v/>
      </c>
      <c r="BW460" t="str">
        <f>""</f>
        <v/>
      </c>
      <c r="BX460" t="str">
        <f>""</f>
        <v/>
      </c>
      <c r="BY460" t="str">
        <f>""</f>
        <v/>
      </c>
      <c r="BZ460" t="str">
        <f>""</f>
        <v/>
      </c>
      <c r="CA460" t="str">
        <f>""</f>
        <v/>
      </c>
      <c r="CB460" t="str">
        <f>""</f>
        <v/>
      </c>
      <c r="CC460" t="str">
        <f>""</f>
        <v/>
      </c>
      <c r="CD460" t="str">
        <f>""</f>
        <v/>
      </c>
      <c r="CE460" t="str">
        <f>""</f>
        <v/>
      </c>
      <c r="CF460" t="str">
        <f>""</f>
        <v/>
      </c>
      <c r="CG460" t="str">
        <f>""</f>
        <v/>
      </c>
      <c r="CH460" t="str">
        <f>""</f>
        <v/>
      </c>
      <c r="CI460" t="str">
        <f>""</f>
        <v/>
      </c>
      <c r="CJ460" t="str">
        <f>""</f>
        <v/>
      </c>
      <c r="CK460" t="str">
        <f>""</f>
        <v/>
      </c>
      <c r="CL460" t="str">
        <f>""</f>
        <v/>
      </c>
      <c r="CM460" t="str">
        <f>""</f>
        <v/>
      </c>
      <c r="CN460" t="str">
        <f>""</f>
        <v/>
      </c>
      <c r="CO460" t="str">
        <f>""</f>
        <v/>
      </c>
      <c r="CP460" t="str">
        <f>""</f>
        <v/>
      </c>
      <c r="CQ460" t="str">
        <f>""</f>
        <v/>
      </c>
      <c r="CR460" t="str">
        <f>""</f>
        <v/>
      </c>
      <c r="CS460" t="str">
        <f>""</f>
        <v/>
      </c>
      <c r="CT460" t="str">
        <f>""</f>
        <v/>
      </c>
      <c r="CU460" t="str">
        <f>""</f>
        <v/>
      </c>
      <c r="CV460" t="str">
        <f>""</f>
        <v/>
      </c>
      <c r="CW460" t="str">
        <f>""</f>
        <v/>
      </c>
      <c r="CX460" t="str">
        <f>""</f>
        <v/>
      </c>
      <c r="CY460" t="str">
        <f>""</f>
        <v/>
      </c>
      <c r="CZ460" t="str">
        <f>""</f>
        <v/>
      </c>
      <c r="DA460" t="str">
        <f>""</f>
        <v/>
      </c>
      <c r="DB460" t="str">
        <f>""</f>
        <v/>
      </c>
      <c r="DC460" t="str">
        <f>""</f>
        <v/>
      </c>
      <c r="DD460" t="str">
        <f>""</f>
        <v/>
      </c>
      <c r="DE460" t="str">
        <f>""</f>
        <v/>
      </c>
      <c r="DF460" t="str">
        <f>""</f>
        <v/>
      </c>
      <c r="DG460" t="str">
        <f>""</f>
        <v/>
      </c>
      <c r="DH460" t="str">
        <f>""</f>
        <v/>
      </c>
      <c r="DI460" t="str">
        <f>""</f>
        <v/>
      </c>
      <c r="DJ460" t="str">
        <f>""</f>
        <v/>
      </c>
      <c r="DK460" t="str">
        <f>""</f>
        <v/>
      </c>
      <c r="DL460" t="str">
        <f>""</f>
        <v/>
      </c>
      <c r="DM460" t="str">
        <f>""</f>
        <v/>
      </c>
      <c r="DN460" t="str">
        <f>""</f>
        <v/>
      </c>
      <c r="DO460" t="str">
        <f>""</f>
        <v/>
      </c>
      <c r="DP460" t="str">
        <f>""</f>
        <v/>
      </c>
      <c r="DQ460" t="str">
        <f>""</f>
        <v/>
      </c>
      <c r="DR460" t="str">
        <f>""</f>
        <v/>
      </c>
      <c r="DS460" t="str">
        <f>""</f>
        <v/>
      </c>
      <c r="DT460" t="str">
        <f>""</f>
        <v/>
      </c>
      <c r="DU460" t="str">
        <f>""</f>
        <v/>
      </c>
    </row>
    <row r="461" spans="1:125">
      <c r="A461" t="str">
        <f>$A$153</f>
        <v xml:space="preserve">    Kilroy Realty Corp</v>
      </c>
      <c r="B461" t="str">
        <f>$B$153</f>
        <v>KRC US Equity</v>
      </c>
      <c r="C461" t="str">
        <f>$C$153</f>
        <v>RX902</v>
      </c>
      <c r="D461" t="str">
        <f>$D$153</f>
        <v>ANN_NOI_GR_AST_NET_RTL_DEV_CTD_%</v>
      </c>
      <c r="E461" t="str">
        <f>$E$153</f>
        <v>动态</v>
      </c>
      <c r="F461" t="str">
        <f ca="1">BDH($B$153,$C$153,$B$292,$B$293,CONCATENATE("Per=",$B$290),"Dts=H","Dir=H",CONCATENATE("Points=",$B$291),"Sort=R","Days=A","Fill=B",CONCATENATE("FX=", $B$289) )</f>
        <v>#N/A Authorization</v>
      </c>
      <c r="BN461" t="str">
        <f>""</f>
        <v/>
      </c>
      <c r="BO461" t="str">
        <f>""</f>
        <v/>
      </c>
      <c r="BP461" t="str">
        <f>""</f>
        <v/>
      </c>
      <c r="BQ461" t="str">
        <f>""</f>
        <v/>
      </c>
      <c r="BR461" t="str">
        <f>""</f>
        <v/>
      </c>
      <c r="BS461" t="str">
        <f>""</f>
        <v/>
      </c>
      <c r="BT461" t="str">
        <f>""</f>
        <v/>
      </c>
      <c r="BU461" t="str">
        <f>""</f>
        <v/>
      </c>
      <c r="BV461" t="str">
        <f>""</f>
        <v/>
      </c>
      <c r="BW461" t="str">
        <f>""</f>
        <v/>
      </c>
      <c r="BX461" t="str">
        <f>""</f>
        <v/>
      </c>
      <c r="BY461" t="str">
        <f>""</f>
        <v/>
      </c>
      <c r="BZ461" t="str">
        <f>""</f>
        <v/>
      </c>
      <c r="CA461" t="str">
        <f>""</f>
        <v/>
      </c>
      <c r="CB461" t="str">
        <f>""</f>
        <v/>
      </c>
      <c r="CC461" t="str">
        <f>""</f>
        <v/>
      </c>
      <c r="CD461" t="str">
        <f>""</f>
        <v/>
      </c>
      <c r="CE461" t="str">
        <f>""</f>
        <v/>
      </c>
      <c r="CF461" t="str">
        <f>""</f>
        <v/>
      </c>
      <c r="CG461" t="str">
        <f>""</f>
        <v/>
      </c>
      <c r="CH461" t="str">
        <f>""</f>
        <v/>
      </c>
      <c r="CI461" t="str">
        <f>""</f>
        <v/>
      </c>
      <c r="CJ461" t="str">
        <f>""</f>
        <v/>
      </c>
      <c r="CK461" t="str">
        <f>""</f>
        <v/>
      </c>
      <c r="CL461" t="str">
        <f>""</f>
        <v/>
      </c>
      <c r="CM461" t="str">
        <f>""</f>
        <v/>
      </c>
      <c r="CN461" t="str">
        <f>""</f>
        <v/>
      </c>
      <c r="CO461" t="str">
        <f>""</f>
        <v/>
      </c>
      <c r="CP461" t="str">
        <f>""</f>
        <v/>
      </c>
      <c r="CQ461" t="str">
        <f>""</f>
        <v/>
      </c>
      <c r="CR461" t="str">
        <f>""</f>
        <v/>
      </c>
      <c r="CS461" t="str">
        <f>""</f>
        <v/>
      </c>
      <c r="CT461" t="str">
        <f>""</f>
        <v/>
      </c>
      <c r="CU461" t="str">
        <f>""</f>
        <v/>
      </c>
      <c r="CV461" t="str">
        <f>""</f>
        <v/>
      </c>
      <c r="CW461" t="str">
        <f>""</f>
        <v/>
      </c>
      <c r="CX461" t="str">
        <f>""</f>
        <v/>
      </c>
      <c r="CY461" t="str">
        <f>""</f>
        <v/>
      </c>
      <c r="CZ461" t="str">
        <f>""</f>
        <v/>
      </c>
      <c r="DA461" t="str">
        <f>""</f>
        <v/>
      </c>
      <c r="DB461" t="str">
        <f>""</f>
        <v/>
      </c>
      <c r="DC461" t="str">
        <f>""</f>
        <v/>
      </c>
      <c r="DD461" t="str">
        <f>""</f>
        <v/>
      </c>
      <c r="DE461" t="str">
        <f>""</f>
        <v/>
      </c>
      <c r="DF461" t="str">
        <f>""</f>
        <v/>
      </c>
      <c r="DG461" t="str">
        <f>""</f>
        <v/>
      </c>
      <c r="DH461" t="str">
        <f>""</f>
        <v/>
      </c>
      <c r="DI461" t="str">
        <f>""</f>
        <v/>
      </c>
      <c r="DJ461" t="str">
        <f>""</f>
        <v/>
      </c>
      <c r="DK461" t="str">
        <f>""</f>
        <v/>
      </c>
      <c r="DL461" t="str">
        <f>""</f>
        <v/>
      </c>
      <c r="DM461" t="str">
        <f>""</f>
        <v/>
      </c>
      <c r="DN461" t="str">
        <f>""</f>
        <v/>
      </c>
      <c r="DO461" t="str">
        <f>""</f>
        <v/>
      </c>
      <c r="DP461" t="str">
        <f>""</f>
        <v/>
      </c>
      <c r="DQ461" t="str">
        <f>""</f>
        <v/>
      </c>
      <c r="DR461" t="str">
        <f>""</f>
        <v/>
      </c>
      <c r="DS461" t="str">
        <f>""</f>
        <v/>
      </c>
      <c r="DT461" t="str">
        <f>""</f>
        <v/>
      </c>
      <c r="DU461" t="str">
        <f>""</f>
        <v/>
      </c>
    </row>
    <row r="462" spans="1:125">
      <c r="A462" t="str">
        <f>$A$154</f>
        <v xml:space="preserve">    Mack-Cali Realty Corp</v>
      </c>
      <c r="B462" t="str">
        <f>$B$154</f>
        <v>CLI US Equity</v>
      </c>
      <c r="C462" t="str">
        <f>$C$154</f>
        <v>RX902</v>
      </c>
      <c r="D462" t="str">
        <f>$D$154</f>
        <v>ANN_NOI_GR_AST_NET_RTL_DEV_CTD_%</v>
      </c>
      <c r="E462" t="str">
        <f>$E$154</f>
        <v>动态</v>
      </c>
      <c r="F462" t="str">
        <f ca="1">BDH($B$154,$C$154,$B$292,$B$293,CONCATENATE("Per=",$B$290),"Dts=H","Dir=H",CONCATENATE("Points=",$B$291),"Sort=R","Days=A","Fill=B",CONCATENATE("FX=", $B$289) )</f>
        <v>#N/A Authorization</v>
      </c>
      <c r="BN462" t="str">
        <f>""</f>
        <v/>
      </c>
      <c r="BO462" t="str">
        <f>""</f>
        <v/>
      </c>
      <c r="BP462" t="str">
        <f>""</f>
        <v/>
      </c>
      <c r="BQ462" t="str">
        <f>""</f>
        <v/>
      </c>
      <c r="BR462" t="str">
        <f>""</f>
        <v/>
      </c>
      <c r="BS462" t="str">
        <f>""</f>
        <v/>
      </c>
      <c r="BT462" t="str">
        <f>""</f>
        <v/>
      </c>
      <c r="BU462" t="str">
        <f>""</f>
        <v/>
      </c>
      <c r="BV462" t="str">
        <f>""</f>
        <v/>
      </c>
      <c r="BW462" t="str">
        <f>""</f>
        <v/>
      </c>
      <c r="BX462" t="str">
        <f>""</f>
        <v/>
      </c>
      <c r="BY462" t="str">
        <f>""</f>
        <v/>
      </c>
      <c r="BZ462" t="str">
        <f>""</f>
        <v/>
      </c>
      <c r="CA462" t="str">
        <f>""</f>
        <v/>
      </c>
      <c r="CB462" t="str">
        <f>""</f>
        <v/>
      </c>
      <c r="CC462" t="str">
        <f>""</f>
        <v/>
      </c>
      <c r="CD462" t="str">
        <f>""</f>
        <v/>
      </c>
      <c r="CE462" t="str">
        <f>""</f>
        <v/>
      </c>
      <c r="CF462" t="str">
        <f>""</f>
        <v/>
      </c>
      <c r="CG462" t="str">
        <f>""</f>
        <v/>
      </c>
      <c r="CH462" t="str">
        <f>""</f>
        <v/>
      </c>
      <c r="CI462" t="str">
        <f>""</f>
        <v/>
      </c>
      <c r="CJ462" t="str">
        <f>""</f>
        <v/>
      </c>
      <c r="CK462" t="str">
        <f>""</f>
        <v/>
      </c>
      <c r="CL462" t="str">
        <f>""</f>
        <v/>
      </c>
      <c r="CM462" t="str">
        <f>""</f>
        <v/>
      </c>
      <c r="CN462" t="str">
        <f>""</f>
        <v/>
      </c>
      <c r="CO462" t="str">
        <f>""</f>
        <v/>
      </c>
      <c r="CP462" t="str">
        <f>""</f>
        <v/>
      </c>
      <c r="CQ462" t="str">
        <f>""</f>
        <v/>
      </c>
      <c r="CR462" t="str">
        <f>""</f>
        <v/>
      </c>
      <c r="CS462" t="str">
        <f>""</f>
        <v/>
      </c>
      <c r="CT462" t="str">
        <f>""</f>
        <v/>
      </c>
      <c r="CU462" t="str">
        <f>""</f>
        <v/>
      </c>
      <c r="CV462" t="str">
        <f>""</f>
        <v/>
      </c>
      <c r="CW462" t="str">
        <f>""</f>
        <v/>
      </c>
      <c r="CX462" t="str">
        <f>""</f>
        <v/>
      </c>
      <c r="CY462" t="str">
        <f>""</f>
        <v/>
      </c>
      <c r="CZ462" t="str">
        <f>""</f>
        <v/>
      </c>
      <c r="DA462" t="str">
        <f>""</f>
        <v/>
      </c>
      <c r="DB462" t="str">
        <f>""</f>
        <v/>
      </c>
      <c r="DC462" t="str">
        <f>""</f>
        <v/>
      </c>
      <c r="DD462" t="str">
        <f>""</f>
        <v/>
      </c>
      <c r="DE462" t="str">
        <f>""</f>
        <v/>
      </c>
      <c r="DF462" t="str">
        <f>""</f>
        <v/>
      </c>
      <c r="DG462" t="str">
        <f>""</f>
        <v/>
      </c>
      <c r="DH462" t="str">
        <f>""</f>
        <v/>
      </c>
      <c r="DI462" t="str">
        <f>""</f>
        <v/>
      </c>
      <c r="DJ462" t="str">
        <f>""</f>
        <v/>
      </c>
      <c r="DK462" t="str">
        <f>""</f>
        <v/>
      </c>
      <c r="DL462" t="str">
        <f>""</f>
        <v/>
      </c>
      <c r="DM462" t="str">
        <f>""</f>
        <v/>
      </c>
      <c r="DN462" t="str">
        <f>""</f>
        <v/>
      </c>
      <c r="DO462" t="str">
        <f>""</f>
        <v/>
      </c>
      <c r="DP462" t="str">
        <f>""</f>
        <v/>
      </c>
      <c r="DQ462" t="str">
        <f>""</f>
        <v/>
      </c>
      <c r="DR462" t="str">
        <f>""</f>
        <v/>
      </c>
      <c r="DS462" t="str">
        <f>""</f>
        <v/>
      </c>
      <c r="DT462" t="str">
        <f>""</f>
        <v/>
      </c>
      <c r="DU462" t="str">
        <f>""</f>
        <v/>
      </c>
    </row>
    <row r="463" spans="1:125">
      <c r="A463" t="str">
        <f>$A$155</f>
        <v xml:space="preserve">    Piedmont Office Realty Trust I</v>
      </c>
      <c r="B463" t="str">
        <f>$B$155</f>
        <v>PDM US Equity</v>
      </c>
      <c r="C463" t="str">
        <f>$C$155</f>
        <v>RX902</v>
      </c>
      <c r="D463" t="str">
        <f>$D$155</f>
        <v>ANN_NOI_GR_AST_NET_RTL_DEV_CTD_%</v>
      </c>
      <c r="E463" t="str">
        <f>$E$155</f>
        <v>动态</v>
      </c>
      <c r="F463" t="str">
        <f ca="1">BDH($B$155,$C$155,$B$292,$B$293,CONCATENATE("Per=",$B$290),"Dts=H","Dir=H",CONCATENATE("Points=",$B$291),"Sort=R","Days=A","Fill=B",CONCATENATE("FX=", $B$289) )</f>
        <v>#N/A Authorization</v>
      </c>
      <c r="BN463" t="str">
        <f>""</f>
        <v/>
      </c>
      <c r="BO463" t="str">
        <f>""</f>
        <v/>
      </c>
      <c r="BP463" t="str">
        <f>""</f>
        <v/>
      </c>
      <c r="BQ463" t="str">
        <f>""</f>
        <v/>
      </c>
      <c r="BR463" t="str">
        <f>""</f>
        <v/>
      </c>
      <c r="BS463" t="str">
        <f>""</f>
        <v/>
      </c>
      <c r="BT463" t="str">
        <f>""</f>
        <v/>
      </c>
      <c r="BU463" t="str">
        <f>""</f>
        <v/>
      </c>
      <c r="BV463" t="str">
        <f>""</f>
        <v/>
      </c>
      <c r="BW463" t="str">
        <f>""</f>
        <v/>
      </c>
      <c r="BX463" t="str">
        <f>""</f>
        <v/>
      </c>
      <c r="BY463" t="str">
        <f>""</f>
        <v/>
      </c>
      <c r="BZ463" t="str">
        <f>""</f>
        <v/>
      </c>
      <c r="CA463" t="str">
        <f>""</f>
        <v/>
      </c>
      <c r="CB463" t="str">
        <f>""</f>
        <v/>
      </c>
      <c r="CC463" t="str">
        <f>""</f>
        <v/>
      </c>
      <c r="CD463" t="str">
        <f>""</f>
        <v/>
      </c>
      <c r="CE463" t="str">
        <f>""</f>
        <v/>
      </c>
      <c r="CF463" t="str">
        <f>""</f>
        <v/>
      </c>
      <c r="CG463" t="str">
        <f>""</f>
        <v/>
      </c>
      <c r="CH463" t="str">
        <f>""</f>
        <v/>
      </c>
      <c r="CI463" t="str">
        <f>""</f>
        <v/>
      </c>
      <c r="CJ463" t="str">
        <f>""</f>
        <v/>
      </c>
      <c r="CK463" t="str">
        <f>""</f>
        <v/>
      </c>
      <c r="CL463" t="str">
        <f>""</f>
        <v/>
      </c>
      <c r="CM463" t="str">
        <f>""</f>
        <v/>
      </c>
      <c r="CN463" t="str">
        <f>""</f>
        <v/>
      </c>
      <c r="CO463" t="str">
        <f>""</f>
        <v/>
      </c>
      <c r="CP463" t="str">
        <f>""</f>
        <v/>
      </c>
      <c r="CQ463" t="str">
        <f>""</f>
        <v/>
      </c>
      <c r="CR463" t="str">
        <f>""</f>
        <v/>
      </c>
      <c r="CS463" t="str">
        <f>""</f>
        <v/>
      </c>
      <c r="CT463" t="str">
        <f>""</f>
        <v/>
      </c>
      <c r="CU463" t="str">
        <f>""</f>
        <v/>
      </c>
      <c r="CV463" t="str">
        <f>""</f>
        <v/>
      </c>
      <c r="CW463" t="str">
        <f>""</f>
        <v/>
      </c>
      <c r="CX463" t="str">
        <f>""</f>
        <v/>
      </c>
      <c r="CY463" t="str">
        <f>""</f>
        <v/>
      </c>
      <c r="CZ463" t="str">
        <f>""</f>
        <v/>
      </c>
      <c r="DA463" t="str">
        <f>""</f>
        <v/>
      </c>
      <c r="DB463" t="str">
        <f>""</f>
        <v/>
      </c>
      <c r="DC463" t="str">
        <f>""</f>
        <v/>
      </c>
      <c r="DD463" t="str">
        <f>""</f>
        <v/>
      </c>
      <c r="DE463" t="str">
        <f>""</f>
        <v/>
      </c>
      <c r="DF463" t="str">
        <f>""</f>
        <v/>
      </c>
      <c r="DG463" t="str">
        <f>""</f>
        <v/>
      </c>
      <c r="DH463" t="str">
        <f>""</f>
        <v/>
      </c>
      <c r="DI463" t="str">
        <f>""</f>
        <v/>
      </c>
      <c r="DJ463" t="str">
        <f>""</f>
        <v/>
      </c>
      <c r="DK463" t="str">
        <f>""</f>
        <v/>
      </c>
      <c r="DL463" t="str">
        <f>""</f>
        <v/>
      </c>
      <c r="DM463" t="str">
        <f>""</f>
        <v/>
      </c>
      <c r="DN463" t="str">
        <f>""</f>
        <v/>
      </c>
      <c r="DO463" t="str">
        <f>""</f>
        <v/>
      </c>
      <c r="DP463" t="str">
        <f>""</f>
        <v/>
      </c>
      <c r="DQ463" t="str">
        <f>""</f>
        <v/>
      </c>
      <c r="DR463" t="str">
        <f>""</f>
        <v/>
      </c>
      <c r="DS463" t="str">
        <f>""</f>
        <v/>
      </c>
      <c r="DT463" t="str">
        <f>""</f>
        <v/>
      </c>
      <c r="DU463" t="str">
        <f>""</f>
        <v/>
      </c>
    </row>
    <row r="464" spans="1:125">
      <c r="A464" t="str">
        <f>$A$156</f>
        <v xml:space="preserve">    SL Green Realty Corp</v>
      </c>
      <c r="B464" t="str">
        <f>$B$156</f>
        <v>SLG US Equity</v>
      </c>
      <c r="C464" t="str">
        <f>$C$156</f>
        <v>RX902</v>
      </c>
      <c r="D464" t="str">
        <f>$D$156</f>
        <v>ANN_NOI_GR_AST_NET_RTL_DEV_CTD_%</v>
      </c>
      <c r="E464" t="str">
        <f>$E$156</f>
        <v>动态</v>
      </c>
      <c r="F464" t="str">
        <f ca="1">BDH($B$156,$C$156,$B$292,$B$293,CONCATENATE("Per=",$B$290),"Dts=H","Dir=H",CONCATENATE("Points=",$B$291),"Sort=R","Days=A","Fill=B",CONCATENATE("FX=", $B$289) )</f>
        <v>#N/A Authorization</v>
      </c>
      <c r="BN464" t="str">
        <f>""</f>
        <v/>
      </c>
      <c r="BO464" t="str">
        <f>""</f>
        <v/>
      </c>
      <c r="BP464" t="str">
        <f>""</f>
        <v/>
      </c>
      <c r="BQ464" t="str">
        <f>""</f>
        <v/>
      </c>
      <c r="BR464" t="str">
        <f>""</f>
        <v/>
      </c>
      <c r="BS464" t="str">
        <f>""</f>
        <v/>
      </c>
      <c r="BT464" t="str">
        <f>""</f>
        <v/>
      </c>
      <c r="BU464" t="str">
        <f>""</f>
        <v/>
      </c>
      <c r="BV464" t="str">
        <f>""</f>
        <v/>
      </c>
      <c r="BW464" t="str">
        <f>""</f>
        <v/>
      </c>
      <c r="BX464" t="str">
        <f>""</f>
        <v/>
      </c>
      <c r="BY464" t="str">
        <f>""</f>
        <v/>
      </c>
      <c r="BZ464" t="str">
        <f>""</f>
        <v/>
      </c>
      <c r="CA464" t="str">
        <f>""</f>
        <v/>
      </c>
      <c r="CB464" t="str">
        <f>""</f>
        <v/>
      </c>
      <c r="CC464" t="str">
        <f>""</f>
        <v/>
      </c>
      <c r="CD464" t="str">
        <f>""</f>
        <v/>
      </c>
      <c r="CE464" t="str">
        <f>""</f>
        <v/>
      </c>
      <c r="CF464" t="str">
        <f>""</f>
        <v/>
      </c>
      <c r="CG464" t="str">
        <f>""</f>
        <v/>
      </c>
      <c r="CH464" t="str">
        <f>""</f>
        <v/>
      </c>
      <c r="CI464" t="str">
        <f>""</f>
        <v/>
      </c>
      <c r="CJ464" t="str">
        <f>""</f>
        <v/>
      </c>
      <c r="CK464" t="str">
        <f>""</f>
        <v/>
      </c>
      <c r="CL464" t="str">
        <f>""</f>
        <v/>
      </c>
      <c r="CM464" t="str">
        <f>""</f>
        <v/>
      </c>
      <c r="CN464" t="str">
        <f>""</f>
        <v/>
      </c>
      <c r="CO464" t="str">
        <f>""</f>
        <v/>
      </c>
      <c r="CP464" t="str">
        <f>""</f>
        <v/>
      </c>
      <c r="CQ464" t="str">
        <f>""</f>
        <v/>
      </c>
      <c r="CR464" t="str">
        <f>""</f>
        <v/>
      </c>
      <c r="CS464" t="str">
        <f>""</f>
        <v/>
      </c>
      <c r="CT464" t="str">
        <f>""</f>
        <v/>
      </c>
      <c r="CU464" t="str">
        <f>""</f>
        <v/>
      </c>
      <c r="CV464" t="str">
        <f>""</f>
        <v/>
      </c>
      <c r="CW464" t="str">
        <f>""</f>
        <v/>
      </c>
      <c r="CX464" t="str">
        <f>""</f>
        <v/>
      </c>
      <c r="CY464" t="str">
        <f>""</f>
        <v/>
      </c>
      <c r="CZ464" t="str">
        <f>""</f>
        <v/>
      </c>
      <c r="DA464" t="str">
        <f>""</f>
        <v/>
      </c>
      <c r="DB464" t="str">
        <f>""</f>
        <v/>
      </c>
      <c r="DC464" t="str">
        <f>""</f>
        <v/>
      </c>
      <c r="DD464" t="str">
        <f>""</f>
        <v/>
      </c>
      <c r="DE464" t="str">
        <f>""</f>
        <v/>
      </c>
      <c r="DF464" t="str">
        <f>""</f>
        <v/>
      </c>
      <c r="DG464" t="str">
        <f>""</f>
        <v/>
      </c>
      <c r="DH464" t="str">
        <f>""</f>
        <v/>
      </c>
      <c r="DI464" t="str">
        <f>""</f>
        <v/>
      </c>
      <c r="DJ464" t="str">
        <f>""</f>
        <v/>
      </c>
      <c r="DK464" t="str">
        <f>""</f>
        <v/>
      </c>
      <c r="DL464" t="str">
        <f>""</f>
        <v/>
      </c>
      <c r="DM464" t="str">
        <f>""</f>
        <v/>
      </c>
      <c r="DN464" t="str">
        <f>""</f>
        <v/>
      </c>
      <c r="DO464" t="str">
        <f>""</f>
        <v/>
      </c>
      <c r="DP464" t="str">
        <f>""</f>
        <v/>
      </c>
      <c r="DQ464" t="str">
        <f>""</f>
        <v/>
      </c>
      <c r="DR464" t="str">
        <f>""</f>
        <v/>
      </c>
      <c r="DS464" t="str">
        <f>""</f>
        <v/>
      </c>
      <c r="DT464" t="str">
        <f>""</f>
        <v/>
      </c>
      <c r="DU464" t="str">
        <f>""</f>
        <v/>
      </c>
    </row>
    <row r="465" spans="1:125">
      <c r="A465" t="str">
        <f>$A$157</f>
        <v xml:space="preserve">    Vornado Realty Trust</v>
      </c>
      <c r="B465" t="str">
        <f>$B$157</f>
        <v>VNO US Equity</v>
      </c>
      <c r="C465" t="str">
        <f>$C$157</f>
        <v>RX902</v>
      </c>
      <c r="D465" t="str">
        <f>$D$157</f>
        <v>ANN_NOI_GR_AST_NET_RTL_DEV_CTD_%</v>
      </c>
      <c r="E465" t="str">
        <f>$E$157</f>
        <v>动态</v>
      </c>
      <c r="F465" t="str">
        <f ca="1">BDH($B$157,$C$157,$B$292,$B$293,CONCATENATE("Per=",$B$290),"Dts=H","Dir=H",CONCATENATE("Points=",$B$291),"Sort=R","Days=A","Fill=B",CONCATENATE("FX=", $B$289) )</f>
        <v>#N/A Authorization</v>
      </c>
      <c r="BN465" t="str">
        <f>""</f>
        <v/>
      </c>
      <c r="BO465" t="str">
        <f>""</f>
        <v/>
      </c>
      <c r="BP465" t="str">
        <f>""</f>
        <v/>
      </c>
      <c r="BQ465" t="str">
        <f>""</f>
        <v/>
      </c>
      <c r="BR465" t="str">
        <f>""</f>
        <v/>
      </c>
      <c r="BS465" t="str">
        <f>""</f>
        <v/>
      </c>
      <c r="BT465" t="str">
        <f>""</f>
        <v/>
      </c>
      <c r="BU465" t="str">
        <f>""</f>
        <v/>
      </c>
      <c r="BV465" t="str">
        <f>""</f>
        <v/>
      </c>
      <c r="BW465" t="str">
        <f>""</f>
        <v/>
      </c>
      <c r="BX465" t="str">
        <f>""</f>
        <v/>
      </c>
      <c r="BY465" t="str">
        <f>""</f>
        <v/>
      </c>
      <c r="BZ465" t="str">
        <f>""</f>
        <v/>
      </c>
      <c r="CA465" t="str">
        <f>""</f>
        <v/>
      </c>
      <c r="CB465" t="str">
        <f>""</f>
        <v/>
      </c>
      <c r="CC465" t="str">
        <f>""</f>
        <v/>
      </c>
      <c r="CD465" t="str">
        <f>""</f>
        <v/>
      </c>
      <c r="CE465" t="str">
        <f>""</f>
        <v/>
      </c>
      <c r="CF465" t="str">
        <f>""</f>
        <v/>
      </c>
      <c r="CG465" t="str">
        <f>""</f>
        <v/>
      </c>
      <c r="CH465" t="str">
        <f>""</f>
        <v/>
      </c>
      <c r="CI465" t="str">
        <f>""</f>
        <v/>
      </c>
      <c r="CJ465" t="str">
        <f>""</f>
        <v/>
      </c>
      <c r="CK465" t="str">
        <f>""</f>
        <v/>
      </c>
      <c r="CL465" t="str">
        <f>""</f>
        <v/>
      </c>
      <c r="CM465" t="str">
        <f>""</f>
        <v/>
      </c>
      <c r="CN465" t="str">
        <f>""</f>
        <v/>
      </c>
      <c r="CO465" t="str">
        <f>""</f>
        <v/>
      </c>
      <c r="CP465" t="str">
        <f>""</f>
        <v/>
      </c>
      <c r="CQ465" t="str">
        <f>""</f>
        <v/>
      </c>
      <c r="CR465" t="str">
        <f>""</f>
        <v/>
      </c>
      <c r="CS465" t="str">
        <f>""</f>
        <v/>
      </c>
      <c r="CT465" t="str">
        <f>""</f>
        <v/>
      </c>
      <c r="CU465" t="str">
        <f>""</f>
        <v/>
      </c>
      <c r="CV465" t="str">
        <f>""</f>
        <v/>
      </c>
      <c r="CW465" t="str">
        <f>""</f>
        <v/>
      </c>
      <c r="CX465" t="str">
        <f>""</f>
        <v/>
      </c>
      <c r="CY465" t="str">
        <f>""</f>
        <v/>
      </c>
      <c r="CZ465" t="str">
        <f>""</f>
        <v/>
      </c>
      <c r="DA465" t="str">
        <f>""</f>
        <v/>
      </c>
      <c r="DB465" t="str">
        <f>""</f>
        <v/>
      </c>
      <c r="DC465" t="str">
        <f>""</f>
        <v/>
      </c>
      <c r="DD465" t="str">
        <f>""</f>
        <v/>
      </c>
      <c r="DE465" t="str">
        <f>""</f>
        <v/>
      </c>
      <c r="DF465" t="str">
        <f>""</f>
        <v/>
      </c>
      <c r="DG465" t="str">
        <f>""</f>
        <v/>
      </c>
      <c r="DH465" t="str">
        <f>""</f>
        <v/>
      </c>
      <c r="DI465" t="str">
        <f>""</f>
        <v/>
      </c>
      <c r="DJ465" t="str">
        <f>""</f>
        <v/>
      </c>
      <c r="DK465" t="str">
        <f>""</f>
        <v/>
      </c>
      <c r="DL465" t="str">
        <f>""</f>
        <v/>
      </c>
      <c r="DM465" t="str">
        <f>""</f>
        <v/>
      </c>
      <c r="DN465" t="str">
        <f>""</f>
        <v/>
      </c>
      <c r="DO465" t="str">
        <f>""</f>
        <v/>
      </c>
      <c r="DP465" t="str">
        <f>""</f>
        <v/>
      </c>
      <c r="DQ465" t="str">
        <f>""</f>
        <v/>
      </c>
      <c r="DR465" t="str">
        <f>""</f>
        <v/>
      </c>
      <c r="DS465" t="str">
        <f>""</f>
        <v/>
      </c>
      <c r="DT465" t="str">
        <f>""</f>
        <v/>
      </c>
      <c r="DU465" t="str">
        <f>""</f>
        <v/>
      </c>
    </row>
    <row r="466" spans="1:125">
      <c r="A466" t="str">
        <f>$A$159</f>
        <v xml:space="preserve">    Boston Properties Inc</v>
      </c>
      <c r="B466" t="str">
        <f>$B$159</f>
        <v>BXP US Equity</v>
      </c>
      <c r="C466" t="str">
        <f>$C$159</f>
        <v>RR553</v>
      </c>
      <c r="D466" t="str">
        <f>$D$159</f>
        <v>EBITDA_RE_ASSET</v>
      </c>
      <c r="E466" t="str">
        <f>$E$159</f>
        <v>动态</v>
      </c>
      <c r="F466" t="str">
        <f ca="1">BDH($B$159,$C$159,$B$292,$B$293,CONCATENATE("Per=",$B$290),"Dts=H","Dir=H",CONCATENATE("Points=",$B$291),"Sort=R","Days=A","Fill=B",CONCATENATE("FX=", $B$289) )</f>
        <v>#N/A Authorization</v>
      </c>
      <c r="BN466" t="str">
        <f>""</f>
        <v/>
      </c>
      <c r="BO466" t="str">
        <f>""</f>
        <v/>
      </c>
      <c r="BP466" t="str">
        <f>""</f>
        <v/>
      </c>
      <c r="BQ466" t="str">
        <f>""</f>
        <v/>
      </c>
      <c r="BR466" t="str">
        <f>""</f>
        <v/>
      </c>
      <c r="BS466" t="str">
        <f>""</f>
        <v/>
      </c>
      <c r="BT466" t="str">
        <f>""</f>
        <v/>
      </c>
      <c r="BU466" t="str">
        <f>""</f>
        <v/>
      </c>
      <c r="BV466" t="str">
        <f>""</f>
        <v/>
      </c>
      <c r="BW466" t="str">
        <f>""</f>
        <v/>
      </c>
      <c r="BX466" t="str">
        <f>""</f>
        <v/>
      </c>
      <c r="BY466" t="str">
        <f>""</f>
        <v/>
      </c>
      <c r="BZ466" t="str">
        <f>""</f>
        <v/>
      </c>
      <c r="CA466" t="str">
        <f>""</f>
        <v/>
      </c>
      <c r="CB466" t="str">
        <f>""</f>
        <v/>
      </c>
      <c r="CC466" t="str">
        <f>""</f>
        <v/>
      </c>
      <c r="CD466" t="str">
        <f>""</f>
        <v/>
      </c>
      <c r="CE466" t="str">
        <f>""</f>
        <v/>
      </c>
      <c r="CF466" t="str">
        <f>""</f>
        <v/>
      </c>
      <c r="CG466" t="str">
        <f>""</f>
        <v/>
      </c>
      <c r="CH466" t="str">
        <f>""</f>
        <v/>
      </c>
      <c r="CI466" t="str">
        <f>""</f>
        <v/>
      </c>
      <c r="CJ466" t="str">
        <f>""</f>
        <v/>
      </c>
      <c r="CK466" t="str">
        <f>""</f>
        <v/>
      </c>
      <c r="CL466" t="str">
        <f>""</f>
        <v/>
      </c>
      <c r="CM466" t="str">
        <f>""</f>
        <v/>
      </c>
      <c r="CN466" t="str">
        <f>""</f>
        <v/>
      </c>
      <c r="CO466" t="str">
        <f>""</f>
        <v/>
      </c>
      <c r="CP466" t="str">
        <f>""</f>
        <v/>
      </c>
      <c r="CQ466" t="str">
        <f>""</f>
        <v/>
      </c>
      <c r="CR466" t="str">
        <f>""</f>
        <v/>
      </c>
      <c r="CS466" t="str">
        <f>""</f>
        <v/>
      </c>
      <c r="CT466" t="str">
        <f>""</f>
        <v/>
      </c>
      <c r="CU466" t="str">
        <f>""</f>
        <v/>
      </c>
      <c r="CV466" t="str">
        <f>""</f>
        <v/>
      </c>
      <c r="CW466" t="str">
        <f>""</f>
        <v/>
      </c>
      <c r="CX466" t="str">
        <f>""</f>
        <v/>
      </c>
      <c r="CY466" t="str">
        <f>""</f>
        <v/>
      </c>
      <c r="CZ466" t="str">
        <f>""</f>
        <v/>
      </c>
      <c r="DA466" t="str">
        <f>""</f>
        <v/>
      </c>
      <c r="DB466" t="str">
        <f>""</f>
        <v/>
      </c>
      <c r="DC466" t="str">
        <f>""</f>
        <v/>
      </c>
      <c r="DD466" t="str">
        <f>""</f>
        <v/>
      </c>
      <c r="DE466" t="str">
        <f>""</f>
        <v/>
      </c>
      <c r="DF466" t="str">
        <f>""</f>
        <v/>
      </c>
      <c r="DG466" t="str">
        <f>""</f>
        <v/>
      </c>
      <c r="DH466" t="str">
        <f>""</f>
        <v/>
      </c>
      <c r="DI466" t="str">
        <f>""</f>
        <v/>
      </c>
      <c r="DJ466" t="str">
        <f>""</f>
        <v/>
      </c>
      <c r="DK466" t="str">
        <f>""</f>
        <v/>
      </c>
      <c r="DL466" t="str">
        <f>""</f>
        <v/>
      </c>
      <c r="DM466" t="str">
        <f>""</f>
        <v/>
      </c>
      <c r="DN466" t="str">
        <f>""</f>
        <v/>
      </c>
      <c r="DO466" t="str">
        <f>""</f>
        <v/>
      </c>
      <c r="DP466" t="str">
        <f>""</f>
        <v/>
      </c>
      <c r="DQ466" t="str">
        <f>""</f>
        <v/>
      </c>
      <c r="DR466" t="str">
        <f>""</f>
        <v/>
      </c>
      <c r="DS466" t="str">
        <f>""</f>
        <v/>
      </c>
      <c r="DT466" t="str">
        <f>""</f>
        <v/>
      </c>
      <c r="DU466" t="str">
        <f>""</f>
        <v/>
      </c>
    </row>
    <row r="467" spans="1:125">
      <c r="A467" t="str">
        <f>$A$160</f>
        <v xml:space="preserve">    Brandywine Realty Trust</v>
      </c>
      <c r="B467" t="str">
        <f>$B$160</f>
        <v>BDN US Equity</v>
      </c>
      <c r="C467" t="str">
        <f>$C$160</f>
        <v>RR553</v>
      </c>
      <c r="D467" t="str">
        <f>$D$160</f>
        <v>EBITDA_RE_ASSET</v>
      </c>
      <c r="E467" t="str">
        <f>$E$160</f>
        <v>动态</v>
      </c>
      <c r="F467" t="str">
        <f ca="1">BDH($B$160,$C$160,$B$292,$B$293,CONCATENATE("Per=",$B$290),"Dts=H","Dir=H",CONCATENATE("Points=",$B$291),"Sort=R","Days=A","Fill=B",CONCATENATE("FX=", $B$289) )</f>
        <v>#N/A Authorization</v>
      </c>
      <c r="BN467" t="str">
        <f>""</f>
        <v/>
      </c>
      <c r="BO467" t="str">
        <f>""</f>
        <v/>
      </c>
      <c r="BP467" t="str">
        <f>""</f>
        <v/>
      </c>
      <c r="BQ467" t="str">
        <f>""</f>
        <v/>
      </c>
      <c r="BR467" t="str">
        <f>""</f>
        <v/>
      </c>
      <c r="BS467" t="str">
        <f>""</f>
        <v/>
      </c>
      <c r="BT467" t="str">
        <f>""</f>
        <v/>
      </c>
      <c r="BU467" t="str">
        <f>""</f>
        <v/>
      </c>
      <c r="BV467" t="str">
        <f>""</f>
        <v/>
      </c>
      <c r="BW467" t="str">
        <f>""</f>
        <v/>
      </c>
      <c r="BX467" t="str">
        <f>""</f>
        <v/>
      </c>
      <c r="BY467" t="str">
        <f>""</f>
        <v/>
      </c>
      <c r="BZ467" t="str">
        <f>""</f>
        <v/>
      </c>
      <c r="CA467" t="str">
        <f>""</f>
        <v/>
      </c>
      <c r="CB467" t="str">
        <f>""</f>
        <v/>
      </c>
      <c r="CC467" t="str">
        <f>""</f>
        <v/>
      </c>
      <c r="CD467" t="str">
        <f>""</f>
        <v/>
      </c>
      <c r="CE467" t="str">
        <f>""</f>
        <v/>
      </c>
      <c r="CF467" t="str">
        <f>""</f>
        <v/>
      </c>
      <c r="CG467" t="str">
        <f>""</f>
        <v/>
      </c>
      <c r="CH467" t="str">
        <f>""</f>
        <v/>
      </c>
      <c r="CI467" t="str">
        <f>""</f>
        <v/>
      </c>
      <c r="CJ467" t="str">
        <f>""</f>
        <v/>
      </c>
      <c r="CK467" t="str">
        <f>""</f>
        <v/>
      </c>
      <c r="CL467" t="str">
        <f>""</f>
        <v/>
      </c>
      <c r="CM467" t="str">
        <f>""</f>
        <v/>
      </c>
      <c r="CN467" t="str">
        <f>""</f>
        <v/>
      </c>
      <c r="CO467" t="str">
        <f>""</f>
        <v/>
      </c>
      <c r="CP467" t="str">
        <f>""</f>
        <v/>
      </c>
      <c r="CQ467" t="str">
        <f>""</f>
        <v/>
      </c>
      <c r="CR467" t="str">
        <f>""</f>
        <v/>
      </c>
      <c r="CS467" t="str">
        <f>""</f>
        <v/>
      </c>
      <c r="CT467" t="str">
        <f>""</f>
        <v/>
      </c>
      <c r="CU467" t="str">
        <f>""</f>
        <v/>
      </c>
      <c r="CV467" t="str">
        <f>""</f>
        <v/>
      </c>
      <c r="CW467" t="str">
        <f>""</f>
        <v/>
      </c>
      <c r="CX467" t="str">
        <f>""</f>
        <v/>
      </c>
      <c r="CY467" t="str">
        <f>""</f>
        <v/>
      </c>
      <c r="CZ467" t="str">
        <f>""</f>
        <v/>
      </c>
      <c r="DA467" t="str">
        <f>""</f>
        <v/>
      </c>
      <c r="DB467" t="str">
        <f>""</f>
        <v/>
      </c>
      <c r="DC467" t="str">
        <f>""</f>
        <v/>
      </c>
      <c r="DD467" t="str">
        <f>""</f>
        <v/>
      </c>
      <c r="DE467" t="str">
        <f>""</f>
        <v/>
      </c>
      <c r="DF467" t="str">
        <f>""</f>
        <v/>
      </c>
      <c r="DG467" t="str">
        <f>""</f>
        <v/>
      </c>
      <c r="DH467" t="str">
        <f>""</f>
        <v/>
      </c>
      <c r="DI467" t="str">
        <f>""</f>
        <v/>
      </c>
      <c r="DJ467" t="str">
        <f>""</f>
        <v/>
      </c>
      <c r="DK467" t="str">
        <f>""</f>
        <v/>
      </c>
      <c r="DL467" t="str">
        <f>""</f>
        <v/>
      </c>
      <c r="DM467" t="str">
        <f>""</f>
        <v/>
      </c>
      <c r="DN467" t="str">
        <f>""</f>
        <v/>
      </c>
      <c r="DO467" t="str">
        <f>""</f>
        <v/>
      </c>
      <c r="DP467" t="str">
        <f>""</f>
        <v/>
      </c>
      <c r="DQ467" t="str">
        <f>""</f>
        <v/>
      </c>
      <c r="DR467" t="str">
        <f>""</f>
        <v/>
      </c>
      <c r="DS467" t="str">
        <f>""</f>
        <v/>
      </c>
      <c r="DT467" t="str">
        <f>""</f>
        <v/>
      </c>
      <c r="DU467" t="str">
        <f>""</f>
        <v/>
      </c>
    </row>
    <row r="468" spans="1:125">
      <c r="A468" t="str">
        <f>$A$161</f>
        <v xml:space="preserve">    Columbia Property Trust Inc</v>
      </c>
      <c r="B468" t="str">
        <f>$B$161</f>
        <v>CXP US Equity</v>
      </c>
      <c r="C468" t="str">
        <f>$C$161</f>
        <v>RR553</v>
      </c>
      <c r="D468" t="str">
        <f>$D$161</f>
        <v>EBITDA_RE_ASSET</v>
      </c>
      <c r="E468" t="str">
        <f>$E$161</f>
        <v>动态</v>
      </c>
      <c r="F468" t="str">
        <f ca="1">BDH($B$161,$C$161,$B$292,$B$293,CONCATENATE("Per=",$B$290),"Dts=H","Dir=H",CONCATENATE("Points=",$B$291),"Sort=R","Days=A","Fill=B",CONCATENATE("FX=", $B$289) )</f>
        <v>#N/A Authorization</v>
      </c>
      <c r="BN468" t="str">
        <f>""</f>
        <v/>
      </c>
      <c r="BO468" t="str">
        <f>""</f>
        <v/>
      </c>
      <c r="BP468" t="str">
        <f>""</f>
        <v/>
      </c>
      <c r="BQ468" t="str">
        <f>""</f>
        <v/>
      </c>
      <c r="BR468" t="str">
        <f>""</f>
        <v/>
      </c>
      <c r="BS468" t="str">
        <f>""</f>
        <v/>
      </c>
      <c r="BT468" t="str">
        <f>""</f>
        <v/>
      </c>
      <c r="BU468" t="str">
        <f>""</f>
        <v/>
      </c>
      <c r="BV468" t="str">
        <f>""</f>
        <v/>
      </c>
      <c r="BW468" t="str">
        <f>""</f>
        <v/>
      </c>
      <c r="BX468" t="str">
        <f>""</f>
        <v/>
      </c>
      <c r="BY468" t="str">
        <f>""</f>
        <v/>
      </c>
      <c r="BZ468" t="str">
        <f>""</f>
        <v/>
      </c>
      <c r="CA468" t="str">
        <f>""</f>
        <v/>
      </c>
      <c r="CB468" t="str">
        <f>""</f>
        <v/>
      </c>
      <c r="CC468" t="str">
        <f>""</f>
        <v/>
      </c>
      <c r="CD468" t="str">
        <f>""</f>
        <v/>
      </c>
      <c r="CE468" t="str">
        <f>""</f>
        <v/>
      </c>
      <c r="CF468" t="str">
        <f>""</f>
        <v/>
      </c>
      <c r="CG468" t="str">
        <f>""</f>
        <v/>
      </c>
      <c r="CH468" t="str">
        <f>""</f>
        <v/>
      </c>
      <c r="CI468" t="str">
        <f>""</f>
        <v/>
      </c>
      <c r="CJ468" t="str">
        <f>""</f>
        <v/>
      </c>
      <c r="CK468" t="str">
        <f>""</f>
        <v/>
      </c>
      <c r="CL468" t="str">
        <f>""</f>
        <v/>
      </c>
      <c r="CM468" t="str">
        <f>""</f>
        <v/>
      </c>
      <c r="CN468" t="str">
        <f>""</f>
        <v/>
      </c>
      <c r="CO468" t="str">
        <f>""</f>
        <v/>
      </c>
      <c r="CP468" t="str">
        <f>""</f>
        <v/>
      </c>
      <c r="CQ468" t="str">
        <f>""</f>
        <v/>
      </c>
      <c r="CR468" t="str">
        <f>""</f>
        <v/>
      </c>
      <c r="CS468" t="str">
        <f>""</f>
        <v/>
      </c>
      <c r="CT468" t="str">
        <f>""</f>
        <v/>
      </c>
      <c r="CU468" t="str">
        <f>""</f>
        <v/>
      </c>
      <c r="CV468" t="str">
        <f>""</f>
        <v/>
      </c>
      <c r="CW468" t="str">
        <f>""</f>
        <v/>
      </c>
      <c r="CX468" t="str">
        <f>""</f>
        <v/>
      </c>
      <c r="CY468" t="str">
        <f>""</f>
        <v/>
      </c>
      <c r="CZ468" t="str">
        <f>""</f>
        <v/>
      </c>
      <c r="DA468" t="str">
        <f>""</f>
        <v/>
      </c>
      <c r="DB468" t="str">
        <f>""</f>
        <v/>
      </c>
      <c r="DC468" t="str">
        <f>""</f>
        <v/>
      </c>
      <c r="DD468" t="str">
        <f>""</f>
        <v/>
      </c>
      <c r="DE468" t="str">
        <f>""</f>
        <v/>
      </c>
      <c r="DF468" t="str">
        <f>""</f>
        <v/>
      </c>
      <c r="DG468" t="str">
        <f>""</f>
        <v/>
      </c>
      <c r="DH468" t="str">
        <f>""</f>
        <v/>
      </c>
      <c r="DI468" t="str">
        <f>""</f>
        <v/>
      </c>
      <c r="DJ468" t="str">
        <f>""</f>
        <v/>
      </c>
      <c r="DK468" t="str">
        <f>""</f>
        <v/>
      </c>
      <c r="DL468" t="str">
        <f>""</f>
        <v/>
      </c>
      <c r="DM468" t="str">
        <f>""</f>
        <v/>
      </c>
      <c r="DN468" t="str">
        <f>""</f>
        <v/>
      </c>
      <c r="DO468" t="str">
        <f>""</f>
        <v/>
      </c>
      <c r="DP468" t="str">
        <f>""</f>
        <v/>
      </c>
      <c r="DQ468" t="str">
        <f>""</f>
        <v/>
      </c>
      <c r="DR468" t="str">
        <f>""</f>
        <v/>
      </c>
      <c r="DS468" t="str">
        <f>""</f>
        <v/>
      </c>
      <c r="DT468" t="str">
        <f>""</f>
        <v/>
      </c>
      <c r="DU468" t="str">
        <f>""</f>
        <v/>
      </c>
    </row>
    <row r="469" spans="1:125">
      <c r="A469" t="str">
        <f>$A$162</f>
        <v xml:space="preserve">    Corporate Office Properties Tr</v>
      </c>
      <c r="B469" t="str">
        <f>$B$162</f>
        <v>OFC US Equity</v>
      </c>
      <c r="C469" t="str">
        <f>$C$162</f>
        <v>RR553</v>
      </c>
      <c r="D469" t="str">
        <f>$D$162</f>
        <v>EBITDA_RE_ASSET</v>
      </c>
      <c r="E469" t="str">
        <f>$E$162</f>
        <v>动态</v>
      </c>
      <c r="F469" t="str">
        <f ca="1">BDH($B$162,$C$162,$B$292,$B$293,CONCATENATE("Per=",$B$290),"Dts=H","Dir=H",CONCATENATE("Points=",$B$291),"Sort=R","Days=A","Fill=B",CONCATENATE("FX=", $B$289) )</f>
        <v>#N/A Authorization</v>
      </c>
      <c r="BN469" t="str">
        <f>""</f>
        <v/>
      </c>
      <c r="BO469" t="str">
        <f>""</f>
        <v/>
      </c>
      <c r="BP469" t="str">
        <f>""</f>
        <v/>
      </c>
      <c r="BQ469" t="str">
        <f>""</f>
        <v/>
      </c>
      <c r="BR469" t="str">
        <f>""</f>
        <v/>
      </c>
      <c r="BS469" t="str">
        <f>""</f>
        <v/>
      </c>
      <c r="BT469" t="str">
        <f>""</f>
        <v/>
      </c>
      <c r="BU469" t="str">
        <f>""</f>
        <v/>
      </c>
      <c r="BV469" t="str">
        <f>""</f>
        <v/>
      </c>
      <c r="BW469" t="str">
        <f>""</f>
        <v/>
      </c>
      <c r="BX469" t="str">
        <f>""</f>
        <v/>
      </c>
      <c r="BY469" t="str">
        <f>""</f>
        <v/>
      </c>
      <c r="BZ469" t="str">
        <f>""</f>
        <v/>
      </c>
      <c r="CA469" t="str">
        <f>""</f>
        <v/>
      </c>
      <c r="CB469" t="str">
        <f>""</f>
        <v/>
      </c>
      <c r="CC469" t="str">
        <f>""</f>
        <v/>
      </c>
      <c r="CD469" t="str">
        <f>""</f>
        <v/>
      </c>
      <c r="CE469" t="str">
        <f>""</f>
        <v/>
      </c>
      <c r="CF469" t="str">
        <f>""</f>
        <v/>
      </c>
      <c r="CG469" t="str">
        <f>""</f>
        <v/>
      </c>
      <c r="CH469" t="str">
        <f>""</f>
        <v/>
      </c>
      <c r="CI469" t="str">
        <f>""</f>
        <v/>
      </c>
      <c r="CJ469" t="str">
        <f>""</f>
        <v/>
      </c>
      <c r="CK469" t="str">
        <f>""</f>
        <v/>
      </c>
      <c r="CL469" t="str">
        <f>""</f>
        <v/>
      </c>
      <c r="CM469" t="str">
        <f>""</f>
        <v/>
      </c>
      <c r="CN469" t="str">
        <f>""</f>
        <v/>
      </c>
      <c r="CO469" t="str">
        <f>""</f>
        <v/>
      </c>
      <c r="CP469" t="str">
        <f>""</f>
        <v/>
      </c>
      <c r="CQ469" t="str">
        <f>""</f>
        <v/>
      </c>
      <c r="CR469" t="str">
        <f>""</f>
        <v/>
      </c>
      <c r="CS469" t="str">
        <f>""</f>
        <v/>
      </c>
      <c r="CT469" t="str">
        <f>""</f>
        <v/>
      </c>
      <c r="CU469" t="str">
        <f>""</f>
        <v/>
      </c>
      <c r="CV469" t="str">
        <f>""</f>
        <v/>
      </c>
      <c r="CW469" t="str">
        <f>""</f>
        <v/>
      </c>
      <c r="CX469" t="str">
        <f>""</f>
        <v/>
      </c>
      <c r="CY469" t="str">
        <f>""</f>
        <v/>
      </c>
      <c r="CZ469" t="str">
        <f>""</f>
        <v/>
      </c>
      <c r="DA469" t="str">
        <f>""</f>
        <v/>
      </c>
      <c r="DB469" t="str">
        <f>""</f>
        <v/>
      </c>
      <c r="DC469" t="str">
        <f>""</f>
        <v/>
      </c>
      <c r="DD469" t="str">
        <f>""</f>
        <v/>
      </c>
      <c r="DE469" t="str">
        <f>""</f>
        <v/>
      </c>
      <c r="DF469" t="str">
        <f>""</f>
        <v/>
      </c>
      <c r="DG469" t="str">
        <f>""</f>
        <v/>
      </c>
      <c r="DH469" t="str">
        <f>""</f>
        <v/>
      </c>
      <c r="DI469" t="str">
        <f>""</f>
        <v/>
      </c>
      <c r="DJ469" t="str">
        <f>""</f>
        <v/>
      </c>
      <c r="DK469" t="str">
        <f>""</f>
        <v/>
      </c>
      <c r="DL469" t="str">
        <f>""</f>
        <v/>
      </c>
      <c r="DM469" t="str">
        <f>""</f>
        <v/>
      </c>
      <c r="DN469" t="str">
        <f>""</f>
        <v/>
      </c>
      <c r="DO469" t="str">
        <f>""</f>
        <v/>
      </c>
      <c r="DP469" t="str">
        <f>""</f>
        <v/>
      </c>
      <c r="DQ469" t="str">
        <f>""</f>
        <v/>
      </c>
      <c r="DR469" t="str">
        <f>""</f>
        <v/>
      </c>
      <c r="DS469" t="str">
        <f>""</f>
        <v/>
      </c>
      <c r="DT469" t="str">
        <f>""</f>
        <v/>
      </c>
      <c r="DU469" t="str">
        <f>""</f>
        <v/>
      </c>
    </row>
    <row r="470" spans="1:125">
      <c r="A470" t="str">
        <f>$A$163</f>
        <v xml:space="preserve">    Highwoods Properties Inc</v>
      </c>
      <c r="B470" t="str">
        <f>$B$163</f>
        <v>HIW US Equity</v>
      </c>
      <c r="C470" t="str">
        <f>$C$163</f>
        <v>RR553</v>
      </c>
      <c r="D470" t="str">
        <f>$D$163</f>
        <v>EBITDA_RE_ASSET</v>
      </c>
      <c r="E470" t="str">
        <f>$E$163</f>
        <v>动态</v>
      </c>
      <c r="F470" t="str">
        <f ca="1">BDH($B$163,$C$163,$B$292,$B$293,CONCATENATE("Per=",$B$290),"Dts=H","Dir=H",CONCATENATE("Points=",$B$291),"Sort=R","Days=A","Fill=B",CONCATENATE("FX=", $B$289) )</f>
        <v>#N/A Authorization</v>
      </c>
      <c r="BN470" t="str">
        <f>""</f>
        <v/>
      </c>
      <c r="BO470" t="str">
        <f>""</f>
        <v/>
      </c>
      <c r="BP470" t="str">
        <f>""</f>
        <v/>
      </c>
      <c r="BQ470" t="str">
        <f>""</f>
        <v/>
      </c>
      <c r="BR470" t="str">
        <f>""</f>
        <v/>
      </c>
      <c r="BS470" t="str">
        <f>""</f>
        <v/>
      </c>
      <c r="BT470" t="str">
        <f>""</f>
        <v/>
      </c>
      <c r="BU470" t="str">
        <f>""</f>
        <v/>
      </c>
      <c r="BV470" t="str">
        <f>""</f>
        <v/>
      </c>
      <c r="BW470" t="str">
        <f>""</f>
        <v/>
      </c>
      <c r="BX470" t="str">
        <f>""</f>
        <v/>
      </c>
      <c r="BY470" t="str">
        <f>""</f>
        <v/>
      </c>
      <c r="BZ470" t="str">
        <f>""</f>
        <v/>
      </c>
      <c r="CA470" t="str">
        <f>""</f>
        <v/>
      </c>
      <c r="CB470" t="str">
        <f>""</f>
        <v/>
      </c>
      <c r="CC470" t="str">
        <f>""</f>
        <v/>
      </c>
      <c r="CD470" t="str">
        <f>""</f>
        <v/>
      </c>
      <c r="CE470" t="str">
        <f>""</f>
        <v/>
      </c>
      <c r="CF470" t="str">
        <f>""</f>
        <v/>
      </c>
      <c r="CG470" t="str">
        <f>""</f>
        <v/>
      </c>
      <c r="CH470" t="str">
        <f>""</f>
        <v/>
      </c>
      <c r="CI470" t="str">
        <f>""</f>
        <v/>
      </c>
      <c r="CJ470" t="str">
        <f>""</f>
        <v/>
      </c>
      <c r="CK470" t="str">
        <f>""</f>
        <v/>
      </c>
      <c r="CL470" t="str">
        <f>""</f>
        <v/>
      </c>
      <c r="CM470" t="str">
        <f>""</f>
        <v/>
      </c>
      <c r="CN470" t="str">
        <f>""</f>
        <v/>
      </c>
      <c r="CO470" t="str">
        <f>""</f>
        <v/>
      </c>
      <c r="CP470" t="str">
        <f>""</f>
        <v/>
      </c>
      <c r="CQ470" t="str">
        <f>""</f>
        <v/>
      </c>
      <c r="CR470" t="str">
        <f>""</f>
        <v/>
      </c>
      <c r="CS470" t="str">
        <f>""</f>
        <v/>
      </c>
      <c r="CT470" t="str">
        <f>""</f>
        <v/>
      </c>
      <c r="CU470" t="str">
        <f>""</f>
        <v/>
      </c>
      <c r="CV470" t="str">
        <f>""</f>
        <v/>
      </c>
      <c r="CW470" t="str">
        <f>""</f>
        <v/>
      </c>
      <c r="CX470" t="str">
        <f>""</f>
        <v/>
      </c>
      <c r="CY470" t="str">
        <f>""</f>
        <v/>
      </c>
      <c r="CZ470" t="str">
        <f>""</f>
        <v/>
      </c>
      <c r="DA470" t="str">
        <f>""</f>
        <v/>
      </c>
      <c r="DB470" t="str">
        <f>""</f>
        <v/>
      </c>
      <c r="DC470" t="str">
        <f>""</f>
        <v/>
      </c>
      <c r="DD470" t="str">
        <f>""</f>
        <v/>
      </c>
      <c r="DE470" t="str">
        <f>""</f>
        <v/>
      </c>
      <c r="DF470" t="str">
        <f>""</f>
        <v/>
      </c>
      <c r="DG470" t="str">
        <f>""</f>
        <v/>
      </c>
      <c r="DH470" t="str">
        <f>""</f>
        <v/>
      </c>
      <c r="DI470" t="str">
        <f>""</f>
        <v/>
      </c>
      <c r="DJ470" t="str">
        <f>""</f>
        <v/>
      </c>
      <c r="DK470" t="str">
        <f>""</f>
        <v/>
      </c>
      <c r="DL470" t="str">
        <f>""</f>
        <v/>
      </c>
      <c r="DM470" t="str">
        <f>""</f>
        <v/>
      </c>
      <c r="DN470" t="str">
        <f>""</f>
        <v/>
      </c>
      <c r="DO470" t="str">
        <f>""</f>
        <v/>
      </c>
      <c r="DP470" t="str">
        <f>""</f>
        <v/>
      </c>
      <c r="DQ470" t="str">
        <f>""</f>
        <v/>
      </c>
      <c r="DR470" t="str">
        <f>""</f>
        <v/>
      </c>
      <c r="DS470" t="str">
        <f>""</f>
        <v/>
      </c>
      <c r="DT470" t="str">
        <f>""</f>
        <v/>
      </c>
      <c r="DU470" t="str">
        <f>""</f>
        <v/>
      </c>
    </row>
    <row r="471" spans="1:125">
      <c r="A471" t="str">
        <f>$A$164</f>
        <v xml:space="preserve">    Kilroy Realty Corp</v>
      </c>
      <c r="B471" t="str">
        <f>$B$164</f>
        <v>KRC US Equity</v>
      </c>
      <c r="C471" t="str">
        <f>$C$164</f>
        <v>RR553</v>
      </c>
      <c r="D471" t="str">
        <f>$D$164</f>
        <v>EBITDA_RE_ASSET</v>
      </c>
      <c r="E471" t="str">
        <f>$E$164</f>
        <v>动态</v>
      </c>
      <c r="F471" t="str">
        <f ca="1">BDH($B$164,$C$164,$B$292,$B$293,CONCATENATE("Per=",$B$290),"Dts=H","Dir=H",CONCATENATE("Points=",$B$291),"Sort=R","Days=A","Fill=B",CONCATENATE("FX=", $B$289) )</f>
        <v>#N/A Authorization</v>
      </c>
      <c r="BN471" t="str">
        <f>""</f>
        <v/>
      </c>
      <c r="BO471" t="str">
        <f>""</f>
        <v/>
      </c>
      <c r="BP471" t="str">
        <f>""</f>
        <v/>
      </c>
      <c r="BQ471" t="str">
        <f>""</f>
        <v/>
      </c>
      <c r="BR471" t="str">
        <f>""</f>
        <v/>
      </c>
      <c r="BS471" t="str">
        <f>""</f>
        <v/>
      </c>
      <c r="BT471" t="str">
        <f>""</f>
        <v/>
      </c>
      <c r="BU471" t="str">
        <f>""</f>
        <v/>
      </c>
      <c r="BV471" t="str">
        <f>""</f>
        <v/>
      </c>
      <c r="BW471" t="str">
        <f>""</f>
        <v/>
      </c>
      <c r="BX471" t="str">
        <f>""</f>
        <v/>
      </c>
      <c r="BY471" t="str">
        <f>""</f>
        <v/>
      </c>
      <c r="BZ471" t="str">
        <f>""</f>
        <v/>
      </c>
      <c r="CA471" t="str">
        <f>""</f>
        <v/>
      </c>
      <c r="CB471" t="str">
        <f>""</f>
        <v/>
      </c>
      <c r="CC471" t="str">
        <f>""</f>
        <v/>
      </c>
      <c r="CD471" t="str">
        <f>""</f>
        <v/>
      </c>
      <c r="CE471" t="str">
        <f>""</f>
        <v/>
      </c>
      <c r="CF471" t="str">
        <f>""</f>
        <v/>
      </c>
      <c r="CG471" t="str">
        <f>""</f>
        <v/>
      </c>
      <c r="CH471" t="str">
        <f>""</f>
        <v/>
      </c>
      <c r="CI471" t="str">
        <f>""</f>
        <v/>
      </c>
      <c r="CJ471" t="str">
        <f>""</f>
        <v/>
      </c>
      <c r="CK471" t="str">
        <f>""</f>
        <v/>
      </c>
      <c r="CL471" t="str">
        <f>""</f>
        <v/>
      </c>
      <c r="CM471" t="str">
        <f>""</f>
        <v/>
      </c>
      <c r="CN471" t="str">
        <f>""</f>
        <v/>
      </c>
      <c r="CO471" t="str">
        <f>""</f>
        <v/>
      </c>
      <c r="CP471" t="str">
        <f>""</f>
        <v/>
      </c>
      <c r="CQ471" t="str">
        <f>""</f>
        <v/>
      </c>
      <c r="CR471" t="str">
        <f>""</f>
        <v/>
      </c>
      <c r="CS471" t="str">
        <f>""</f>
        <v/>
      </c>
      <c r="CT471" t="str">
        <f>""</f>
        <v/>
      </c>
      <c r="CU471" t="str">
        <f>""</f>
        <v/>
      </c>
      <c r="CV471" t="str">
        <f>""</f>
        <v/>
      </c>
      <c r="CW471" t="str">
        <f>""</f>
        <v/>
      </c>
      <c r="CX471" t="str">
        <f>""</f>
        <v/>
      </c>
      <c r="CY471" t="str">
        <f>""</f>
        <v/>
      </c>
      <c r="CZ471" t="str">
        <f>""</f>
        <v/>
      </c>
      <c r="DA471" t="str">
        <f>""</f>
        <v/>
      </c>
      <c r="DB471" t="str">
        <f>""</f>
        <v/>
      </c>
      <c r="DC471" t="str">
        <f>""</f>
        <v/>
      </c>
      <c r="DD471" t="str">
        <f>""</f>
        <v/>
      </c>
      <c r="DE471" t="str">
        <f>""</f>
        <v/>
      </c>
      <c r="DF471" t="str">
        <f>""</f>
        <v/>
      </c>
      <c r="DG471" t="str">
        <f>""</f>
        <v/>
      </c>
      <c r="DH471" t="str">
        <f>""</f>
        <v/>
      </c>
      <c r="DI471" t="str">
        <f>""</f>
        <v/>
      </c>
      <c r="DJ471" t="str">
        <f>""</f>
        <v/>
      </c>
      <c r="DK471" t="str">
        <f>""</f>
        <v/>
      </c>
      <c r="DL471" t="str">
        <f>""</f>
        <v/>
      </c>
      <c r="DM471" t="str">
        <f>""</f>
        <v/>
      </c>
      <c r="DN471" t="str">
        <f>""</f>
        <v/>
      </c>
      <c r="DO471" t="str">
        <f>""</f>
        <v/>
      </c>
      <c r="DP471" t="str">
        <f>""</f>
        <v/>
      </c>
      <c r="DQ471" t="str">
        <f>""</f>
        <v/>
      </c>
      <c r="DR471" t="str">
        <f>""</f>
        <v/>
      </c>
      <c r="DS471" t="str">
        <f>""</f>
        <v/>
      </c>
      <c r="DT471" t="str">
        <f>""</f>
        <v/>
      </c>
      <c r="DU471" t="str">
        <f>""</f>
        <v/>
      </c>
    </row>
    <row r="472" spans="1:125">
      <c r="A472" t="str">
        <f>$A$165</f>
        <v xml:space="preserve">    Mack-Cali Realty Corp</v>
      </c>
      <c r="B472" t="str">
        <f>$B$165</f>
        <v>CLI US Equity</v>
      </c>
      <c r="C472" t="str">
        <f>$C$165</f>
        <v>RR553</v>
      </c>
      <c r="D472" t="str">
        <f>$D$165</f>
        <v>EBITDA_RE_ASSET</v>
      </c>
      <c r="E472" t="str">
        <f>$E$165</f>
        <v>动态</v>
      </c>
      <c r="F472" t="str">
        <f ca="1">BDH($B$165,$C$165,$B$292,$B$293,CONCATENATE("Per=",$B$290),"Dts=H","Dir=H",CONCATENATE("Points=",$B$291),"Sort=R","Days=A","Fill=B",CONCATENATE("FX=", $B$289) )</f>
        <v>#N/A Authorization</v>
      </c>
      <c r="BN472" t="str">
        <f>""</f>
        <v/>
      </c>
      <c r="BO472" t="str">
        <f>""</f>
        <v/>
      </c>
      <c r="BP472" t="str">
        <f>""</f>
        <v/>
      </c>
      <c r="BQ472" t="str">
        <f>""</f>
        <v/>
      </c>
      <c r="BR472" t="str">
        <f>""</f>
        <v/>
      </c>
      <c r="BS472" t="str">
        <f>""</f>
        <v/>
      </c>
      <c r="BT472" t="str">
        <f>""</f>
        <v/>
      </c>
      <c r="BU472" t="str">
        <f>""</f>
        <v/>
      </c>
      <c r="BV472" t="str">
        <f>""</f>
        <v/>
      </c>
      <c r="BW472" t="str">
        <f>""</f>
        <v/>
      </c>
      <c r="BX472" t="str">
        <f>""</f>
        <v/>
      </c>
      <c r="BY472" t="str">
        <f>""</f>
        <v/>
      </c>
      <c r="BZ472" t="str">
        <f>""</f>
        <v/>
      </c>
      <c r="CA472" t="str">
        <f>""</f>
        <v/>
      </c>
      <c r="CB472" t="str">
        <f>""</f>
        <v/>
      </c>
      <c r="CC472" t="str">
        <f>""</f>
        <v/>
      </c>
      <c r="CD472" t="str">
        <f>""</f>
        <v/>
      </c>
      <c r="CE472" t="str">
        <f>""</f>
        <v/>
      </c>
      <c r="CF472" t="str">
        <f>""</f>
        <v/>
      </c>
      <c r="CG472" t="str">
        <f>""</f>
        <v/>
      </c>
      <c r="CH472" t="str">
        <f>""</f>
        <v/>
      </c>
      <c r="CI472" t="str">
        <f>""</f>
        <v/>
      </c>
      <c r="CJ472" t="str">
        <f>""</f>
        <v/>
      </c>
      <c r="CK472" t="str">
        <f>""</f>
        <v/>
      </c>
      <c r="CL472" t="str">
        <f>""</f>
        <v/>
      </c>
      <c r="CM472" t="str">
        <f>""</f>
        <v/>
      </c>
      <c r="CN472" t="str">
        <f>""</f>
        <v/>
      </c>
      <c r="CO472" t="str">
        <f>""</f>
        <v/>
      </c>
      <c r="CP472" t="str">
        <f>""</f>
        <v/>
      </c>
      <c r="CQ472" t="str">
        <f>""</f>
        <v/>
      </c>
      <c r="CR472" t="str">
        <f>""</f>
        <v/>
      </c>
      <c r="CS472" t="str">
        <f>""</f>
        <v/>
      </c>
      <c r="CT472" t="str">
        <f>""</f>
        <v/>
      </c>
      <c r="CU472" t="str">
        <f>""</f>
        <v/>
      </c>
      <c r="CV472" t="str">
        <f>""</f>
        <v/>
      </c>
      <c r="CW472" t="str">
        <f>""</f>
        <v/>
      </c>
      <c r="CX472" t="str">
        <f>""</f>
        <v/>
      </c>
      <c r="CY472" t="str">
        <f>""</f>
        <v/>
      </c>
      <c r="CZ472" t="str">
        <f>""</f>
        <v/>
      </c>
      <c r="DA472" t="str">
        <f>""</f>
        <v/>
      </c>
      <c r="DB472" t="str">
        <f>""</f>
        <v/>
      </c>
      <c r="DC472" t="str">
        <f>""</f>
        <v/>
      </c>
      <c r="DD472" t="str">
        <f>""</f>
        <v/>
      </c>
      <c r="DE472" t="str">
        <f>""</f>
        <v/>
      </c>
      <c r="DF472" t="str">
        <f>""</f>
        <v/>
      </c>
      <c r="DG472" t="str">
        <f>""</f>
        <v/>
      </c>
      <c r="DH472" t="str">
        <f>""</f>
        <v/>
      </c>
      <c r="DI472" t="str">
        <f>""</f>
        <v/>
      </c>
      <c r="DJ472" t="str">
        <f>""</f>
        <v/>
      </c>
      <c r="DK472" t="str">
        <f>""</f>
        <v/>
      </c>
      <c r="DL472" t="str">
        <f>""</f>
        <v/>
      </c>
      <c r="DM472" t="str">
        <f>""</f>
        <v/>
      </c>
      <c r="DN472" t="str">
        <f>""</f>
        <v/>
      </c>
      <c r="DO472" t="str">
        <f>""</f>
        <v/>
      </c>
      <c r="DP472" t="str">
        <f>""</f>
        <v/>
      </c>
      <c r="DQ472" t="str">
        <f>""</f>
        <v/>
      </c>
      <c r="DR472" t="str">
        <f>""</f>
        <v/>
      </c>
      <c r="DS472" t="str">
        <f>""</f>
        <v/>
      </c>
      <c r="DT472" t="str">
        <f>""</f>
        <v/>
      </c>
      <c r="DU472" t="str">
        <f>""</f>
        <v/>
      </c>
    </row>
    <row r="473" spans="1:125">
      <c r="A473" t="str">
        <f>$A$166</f>
        <v xml:space="preserve">    Piedmont Office Realty Trust I</v>
      </c>
      <c r="B473" t="str">
        <f>$B$166</f>
        <v>PDM US Equity</v>
      </c>
      <c r="C473" t="str">
        <f>$C$166</f>
        <v>RR553</v>
      </c>
      <c r="D473" t="str">
        <f>$D$166</f>
        <v>EBITDA_RE_ASSET</v>
      </c>
      <c r="E473" t="str">
        <f>$E$166</f>
        <v>动态</v>
      </c>
      <c r="F473" t="str">
        <f ca="1">BDH($B$166,$C$166,$B$292,$B$293,CONCATENATE("Per=",$B$290),"Dts=H","Dir=H",CONCATENATE("Points=",$B$291),"Sort=R","Days=A","Fill=B",CONCATENATE("FX=", $B$289) )</f>
        <v>#N/A Authorization</v>
      </c>
      <c r="BN473" t="str">
        <f>""</f>
        <v/>
      </c>
      <c r="BO473" t="str">
        <f>""</f>
        <v/>
      </c>
      <c r="BP473" t="str">
        <f>""</f>
        <v/>
      </c>
      <c r="BQ473" t="str">
        <f>""</f>
        <v/>
      </c>
      <c r="BR473" t="str">
        <f>""</f>
        <v/>
      </c>
      <c r="BS473" t="str">
        <f>""</f>
        <v/>
      </c>
      <c r="BT473" t="str">
        <f>""</f>
        <v/>
      </c>
      <c r="BU473" t="str">
        <f>""</f>
        <v/>
      </c>
      <c r="BV473" t="str">
        <f>""</f>
        <v/>
      </c>
      <c r="BW473" t="str">
        <f>""</f>
        <v/>
      </c>
      <c r="BX473" t="str">
        <f>""</f>
        <v/>
      </c>
      <c r="BY473" t="str">
        <f>""</f>
        <v/>
      </c>
      <c r="BZ473" t="str">
        <f>""</f>
        <v/>
      </c>
      <c r="CA473" t="str">
        <f>""</f>
        <v/>
      </c>
      <c r="CB473" t="str">
        <f>""</f>
        <v/>
      </c>
      <c r="CC473" t="str">
        <f>""</f>
        <v/>
      </c>
      <c r="CD473" t="str">
        <f>""</f>
        <v/>
      </c>
      <c r="CE473" t="str">
        <f>""</f>
        <v/>
      </c>
      <c r="CF473" t="str">
        <f>""</f>
        <v/>
      </c>
      <c r="CG473" t="str">
        <f>""</f>
        <v/>
      </c>
      <c r="CH473" t="str">
        <f>""</f>
        <v/>
      </c>
      <c r="CI473" t="str">
        <f>""</f>
        <v/>
      </c>
      <c r="CJ473" t="str">
        <f>""</f>
        <v/>
      </c>
      <c r="CK473" t="str">
        <f>""</f>
        <v/>
      </c>
      <c r="CL473" t="str">
        <f>""</f>
        <v/>
      </c>
      <c r="CM473" t="str">
        <f>""</f>
        <v/>
      </c>
      <c r="CN473" t="str">
        <f>""</f>
        <v/>
      </c>
      <c r="CO473" t="str">
        <f>""</f>
        <v/>
      </c>
      <c r="CP473" t="str">
        <f>""</f>
        <v/>
      </c>
      <c r="CQ473" t="str">
        <f>""</f>
        <v/>
      </c>
      <c r="CR473" t="str">
        <f>""</f>
        <v/>
      </c>
      <c r="CS473" t="str">
        <f>""</f>
        <v/>
      </c>
      <c r="CT473" t="str">
        <f>""</f>
        <v/>
      </c>
      <c r="CU473" t="str">
        <f>""</f>
        <v/>
      </c>
      <c r="CV473" t="str">
        <f>""</f>
        <v/>
      </c>
      <c r="CW473" t="str">
        <f>""</f>
        <v/>
      </c>
      <c r="CX473" t="str">
        <f>""</f>
        <v/>
      </c>
      <c r="CY473" t="str">
        <f>""</f>
        <v/>
      </c>
      <c r="CZ473" t="str">
        <f>""</f>
        <v/>
      </c>
      <c r="DA473" t="str">
        <f>""</f>
        <v/>
      </c>
      <c r="DB473" t="str">
        <f>""</f>
        <v/>
      </c>
      <c r="DC473" t="str">
        <f>""</f>
        <v/>
      </c>
      <c r="DD473" t="str">
        <f>""</f>
        <v/>
      </c>
      <c r="DE473" t="str">
        <f>""</f>
        <v/>
      </c>
      <c r="DF473" t="str">
        <f>""</f>
        <v/>
      </c>
      <c r="DG473" t="str">
        <f>""</f>
        <v/>
      </c>
      <c r="DH473" t="str">
        <f>""</f>
        <v/>
      </c>
      <c r="DI473" t="str">
        <f>""</f>
        <v/>
      </c>
      <c r="DJ473" t="str">
        <f>""</f>
        <v/>
      </c>
      <c r="DK473" t="str">
        <f>""</f>
        <v/>
      </c>
      <c r="DL473" t="str">
        <f>""</f>
        <v/>
      </c>
      <c r="DM473" t="str">
        <f>""</f>
        <v/>
      </c>
      <c r="DN473" t="str">
        <f>""</f>
        <v/>
      </c>
      <c r="DO473" t="str">
        <f>""</f>
        <v/>
      </c>
      <c r="DP473" t="str">
        <f>""</f>
        <v/>
      </c>
      <c r="DQ473" t="str">
        <f>""</f>
        <v/>
      </c>
      <c r="DR473" t="str">
        <f>""</f>
        <v/>
      </c>
      <c r="DS473" t="str">
        <f>""</f>
        <v/>
      </c>
      <c r="DT473" t="str">
        <f>""</f>
        <v/>
      </c>
      <c r="DU473" t="str">
        <f>""</f>
        <v/>
      </c>
    </row>
    <row r="474" spans="1:125">
      <c r="A474" t="str">
        <f>$A$167</f>
        <v xml:space="preserve">    SL Green Realty Corp</v>
      </c>
      <c r="B474" t="str">
        <f>$B$167</f>
        <v>SLG US Equity</v>
      </c>
      <c r="C474" t="str">
        <f>$C$167</f>
        <v>RR553</v>
      </c>
      <c r="D474" t="str">
        <f>$D$167</f>
        <v>EBITDA_RE_ASSET</v>
      </c>
      <c r="E474" t="str">
        <f>$E$167</f>
        <v>动态</v>
      </c>
      <c r="F474" t="str">
        <f ca="1">BDH($B$167,$C$167,$B$292,$B$293,CONCATENATE("Per=",$B$290),"Dts=H","Dir=H",CONCATENATE("Points=",$B$291),"Sort=R","Days=A","Fill=B",CONCATENATE("FX=", $B$289) )</f>
        <v>#N/A Authorization</v>
      </c>
      <c r="BN474" t="str">
        <f>""</f>
        <v/>
      </c>
      <c r="BO474" t="str">
        <f>""</f>
        <v/>
      </c>
      <c r="BP474" t="str">
        <f>""</f>
        <v/>
      </c>
      <c r="BQ474" t="str">
        <f>""</f>
        <v/>
      </c>
      <c r="BR474" t="str">
        <f>""</f>
        <v/>
      </c>
      <c r="BS474" t="str">
        <f>""</f>
        <v/>
      </c>
      <c r="BT474" t="str">
        <f>""</f>
        <v/>
      </c>
      <c r="BU474" t="str">
        <f>""</f>
        <v/>
      </c>
      <c r="BV474" t="str">
        <f>""</f>
        <v/>
      </c>
      <c r="BW474" t="str">
        <f>""</f>
        <v/>
      </c>
      <c r="BX474" t="str">
        <f>""</f>
        <v/>
      </c>
      <c r="BY474" t="str">
        <f>""</f>
        <v/>
      </c>
      <c r="BZ474" t="str">
        <f>""</f>
        <v/>
      </c>
      <c r="CA474" t="str">
        <f>""</f>
        <v/>
      </c>
      <c r="CB474" t="str">
        <f>""</f>
        <v/>
      </c>
      <c r="CC474" t="str">
        <f>""</f>
        <v/>
      </c>
      <c r="CD474" t="str">
        <f>""</f>
        <v/>
      </c>
      <c r="CE474" t="str">
        <f>""</f>
        <v/>
      </c>
      <c r="CF474" t="str">
        <f>""</f>
        <v/>
      </c>
      <c r="CG474" t="str">
        <f>""</f>
        <v/>
      </c>
      <c r="CH474" t="str">
        <f>""</f>
        <v/>
      </c>
      <c r="CI474" t="str">
        <f>""</f>
        <v/>
      </c>
      <c r="CJ474" t="str">
        <f>""</f>
        <v/>
      </c>
      <c r="CK474" t="str">
        <f>""</f>
        <v/>
      </c>
      <c r="CL474" t="str">
        <f>""</f>
        <v/>
      </c>
      <c r="CM474" t="str">
        <f>""</f>
        <v/>
      </c>
      <c r="CN474" t="str">
        <f>""</f>
        <v/>
      </c>
      <c r="CO474" t="str">
        <f>""</f>
        <v/>
      </c>
      <c r="CP474" t="str">
        <f>""</f>
        <v/>
      </c>
      <c r="CQ474" t="str">
        <f>""</f>
        <v/>
      </c>
      <c r="CR474" t="str">
        <f>""</f>
        <v/>
      </c>
      <c r="CS474" t="str">
        <f>""</f>
        <v/>
      </c>
      <c r="CT474" t="str">
        <f>""</f>
        <v/>
      </c>
      <c r="CU474" t="str">
        <f>""</f>
        <v/>
      </c>
      <c r="CV474" t="str">
        <f>""</f>
        <v/>
      </c>
      <c r="CW474" t="str">
        <f>""</f>
        <v/>
      </c>
      <c r="CX474" t="str">
        <f>""</f>
        <v/>
      </c>
      <c r="CY474" t="str">
        <f>""</f>
        <v/>
      </c>
      <c r="CZ474" t="str">
        <f>""</f>
        <v/>
      </c>
      <c r="DA474" t="str">
        <f>""</f>
        <v/>
      </c>
      <c r="DB474" t="str">
        <f>""</f>
        <v/>
      </c>
      <c r="DC474" t="str">
        <f>""</f>
        <v/>
      </c>
      <c r="DD474" t="str">
        <f>""</f>
        <v/>
      </c>
      <c r="DE474" t="str">
        <f>""</f>
        <v/>
      </c>
      <c r="DF474" t="str">
        <f>""</f>
        <v/>
      </c>
      <c r="DG474" t="str">
        <f>""</f>
        <v/>
      </c>
      <c r="DH474" t="str">
        <f>""</f>
        <v/>
      </c>
      <c r="DI474" t="str">
        <f>""</f>
        <v/>
      </c>
      <c r="DJ474" t="str">
        <f>""</f>
        <v/>
      </c>
      <c r="DK474" t="str">
        <f>""</f>
        <v/>
      </c>
      <c r="DL474" t="str">
        <f>""</f>
        <v/>
      </c>
      <c r="DM474" t="str">
        <f>""</f>
        <v/>
      </c>
      <c r="DN474" t="str">
        <f>""</f>
        <v/>
      </c>
      <c r="DO474" t="str">
        <f>""</f>
        <v/>
      </c>
      <c r="DP474" t="str">
        <f>""</f>
        <v/>
      </c>
      <c r="DQ474" t="str">
        <f>""</f>
        <v/>
      </c>
      <c r="DR474" t="str">
        <f>""</f>
        <v/>
      </c>
      <c r="DS474" t="str">
        <f>""</f>
        <v/>
      </c>
      <c r="DT474" t="str">
        <f>""</f>
        <v/>
      </c>
      <c r="DU474" t="str">
        <f>""</f>
        <v/>
      </c>
    </row>
    <row r="475" spans="1:125">
      <c r="A475" t="str">
        <f>$A$168</f>
        <v xml:space="preserve">    Vornado Realty Trust</v>
      </c>
      <c r="B475" t="str">
        <f>$B$168</f>
        <v>VNO US Equity</v>
      </c>
      <c r="C475" t="str">
        <f>$C$168</f>
        <v>RR553</v>
      </c>
      <c r="D475" t="str">
        <f>$D$168</f>
        <v>EBITDA_RE_ASSET</v>
      </c>
      <c r="E475" t="str">
        <f>$E$168</f>
        <v>动态</v>
      </c>
      <c r="F475" t="str">
        <f ca="1">BDH($B$168,$C$168,$B$292,$B$293,CONCATENATE("Per=",$B$290),"Dts=H","Dir=H",CONCATENATE("Points=",$B$291),"Sort=R","Days=A","Fill=B",CONCATENATE("FX=", $B$289) )</f>
        <v>#N/A Authorization</v>
      </c>
      <c r="BN475" t="str">
        <f>""</f>
        <v/>
      </c>
      <c r="BO475" t="str">
        <f>""</f>
        <v/>
      </c>
      <c r="BP475" t="str">
        <f>""</f>
        <v/>
      </c>
      <c r="BQ475" t="str">
        <f>""</f>
        <v/>
      </c>
      <c r="BR475" t="str">
        <f>""</f>
        <v/>
      </c>
      <c r="BS475" t="str">
        <f>""</f>
        <v/>
      </c>
      <c r="BT475" t="str">
        <f>""</f>
        <v/>
      </c>
      <c r="BU475" t="str">
        <f>""</f>
        <v/>
      </c>
      <c r="BV475" t="str">
        <f>""</f>
        <v/>
      </c>
      <c r="BW475" t="str">
        <f>""</f>
        <v/>
      </c>
      <c r="BX475" t="str">
        <f>""</f>
        <v/>
      </c>
      <c r="BY475" t="str">
        <f>""</f>
        <v/>
      </c>
      <c r="BZ475" t="str">
        <f>""</f>
        <v/>
      </c>
      <c r="CA475" t="str">
        <f>""</f>
        <v/>
      </c>
      <c r="CB475" t="str">
        <f>""</f>
        <v/>
      </c>
      <c r="CC475" t="str">
        <f>""</f>
        <v/>
      </c>
      <c r="CD475" t="str">
        <f>""</f>
        <v/>
      </c>
      <c r="CE475" t="str">
        <f>""</f>
        <v/>
      </c>
      <c r="CF475" t="str">
        <f>""</f>
        <v/>
      </c>
      <c r="CG475" t="str">
        <f>""</f>
        <v/>
      </c>
      <c r="CH475" t="str">
        <f>""</f>
        <v/>
      </c>
      <c r="CI475" t="str">
        <f>""</f>
        <v/>
      </c>
      <c r="CJ475" t="str">
        <f>""</f>
        <v/>
      </c>
      <c r="CK475" t="str">
        <f>""</f>
        <v/>
      </c>
      <c r="CL475" t="str">
        <f>""</f>
        <v/>
      </c>
      <c r="CM475" t="str">
        <f>""</f>
        <v/>
      </c>
      <c r="CN475" t="str">
        <f>""</f>
        <v/>
      </c>
      <c r="CO475" t="str">
        <f>""</f>
        <v/>
      </c>
      <c r="CP475" t="str">
        <f>""</f>
        <v/>
      </c>
      <c r="CQ475" t="str">
        <f>""</f>
        <v/>
      </c>
      <c r="CR475" t="str">
        <f>""</f>
        <v/>
      </c>
      <c r="CS475" t="str">
        <f>""</f>
        <v/>
      </c>
      <c r="CT475" t="str">
        <f>""</f>
        <v/>
      </c>
      <c r="CU475" t="str">
        <f>""</f>
        <v/>
      </c>
      <c r="CV475" t="str">
        <f>""</f>
        <v/>
      </c>
      <c r="CW475" t="str">
        <f>""</f>
        <v/>
      </c>
      <c r="CX475" t="str">
        <f>""</f>
        <v/>
      </c>
      <c r="CY475" t="str">
        <f>""</f>
        <v/>
      </c>
      <c r="CZ475" t="str">
        <f>""</f>
        <v/>
      </c>
      <c r="DA475" t="str">
        <f>""</f>
        <v/>
      </c>
      <c r="DB475" t="str">
        <f>""</f>
        <v/>
      </c>
      <c r="DC475" t="str">
        <f>""</f>
        <v/>
      </c>
      <c r="DD475" t="str">
        <f>""</f>
        <v/>
      </c>
      <c r="DE475" t="str">
        <f>""</f>
        <v/>
      </c>
      <c r="DF475" t="str">
        <f>""</f>
        <v/>
      </c>
      <c r="DG475" t="str">
        <f>""</f>
        <v/>
      </c>
      <c r="DH475" t="str">
        <f>""</f>
        <v/>
      </c>
      <c r="DI475" t="str">
        <f>""</f>
        <v/>
      </c>
      <c r="DJ475" t="str">
        <f>""</f>
        <v/>
      </c>
      <c r="DK475" t="str">
        <f>""</f>
        <v/>
      </c>
      <c r="DL475" t="str">
        <f>""</f>
        <v/>
      </c>
      <c r="DM475" t="str">
        <f>""</f>
        <v/>
      </c>
      <c r="DN475" t="str">
        <f>""</f>
        <v/>
      </c>
      <c r="DO475" t="str">
        <f>""</f>
        <v/>
      </c>
      <c r="DP475" t="str">
        <f>""</f>
        <v/>
      </c>
      <c r="DQ475" t="str">
        <f>""</f>
        <v/>
      </c>
      <c r="DR475" t="str">
        <f>""</f>
        <v/>
      </c>
      <c r="DS475" t="str">
        <f>""</f>
        <v/>
      </c>
      <c r="DT475" t="str">
        <f>""</f>
        <v/>
      </c>
      <c r="DU475" t="str">
        <f>""</f>
        <v/>
      </c>
    </row>
    <row r="476" spans="1:125">
      <c r="A476" t="str">
        <f>$A$170</f>
        <v xml:space="preserve">    Boston Properties Inc</v>
      </c>
      <c r="B476" t="str">
        <f>$B$170</f>
        <v>BXP US Equity</v>
      </c>
      <c r="C476" t="str">
        <f>$C$170</f>
        <v>RR554</v>
      </c>
      <c r="D476" t="str">
        <f>$D$170</f>
        <v>FFO_RE_ASSET</v>
      </c>
      <c r="E476" t="str">
        <f>$E$170</f>
        <v>动态</v>
      </c>
      <c r="F476" t="str">
        <f ca="1">BDH($B$170,$C$170,$B$292,$B$293,CONCATENATE("Per=",$B$290),"Dts=H","Dir=H",CONCATENATE("Points=",$B$291),"Sort=R","Days=A","Fill=B",CONCATENATE("FX=", $B$289) )</f>
        <v>#N/A Authorization</v>
      </c>
      <c r="BN476" t="str">
        <f>""</f>
        <v/>
      </c>
      <c r="BO476" t="str">
        <f>""</f>
        <v/>
      </c>
      <c r="BP476" t="str">
        <f>""</f>
        <v/>
      </c>
      <c r="BQ476" t="str">
        <f>""</f>
        <v/>
      </c>
      <c r="BR476" t="str">
        <f>""</f>
        <v/>
      </c>
      <c r="BS476" t="str">
        <f>""</f>
        <v/>
      </c>
      <c r="BT476" t="str">
        <f>""</f>
        <v/>
      </c>
      <c r="BU476" t="str">
        <f>""</f>
        <v/>
      </c>
      <c r="BV476" t="str">
        <f>""</f>
        <v/>
      </c>
      <c r="BW476" t="str">
        <f>""</f>
        <v/>
      </c>
      <c r="BX476" t="str">
        <f>""</f>
        <v/>
      </c>
      <c r="BY476" t="str">
        <f>""</f>
        <v/>
      </c>
      <c r="BZ476" t="str">
        <f>""</f>
        <v/>
      </c>
      <c r="CA476" t="str">
        <f>""</f>
        <v/>
      </c>
      <c r="CB476" t="str">
        <f>""</f>
        <v/>
      </c>
      <c r="CC476" t="str">
        <f>""</f>
        <v/>
      </c>
      <c r="CD476" t="str">
        <f>""</f>
        <v/>
      </c>
      <c r="CE476" t="str">
        <f>""</f>
        <v/>
      </c>
      <c r="CF476" t="str">
        <f>""</f>
        <v/>
      </c>
      <c r="CG476" t="str">
        <f>""</f>
        <v/>
      </c>
      <c r="CH476" t="str">
        <f>""</f>
        <v/>
      </c>
      <c r="CI476" t="str">
        <f>""</f>
        <v/>
      </c>
      <c r="CJ476" t="str">
        <f>""</f>
        <v/>
      </c>
      <c r="CK476" t="str">
        <f>""</f>
        <v/>
      </c>
      <c r="CL476" t="str">
        <f>""</f>
        <v/>
      </c>
      <c r="CM476" t="str">
        <f>""</f>
        <v/>
      </c>
      <c r="CN476" t="str">
        <f>""</f>
        <v/>
      </c>
      <c r="CO476" t="str">
        <f>""</f>
        <v/>
      </c>
      <c r="CP476" t="str">
        <f>""</f>
        <v/>
      </c>
      <c r="CQ476" t="str">
        <f>""</f>
        <v/>
      </c>
      <c r="CR476" t="str">
        <f>""</f>
        <v/>
      </c>
      <c r="CS476" t="str">
        <f>""</f>
        <v/>
      </c>
      <c r="CT476" t="str">
        <f>""</f>
        <v/>
      </c>
      <c r="CU476" t="str">
        <f>""</f>
        <v/>
      </c>
      <c r="CV476" t="str">
        <f>""</f>
        <v/>
      </c>
      <c r="CW476" t="str">
        <f>""</f>
        <v/>
      </c>
      <c r="CX476" t="str">
        <f>""</f>
        <v/>
      </c>
      <c r="CY476" t="str">
        <f>""</f>
        <v/>
      </c>
      <c r="CZ476" t="str">
        <f>""</f>
        <v/>
      </c>
      <c r="DA476" t="str">
        <f>""</f>
        <v/>
      </c>
      <c r="DB476" t="str">
        <f>""</f>
        <v/>
      </c>
      <c r="DC476" t="str">
        <f>""</f>
        <v/>
      </c>
      <c r="DD476" t="str">
        <f>""</f>
        <v/>
      </c>
      <c r="DE476" t="str">
        <f>""</f>
        <v/>
      </c>
      <c r="DF476" t="str">
        <f>""</f>
        <v/>
      </c>
      <c r="DG476" t="str">
        <f>""</f>
        <v/>
      </c>
      <c r="DH476" t="str">
        <f>""</f>
        <v/>
      </c>
      <c r="DI476" t="str">
        <f>""</f>
        <v/>
      </c>
      <c r="DJ476" t="str">
        <f>""</f>
        <v/>
      </c>
      <c r="DK476" t="str">
        <f>""</f>
        <v/>
      </c>
      <c r="DL476" t="str">
        <f>""</f>
        <v/>
      </c>
      <c r="DM476" t="str">
        <f>""</f>
        <v/>
      </c>
      <c r="DN476" t="str">
        <f>""</f>
        <v/>
      </c>
      <c r="DO476" t="str">
        <f>""</f>
        <v/>
      </c>
      <c r="DP476" t="str">
        <f>""</f>
        <v/>
      </c>
      <c r="DQ476" t="str">
        <f>""</f>
        <v/>
      </c>
      <c r="DR476" t="str">
        <f>""</f>
        <v/>
      </c>
      <c r="DS476" t="str">
        <f>""</f>
        <v/>
      </c>
      <c r="DT476" t="str">
        <f>""</f>
        <v/>
      </c>
      <c r="DU476" t="str">
        <f>""</f>
        <v/>
      </c>
    </row>
    <row r="477" spans="1:125">
      <c r="A477" t="str">
        <f>$A$171</f>
        <v xml:space="preserve">    Brandywine Realty Trust</v>
      </c>
      <c r="B477" t="str">
        <f>$B$171</f>
        <v>BDN US Equity</v>
      </c>
      <c r="C477" t="str">
        <f>$C$171</f>
        <v>RR554</v>
      </c>
      <c r="D477" t="str">
        <f>$D$171</f>
        <v>FFO_RE_ASSET</v>
      </c>
      <c r="E477" t="str">
        <f>$E$171</f>
        <v>动态</v>
      </c>
      <c r="F477" t="str">
        <f ca="1">BDH($B$171,$C$171,$B$292,$B$293,CONCATENATE("Per=",$B$290),"Dts=H","Dir=H",CONCATENATE("Points=",$B$291),"Sort=R","Days=A","Fill=B",CONCATENATE("FX=", $B$289) )</f>
        <v>#N/A Authorization</v>
      </c>
      <c r="BN477" t="str">
        <f>""</f>
        <v/>
      </c>
      <c r="BO477" t="str">
        <f>""</f>
        <v/>
      </c>
      <c r="BP477" t="str">
        <f>""</f>
        <v/>
      </c>
      <c r="BQ477" t="str">
        <f>""</f>
        <v/>
      </c>
      <c r="BR477" t="str">
        <f>""</f>
        <v/>
      </c>
      <c r="BS477" t="str">
        <f>""</f>
        <v/>
      </c>
      <c r="BT477" t="str">
        <f>""</f>
        <v/>
      </c>
      <c r="BU477" t="str">
        <f>""</f>
        <v/>
      </c>
      <c r="BV477" t="str">
        <f>""</f>
        <v/>
      </c>
      <c r="BW477" t="str">
        <f>""</f>
        <v/>
      </c>
      <c r="BX477" t="str">
        <f>""</f>
        <v/>
      </c>
      <c r="BY477" t="str">
        <f>""</f>
        <v/>
      </c>
      <c r="BZ477" t="str">
        <f>""</f>
        <v/>
      </c>
      <c r="CA477" t="str">
        <f>""</f>
        <v/>
      </c>
      <c r="CB477" t="str">
        <f>""</f>
        <v/>
      </c>
      <c r="CC477" t="str">
        <f>""</f>
        <v/>
      </c>
      <c r="CD477" t="str">
        <f>""</f>
        <v/>
      </c>
      <c r="CE477" t="str">
        <f>""</f>
        <v/>
      </c>
      <c r="CF477" t="str">
        <f>""</f>
        <v/>
      </c>
      <c r="CG477" t="str">
        <f>""</f>
        <v/>
      </c>
      <c r="CH477" t="str">
        <f>""</f>
        <v/>
      </c>
      <c r="CI477" t="str">
        <f>""</f>
        <v/>
      </c>
      <c r="CJ477" t="str">
        <f>""</f>
        <v/>
      </c>
      <c r="CK477" t="str">
        <f>""</f>
        <v/>
      </c>
      <c r="CL477" t="str">
        <f>""</f>
        <v/>
      </c>
      <c r="CM477" t="str">
        <f>""</f>
        <v/>
      </c>
      <c r="CN477" t="str">
        <f>""</f>
        <v/>
      </c>
      <c r="CO477" t="str">
        <f>""</f>
        <v/>
      </c>
      <c r="CP477" t="str">
        <f>""</f>
        <v/>
      </c>
      <c r="CQ477" t="str">
        <f>""</f>
        <v/>
      </c>
      <c r="CR477" t="str">
        <f>""</f>
        <v/>
      </c>
      <c r="CS477" t="str">
        <f>""</f>
        <v/>
      </c>
      <c r="CT477" t="str">
        <f>""</f>
        <v/>
      </c>
      <c r="CU477" t="str">
        <f>""</f>
        <v/>
      </c>
      <c r="CV477" t="str">
        <f>""</f>
        <v/>
      </c>
      <c r="CW477" t="str">
        <f>""</f>
        <v/>
      </c>
      <c r="CX477" t="str">
        <f>""</f>
        <v/>
      </c>
      <c r="CY477" t="str">
        <f>""</f>
        <v/>
      </c>
      <c r="CZ477" t="str">
        <f>""</f>
        <v/>
      </c>
      <c r="DA477" t="str">
        <f>""</f>
        <v/>
      </c>
      <c r="DB477" t="str">
        <f>""</f>
        <v/>
      </c>
      <c r="DC477" t="str">
        <f>""</f>
        <v/>
      </c>
      <c r="DD477" t="str">
        <f>""</f>
        <v/>
      </c>
      <c r="DE477" t="str">
        <f>""</f>
        <v/>
      </c>
      <c r="DF477" t="str">
        <f>""</f>
        <v/>
      </c>
      <c r="DG477" t="str">
        <f>""</f>
        <v/>
      </c>
      <c r="DH477" t="str">
        <f>""</f>
        <v/>
      </c>
      <c r="DI477" t="str">
        <f>""</f>
        <v/>
      </c>
      <c r="DJ477" t="str">
        <f>""</f>
        <v/>
      </c>
      <c r="DK477" t="str">
        <f>""</f>
        <v/>
      </c>
      <c r="DL477" t="str">
        <f>""</f>
        <v/>
      </c>
      <c r="DM477" t="str">
        <f>""</f>
        <v/>
      </c>
      <c r="DN477" t="str">
        <f>""</f>
        <v/>
      </c>
      <c r="DO477" t="str">
        <f>""</f>
        <v/>
      </c>
      <c r="DP477" t="str">
        <f>""</f>
        <v/>
      </c>
      <c r="DQ477" t="str">
        <f>""</f>
        <v/>
      </c>
      <c r="DR477" t="str">
        <f>""</f>
        <v/>
      </c>
      <c r="DS477" t="str">
        <f>""</f>
        <v/>
      </c>
      <c r="DT477" t="str">
        <f>""</f>
        <v/>
      </c>
      <c r="DU477" t="str">
        <f>""</f>
        <v/>
      </c>
    </row>
    <row r="478" spans="1:125">
      <c r="A478" t="str">
        <f>$A$172</f>
        <v xml:space="preserve">    Columbia Property Trust Inc</v>
      </c>
      <c r="B478" t="str">
        <f>$B$172</f>
        <v>CXP US Equity</v>
      </c>
      <c r="C478" t="str">
        <f>$C$172</f>
        <v>RR554</v>
      </c>
      <c r="D478" t="str">
        <f>$D$172</f>
        <v>FFO_RE_ASSET</v>
      </c>
      <c r="E478" t="str">
        <f>$E$172</f>
        <v>动态</v>
      </c>
      <c r="F478" t="str">
        <f ca="1">BDH($B$172,$C$172,$B$292,$B$293,CONCATENATE("Per=",$B$290),"Dts=H","Dir=H",CONCATENATE("Points=",$B$291),"Sort=R","Days=A","Fill=B",CONCATENATE("FX=", $B$289) )</f>
        <v>#N/A Authorization</v>
      </c>
      <c r="BN478" t="str">
        <f>""</f>
        <v/>
      </c>
      <c r="BO478" t="str">
        <f>""</f>
        <v/>
      </c>
      <c r="BP478" t="str">
        <f>""</f>
        <v/>
      </c>
      <c r="BQ478" t="str">
        <f>""</f>
        <v/>
      </c>
      <c r="BR478" t="str">
        <f>""</f>
        <v/>
      </c>
      <c r="BS478" t="str">
        <f>""</f>
        <v/>
      </c>
      <c r="BT478" t="str">
        <f>""</f>
        <v/>
      </c>
      <c r="BU478" t="str">
        <f>""</f>
        <v/>
      </c>
      <c r="BV478" t="str">
        <f>""</f>
        <v/>
      </c>
      <c r="BW478" t="str">
        <f>""</f>
        <v/>
      </c>
      <c r="BX478" t="str">
        <f>""</f>
        <v/>
      </c>
      <c r="BY478" t="str">
        <f>""</f>
        <v/>
      </c>
      <c r="BZ478" t="str">
        <f>""</f>
        <v/>
      </c>
      <c r="CA478" t="str">
        <f>""</f>
        <v/>
      </c>
      <c r="CB478" t="str">
        <f>""</f>
        <v/>
      </c>
      <c r="CC478" t="str">
        <f>""</f>
        <v/>
      </c>
      <c r="CD478" t="str">
        <f>""</f>
        <v/>
      </c>
      <c r="CE478" t="str">
        <f>""</f>
        <v/>
      </c>
      <c r="CF478" t="str">
        <f>""</f>
        <v/>
      </c>
      <c r="CG478" t="str">
        <f>""</f>
        <v/>
      </c>
      <c r="CH478" t="str">
        <f>""</f>
        <v/>
      </c>
      <c r="CI478" t="str">
        <f>""</f>
        <v/>
      </c>
      <c r="CJ478" t="str">
        <f>""</f>
        <v/>
      </c>
      <c r="CK478" t="str">
        <f>""</f>
        <v/>
      </c>
      <c r="CL478" t="str">
        <f>""</f>
        <v/>
      </c>
      <c r="CM478" t="str">
        <f>""</f>
        <v/>
      </c>
      <c r="CN478" t="str">
        <f>""</f>
        <v/>
      </c>
      <c r="CO478" t="str">
        <f>""</f>
        <v/>
      </c>
      <c r="CP478" t="str">
        <f>""</f>
        <v/>
      </c>
      <c r="CQ478" t="str">
        <f>""</f>
        <v/>
      </c>
      <c r="CR478" t="str">
        <f>""</f>
        <v/>
      </c>
      <c r="CS478" t="str">
        <f>""</f>
        <v/>
      </c>
      <c r="CT478" t="str">
        <f>""</f>
        <v/>
      </c>
      <c r="CU478" t="str">
        <f>""</f>
        <v/>
      </c>
      <c r="CV478" t="str">
        <f>""</f>
        <v/>
      </c>
      <c r="CW478" t="str">
        <f>""</f>
        <v/>
      </c>
      <c r="CX478" t="str">
        <f>""</f>
        <v/>
      </c>
      <c r="CY478" t="str">
        <f>""</f>
        <v/>
      </c>
      <c r="CZ478" t="str">
        <f>""</f>
        <v/>
      </c>
      <c r="DA478" t="str">
        <f>""</f>
        <v/>
      </c>
      <c r="DB478" t="str">
        <f>""</f>
        <v/>
      </c>
      <c r="DC478" t="str">
        <f>""</f>
        <v/>
      </c>
      <c r="DD478" t="str">
        <f>""</f>
        <v/>
      </c>
      <c r="DE478" t="str">
        <f>""</f>
        <v/>
      </c>
      <c r="DF478" t="str">
        <f>""</f>
        <v/>
      </c>
      <c r="DG478" t="str">
        <f>""</f>
        <v/>
      </c>
      <c r="DH478" t="str">
        <f>""</f>
        <v/>
      </c>
      <c r="DI478" t="str">
        <f>""</f>
        <v/>
      </c>
      <c r="DJ478" t="str">
        <f>""</f>
        <v/>
      </c>
      <c r="DK478" t="str">
        <f>""</f>
        <v/>
      </c>
      <c r="DL478" t="str">
        <f>""</f>
        <v/>
      </c>
      <c r="DM478" t="str">
        <f>""</f>
        <v/>
      </c>
      <c r="DN478" t="str">
        <f>""</f>
        <v/>
      </c>
      <c r="DO478" t="str">
        <f>""</f>
        <v/>
      </c>
      <c r="DP478" t="str">
        <f>""</f>
        <v/>
      </c>
      <c r="DQ478" t="str">
        <f>""</f>
        <v/>
      </c>
      <c r="DR478" t="str">
        <f>""</f>
        <v/>
      </c>
      <c r="DS478" t="str">
        <f>""</f>
        <v/>
      </c>
      <c r="DT478" t="str">
        <f>""</f>
        <v/>
      </c>
      <c r="DU478" t="str">
        <f>""</f>
        <v/>
      </c>
    </row>
    <row r="479" spans="1:125">
      <c r="A479" t="str">
        <f>$A$173</f>
        <v xml:space="preserve">    Corporate Office Properties Tr</v>
      </c>
      <c r="B479" t="str">
        <f>$B$173</f>
        <v>OFC US Equity</v>
      </c>
      <c r="C479" t="str">
        <f>$C$173</f>
        <v>RR554</v>
      </c>
      <c r="D479" t="str">
        <f>$D$173</f>
        <v>FFO_RE_ASSET</v>
      </c>
      <c r="E479" t="str">
        <f>$E$173</f>
        <v>动态</v>
      </c>
      <c r="F479" t="str">
        <f ca="1">BDH($B$173,$C$173,$B$292,$B$293,CONCATENATE("Per=",$B$290),"Dts=H","Dir=H",CONCATENATE("Points=",$B$291),"Sort=R","Days=A","Fill=B",CONCATENATE("FX=", $B$289) )</f>
        <v>#N/A Authorization</v>
      </c>
      <c r="BN479" t="str">
        <f>""</f>
        <v/>
      </c>
      <c r="BO479" t="str">
        <f>""</f>
        <v/>
      </c>
      <c r="BP479" t="str">
        <f>""</f>
        <v/>
      </c>
      <c r="BQ479" t="str">
        <f>""</f>
        <v/>
      </c>
      <c r="BR479" t="str">
        <f>""</f>
        <v/>
      </c>
      <c r="BS479" t="str">
        <f>""</f>
        <v/>
      </c>
      <c r="BT479" t="str">
        <f>""</f>
        <v/>
      </c>
      <c r="BU479" t="str">
        <f>""</f>
        <v/>
      </c>
      <c r="BV479" t="str">
        <f>""</f>
        <v/>
      </c>
      <c r="BW479" t="str">
        <f>""</f>
        <v/>
      </c>
      <c r="BX479" t="str">
        <f>""</f>
        <v/>
      </c>
      <c r="BY479" t="str">
        <f>""</f>
        <v/>
      </c>
      <c r="BZ479" t="str">
        <f>""</f>
        <v/>
      </c>
      <c r="CA479" t="str">
        <f>""</f>
        <v/>
      </c>
      <c r="CB479" t="str">
        <f>""</f>
        <v/>
      </c>
      <c r="CC479" t="str">
        <f>""</f>
        <v/>
      </c>
      <c r="CD479" t="str">
        <f>""</f>
        <v/>
      </c>
      <c r="CE479" t="str">
        <f>""</f>
        <v/>
      </c>
      <c r="CF479" t="str">
        <f>""</f>
        <v/>
      </c>
      <c r="CG479" t="str">
        <f>""</f>
        <v/>
      </c>
      <c r="CH479" t="str">
        <f>""</f>
        <v/>
      </c>
      <c r="CI479" t="str">
        <f>""</f>
        <v/>
      </c>
      <c r="CJ479" t="str">
        <f>""</f>
        <v/>
      </c>
      <c r="CK479" t="str">
        <f>""</f>
        <v/>
      </c>
      <c r="CL479" t="str">
        <f>""</f>
        <v/>
      </c>
      <c r="CM479" t="str">
        <f>""</f>
        <v/>
      </c>
      <c r="CN479" t="str">
        <f>""</f>
        <v/>
      </c>
      <c r="CO479" t="str">
        <f>""</f>
        <v/>
      </c>
      <c r="CP479" t="str">
        <f>""</f>
        <v/>
      </c>
      <c r="CQ479" t="str">
        <f>""</f>
        <v/>
      </c>
      <c r="CR479" t="str">
        <f>""</f>
        <v/>
      </c>
      <c r="CS479" t="str">
        <f>""</f>
        <v/>
      </c>
      <c r="CT479" t="str">
        <f>""</f>
        <v/>
      </c>
      <c r="CU479" t="str">
        <f>""</f>
        <v/>
      </c>
      <c r="CV479" t="str">
        <f>""</f>
        <v/>
      </c>
      <c r="CW479" t="str">
        <f>""</f>
        <v/>
      </c>
      <c r="CX479" t="str">
        <f>""</f>
        <v/>
      </c>
      <c r="CY479" t="str">
        <f>""</f>
        <v/>
      </c>
      <c r="CZ479" t="str">
        <f>""</f>
        <v/>
      </c>
      <c r="DA479" t="str">
        <f>""</f>
        <v/>
      </c>
      <c r="DB479" t="str">
        <f>""</f>
        <v/>
      </c>
      <c r="DC479" t="str">
        <f>""</f>
        <v/>
      </c>
      <c r="DD479" t="str">
        <f>""</f>
        <v/>
      </c>
      <c r="DE479" t="str">
        <f>""</f>
        <v/>
      </c>
      <c r="DF479" t="str">
        <f>""</f>
        <v/>
      </c>
      <c r="DG479" t="str">
        <f>""</f>
        <v/>
      </c>
      <c r="DH479" t="str">
        <f>""</f>
        <v/>
      </c>
      <c r="DI479" t="str">
        <f>""</f>
        <v/>
      </c>
      <c r="DJ479" t="str">
        <f>""</f>
        <v/>
      </c>
      <c r="DK479" t="str">
        <f>""</f>
        <v/>
      </c>
      <c r="DL479" t="str">
        <f>""</f>
        <v/>
      </c>
      <c r="DM479" t="str">
        <f>""</f>
        <v/>
      </c>
      <c r="DN479" t="str">
        <f>""</f>
        <v/>
      </c>
      <c r="DO479" t="str">
        <f>""</f>
        <v/>
      </c>
      <c r="DP479" t="str">
        <f>""</f>
        <v/>
      </c>
      <c r="DQ479" t="str">
        <f>""</f>
        <v/>
      </c>
      <c r="DR479" t="str">
        <f>""</f>
        <v/>
      </c>
      <c r="DS479" t="str">
        <f>""</f>
        <v/>
      </c>
      <c r="DT479" t="str">
        <f>""</f>
        <v/>
      </c>
      <c r="DU479" t="str">
        <f>""</f>
        <v/>
      </c>
    </row>
    <row r="480" spans="1:125">
      <c r="A480" t="str">
        <f>$A$174</f>
        <v xml:space="preserve">    Highwoods Properties Inc</v>
      </c>
      <c r="B480" t="str">
        <f>$B$174</f>
        <v>HIW US Equity</v>
      </c>
      <c r="C480" t="str">
        <f>$C$174</f>
        <v>RR554</v>
      </c>
      <c r="D480" t="str">
        <f>$D$174</f>
        <v>FFO_RE_ASSET</v>
      </c>
      <c r="E480" t="str">
        <f>$E$174</f>
        <v>动态</v>
      </c>
      <c r="F480" t="str">
        <f ca="1">BDH($B$174,$C$174,$B$292,$B$293,CONCATENATE("Per=",$B$290),"Dts=H","Dir=H",CONCATENATE("Points=",$B$291),"Sort=R","Days=A","Fill=B",CONCATENATE("FX=", $B$289) )</f>
        <v>#N/A Authorization</v>
      </c>
      <c r="BN480" t="str">
        <f>""</f>
        <v/>
      </c>
      <c r="BO480" t="str">
        <f>""</f>
        <v/>
      </c>
      <c r="BP480" t="str">
        <f>""</f>
        <v/>
      </c>
      <c r="BQ480" t="str">
        <f>""</f>
        <v/>
      </c>
      <c r="BR480" t="str">
        <f>""</f>
        <v/>
      </c>
      <c r="BS480" t="str">
        <f>""</f>
        <v/>
      </c>
      <c r="BT480" t="str">
        <f>""</f>
        <v/>
      </c>
      <c r="BU480" t="str">
        <f>""</f>
        <v/>
      </c>
      <c r="BV480" t="str">
        <f>""</f>
        <v/>
      </c>
      <c r="BW480" t="str">
        <f>""</f>
        <v/>
      </c>
      <c r="BX480" t="str">
        <f>""</f>
        <v/>
      </c>
      <c r="BY480" t="str">
        <f>""</f>
        <v/>
      </c>
      <c r="BZ480" t="str">
        <f>""</f>
        <v/>
      </c>
      <c r="CA480" t="str">
        <f>""</f>
        <v/>
      </c>
      <c r="CB480" t="str">
        <f>""</f>
        <v/>
      </c>
      <c r="CC480" t="str">
        <f>""</f>
        <v/>
      </c>
      <c r="CD480" t="str">
        <f>""</f>
        <v/>
      </c>
      <c r="CE480" t="str">
        <f>""</f>
        <v/>
      </c>
      <c r="CF480" t="str">
        <f>""</f>
        <v/>
      </c>
      <c r="CG480" t="str">
        <f>""</f>
        <v/>
      </c>
      <c r="CH480" t="str">
        <f>""</f>
        <v/>
      </c>
      <c r="CI480" t="str">
        <f>""</f>
        <v/>
      </c>
      <c r="CJ480" t="str">
        <f>""</f>
        <v/>
      </c>
      <c r="CK480" t="str">
        <f>""</f>
        <v/>
      </c>
      <c r="CL480" t="str">
        <f>""</f>
        <v/>
      </c>
      <c r="CM480" t="str">
        <f>""</f>
        <v/>
      </c>
      <c r="CN480" t="str">
        <f>""</f>
        <v/>
      </c>
      <c r="CO480" t="str">
        <f>""</f>
        <v/>
      </c>
      <c r="CP480" t="str">
        <f>""</f>
        <v/>
      </c>
      <c r="CQ480" t="str">
        <f>""</f>
        <v/>
      </c>
      <c r="CR480" t="str">
        <f>""</f>
        <v/>
      </c>
      <c r="CS480" t="str">
        <f>""</f>
        <v/>
      </c>
      <c r="CT480" t="str">
        <f>""</f>
        <v/>
      </c>
      <c r="CU480" t="str">
        <f>""</f>
        <v/>
      </c>
      <c r="CV480" t="str">
        <f>""</f>
        <v/>
      </c>
      <c r="CW480" t="str">
        <f>""</f>
        <v/>
      </c>
      <c r="CX480" t="str">
        <f>""</f>
        <v/>
      </c>
      <c r="CY480" t="str">
        <f>""</f>
        <v/>
      </c>
      <c r="CZ480" t="str">
        <f>""</f>
        <v/>
      </c>
      <c r="DA480" t="str">
        <f>""</f>
        <v/>
      </c>
      <c r="DB480" t="str">
        <f>""</f>
        <v/>
      </c>
      <c r="DC480" t="str">
        <f>""</f>
        <v/>
      </c>
      <c r="DD480" t="str">
        <f>""</f>
        <v/>
      </c>
      <c r="DE480" t="str">
        <f>""</f>
        <v/>
      </c>
      <c r="DF480" t="str">
        <f>""</f>
        <v/>
      </c>
      <c r="DG480" t="str">
        <f>""</f>
        <v/>
      </c>
      <c r="DH480" t="str">
        <f>""</f>
        <v/>
      </c>
      <c r="DI480" t="str">
        <f>""</f>
        <v/>
      </c>
      <c r="DJ480" t="str">
        <f>""</f>
        <v/>
      </c>
      <c r="DK480" t="str">
        <f>""</f>
        <v/>
      </c>
      <c r="DL480" t="str">
        <f>""</f>
        <v/>
      </c>
      <c r="DM480" t="str">
        <f>""</f>
        <v/>
      </c>
      <c r="DN480" t="str">
        <f>""</f>
        <v/>
      </c>
      <c r="DO480" t="str">
        <f>""</f>
        <v/>
      </c>
      <c r="DP480" t="str">
        <f>""</f>
        <v/>
      </c>
      <c r="DQ480" t="str">
        <f>""</f>
        <v/>
      </c>
      <c r="DR480" t="str">
        <f>""</f>
        <v/>
      </c>
      <c r="DS480" t="str">
        <f>""</f>
        <v/>
      </c>
      <c r="DT480" t="str">
        <f>""</f>
        <v/>
      </c>
      <c r="DU480" t="str">
        <f>""</f>
        <v/>
      </c>
    </row>
    <row r="481" spans="1:125">
      <c r="A481" t="str">
        <f>$A$175</f>
        <v xml:space="preserve">    Kilroy Realty Corp</v>
      </c>
      <c r="B481" t="str">
        <f>$B$175</f>
        <v>KRC US Equity</v>
      </c>
      <c r="C481" t="str">
        <f>$C$175</f>
        <v>RR554</v>
      </c>
      <c r="D481" t="str">
        <f>$D$175</f>
        <v>FFO_RE_ASSET</v>
      </c>
      <c r="E481" t="str">
        <f>$E$175</f>
        <v>动态</v>
      </c>
      <c r="F481" t="str">
        <f ca="1">BDH($B$175,$C$175,$B$292,$B$293,CONCATENATE("Per=",$B$290),"Dts=H","Dir=H",CONCATENATE("Points=",$B$291),"Sort=R","Days=A","Fill=B",CONCATENATE("FX=", $B$289) )</f>
        <v>#N/A Authorization</v>
      </c>
      <c r="BN481" t="str">
        <f>""</f>
        <v/>
      </c>
      <c r="BO481" t="str">
        <f>""</f>
        <v/>
      </c>
      <c r="BP481" t="str">
        <f>""</f>
        <v/>
      </c>
      <c r="BQ481" t="str">
        <f>""</f>
        <v/>
      </c>
      <c r="BR481" t="str">
        <f>""</f>
        <v/>
      </c>
      <c r="BS481" t="str">
        <f>""</f>
        <v/>
      </c>
      <c r="BT481" t="str">
        <f>""</f>
        <v/>
      </c>
      <c r="BU481" t="str">
        <f>""</f>
        <v/>
      </c>
      <c r="BV481" t="str">
        <f>""</f>
        <v/>
      </c>
      <c r="BW481" t="str">
        <f>""</f>
        <v/>
      </c>
      <c r="BX481" t="str">
        <f>""</f>
        <v/>
      </c>
      <c r="BY481" t="str">
        <f>""</f>
        <v/>
      </c>
      <c r="BZ481" t="str">
        <f>""</f>
        <v/>
      </c>
      <c r="CA481" t="str">
        <f>""</f>
        <v/>
      </c>
      <c r="CB481" t="str">
        <f>""</f>
        <v/>
      </c>
      <c r="CC481" t="str">
        <f>""</f>
        <v/>
      </c>
      <c r="CD481" t="str">
        <f>""</f>
        <v/>
      </c>
      <c r="CE481" t="str">
        <f>""</f>
        <v/>
      </c>
      <c r="CF481" t="str">
        <f>""</f>
        <v/>
      </c>
      <c r="CG481" t="str">
        <f>""</f>
        <v/>
      </c>
      <c r="CH481" t="str">
        <f>""</f>
        <v/>
      </c>
      <c r="CI481" t="str">
        <f>""</f>
        <v/>
      </c>
      <c r="CJ481" t="str">
        <f>""</f>
        <v/>
      </c>
      <c r="CK481" t="str">
        <f>""</f>
        <v/>
      </c>
      <c r="CL481" t="str">
        <f>""</f>
        <v/>
      </c>
      <c r="CM481" t="str">
        <f>""</f>
        <v/>
      </c>
      <c r="CN481" t="str">
        <f>""</f>
        <v/>
      </c>
      <c r="CO481" t="str">
        <f>""</f>
        <v/>
      </c>
      <c r="CP481" t="str">
        <f>""</f>
        <v/>
      </c>
      <c r="CQ481" t="str">
        <f>""</f>
        <v/>
      </c>
      <c r="CR481" t="str">
        <f>""</f>
        <v/>
      </c>
      <c r="CS481" t="str">
        <f>""</f>
        <v/>
      </c>
      <c r="CT481" t="str">
        <f>""</f>
        <v/>
      </c>
      <c r="CU481" t="str">
        <f>""</f>
        <v/>
      </c>
      <c r="CV481" t="str">
        <f>""</f>
        <v/>
      </c>
      <c r="CW481" t="str">
        <f>""</f>
        <v/>
      </c>
      <c r="CX481" t="str">
        <f>""</f>
        <v/>
      </c>
      <c r="CY481" t="str">
        <f>""</f>
        <v/>
      </c>
      <c r="CZ481" t="str">
        <f>""</f>
        <v/>
      </c>
      <c r="DA481" t="str">
        <f>""</f>
        <v/>
      </c>
      <c r="DB481" t="str">
        <f>""</f>
        <v/>
      </c>
      <c r="DC481" t="str">
        <f>""</f>
        <v/>
      </c>
      <c r="DD481" t="str">
        <f>""</f>
        <v/>
      </c>
      <c r="DE481" t="str">
        <f>""</f>
        <v/>
      </c>
      <c r="DF481" t="str">
        <f>""</f>
        <v/>
      </c>
      <c r="DG481" t="str">
        <f>""</f>
        <v/>
      </c>
      <c r="DH481" t="str">
        <f>""</f>
        <v/>
      </c>
      <c r="DI481" t="str">
        <f>""</f>
        <v/>
      </c>
      <c r="DJ481" t="str">
        <f>""</f>
        <v/>
      </c>
      <c r="DK481" t="str">
        <f>""</f>
        <v/>
      </c>
      <c r="DL481" t="str">
        <f>""</f>
        <v/>
      </c>
      <c r="DM481" t="str">
        <f>""</f>
        <v/>
      </c>
      <c r="DN481" t="str">
        <f>""</f>
        <v/>
      </c>
      <c r="DO481" t="str">
        <f>""</f>
        <v/>
      </c>
      <c r="DP481" t="str">
        <f>""</f>
        <v/>
      </c>
      <c r="DQ481" t="str">
        <f>""</f>
        <v/>
      </c>
      <c r="DR481" t="str">
        <f>""</f>
        <v/>
      </c>
      <c r="DS481" t="str">
        <f>""</f>
        <v/>
      </c>
      <c r="DT481" t="str">
        <f>""</f>
        <v/>
      </c>
      <c r="DU481" t="str">
        <f>""</f>
        <v/>
      </c>
    </row>
    <row r="482" spans="1:125">
      <c r="A482" t="str">
        <f>$A$176</f>
        <v xml:space="preserve">    Mack-Cali Realty Corp</v>
      </c>
      <c r="B482" t="str">
        <f>$B$176</f>
        <v>CLI US Equity</v>
      </c>
      <c r="C482" t="str">
        <f>$C$176</f>
        <v>RR554</v>
      </c>
      <c r="D482" t="str">
        <f>$D$176</f>
        <v>FFO_RE_ASSET</v>
      </c>
      <c r="E482" t="str">
        <f>$E$176</f>
        <v>动态</v>
      </c>
      <c r="F482" t="str">
        <f ca="1">BDH($B$176,$C$176,$B$292,$B$293,CONCATENATE("Per=",$B$290),"Dts=H","Dir=H",CONCATENATE("Points=",$B$291),"Sort=R","Days=A","Fill=B",CONCATENATE("FX=", $B$289) )</f>
        <v>#N/A Authorization</v>
      </c>
      <c r="BN482" t="str">
        <f>""</f>
        <v/>
      </c>
      <c r="BO482" t="str">
        <f>""</f>
        <v/>
      </c>
      <c r="BP482" t="str">
        <f>""</f>
        <v/>
      </c>
      <c r="BQ482" t="str">
        <f>""</f>
        <v/>
      </c>
      <c r="BR482" t="str">
        <f>""</f>
        <v/>
      </c>
      <c r="BS482" t="str">
        <f>""</f>
        <v/>
      </c>
      <c r="BT482" t="str">
        <f>""</f>
        <v/>
      </c>
      <c r="BU482" t="str">
        <f>""</f>
        <v/>
      </c>
      <c r="BV482" t="str">
        <f>""</f>
        <v/>
      </c>
      <c r="BW482" t="str">
        <f>""</f>
        <v/>
      </c>
      <c r="BX482" t="str">
        <f>""</f>
        <v/>
      </c>
      <c r="BY482" t="str">
        <f>""</f>
        <v/>
      </c>
      <c r="BZ482" t="str">
        <f>""</f>
        <v/>
      </c>
      <c r="CA482" t="str">
        <f>""</f>
        <v/>
      </c>
      <c r="CB482" t="str">
        <f>""</f>
        <v/>
      </c>
      <c r="CC482" t="str">
        <f>""</f>
        <v/>
      </c>
      <c r="CD482" t="str">
        <f>""</f>
        <v/>
      </c>
      <c r="CE482" t="str">
        <f>""</f>
        <v/>
      </c>
      <c r="CF482" t="str">
        <f>""</f>
        <v/>
      </c>
      <c r="CG482" t="str">
        <f>""</f>
        <v/>
      </c>
      <c r="CH482" t="str">
        <f>""</f>
        <v/>
      </c>
      <c r="CI482" t="str">
        <f>""</f>
        <v/>
      </c>
      <c r="CJ482" t="str">
        <f>""</f>
        <v/>
      </c>
      <c r="CK482" t="str">
        <f>""</f>
        <v/>
      </c>
      <c r="CL482" t="str">
        <f>""</f>
        <v/>
      </c>
      <c r="CM482" t="str">
        <f>""</f>
        <v/>
      </c>
      <c r="CN482" t="str">
        <f>""</f>
        <v/>
      </c>
      <c r="CO482" t="str">
        <f>""</f>
        <v/>
      </c>
      <c r="CP482" t="str">
        <f>""</f>
        <v/>
      </c>
      <c r="CQ482" t="str">
        <f>""</f>
        <v/>
      </c>
      <c r="CR482" t="str">
        <f>""</f>
        <v/>
      </c>
      <c r="CS482" t="str">
        <f>""</f>
        <v/>
      </c>
      <c r="CT482" t="str">
        <f>""</f>
        <v/>
      </c>
      <c r="CU482" t="str">
        <f>""</f>
        <v/>
      </c>
      <c r="CV482" t="str">
        <f>""</f>
        <v/>
      </c>
      <c r="CW482" t="str">
        <f>""</f>
        <v/>
      </c>
      <c r="CX482" t="str">
        <f>""</f>
        <v/>
      </c>
      <c r="CY482" t="str">
        <f>""</f>
        <v/>
      </c>
      <c r="CZ482" t="str">
        <f>""</f>
        <v/>
      </c>
      <c r="DA482" t="str">
        <f>""</f>
        <v/>
      </c>
      <c r="DB482" t="str">
        <f>""</f>
        <v/>
      </c>
      <c r="DC482" t="str">
        <f>""</f>
        <v/>
      </c>
      <c r="DD482" t="str">
        <f>""</f>
        <v/>
      </c>
      <c r="DE482" t="str">
        <f>""</f>
        <v/>
      </c>
      <c r="DF482" t="str">
        <f>""</f>
        <v/>
      </c>
      <c r="DG482" t="str">
        <f>""</f>
        <v/>
      </c>
      <c r="DH482" t="str">
        <f>""</f>
        <v/>
      </c>
      <c r="DI482" t="str">
        <f>""</f>
        <v/>
      </c>
      <c r="DJ482" t="str">
        <f>""</f>
        <v/>
      </c>
      <c r="DK482" t="str">
        <f>""</f>
        <v/>
      </c>
      <c r="DL482" t="str">
        <f>""</f>
        <v/>
      </c>
      <c r="DM482" t="str">
        <f>""</f>
        <v/>
      </c>
      <c r="DN482" t="str">
        <f>""</f>
        <v/>
      </c>
      <c r="DO482" t="str">
        <f>""</f>
        <v/>
      </c>
      <c r="DP482" t="str">
        <f>""</f>
        <v/>
      </c>
      <c r="DQ482" t="str">
        <f>""</f>
        <v/>
      </c>
      <c r="DR482" t="str">
        <f>""</f>
        <v/>
      </c>
      <c r="DS482" t="str">
        <f>""</f>
        <v/>
      </c>
      <c r="DT482" t="str">
        <f>""</f>
        <v/>
      </c>
      <c r="DU482" t="str">
        <f>""</f>
        <v/>
      </c>
    </row>
    <row r="483" spans="1:125">
      <c r="A483" t="str">
        <f>$A$177</f>
        <v xml:space="preserve">    Piedmont Office Realty Trust I</v>
      </c>
      <c r="B483" t="str">
        <f>$B$177</f>
        <v>PDM US Equity</v>
      </c>
      <c r="C483" t="str">
        <f>$C$177</f>
        <v>RR554</v>
      </c>
      <c r="D483" t="str">
        <f>$D$177</f>
        <v>FFO_RE_ASSET</v>
      </c>
      <c r="E483" t="str">
        <f>$E$177</f>
        <v>动态</v>
      </c>
      <c r="F483" t="str">
        <f ca="1">BDH($B$177,$C$177,$B$292,$B$293,CONCATENATE("Per=",$B$290),"Dts=H","Dir=H",CONCATENATE("Points=",$B$291),"Sort=R","Days=A","Fill=B",CONCATENATE("FX=", $B$289) )</f>
        <v>#N/A Authorization</v>
      </c>
      <c r="BN483" t="str">
        <f>""</f>
        <v/>
      </c>
      <c r="BO483" t="str">
        <f>""</f>
        <v/>
      </c>
      <c r="BP483" t="str">
        <f>""</f>
        <v/>
      </c>
      <c r="BQ483" t="str">
        <f>""</f>
        <v/>
      </c>
      <c r="BR483" t="str">
        <f>""</f>
        <v/>
      </c>
      <c r="BS483" t="str">
        <f>""</f>
        <v/>
      </c>
      <c r="BT483" t="str">
        <f>""</f>
        <v/>
      </c>
      <c r="BU483" t="str">
        <f>""</f>
        <v/>
      </c>
      <c r="BV483" t="str">
        <f>""</f>
        <v/>
      </c>
      <c r="BW483" t="str">
        <f>""</f>
        <v/>
      </c>
      <c r="BX483" t="str">
        <f>""</f>
        <v/>
      </c>
      <c r="BY483" t="str">
        <f>""</f>
        <v/>
      </c>
      <c r="BZ483" t="str">
        <f>""</f>
        <v/>
      </c>
      <c r="CA483" t="str">
        <f>""</f>
        <v/>
      </c>
      <c r="CB483" t="str">
        <f>""</f>
        <v/>
      </c>
      <c r="CC483" t="str">
        <f>""</f>
        <v/>
      </c>
      <c r="CD483" t="str">
        <f>""</f>
        <v/>
      </c>
      <c r="CE483" t="str">
        <f>""</f>
        <v/>
      </c>
      <c r="CF483" t="str">
        <f>""</f>
        <v/>
      </c>
      <c r="CG483" t="str">
        <f>""</f>
        <v/>
      </c>
      <c r="CH483" t="str">
        <f>""</f>
        <v/>
      </c>
      <c r="CI483" t="str">
        <f>""</f>
        <v/>
      </c>
      <c r="CJ483" t="str">
        <f>""</f>
        <v/>
      </c>
      <c r="CK483" t="str">
        <f>""</f>
        <v/>
      </c>
      <c r="CL483" t="str">
        <f>""</f>
        <v/>
      </c>
      <c r="CM483" t="str">
        <f>""</f>
        <v/>
      </c>
      <c r="CN483" t="str">
        <f>""</f>
        <v/>
      </c>
      <c r="CO483" t="str">
        <f>""</f>
        <v/>
      </c>
      <c r="CP483" t="str">
        <f>""</f>
        <v/>
      </c>
      <c r="CQ483" t="str">
        <f>""</f>
        <v/>
      </c>
      <c r="CR483" t="str">
        <f>""</f>
        <v/>
      </c>
      <c r="CS483" t="str">
        <f>""</f>
        <v/>
      </c>
      <c r="CT483" t="str">
        <f>""</f>
        <v/>
      </c>
      <c r="CU483" t="str">
        <f>""</f>
        <v/>
      </c>
      <c r="CV483" t="str">
        <f>""</f>
        <v/>
      </c>
      <c r="CW483" t="str">
        <f>""</f>
        <v/>
      </c>
      <c r="CX483" t="str">
        <f>""</f>
        <v/>
      </c>
      <c r="CY483" t="str">
        <f>""</f>
        <v/>
      </c>
      <c r="CZ483" t="str">
        <f>""</f>
        <v/>
      </c>
      <c r="DA483" t="str">
        <f>""</f>
        <v/>
      </c>
      <c r="DB483" t="str">
        <f>""</f>
        <v/>
      </c>
      <c r="DC483" t="str">
        <f>""</f>
        <v/>
      </c>
      <c r="DD483" t="str">
        <f>""</f>
        <v/>
      </c>
      <c r="DE483" t="str">
        <f>""</f>
        <v/>
      </c>
      <c r="DF483" t="str">
        <f>""</f>
        <v/>
      </c>
      <c r="DG483" t="str">
        <f>""</f>
        <v/>
      </c>
      <c r="DH483" t="str">
        <f>""</f>
        <v/>
      </c>
      <c r="DI483" t="str">
        <f>""</f>
        <v/>
      </c>
      <c r="DJ483" t="str">
        <f>""</f>
        <v/>
      </c>
      <c r="DK483" t="str">
        <f>""</f>
        <v/>
      </c>
      <c r="DL483" t="str">
        <f>""</f>
        <v/>
      </c>
      <c r="DM483" t="str">
        <f>""</f>
        <v/>
      </c>
      <c r="DN483" t="str">
        <f>""</f>
        <v/>
      </c>
      <c r="DO483" t="str">
        <f>""</f>
        <v/>
      </c>
      <c r="DP483" t="str">
        <f>""</f>
        <v/>
      </c>
      <c r="DQ483" t="str">
        <f>""</f>
        <v/>
      </c>
      <c r="DR483" t="str">
        <f>""</f>
        <v/>
      </c>
      <c r="DS483" t="str">
        <f>""</f>
        <v/>
      </c>
      <c r="DT483" t="str">
        <f>""</f>
        <v/>
      </c>
      <c r="DU483" t="str">
        <f>""</f>
        <v/>
      </c>
    </row>
    <row r="484" spans="1:125">
      <c r="A484" t="str">
        <f>$A$178</f>
        <v xml:space="preserve">    SL Green Realty Corp</v>
      </c>
      <c r="B484" t="str">
        <f>$B$178</f>
        <v>SLG US Equity</v>
      </c>
      <c r="C484" t="str">
        <f>$C$178</f>
        <v>RR554</v>
      </c>
      <c r="D484" t="str">
        <f>$D$178</f>
        <v>FFO_RE_ASSET</v>
      </c>
      <c r="E484" t="str">
        <f>$E$178</f>
        <v>动态</v>
      </c>
      <c r="F484" t="str">
        <f ca="1">BDH($B$178,$C$178,$B$292,$B$293,CONCATENATE("Per=",$B$290),"Dts=H","Dir=H",CONCATENATE("Points=",$B$291),"Sort=R","Days=A","Fill=B",CONCATENATE("FX=", $B$289) )</f>
        <v>#N/A Authorization</v>
      </c>
      <c r="BN484" t="str">
        <f>""</f>
        <v/>
      </c>
      <c r="BO484" t="str">
        <f>""</f>
        <v/>
      </c>
      <c r="BP484" t="str">
        <f>""</f>
        <v/>
      </c>
      <c r="BQ484" t="str">
        <f>""</f>
        <v/>
      </c>
      <c r="BR484" t="str">
        <f>""</f>
        <v/>
      </c>
      <c r="BS484" t="str">
        <f>""</f>
        <v/>
      </c>
      <c r="BT484" t="str">
        <f>""</f>
        <v/>
      </c>
      <c r="BU484" t="str">
        <f>""</f>
        <v/>
      </c>
      <c r="BV484" t="str">
        <f>""</f>
        <v/>
      </c>
      <c r="BW484" t="str">
        <f>""</f>
        <v/>
      </c>
      <c r="BX484" t="str">
        <f>""</f>
        <v/>
      </c>
      <c r="BY484" t="str">
        <f>""</f>
        <v/>
      </c>
      <c r="BZ484" t="str">
        <f>""</f>
        <v/>
      </c>
      <c r="CA484" t="str">
        <f>""</f>
        <v/>
      </c>
      <c r="CB484" t="str">
        <f>""</f>
        <v/>
      </c>
      <c r="CC484" t="str">
        <f>""</f>
        <v/>
      </c>
      <c r="CD484" t="str">
        <f>""</f>
        <v/>
      </c>
      <c r="CE484" t="str">
        <f>""</f>
        <v/>
      </c>
      <c r="CF484" t="str">
        <f>""</f>
        <v/>
      </c>
      <c r="CG484" t="str">
        <f>""</f>
        <v/>
      </c>
      <c r="CH484" t="str">
        <f>""</f>
        <v/>
      </c>
      <c r="CI484" t="str">
        <f>""</f>
        <v/>
      </c>
      <c r="CJ484" t="str">
        <f>""</f>
        <v/>
      </c>
      <c r="CK484" t="str">
        <f>""</f>
        <v/>
      </c>
      <c r="CL484" t="str">
        <f>""</f>
        <v/>
      </c>
      <c r="CM484" t="str">
        <f>""</f>
        <v/>
      </c>
      <c r="CN484" t="str">
        <f>""</f>
        <v/>
      </c>
      <c r="CO484" t="str">
        <f>""</f>
        <v/>
      </c>
      <c r="CP484" t="str">
        <f>""</f>
        <v/>
      </c>
      <c r="CQ484" t="str">
        <f>""</f>
        <v/>
      </c>
      <c r="CR484" t="str">
        <f>""</f>
        <v/>
      </c>
      <c r="CS484" t="str">
        <f>""</f>
        <v/>
      </c>
      <c r="CT484" t="str">
        <f>""</f>
        <v/>
      </c>
      <c r="CU484" t="str">
        <f>""</f>
        <v/>
      </c>
      <c r="CV484" t="str">
        <f>""</f>
        <v/>
      </c>
      <c r="CW484" t="str">
        <f>""</f>
        <v/>
      </c>
      <c r="CX484" t="str">
        <f>""</f>
        <v/>
      </c>
      <c r="CY484" t="str">
        <f>""</f>
        <v/>
      </c>
      <c r="CZ484" t="str">
        <f>""</f>
        <v/>
      </c>
      <c r="DA484" t="str">
        <f>""</f>
        <v/>
      </c>
      <c r="DB484" t="str">
        <f>""</f>
        <v/>
      </c>
      <c r="DC484" t="str">
        <f>""</f>
        <v/>
      </c>
      <c r="DD484" t="str">
        <f>""</f>
        <v/>
      </c>
      <c r="DE484" t="str">
        <f>""</f>
        <v/>
      </c>
      <c r="DF484" t="str">
        <f>""</f>
        <v/>
      </c>
      <c r="DG484" t="str">
        <f>""</f>
        <v/>
      </c>
      <c r="DH484" t="str">
        <f>""</f>
        <v/>
      </c>
      <c r="DI484" t="str">
        <f>""</f>
        <v/>
      </c>
      <c r="DJ484" t="str">
        <f>""</f>
        <v/>
      </c>
      <c r="DK484" t="str">
        <f>""</f>
        <v/>
      </c>
      <c r="DL484" t="str">
        <f>""</f>
        <v/>
      </c>
      <c r="DM484" t="str">
        <f>""</f>
        <v/>
      </c>
      <c r="DN484" t="str">
        <f>""</f>
        <v/>
      </c>
      <c r="DO484" t="str">
        <f>""</f>
        <v/>
      </c>
      <c r="DP484" t="str">
        <f>""</f>
        <v/>
      </c>
      <c r="DQ484" t="str">
        <f>""</f>
        <v/>
      </c>
      <c r="DR484" t="str">
        <f>""</f>
        <v/>
      </c>
      <c r="DS484" t="str">
        <f>""</f>
        <v/>
      </c>
      <c r="DT484" t="str">
        <f>""</f>
        <v/>
      </c>
      <c r="DU484" t="str">
        <f>""</f>
        <v/>
      </c>
    </row>
    <row r="485" spans="1:125">
      <c r="A485" t="str">
        <f>$A$179</f>
        <v xml:space="preserve">    Vornado Realty Trust</v>
      </c>
      <c r="B485" t="str">
        <f>$B$179</f>
        <v>VNO US Equity</v>
      </c>
      <c r="C485" t="str">
        <f>$C$179</f>
        <v>RR554</v>
      </c>
      <c r="D485" t="str">
        <f>$D$179</f>
        <v>FFO_RE_ASSET</v>
      </c>
      <c r="E485" t="str">
        <f>$E$179</f>
        <v>动态</v>
      </c>
      <c r="F485" t="str">
        <f ca="1">BDH($B$179,$C$179,$B$292,$B$293,CONCATENATE("Per=",$B$290),"Dts=H","Dir=H",CONCATENATE("Points=",$B$291),"Sort=R","Days=A","Fill=B",CONCATENATE("FX=", $B$289) )</f>
        <v>#N/A Authorization</v>
      </c>
      <c r="BN485" t="str">
        <f>""</f>
        <v/>
      </c>
      <c r="BO485" t="str">
        <f>""</f>
        <v/>
      </c>
      <c r="BP485" t="str">
        <f>""</f>
        <v/>
      </c>
      <c r="BQ485" t="str">
        <f>""</f>
        <v/>
      </c>
      <c r="BR485" t="str">
        <f>""</f>
        <v/>
      </c>
      <c r="BS485" t="str">
        <f>""</f>
        <v/>
      </c>
      <c r="BT485" t="str">
        <f>""</f>
        <v/>
      </c>
      <c r="BU485" t="str">
        <f>""</f>
        <v/>
      </c>
      <c r="BV485" t="str">
        <f>""</f>
        <v/>
      </c>
      <c r="BW485" t="str">
        <f>""</f>
        <v/>
      </c>
      <c r="BX485" t="str">
        <f>""</f>
        <v/>
      </c>
      <c r="BY485" t="str">
        <f>""</f>
        <v/>
      </c>
      <c r="BZ485" t="str">
        <f>""</f>
        <v/>
      </c>
      <c r="CA485" t="str">
        <f>""</f>
        <v/>
      </c>
      <c r="CB485" t="str">
        <f>""</f>
        <v/>
      </c>
      <c r="CC485" t="str">
        <f>""</f>
        <v/>
      </c>
      <c r="CD485" t="str">
        <f>""</f>
        <v/>
      </c>
      <c r="CE485" t="str">
        <f>""</f>
        <v/>
      </c>
      <c r="CF485" t="str">
        <f>""</f>
        <v/>
      </c>
      <c r="CG485" t="str">
        <f>""</f>
        <v/>
      </c>
      <c r="CH485" t="str">
        <f>""</f>
        <v/>
      </c>
      <c r="CI485" t="str">
        <f>""</f>
        <v/>
      </c>
      <c r="CJ485" t="str">
        <f>""</f>
        <v/>
      </c>
      <c r="CK485" t="str">
        <f>""</f>
        <v/>
      </c>
      <c r="CL485" t="str">
        <f>""</f>
        <v/>
      </c>
      <c r="CM485" t="str">
        <f>""</f>
        <v/>
      </c>
      <c r="CN485" t="str">
        <f>""</f>
        <v/>
      </c>
      <c r="CO485" t="str">
        <f>""</f>
        <v/>
      </c>
      <c r="CP485" t="str">
        <f>""</f>
        <v/>
      </c>
      <c r="CQ485" t="str">
        <f>""</f>
        <v/>
      </c>
      <c r="CR485" t="str">
        <f>""</f>
        <v/>
      </c>
      <c r="CS485" t="str">
        <f>""</f>
        <v/>
      </c>
      <c r="CT485" t="str">
        <f>""</f>
        <v/>
      </c>
      <c r="CU485" t="str">
        <f>""</f>
        <v/>
      </c>
      <c r="CV485" t="str">
        <f>""</f>
        <v/>
      </c>
      <c r="CW485" t="str">
        <f>""</f>
        <v/>
      </c>
      <c r="CX485" t="str">
        <f>""</f>
        <v/>
      </c>
      <c r="CY485" t="str">
        <f>""</f>
        <v/>
      </c>
      <c r="CZ485" t="str">
        <f>""</f>
        <v/>
      </c>
      <c r="DA485" t="str">
        <f>""</f>
        <v/>
      </c>
      <c r="DB485" t="str">
        <f>""</f>
        <v/>
      </c>
      <c r="DC485" t="str">
        <f>""</f>
        <v/>
      </c>
      <c r="DD485" t="str">
        <f>""</f>
        <v/>
      </c>
      <c r="DE485" t="str">
        <f>""</f>
        <v/>
      </c>
      <c r="DF485" t="str">
        <f>""</f>
        <v/>
      </c>
      <c r="DG485" t="str">
        <f>""</f>
        <v/>
      </c>
      <c r="DH485" t="str">
        <f>""</f>
        <v/>
      </c>
      <c r="DI485" t="str">
        <f>""</f>
        <v/>
      </c>
      <c r="DJ485" t="str">
        <f>""</f>
        <v/>
      </c>
      <c r="DK485" t="str">
        <f>""</f>
        <v/>
      </c>
      <c r="DL485" t="str">
        <f>""</f>
        <v/>
      </c>
      <c r="DM485" t="str">
        <f>""</f>
        <v/>
      </c>
      <c r="DN485" t="str">
        <f>""</f>
        <v/>
      </c>
      <c r="DO485" t="str">
        <f>""</f>
        <v/>
      </c>
      <c r="DP485" t="str">
        <f>""</f>
        <v/>
      </c>
      <c r="DQ485" t="str">
        <f>""</f>
        <v/>
      </c>
      <c r="DR485" t="str">
        <f>""</f>
        <v/>
      </c>
      <c r="DS485" t="str">
        <f>""</f>
        <v/>
      </c>
      <c r="DT485" t="str">
        <f>""</f>
        <v/>
      </c>
      <c r="DU485" t="str">
        <f>""</f>
        <v/>
      </c>
    </row>
    <row r="486" spans="1:125">
      <c r="A486" t="str">
        <f>$A$181</f>
        <v xml:space="preserve">    Boston Properties Inc</v>
      </c>
      <c r="B486" t="str">
        <f>$B$181</f>
        <v>BXP US Equity</v>
      </c>
      <c r="C486" t="str">
        <f>$C$181</f>
        <v>F1178</v>
      </c>
      <c r="D486" t="str">
        <f>$D$181</f>
        <v>NET_DEBT_EBITDA_ADJUSTED</v>
      </c>
      <c r="E486" t="str">
        <f>$E$181</f>
        <v>动态</v>
      </c>
      <c r="F486" t="str">
        <f ca="1">BDH($B$181,$C$181,$B$292,$B$293,CONCATENATE("Per=",$B$290),"Dts=H","Dir=H",CONCATENATE("Points=",$B$291),"Sort=R","Days=A","Fill=B",CONCATENATE("FX=", $B$289) )</f>
        <v>#N/A Authorization</v>
      </c>
      <c r="BN486" t="str">
        <f>""</f>
        <v/>
      </c>
      <c r="BO486" t="str">
        <f>""</f>
        <v/>
      </c>
      <c r="BP486" t="str">
        <f>""</f>
        <v/>
      </c>
      <c r="BQ486" t="str">
        <f>""</f>
        <v/>
      </c>
      <c r="BR486" t="str">
        <f>""</f>
        <v/>
      </c>
      <c r="BS486" t="str">
        <f>""</f>
        <v/>
      </c>
      <c r="BT486" t="str">
        <f>""</f>
        <v/>
      </c>
      <c r="BU486" t="str">
        <f>""</f>
        <v/>
      </c>
      <c r="BV486" t="str">
        <f>""</f>
        <v/>
      </c>
      <c r="BW486" t="str">
        <f>""</f>
        <v/>
      </c>
      <c r="BX486" t="str">
        <f>""</f>
        <v/>
      </c>
      <c r="BY486" t="str">
        <f>""</f>
        <v/>
      </c>
      <c r="BZ486" t="str">
        <f>""</f>
        <v/>
      </c>
      <c r="CA486" t="str">
        <f>""</f>
        <v/>
      </c>
      <c r="CB486" t="str">
        <f>""</f>
        <v/>
      </c>
      <c r="CC486" t="str">
        <f>""</f>
        <v/>
      </c>
      <c r="CD486" t="str">
        <f>""</f>
        <v/>
      </c>
      <c r="CE486" t="str">
        <f>""</f>
        <v/>
      </c>
      <c r="CF486" t="str">
        <f>""</f>
        <v/>
      </c>
      <c r="CG486" t="str">
        <f>""</f>
        <v/>
      </c>
      <c r="CH486" t="str">
        <f>""</f>
        <v/>
      </c>
      <c r="CI486" t="str">
        <f>""</f>
        <v/>
      </c>
      <c r="CJ486" t="str">
        <f>""</f>
        <v/>
      </c>
      <c r="CK486" t="str">
        <f>""</f>
        <v/>
      </c>
      <c r="CL486" t="str">
        <f>""</f>
        <v/>
      </c>
      <c r="CM486" t="str">
        <f>""</f>
        <v/>
      </c>
      <c r="CN486" t="str">
        <f>""</f>
        <v/>
      </c>
      <c r="CO486" t="str">
        <f>""</f>
        <v/>
      </c>
      <c r="CP486" t="str">
        <f>""</f>
        <v/>
      </c>
      <c r="CQ486" t="str">
        <f>""</f>
        <v/>
      </c>
      <c r="CR486" t="str">
        <f>""</f>
        <v/>
      </c>
      <c r="CS486" t="str">
        <f>""</f>
        <v/>
      </c>
      <c r="CT486" t="str">
        <f>""</f>
        <v/>
      </c>
      <c r="CU486" t="str">
        <f>""</f>
        <v/>
      </c>
      <c r="CV486" t="str">
        <f>""</f>
        <v/>
      </c>
      <c r="CW486" t="str">
        <f>""</f>
        <v/>
      </c>
      <c r="CX486" t="str">
        <f>""</f>
        <v/>
      </c>
      <c r="CY486" t="str">
        <f>""</f>
        <v/>
      </c>
      <c r="CZ486" t="str">
        <f>""</f>
        <v/>
      </c>
      <c r="DA486" t="str">
        <f>""</f>
        <v/>
      </c>
      <c r="DB486" t="str">
        <f>""</f>
        <v/>
      </c>
      <c r="DC486" t="str">
        <f>""</f>
        <v/>
      </c>
      <c r="DD486" t="str">
        <f>""</f>
        <v/>
      </c>
      <c r="DE486" t="str">
        <f>""</f>
        <v/>
      </c>
      <c r="DF486" t="str">
        <f>""</f>
        <v/>
      </c>
      <c r="DG486" t="str">
        <f>""</f>
        <v/>
      </c>
      <c r="DH486" t="str">
        <f>""</f>
        <v/>
      </c>
      <c r="DI486" t="str">
        <f>""</f>
        <v/>
      </c>
      <c r="DJ486" t="str">
        <f>""</f>
        <v/>
      </c>
      <c r="DK486" t="str">
        <f>""</f>
        <v/>
      </c>
      <c r="DL486" t="str">
        <f>""</f>
        <v/>
      </c>
      <c r="DM486" t="str">
        <f>""</f>
        <v/>
      </c>
      <c r="DN486" t="str">
        <f>""</f>
        <v/>
      </c>
      <c r="DO486" t="str">
        <f>""</f>
        <v/>
      </c>
      <c r="DP486" t="str">
        <f>""</f>
        <v/>
      </c>
      <c r="DQ486" t="str">
        <f>""</f>
        <v/>
      </c>
      <c r="DR486" t="str">
        <f>""</f>
        <v/>
      </c>
      <c r="DS486" t="str">
        <f>""</f>
        <v/>
      </c>
      <c r="DT486" t="str">
        <f>""</f>
        <v/>
      </c>
      <c r="DU486" t="str">
        <f>""</f>
        <v/>
      </c>
    </row>
    <row r="487" spans="1:125">
      <c r="A487" t="str">
        <f>$A$182</f>
        <v xml:space="preserve">    Brandywine Realty Trust</v>
      </c>
      <c r="B487" t="str">
        <f>$B$182</f>
        <v>BDN US Equity</v>
      </c>
      <c r="C487" t="str">
        <f>$C$182</f>
        <v>F1178</v>
      </c>
      <c r="D487" t="str">
        <f>$D$182</f>
        <v>NET_DEBT_EBITDA_ADJUSTED</v>
      </c>
      <c r="E487" t="str">
        <f>$E$182</f>
        <v>动态</v>
      </c>
      <c r="F487" t="str">
        <f ca="1">BDH($B$182,$C$182,$B$292,$B$293,CONCATENATE("Per=",$B$290),"Dts=H","Dir=H",CONCATENATE("Points=",$B$291),"Sort=R","Days=A","Fill=B",CONCATENATE("FX=", $B$289) )</f>
        <v>#N/A Authorization</v>
      </c>
      <c r="BN487" t="str">
        <f>""</f>
        <v/>
      </c>
      <c r="BO487" t="str">
        <f>""</f>
        <v/>
      </c>
      <c r="BP487" t="str">
        <f>""</f>
        <v/>
      </c>
      <c r="BQ487" t="str">
        <f>""</f>
        <v/>
      </c>
      <c r="BR487" t="str">
        <f>""</f>
        <v/>
      </c>
      <c r="BS487" t="str">
        <f>""</f>
        <v/>
      </c>
      <c r="BT487" t="str">
        <f>""</f>
        <v/>
      </c>
      <c r="BU487" t="str">
        <f>""</f>
        <v/>
      </c>
      <c r="BV487" t="str">
        <f>""</f>
        <v/>
      </c>
      <c r="BW487" t="str">
        <f>""</f>
        <v/>
      </c>
      <c r="BX487" t="str">
        <f>""</f>
        <v/>
      </c>
      <c r="BY487" t="str">
        <f>""</f>
        <v/>
      </c>
      <c r="BZ487" t="str">
        <f>""</f>
        <v/>
      </c>
      <c r="CA487" t="str">
        <f>""</f>
        <v/>
      </c>
      <c r="CB487" t="str">
        <f>""</f>
        <v/>
      </c>
      <c r="CC487" t="str">
        <f>""</f>
        <v/>
      </c>
      <c r="CD487" t="str">
        <f>""</f>
        <v/>
      </c>
      <c r="CE487" t="str">
        <f>""</f>
        <v/>
      </c>
      <c r="CF487" t="str">
        <f>""</f>
        <v/>
      </c>
      <c r="CG487" t="str">
        <f>""</f>
        <v/>
      </c>
      <c r="CH487" t="str">
        <f>""</f>
        <v/>
      </c>
      <c r="CI487" t="str">
        <f>""</f>
        <v/>
      </c>
      <c r="CJ487" t="str">
        <f>""</f>
        <v/>
      </c>
      <c r="CK487" t="str">
        <f>""</f>
        <v/>
      </c>
      <c r="CL487" t="str">
        <f>""</f>
        <v/>
      </c>
      <c r="CM487" t="str">
        <f>""</f>
        <v/>
      </c>
      <c r="CN487" t="str">
        <f>""</f>
        <v/>
      </c>
      <c r="CO487" t="str">
        <f>""</f>
        <v/>
      </c>
      <c r="CP487" t="str">
        <f>""</f>
        <v/>
      </c>
      <c r="CQ487" t="str">
        <f>""</f>
        <v/>
      </c>
      <c r="CR487" t="str">
        <f>""</f>
        <v/>
      </c>
      <c r="CS487" t="str">
        <f>""</f>
        <v/>
      </c>
      <c r="CT487" t="str">
        <f>""</f>
        <v/>
      </c>
      <c r="CU487" t="str">
        <f>""</f>
        <v/>
      </c>
      <c r="CV487" t="str">
        <f>""</f>
        <v/>
      </c>
      <c r="CW487" t="str">
        <f>""</f>
        <v/>
      </c>
      <c r="CX487" t="str">
        <f>""</f>
        <v/>
      </c>
      <c r="CY487" t="str">
        <f>""</f>
        <v/>
      </c>
      <c r="CZ487" t="str">
        <f>""</f>
        <v/>
      </c>
      <c r="DA487" t="str">
        <f>""</f>
        <v/>
      </c>
      <c r="DB487" t="str">
        <f>""</f>
        <v/>
      </c>
      <c r="DC487" t="str">
        <f>""</f>
        <v/>
      </c>
      <c r="DD487" t="str">
        <f>""</f>
        <v/>
      </c>
      <c r="DE487" t="str">
        <f>""</f>
        <v/>
      </c>
      <c r="DF487" t="str">
        <f>""</f>
        <v/>
      </c>
      <c r="DG487" t="str">
        <f>""</f>
        <v/>
      </c>
      <c r="DH487" t="str">
        <f>""</f>
        <v/>
      </c>
      <c r="DI487" t="str">
        <f>""</f>
        <v/>
      </c>
      <c r="DJ487" t="str">
        <f>""</f>
        <v/>
      </c>
      <c r="DK487" t="str">
        <f>""</f>
        <v/>
      </c>
      <c r="DL487" t="str">
        <f>""</f>
        <v/>
      </c>
      <c r="DM487" t="str">
        <f>""</f>
        <v/>
      </c>
      <c r="DN487" t="str">
        <f>""</f>
        <v/>
      </c>
      <c r="DO487" t="str">
        <f>""</f>
        <v/>
      </c>
      <c r="DP487" t="str">
        <f>""</f>
        <v/>
      </c>
      <c r="DQ487" t="str">
        <f>""</f>
        <v/>
      </c>
      <c r="DR487" t="str">
        <f>""</f>
        <v/>
      </c>
      <c r="DS487" t="str">
        <f>""</f>
        <v/>
      </c>
      <c r="DT487" t="str">
        <f>""</f>
        <v/>
      </c>
      <c r="DU487" t="str">
        <f>""</f>
        <v/>
      </c>
    </row>
    <row r="488" spans="1:125">
      <c r="A488" t="str">
        <f>$A$183</f>
        <v xml:space="preserve">    Columbia Property Trust Inc</v>
      </c>
      <c r="B488" t="str">
        <f>$B$183</f>
        <v>CXP US Equity</v>
      </c>
      <c r="C488" t="str">
        <f>$C$183</f>
        <v>F1178</v>
      </c>
      <c r="D488" t="str">
        <f>$D$183</f>
        <v>NET_DEBT_EBITDA_ADJUSTED</v>
      </c>
      <c r="E488" t="str">
        <f>$E$183</f>
        <v>动态</v>
      </c>
      <c r="F488" t="str">
        <f ca="1">BDH($B$183,$C$183,$B$292,$B$293,CONCATENATE("Per=",$B$290),"Dts=H","Dir=H",CONCATENATE("Points=",$B$291),"Sort=R","Days=A","Fill=B",CONCATENATE("FX=", $B$289) )</f>
        <v>#N/A Authorization</v>
      </c>
      <c r="BN488" t="str">
        <f>""</f>
        <v/>
      </c>
      <c r="BO488" t="str">
        <f>""</f>
        <v/>
      </c>
      <c r="BP488" t="str">
        <f>""</f>
        <v/>
      </c>
      <c r="BQ488" t="str">
        <f>""</f>
        <v/>
      </c>
      <c r="BR488" t="str">
        <f>""</f>
        <v/>
      </c>
      <c r="BS488" t="str">
        <f>""</f>
        <v/>
      </c>
      <c r="BT488" t="str">
        <f>""</f>
        <v/>
      </c>
      <c r="BU488" t="str">
        <f>""</f>
        <v/>
      </c>
      <c r="BV488" t="str">
        <f>""</f>
        <v/>
      </c>
      <c r="BW488" t="str">
        <f>""</f>
        <v/>
      </c>
      <c r="BX488" t="str">
        <f>""</f>
        <v/>
      </c>
      <c r="BY488" t="str">
        <f>""</f>
        <v/>
      </c>
      <c r="BZ488" t="str">
        <f>""</f>
        <v/>
      </c>
      <c r="CA488" t="str">
        <f>""</f>
        <v/>
      </c>
      <c r="CB488" t="str">
        <f>""</f>
        <v/>
      </c>
      <c r="CC488" t="str">
        <f>""</f>
        <v/>
      </c>
      <c r="CD488" t="str">
        <f>""</f>
        <v/>
      </c>
      <c r="CE488" t="str">
        <f>""</f>
        <v/>
      </c>
      <c r="CF488" t="str">
        <f>""</f>
        <v/>
      </c>
      <c r="CG488" t="str">
        <f>""</f>
        <v/>
      </c>
      <c r="CH488" t="str">
        <f>""</f>
        <v/>
      </c>
      <c r="CI488" t="str">
        <f>""</f>
        <v/>
      </c>
      <c r="CJ488" t="str">
        <f>""</f>
        <v/>
      </c>
      <c r="CK488" t="str">
        <f>""</f>
        <v/>
      </c>
      <c r="CL488" t="str">
        <f>""</f>
        <v/>
      </c>
      <c r="CM488" t="str">
        <f>""</f>
        <v/>
      </c>
      <c r="CN488" t="str">
        <f>""</f>
        <v/>
      </c>
      <c r="CO488" t="str">
        <f>""</f>
        <v/>
      </c>
      <c r="CP488" t="str">
        <f>""</f>
        <v/>
      </c>
      <c r="CQ488" t="str">
        <f>""</f>
        <v/>
      </c>
      <c r="CR488" t="str">
        <f>""</f>
        <v/>
      </c>
      <c r="CS488" t="str">
        <f>""</f>
        <v/>
      </c>
      <c r="CT488" t="str">
        <f>""</f>
        <v/>
      </c>
      <c r="CU488" t="str">
        <f>""</f>
        <v/>
      </c>
      <c r="CV488" t="str">
        <f>""</f>
        <v/>
      </c>
      <c r="CW488" t="str">
        <f>""</f>
        <v/>
      </c>
      <c r="CX488" t="str">
        <f>""</f>
        <v/>
      </c>
      <c r="CY488" t="str">
        <f>""</f>
        <v/>
      </c>
      <c r="CZ488" t="str">
        <f>""</f>
        <v/>
      </c>
      <c r="DA488" t="str">
        <f>""</f>
        <v/>
      </c>
      <c r="DB488" t="str">
        <f>""</f>
        <v/>
      </c>
      <c r="DC488" t="str">
        <f>""</f>
        <v/>
      </c>
      <c r="DD488" t="str">
        <f>""</f>
        <v/>
      </c>
      <c r="DE488" t="str">
        <f>""</f>
        <v/>
      </c>
      <c r="DF488" t="str">
        <f>""</f>
        <v/>
      </c>
      <c r="DG488" t="str">
        <f>""</f>
        <v/>
      </c>
      <c r="DH488" t="str">
        <f>""</f>
        <v/>
      </c>
      <c r="DI488" t="str">
        <f>""</f>
        <v/>
      </c>
      <c r="DJ488" t="str">
        <f>""</f>
        <v/>
      </c>
      <c r="DK488" t="str">
        <f>""</f>
        <v/>
      </c>
      <c r="DL488" t="str">
        <f>""</f>
        <v/>
      </c>
      <c r="DM488" t="str">
        <f>""</f>
        <v/>
      </c>
      <c r="DN488" t="str">
        <f>""</f>
        <v/>
      </c>
      <c r="DO488" t="str">
        <f>""</f>
        <v/>
      </c>
      <c r="DP488" t="str">
        <f>""</f>
        <v/>
      </c>
      <c r="DQ488" t="str">
        <f>""</f>
        <v/>
      </c>
      <c r="DR488" t="str">
        <f>""</f>
        <v/>
      </c>
      <c r="DS488" t="str">
        <f>""</f>
        <v/>
      </c>
      <c r="DT488" t="str">
        <f>""</f>
        <v/>
      </c>
      <c r="DU488" t="str">
        <f>""</f>
        <v/>
      </c>
    </row>
    <row r="489" spans="1:125">
      <c r="A489" t="str">
        <f>$A$184</f>
        <v xml:space="preserve">    Corporate Office Properties Tr</v>
      </c>
      <c r="B489" t="str">
        <f>$B$184</f>
        <v>OFC US Equity</v>
      </c>
      <c r="C489" t="str">
        <f>$C$184</f>
        <v>F1178</v>
      </c>
      <c r="D489" t="str">
        <f>$D$184</f>
        <v>NET_DEBT_EBITDA_ADJUSTED</v>
      </c>
      <c r="E489" t="str">
        <f>$E$184</f>
        <v>动态</v>
      </c>
      <c r="F489" t="str">
        <f ca="1">BDH($B$184,$C$184,$B$292,$B$293,CONCATENATE("Per=",$B$290),"Dts=H","Dir=H",CONCATENATE("Points=",$B$291),"Sort=R","Days=A","Fill=B",CONCATENATE("FX=", $B$289) )</f>
        <v>#N/A Authorization</v>
      </c>
      <c r="BN489" t="str">
        <f>""</f>
        <v/>
      </c>
      <c r="BO489" t="str">
        <f>""</f>
        <v/>
      </c>
      <c r="BP489" t="str">
        <f>""</f>
        <v/>
      </c>
      <c r="BQ489" t="str">
        <f>""</f>
        <v/>
      </c>
      <c r="BR489" t="str">
        <f>""</f>
        <v/>
      </c>
      <c r="BS489" t="str">
        <f>""</f>
        <v/>
      </c>
      <c r="BT489" t="str">
        <f>""</f>
        <v/>
      </c>
      <c r="BU489" t="str">
        <f>""</f>
        <v/>
      </c>
      <c r="BV489" t="str">
        <f>""</f>
        <v/>
      </c>
      <c r="BW489" t="str">
        <f>""</f>
        <v/>
      </c>
      <c r="BX489" t="str">
        <f>""</f>
        <v/>
      </c>
      <c r="BY489" t="str">
        <f>""</f>
        <v/>
      </c>
      <c r="BZ489" t="str">
        <f>""</f>
        <v/>
      </c>
      <c r="CA489" t="str">
        <f>""</f>
        <v/>
      </c>
      <c r="CB489" t="str">
        <f>""</f>
        <v/>
      </c>
      <c r="CC489" t="str">
        <f>""</f>
        <v/>
      </c>
      <c r="CD489" t="str">
        <f>""</f>
        <v/>
      </c>
      <c r="CE489" t="str">
        <f>""</f>
        <v/>
      </c>
      <c r="CF489" t="str">
        <f>""</f>
        <v/>
      </c>
      <c r="CG489" t="str">
        <f>""</f>
        <v/>
      </c>
      <c r="CH489" t="str">
        <f>""</f>
        <v/>
      </c>
      <c r="CI489" t="str">
        <f>""</f>
        <v/>
      </c>
      <c r="CJ489" t="str">
        <f>""</f>
        <v/>
      </c>
      <c r="CK489" t="str">
        <f>""</f>
        <v/>
      </c>
      <c r="CL489" t="str">
        <f>""</f>
        <v/>
      </c>
      <c r="CM489" t="str">
        <f>""</f>
        <v/>
      </c>
      <c r="CN489" t="str">
        <f>""</f>
        <v/>
      </c>
      <c r="CO489" t="str">
        <f>""</f>
        <v/>
      </c>
      <c r="CP489" t="str">
        <f>""</f>
        <v/>
      </c>
      <c r="CQ489" t="str">
        <f>""</f>
        <v/>
      </c>
      <c r="CR489" t="str">
        <f>""</f>
        <v/>
      </c>
      <c r="CS489" t="str">
        <f>""</f>
        <v/>
      </c>
      <c r="CT489" t="str">
        <f>""</f>
        <v/>
      </c>
      <c r="CU489" t="str">
        <f>""</f>
        <v/>
      </c>
      <c r="CV489" t="str">
        <f>""</f>
        <v/>
      </c>
      <c r="CW489" t="str">
        <f>""</f>
        <v/>
      </c>
      <c r="CX489" t="str">
        <f>""</f>
        <v/>
      </c>
      <c r="CY489" t="str">
        <f>""</f>
        <v/>
      </c>
      <c r="CZ489" t="str">
        <f>""</f>
        <v/>
      </c>
      <c r="DA489" t="str">
        <f>""</f>
        <v/>
      </c>
      <c r="DB489" t="str">
        <f>""</f>
        <v/>
      </c>
      <c r="DC489" t="str">
        <f>""</f>
        <v/>
      </c>
      <c r="DD489" t="str">
        <f>""</f>
        <v/>
      </c>
      <c r="DE489" t="str">
        <f>""</f>
        <v/>
      </c>
      <c r="DF489" t="str">
        <f>""</f>
        <v/>
      </c>
      <c r="DG489" t="str">
        <f>""</f>
        <v/>
      </c>
      <c r="DH489" t="str">
        <f>""</f>
        <v/>
      </c>
      <c r="DI489" t="str">
        <f>""</f>
        <v/>
      </c>
      <c r="DJ489" t="str">
        <f>""</f>
        <v/>
      </c>
      <c r="DK489" t="str">
        <f>""</f>
        <v/>
      </c>
      <c r="DL489" t="str">
        <f>""</f>
        <v/>
      </c>
      <c r="DM489" t="str">
        <f>""</f>
        <v/>
      </c>
      <c r="DN489" t="str">
        <f>""</f>
        <v/>
      </c>
      <c r="DO489" t="str">
        <f>""</f>
        <v/>
      </c>
      <c r="DP489" t="str">
        <f>""</f>
        <v/>
      </c>
      <c r="DQ489" t="str">
        <f>""</f>
        <v/>
      </c>
      <c r="DR489" t="str">
        <f>""</f>
        <v/>
      </c>
      <c r="DS489" t="str">
        <f>""</f>
        <v/>
      </c>
      <c r="DT489" t="str">
        <f>""</f>
        <v/>
      </c>
      <c r="DU489" t="str">
        <f>""</f>
        <v/>
      </c>
    </row>
    <row r="490" spans="1:125">
      <c r="A490" t="str">
        <f>$A$185</f>
        <v xml:space="preserve">    Highwoods Properties Inc</v>
      </c>
      <c r="B490" t="str">
        <f>$B$185</f>
        <v>HIW US Equity</v>
      </c>
      <c r="C490" t="str">
        <f>$C$185</f>
        <v>F1178</v>
      </c>
      <c r="D490" t="str">
        <f>$D$185</f>
        <v>NET_DEBT_EBITDA_ADJUSTED</v>
      </c>
      <c r="E490" t="str">
        <f>$E$185</f>
        <v>动态</v>
      </c>
      <c r="F490" t="str">
        <f ca="1">BDH($B$185,$C$185,$B$292,$B$293,CONCATENATE("Per=",$B$290),"Dts=H","Dir=H",CONCATENATE("Points=",$B$291),"Sort=R","Days=A","Fill=B",CONCATENATE("FX=", $B$289) )</f>
        <v>#N/A Authorization</v>
      </c>
      <c r="BN490" t="str">
        <f>""</f>
        <v/>
      </c>
      <c r="BO490" t="str">
        <f>""</f>
        <v/>
      </c>
      <c r="BP490" t="str">
        <f>""</f>
        <v/>
      </c>
      <c r="BQ490" t="str">
        <f>""</f>
        <v/>
      </c>
      <c r="BR490" t="str">
        <f>""</f>
        <v/>
      </c>
      <c r="BS490" t="str">
        <f>""</f>
        <v/>
      </c>
      <c r="BT490" t="str">
        <f>""</f>
        <v/>
      </c>
      <c r="BU490" t="str">
        <f>""</f>
        <v/>
      </c>
      <c r="BV490" t="str">
        <f>""</f>
        <v/>
      </c>
      <c r="BW490" t="str">
        <f>""</f>
        <v/>
      </c>
      <c r="BX490" t="str">
        <f>""</f>
        <v/>
      </c>
      <c r="BY490" t="str">
        <f>""</f>
        <v/>
      </c>
      <c r="BZ490" t="str">
        <f>""</f>
        <v/>
      </c>
      <c r="CA490" t="str">
        <f>""</f>
        <v/>
      </c>
      <c r="CB490" t="str">
        <f>""</f>
        <v/>
      </c>
      <c r="CC490" t="str">
        <f>""</f>
        <v/>
      </c>
      <c r="CD490" t="str">
        <f>""</f>
        <v/>
      </c>
      <c r="CE490" t="str">
        <f>""</f>
        <v/>
      </c>
      <c r="CF490" t="str">
        <f>""</f>
        <v/>
      </c>
      <c r="CG490" t="str">
        <f>""</f>
        <v/>
      </c>
      <c r="CH490" t="str">
        <f>""</f>
        <v/>
      </c>
      <c r="CI490" t="str">
        <f>""</f>
        <v/>
      </c>
      <c r="CJ490" t="str">
        <f>""</f>
        <v/>
      </c>
      <c r="CK490" t="str">
        <f>""</f>
        <v/>
      </c>
      <c r="CL490" t="str">
        <f>""</f>
        <v/>
      </c>
      <c r="CM490" t="str">
        <f>""</f>
        <v/>
      </c>
      <c r="CN490" t="str">
        <f>""</f>
        <v/>
      </c>
      <c r="CO490" t="str">
        <f>""</f>
        <v/>
      </c>
      <c r="CP490" t="str">
        <f>""</f>
        <v/>
      </c>
      <c r="CQ490" t="str">
        <f>""</f>
        <v/>
      </c>
      <c r="CR490" t="str">
        <f>""</f>
        <v/>
      </c>
      <c r="CS490" t="str">
        <f>""</f>
        <v/>
      </c>
      <c r="CT490" t="str">
        <f>""</f>
        <v/>
      </c>
      <c r="CU490" t="str">
        <f>""</f>
        <v/>
      </c>
      <c r="CV490" t="str">
        <f>""</f>
        <v/>
      </c>
      <c r="CW490" t="str">
        <f>""</f>
        <v/>
      </c>
      <c r="CX490" t="str">
        <f>""</f>
        <v/>
      </c>
      <c r="CY490" t="str">
        <f>""</f>
        <v/>
      </c>
      <c r="CZ490" t="str">
        <f>""</f>
        <v/>
      </c>
      <c r="DA490" t="str">
        <f>""</f>
        <v/>
      </c>
      <c r="DB490" t="str">
        <f>""</f>
        <v/>
      </c>
      <c r="DC490" t="str">
        <f>""</f>
        <v/>
      </c>
      <c r="DD490" t="str">
        <f>""</f>
        <v/>
      </c>
      <c r="DE490" t="str">
        <f>""</f>
        <v/>
      </c>
      <c r="DF490" t="str">
        <f>""</f>
        <v/>
      </c>
      <c r="DG490" t="str">
        <f>""</f>
        <v/>
      </c>
      <c r="DH490" t="str">
        <f>""</f>
        <v/>
      </c>
      <c r="DI490" t="str">
        <f>""</f>
        <v/>
      </c>
      <c r="DJ490" t="str">
        <f>""</f>
        <v/>
      </c>
      <c r="DK490" t="str">
        <f>""</f>
        <v/>
      </c>
      <c r="DL490" t="str">
        <f>""</f>
        <v/>
      </c>
      <c r="DM490" t="str">
        <f>""</f>
        <v/>
      </c>
      <c r="DN490" t="str">
        <f>""</f>
        <v/>
      </c>
      <c r="DO490" t="str">
        <f>""</f>
        <v/>
      </c>
      <c r="DP490" t="str">
        <f>""</f>
        <v/>
      </c>
      <c r="DQ490" t="str">
        <f>""</f>
        <v/>
      </c>
      <c r="DR490" t="str">
        <f>""</f>
        <v/>
      </c>
      <c r="DS490" t="str">
        <f>""</f>
        <v/>
      </c>
      <c r="DT490" t="str">
        <f>""</f>
        <v/>
      </c>
      <c r="DU490" t="str">
        <f>""</f>
        <v/>
      </c>
    </row>
    <row r="491" spans="1:125">
      <c r="A491" t="str">
        <f>$A$186</f>
        <v xml:space="preserve">    Kilroy Realty Corp</v>
      </c>
      <c r="B491" t="str">
        <f>$B$186</f>
        <v>KRC US Equity</v>
      </c>
      <c r="C491" t="str">
        <f>$C$186</f>
        <v>F1178</v>
      </c>
      <c r="D491" t="str">
        <f>$D$186</f>
        <v>NET_DEBT_EBITDA_ADJUSTED</v>
      </c>
      <c r="E491" t="str">
        <f>$E$186</f>
        <v>动态</v>
      </c>
      <c r="F491" t="str">
        <f ca="1">BDH($B$186,$C$186,$B$292,$B$293,CONCATENATE("Per=",$B$290),"Dts=H","Dir=H",CONCATENATE("Points=",$B$291),"Sort=R","Days=A","Fill=B",CONCATENATE("FX=", $B$289) )</f>
        <v>#N/A Authorization</v>
      </c>
      <c r="BN491" t="str">
        <f>""</f>
        <v/>
      </c>
      <c r="BO491" t="str">
        <f>""</f>
        <v/>
      </c>
      <c r="BP491" t="str">
        <f>""</f>
        <v/>
      </c>
      <c r="BQ491" t="str">
        <f>""</f>
        <v/>
      </c>
      <c r="BR491" t="str">
        <f>""</f>
        <v/>
      </c>
      <c r="BS491" t="str">
        <f>""</f>
        <v/>
      </c>
      <c r="BT491" t="str">
        <f>""</f>
        <v/>
      </c>
      <c r="BU491" t="str">
        <f>""</f>
        <v/>
      </c>
      <c r="BV491" t="str">
        <f>""</f>
        <v/>
      </c>
      <c r="BW491" t="str">
        <f>""</f>
        <v/>
      </c>
      <c r="BX491" t="str">
        <f>""</f>
        <v/>
      </c>
      <c r="BY491" t="str">
        <f>""</f>
        <v/>
      </c>
      <c r="BZ491" t="str">
        <f>""</f>
        <v/>
      </c>
      <c r="CA491" t="str">
        <f>""</f>
        <v/>
      </c>
      <c r="CB491" t="str">
        <f>""</f>
        <v/>
      </c>
      <c r="CC491" t="str">
        <f>""</f>
        <v/>
      </c>
      <c r="CD491" t="str">
        <f>""</f>
        <v/>
      </c>
      <c r="CE491" t="str">
        <f>""</f>
        <v/>
      </c>
      <c r="CF491" t="str">
        <f>""</f>
        <v/>
      </c>
      <c r="CG491" t="str">
        <f>""</f>
        <v/>
      </c>
      <c r="CH491" t="str">
        <f>""</f>
        <v/>
      </c>
      <c r="CI491" t="str">
        <f>""</f>
        <v/>
      </c>
      <c r="CJ491" t="str">
        <f>""</f>
        <v/>
      </c>
      <c r="CK491" t="str">
        <f>""</f>
        <v/>
      </c>
      <c r="CL491" t="str">
        <f>""</f>
        <v/>
      </c>
      <c r="CM491" t="str">
        <f>""</f>
        <v/>
      </c>
      <c r="CN491" t="str">
        <f>""</f>
        <v/>
      </c>
      <c r="CO491" t="str">
        <f>""</f>
        <v/>
      </c>
      <c r="CP491" t="str">
        <f>""</f>
        <v/>
      </c>
      <c r="CQ491" t="str">
        <f>""</f>
        <v/>
      </c>
      <c r="CR491" t="str">
        <f>""</f>
        <v/>
      </c>
      <c r="CS491" t="str">
        <f>""</f>
        <v/>
      </c>
      <c r="CT491" t="str">
        <f>""</f>
        <v/>
      </c>
      <c r="CU491" t="str">
        <f>""</f>
        <v/>
      </c>
      <c r="CV491" t="str">
        <f>""</f>
        <v/>
      </c>
      <c r="CW491" t="str">
        <f>""</f>
        <v/>
      </c>
      <c r="CX491" t="str">
        <f>""</f>
        <v/>
      </c>
      <c r="CY491" t="str">
        <f>""</f>
        <v/>
      </c>
      <c r="CZ491" t="str">
        <f>""</f>
        <v/>
      </c>
      <c r="DA491" t="str">
        <f>""</f>
        <v/>
      </c>
      <c r="DB491" t="str">
        <f>""</f>
        <v/>
      </c>
      <c r="DC491" t="str">
        <f>""</f>
        <v/>
      </c>
      <c r="DD491" t="str">
        <f>""</f>
        <v/>
      </c>
      <c r="DE491" t="str">
        <f>""</f>
        <v/>
      </c>
      <c r="DF491" t="str">
        <f>""</f>
        <v/>
      </c>
      <c r="DG491" t="str">
        <f>""</f>
        <v/>
      </c>
      <c r="DH491" t="str">
        <f>""</f>
        <v/>
      </c>
      <c r="DI491" t="str">
        <f>""</f>
        <v/>
      </c>
      <c r="DJ491" t="str">
        <f>""</f>
        <v/>
      </c>
      <c r="DK491" t="str">
        <f>""</f>
        <v/>
      </c>
      <c r="DL491" t="str">
        <f>""</f>
        <v/>
      </c>
      <c r="DM491" t="str">
        <f>""</f>
        <v/>
      </c>
      <c r="DN491" t="str">
        <f>""</f>
        <v/>
      </c>
      <c r="DO491" t="str">
        <f>""</f>
        <v/>
      </c>
      <c r="DP491" t="str">
        <f>""</f>
        <v/>
      </c>
      <c r="DQ491" t="str">
        <f>""</f>
        <v/>
      </c>
      <c r="DR491" t="str">
        <f>""</f>
        <v/>
      </c>
      <c r="DS491" t="str">
        <f>""</f>
        <v/>
      </c>
      <c r="DT491" t="str">
        <f>""</f>
        <v/>
      </c>
      <c r="DU491" t="str">
        <f>""</f>
        <v/>
      </c>
    </row>
    <row r="492" spans="1:125">
      <c r="A492" t="str">
        <f>$A$187</f>
        <v xml:space="preserve">    Mack-Cali Realty Corp</v>
      </c>
      <c r="B492" t="str">
        <f>$B$187</f>
        <v>CLI US Equity</v>
      </c>
      <c r="C492" t="str">
        <f>$C$187</f>
        <v>F1178</v>
      </c>
      <c r="D492" t="str">
        <f>$D$187</f>
        <v>NET_DEBT_EBITDA_ADJUSTED</v>
      </c>
      <c r="E492" t="str">
        <f>$E$187</f>
        <v>动态</v>
      </c>
      <c r="F492" t="str">
        <f ca="1">BDH($B$187,$C$187,$B$292,$B$293,CONCATENATE("Per=",$B$290),"Dts=H","Dir=H",CONCATENATE("Points=",$B$291),"Sort=R","Days=A","Fill=B",CONCATENATE("FX=", $B$289) )</f>
        <v>#N/A Authorization</v>
      </c>
      <c r="BN492" t="str">
        <f>""</f>
        <v/>
      </c>
      <c r="BO492" t="str">
        <f>""</f>
        <v/>
      </c>
      <c r="BP492" t="str">
        <f>""</f>
        <v/>
      </c>
      <c r="BQ492" t="str">
        <f>""</f>
        <v/>
      </c>
      <c r="BR492" t="str">
        <f>""</f>
        <v/>
      </c>
      <c r="BS492" t="str">
        <f>""</f>
        <v/>
      </c>
      <c r="BT492" t="str">
        <f>""</f>
        <v/>
      </c>
      <c r="BU492" t="str">
        <f>""</f>
        <v/>
      </c>
      <c r="BV492" t="str">
        <f>""</f>
        <v/>
      </c>
      <c r="BW492" t="str">
        <f>""</f>
        <v/>
      </c>
      <c r="BX492" t="str">
        <f>""</f>
        <v/>
      </c>
      <c r="BY492" t="str">
        <f>""</f>
        <v/>
      </c>
      <c r="BZ492" t="str">
        <f>""</f>
        <v/>
      </c>
      <c r="CA492" t="str">
        <f>""</f>
        <v/>
      </c>
      <c r="CB492" t="str">
        <f>""</f>
        <v/>
      </c>
      <c r="CC492" t="str">
        <f>""</f>
        <v/>
      </c>
      <c r="CD492" t="str">
        <f>""</f>
        <v/>
      </c>
      <c r="CE492" t="str">
        <f>""</f>
        <v/>
      </c>
      <c r="CF492" t="str">
        <f>""</f>
        <v/>
      </c>
      <c r="CG492" t="str">
        <f>""</f>
        <v/>
      </c>
      <c r="CH492" t="str">
        <f>""</f>
        <v/>
      </c>
      <c r="CI492" t="str">
        <f>""</f>
        <v/>
      </c>
      <c r="CJ492" t="str">
        <f>""</f>
        <v/>
      </c>
      <c r="CK492" t="str">
        <f>""</f>
        <v/>
      </c>
      <c r="CL492" t="str">
        <f>""</f>
        <v/>
      </c>
      <c r="CM492" t="str">
        <f>""</f>
        <v/>
      </c>
      <c r="CN492" t="str">
        <f>""</f>
        <v/>
      </c>
      <c r="CO492" t="str">
        <f>""</f>
        <v/>
      </c>
      <c r="CP492" t="str">
        <f>""</f>
        <v/>
      </c>
      <c r="CQ492" t="str">
        <f>""</f>
        <v/>
      </c>
      <c r="CR492" t="str">
        <f>""</f>
        <v/>
      </c>
      <c r="CS492" t="str">
        <f>""</f>
        <v/>
      </c>
      <c r="CT492" t="str">
        <f>""</f>
        <v/>
      </c>
      <c r="CU492" t="str">
        <f>""</f>
        <v/>
      </c>
      <c r="CV492" t="str">
        <f>""</f>
        <v/>
      </c>
      <c r="CW492" t="str">
        <f>""</f>
        <v/>
      </c>
      <c r="CX492" t="str">
        <f>""</f>
        <v/>
      </c>
      <c r="CY492" t="str">
        <f>""</f>
        <v/>
      </c>
      <c r="CZ492" t="str">
        <f>""</f>
        <v/>
      </c>
      <c r="DA492" t="str">
        <f>""</f>
        <v/>
      </c>
      <c r="DB492" t="str">
        <f>""</f>
        <v/>
      </c>
      <c r="DC492" t="str">
        <f>""</f>
        <v/>
      </c>
      <c r="DD492" t="str">
        <f>""</f>
        <v/>
      </c>
      <c r="DE492" t="str">
        <f>""</f>
        <v/>
      </c>
      <c r="DF492" t="str">
        <f>""</f>
        <v/>
      </c>
      <c r="DG492" t="str">
        <f>""</f>
        <v/>
      </c>
      <c r="DH492" t="str">
        <f>""</f>
        <v/>
      </c>
      <c r="DI492" t="str">
        <f>""</f>
        <v/>
      </c>
      <c r="DJ492" t="str">
        <f>""</f>
        <v/>
      </c>
      <c r="DK492" t="str">
        <f>""</f>
        <v/>
      </c>
      <c r="DL492" t="str">
        <f>""</f>
        <v/>
      </c>
      <c r="DM492" t="str">
        <f>""</f>
        <v/>
      </c>
      <c r="DN492" t="str">
        <f>""</f>
        <v/>
      </c>
      <c r="DO492" t="str">
        <f>""</f>
        <v/>
      </c>
      <c r="DP492" t="str">
        <f>""</f>
        <v/>
      </c>
      <c r="DQ492" t="str">
        <f>""</f>
        <v/>
      </c>
      <c r="DR492" t="str">
        <f>""</f>
        <v/>
      </c>
      <c r="DS492" t="str">
        <f>""</f>
        <v/>
      </c>
      <c r="DT492" t="str">
        <f>""</f>
        <v/>
      </c>
      <c r="DU492" t="str">
        <f>""</f>
        <v/>
      </c>
    </row>
    <row r="493" spans="1:125">
      <c r="A493" t="str">
        <f>$A$188</f>
        <v xml:space="preserve">    Piedmont Office Realty Trust I</v>
      </c>
      <c r="B493" t="str">
        <f>$B$188</f>
        <v>PDM US Equity</v>
      </c>
      <c r="C493" t="str">
        <f>$C$188</f>
        <v>F1178</v>
      </c>
      <c r="D493" t="str">
        <f>$D$188</f>
        <v>NET_DEBT_EBITDA_ADJUSTED</v>
      </c>
      <c r="E493" t="str">
        <f>$E$188</f>
        <v>动态</v>
      </c>
      <c r="F493" t="str">
        <f ca="1">BDH($B$188,$C$188,$B$292,$B$293,CONCATENATE("Per=",$B$290),"Dts=H","Dir=H",CONCATENATE("Points=",$B$291),"Sort=R","Days=A","Fill=B",CONCATENATE("FX=", $B$289) )</f>
        <v>#N/A Authorization</v>
      </c>
      <c r="BN493" t="str">
        <f>""</f>
        <v/>
      </c>
      <c r="BO493" t="str">
        <f>""</f>
        <v/>
      </c>
      <c r="BP493" t="str">
        <f>""</f>
        <v/>
      </c>
      <c r="BQ493" t="str">
        <f>""</f>
        <v/>
      </c>
      <c r="BR493" t="str">
        <f>""</f>
        <v/>
      </c>
      <c r="BS493" t="str">
        <f>""</f>
        <v/>
      </c>
      <c r="BT493" t="str">
        <f>""</f>
        <v/>
      </c>
      <c r="BU493" t="str">
        <f>""</f>
        <v/>
      </c>
      <c r="BV493" t="str">
        <f>""</f>
        <v/>
      </c>
      <c r="BW493" t="str">
        <f>""</f>
        <v/>
      </c>
      <c r="BX493" t="str">
        <f>""</f>
        <v/>
      </c>
      <c r="BY493" t="str">
        <f>""</f>
        <v/>
      </c>
      <c r="BZ493" t="str">
        <f>""</f>
        <v/>
      </c>
      <c r="CA493" t="str">
        <f>""</f>
        <v/>
      </c>
      <c r="CB493" t="str">
        <f>""</f>
        <v/>
      </c>
      <c r="CC493" t="str">
        <f>""</f>
        <v/>
      </c>
      <c r="CD493" t="str">
        <f>""</f>
        <v/>
      </c>
      <c r="CE493" t="str">
        <f>""</f>
        <v/>
      </c>
      <c r="CF493" t="str">
        <f>""</f>
        <v/>
      </c>
      <c r="CG493" t="str">
        <f>""</f>
        <v/>
      </c>
      <c r="CH493" t="str">
        <f>""</f>
        <v/>
      </c>
      <c r="CI493" t="str">
        <f>""</f>
        <v/>
      </c>
      <c r="CJ493" t="str">
        <f>""</f>
        <v/>
      </c>
      <c r="CK493" t="str">
        <f>""</f>
        <v/>
      </c>
      <c r="CL493" t="str">
        <f>""</f>
        <v/>
      </c>
      <c r="CM493" t="str">
        <f>""</f>
        <v/>
      </c>
      <c r="CN493" t="str">
        <f>""</f>
        <v/>
      </c>
      <c r="CO493" t="str">
        <f>""</f>
        <v/>
      </c>
      <c r="CP493" t="str">
        <f>""</f>
        <v/>
      </c>
      <c r="CQ493" t="str">
        <f>""</f>
        <v/>
      </c>
      <c r="CR493" t="str">
        <f>""</f>
        <v/>
      </c>
      <c r="CS493" t="str">
        <f>""</f>
        <v/>
      </c>
      <c r="CT493" t="str">
        <f>""</f>
        <v/>
      </c>
      <c r="CU493" t="str">
        <f>""</f>
        <v/>
      </c>
      <c r="CV493" t="str">
        <f>""</f>
        <v/>
      </c>
      <c r="CW493" t="str">
        <f>""</f>
        <v/>
      </c>
      <c r="CX493" t="str">
        <f>""</f>
        <v/>
      </c>
      <c r="CY493" t="str">
        <f>""</f>
        <v/>
      </c>
      <c r="CZ493" t="str">
        <f>""</f>
        <v/>
      </c>
      <c r="DA493" t="str">
        <f>""</f>
        <v/>
      </c>
      <c r="DB493" t="str">
        <f>""</f>
        <v/>
      </c>
      <c r="DC493" t="str">
        <f>""</f>
        <v/>
      </c>
      <c r="DD493" t="str">
        <f>""</f>
        <v/>
      </c>
      <c r="DE493" t="str">
        <f>""</f>
        <v/>
      </c>
      <c r="DF493" t="str">
        <f>""</f>
        <v/>
      </c>
      <c r="DG493" t="str">
        <f>""</f>
        <v/>
      </c>
      <c r="DH493" t="str">
        <f>""</f>
        <v/>
      </c>
      <c r="DI493" t="str">
        <f>""</f>
        <v/>
      </c>
      <c r="DJ493" t="str">
        <f>""</f>
        <v/>
      </c>
      <c r="DK493" t="str">
        <f>""</f>
        <v/>
      </c>
      <c r="DL493" t="str">
        <f>""</f>
        <v/>
      </c>
      <c r="DM493" t="str">
        <f>""</f>
        <v/>
      </c>
      <c r="DN493" t="str">
        <f>""</f>
        <v/>
      </c>
      <c r="DO493" t="str">
        <f>""</f>
        <v/>
      </c>
      <c r="DP493" t="str">
        <f>""</f>
        <v/>
      </c>
      <c r="DQ493" t="str">
        <f>""</f>
        <v/>
      </c>
      <c r="DR493" t="str">
        <f>""</f>
        <v/>
      </c>
      <c r="DS493" t="str">
        <f>""</f>
        <v/>
      </c>
      <c r="DT493" t="str">
        <f>""</f>
        <v/>
      </c>
      <c r="DU493" t="str">
        <f>""</f>
        <v/>
      </c>
    </row>
    <row r="494" spans="1:125">
      <c r="A494" t="str">
        <f>$A$189</f>
        <v xml:space="preserve">    SL Green Realty Corp</v>
      </c>
      <c r="B494" t="str">
        <f>$B$189</f>
        <v>SLG US Equity</v>
      </c>
      <c r="C494" t="str">
        <f>$C$189</f>
        <v>F1178</v>
      </c>
      <c r="D494" t="str">
        <f>$D$189</f>
        <v>NET_DEBT_EBITDA_ADJUSTED</v>
      </c>
      <c r="E494" t="str">
        <f>$E$189</f>
        <v>动态</v>
      </c>
      <c r="F494" t="str">
        <f ca="1">BDH($B$189,$C$189,$B$292,$B$293,CONCATENATE("Per=",$B$290),"Dts=H","Dir=H",CONCATENATE("Points=",$B$291),"Sort=R","Days=A","Fill=B",CONCATENATE("FX=", $B$289) )</f>
        <v>#N/A Authorization</v>
      </c>
      <c r="BN494" t="str">
        <f>""</f>
        <v/>
      </c>
      <c r="BO494" t="str">
        <f>""</f>
        <v/>
      </c>
      <c r="BP494" t="str">
        <f>""</f>
        <v/>
      </c>
      <c r="BQ494" t="str">
        <f>""</f>
        <v/>
      </c>
      <c r="BR494" t="str">
        <f>""</f>
        <v/>
      </c>
      <c r="BS494" t="str">
        <f>""</f>
        <v/>
      </c>
      <c r="BT494" t="str">
        <f>""</f>
        <v/>
      </c>
      <c r="BU494" t="str">
        <f>""</f>
        <v/>
      </c>
      <c r="BV494" t="str">
        <f>""</f>
        <v/>
      </c>
      <c r="BW494" t="str">
        <f>""</f>
        <v/>
      </c>
      <c r="BX494" t="str">
        <f>""</f>
        <v/>
      </c>
      <c r="BY494" t="str">
        <f>""</f>
        <v/>
      </c>
      <c r="BZ494" t="str">
        <f>""</f>
        <v/>
      </c>
      <c r="CA494" t="str">
        <f>""</f>
        <v/>
      </c>
      <c r="CB494" t="str">
        <f>""</f>
        <v/>
      </c>
      <c r="CC494" t="str">
        <f>""</f>
        <v/>
      </c>
      <c r="CD494" t="str">
        <f>""</f>
        <v/>
      </c>
      <c r="CE494" t="str">
        <f>""</f>
        <v/>
      </c>
      <c r="CF494" t="str">
        <f>""</f>
        <v/>
      </c>
      <c r="CG494" t="str">
        <f>""</f>
        <v/>
      </c>
      <c r="CH494" t="str">
        <f>""</f>
        <v/>
      </c>
      <c r="CI494" t="str">
        <f>""</f>
        <v/>
      </c>
      <c r="CJ494" t="str">
        <f>""</f>
        <v/>
      </c>
      <c r="CK494" t="str">
        <f>""</f>
        <v/>
      </c>
      <c r="CL494" t="str">
        <f>""</f>
        <v/>
      </c>
      <c r="CM494" t="str">
        <f>""</f>
        <v/>
      </c>
      <c r="CN494" t="str">
        <f>""</f>
        <v/>
      </c>
      <c r="CO494" t="str">
        <f>""</f>
        <v/>
      </c>
      <c r="CP494" t="str">
        <f>""</f>
        <v/>
      </c>
      <c r="CQ494" t="str">
        <f>""</f>
        <v/>
      </c>
      <c r="CR494" t="str">
        <f>""</f>
        <v/>
      </c>
      <c r="CS494" t="str">
        <f>""</f>
        <v/>
      </c>
      <c r="CT494" t="str">
        <f>""</f>
        <v/>
      </c>
      <c r="CU494" t="str">
        <f>""</f>
        <v/>
      </c>
      <c r="CV494" t="str">
        <f>""</f>
        <v/>
      </c>
      <c r="CW494" t="str">
        <f>""</f>
        <v/>
      </c>
      <c r="CX494" t="str">
        <f>""</f>
        <v/>
      </c>
      <c r="CY494" t="str">
        <f>""</f>
        <v/>
      </c>
      <c r="CZ494" t="str">
        <f>""</f>
        <v/>
      </c>
      <c r="DA494" t="str">
        <f>""</f>
        <v/>
      </c>
      <c r="DB494" t="str">
        <f>""</f>
        <v/>
      </c>
      <c r="DC494" t="str">
        <f>""</f>
        <v/>
      </c>
      <c r="DD494" t="str">
        <f>""</f>
        <v/>
      </c>
      <c r="DE494" t="str">
        <f>""</f>
        <v/>
      </c>
      <c r="DF494" t="str">
        <f>""</f>
        <v/>
      </c>
      <c r="DG494" t="str">
        <f>""</f>
        <v/>
      </c>
      <c r="DH494" t="str">
        <f>""</f>
        <v/>
      </c>
      <c r="DI494" t="str">
        <f>""</f>
        <v/>
      </c>
      <c r="DJ494" t="str">
        <f>""</f>
        <v/>
      </c>
      <c r="DK494" t="str">
        <f>""</f>
        <v/>
      </c>
      <c r="DL494" t="str">
        <f>""</f>
        <v/>
      </c>
      <c r="DM494" t="str">
        <f>""</f>
        <v/>
      </c>
      <c r="DN494" t="str">
        <f>""</f>
        <v/>
      </c>
      <c r="DO494" t="str">
        <f>""</f>
        <v/>
      </c>
      <c r="DP494" t="str">
        <f>""</f>
        <v/>
      </c>
      <c r="DQ494" t="str">
        <f>""</f>
        <v/>
      </c>
      <c r="DR494" t="str">
        <f>""</f>
        <v/>
      </c>
      <c r="DS494" t="str">
        <f>""</f>
        <v/>
      </c>
      <c r="DT494" t="str">
        <f>""</f>
        <v/>
      </c>
      <c r="DU494" t="str">
        <f>""</f>
        <v/>
      </c>
    </row>
    <row r="495" spans="1:125">
      <c r="A495" t="str">
        <f>$A$190</f>
        <v xml:space="preserve">    Vornado Realty Trust</v>
      </c>
      <c r="B495" t="str">
        <f>$B$190</f>
        <v>VNO US Equity</v>
      </c>
      <c r="C495" t="str">
        <f>$C$190</f>
        <v>F1178</v>
      </c>
      <c r="D495" t="str">
        <f>$D$190</f>
        <v>NET_DEBT_EBITDA_ADJUSTED</v>
      </c>
      <c r="E495" t="str">
        <f>$E$190</f>
        <v>动态</v>
      </c>
      <c r="F495" t="str">
        <f ca="1">BDH($B$190,$C$190,$B$292,$B$293,CONCATENATE("Per=",$B$290),"Dts=H","Dir=H",CONCATENATE("Points=",$B$291),"Sort=R","Days=A","Fill=B",CONCATENATE("FX=", $B$289) )</f>
        <v>#N/A Authorization</v>
      </c>
      <c r="BN495" t="str">
        <f>""</f>
        <v/>
      </c>
      <c r="BO495" t="str">
        <f>""</f>
        <v/>
      </c>
      <c r="BP495" t="str">
        <f>""</f>
        <v/>
      </c>
      <c r="BQ495" t="str">
        <f>""</f>
        <v/>
      </c>
      <c r="BR495" t="str">
        <f>""</f>
        <v/>
      </c>
      <c r="BS495" t="str">
        <f>""</f>
        <v/>
      </c>
      <c r="BT495" t="str">
        <f>""</f>
        <v/>
      </c>
      <c r="BU495" t="str">
        <f>""</f>
        <v/>
      </c>
      <c r="BV495" t="str">
        <f>""</f>
        <v/>
      </c>
      <c r="BW495" t="str">
        <f>""</f>
        <v/>
      </c>
      <c r="BX495" t="str">
        <f>""</f>
        <v/>
      </c>
      <c r="BY495" t="str">
        <f>""</f>
        <v/>
      </c>
      <c r="BZ495" t="str">
        <f>""</f>
        <v/>
      </c>
      <c r="CA495" t="str">
        <f>""</f>
        <v/>
      </c>
      <c r="CB495" t="str">
        <f>""</f>
        <v/>
      </c>
      <c r="CC495" t="str">
        <f>""</f>
        <v/>
      </c>
      <c r="CD495" t="str">
        <f>""</f>
        <v/>
      </c>
      <c r="CE495" t="str">
        <f>""</f>
        <v/>
      </c>
      <c r="CF495" t="str">
        <f>""</f>
        <v/>
      </c>
      <c r="CG495" t="str">
        <f>""</f>
        <v/>
      </c>
      <c r="CH495" t="str">
        <f>""</f>
        <v/>
      </c>
      <c r="CI495" t="str">
        <f>""</f>
        <v/>
      </c>
      <c r="CJ495" t="str">
        <f>""</f>
        <v/>
      </c>
      <c r="CK495" t="str">
        <f>""</f>
        <v/>
      </c>
      <c r="CL495" t="str">
        <f>""</f>
        <v/>
      </c>
      <c r="CM495" t="str">
        <f>""</f>
        <v/>
      </c>
      <c r="CN495" t="str">
        <f>""</f>
        <v/>
      </c>
      <c r="CO495" t="str">
        <f>""</f>
        <v/>
      </c>
      <c r="CP495" t="str">
        <f>""</f>
        <v/>
      </c>
      <c r="CQ495" t="str">
        <f>""</f>
        <v/>
      </c>
      <c r="CR495" t="str">
        <f>""</f>
        <v/>
      </c>
      <c r="CS495" t="str">
        <f>""</f>
        <v/>
      </c>
      <c r="CT495" t="str">
        <f>""</f>
        <v/>
      </c>
      <c r="CU495" t="str">
        <f>""</f>
        <v/>
      </c>
      <c r="CV495" t="str">
        <f>""</f>
        <v/>
      </c>
      <c r="CW495" t="str">
        <f>""</f>
        <v/>
      </c>
      <c r="CX495" t="str">
        <f>""</f>
        <v/>
      </c>
      <c r="CY495" t="str">
        <f>""</f>
        <v/>
      </c>
      <c r="CZ495" t="str">
        <f>""</f>
        <v/>
      </c>
      <c r="DA495" t="str">
        <f>""</f>
        <v/>
      </c>
      <c r="DB495" t="str">
        <f>""</f>
        <v/>
      </c>
      <c r="DC495" t="str">
        <f>""</f>
        <v/>
      </c>
      <c r="DD495" t="str">
        <f>""</f>
        <v/>
      </c>
      <c r="DE495" t="str">
        <f>""</f>
        <v/>
      </c>
      <c r="DF495" t="str">
        <f>""</f>
        <v/>
      </c>
      <c r="DG495" t="str">
        <f>""</f>
        <v/>
      </c>
      <c r="DH495" t="str">
        <f>""</f>
        <v/>
      </c>
      <c r="DI495" t="str">
        <f>""</f>
        <v/>
      </c>
      <c r="DJ495" t="str">
        <f>""</f>
        <v/>
      </c>
      <c r="DK495" t="str">
        <f>""</f>
        <v/>
      </c>
      <c r="DL495" t="str">
        <f>""</f>
        <v/>
      </c>
      <c r="DM495" t="str">
        <f>""</f>
        <v/>
      </c>
      <c r="DN495" t="str">
        <f>""</f>
        <v/>
      </c>
      <c r="DO495" t="str">
        <f>""</f>
        <v/>
      </c>
      <c r="DP495" t="str">
        <f>""</f>
        <v/>
      </c>
      <c r="DQ495" t="str">
        <f>""</f>
        <v/>
      </c>
      <c r="DR495" t="str">
        <f>""</f>
        <v/>
      </c>
      <c r="DS495" t="str">
        <f>""</f>
        <v/>
      </c>
      <c r="DT495" t="str">
        <f>""</f>
        <v/>
      </c>
      <c r="DU495" t="str">
        <f>""</f>
        <v/>
      </c>
    </row>
    <row r="496" spans="1:125">
      <c r="A496" t="str">
        <f>$A$192</f>
        <v xml:space="preserve">    Boston Properties Inc</v>
      </c>
      <c r="B496" t="str">
        <f>$B$192</f>
        <v>BXP US Equity</v>
      </c>
      <c r="C496" t="str">
        <f>$C$192</f>
        <v>RR263</v>
      </c>
      <c r="D496" t="str">
        <f>$D$192</f>
        <v>DEBT_TO_MKT_CAP</v>
      </c>
      <c r="E496" t="str">
        <f>$E$192</f>
        <v>动态</v>
      </c>
      <c r="F496" t="str">
        <f ca="1">BDH($B$192,$C$192,$B$292,$B$293,CONCATENATE("Per=",$B$290),"Dts=H","Dir=H",CONCATENATE("Points=",$B$291),"Sort=R","Days=A","Fill=B",CONCATENATE("FX=", $B$289) )</f>
        <v>#N/A Authorization</v>
      </c>
      <c r="BN496" t="str">
        <f>""</f>
        <v/>
      </c>
      <c r="BO496" t="str">
        <f>""</f>
        <v/>
      </c>
      <c r="BP496" t="str">
        <f>""</f>
        <v/>
      </c>
      <c r="BQ496" t="str">
        <f>""</f>
        <v/>
      </c>
      <c r="BR496" t="str">
        <f>""</f>
        <v/>
      </c>
      <c r="BS496" t="str">
        <f>""</f>
        <v/>
      </c>
      <c r="BT496" t="str">
        <f>""</f>
        <v/>
      </c>
      <c r="BU496" t="str">
        <f>""</f>
        <v/>
      </c>
      <c r="BV496" t="str">
        <f>""</f>
        <v/>
      </c>
      <c r="BW496" t="str">
        <f>""</f>
        <v/>
      </c>
      <c r="BX496" t="str">
        <f>""</f>
        <v/>
      </c>
      <c r="BY496" t="str">
        <f>""</f>
        <v/>
      </c>
      <c r="BZ496" t="str">
        <f>""</f>
        <v/>
      </c>
      <c r="CA496" t="str">
        <f>""</f>
        <v/>
      </c>
      <c r="CB496" t="str">
        <f>""</f>
        <v/>
      </c>
      <c r="CC496" t="str">
        <f>""</f>
        <v/>
      </c>
      <c r="CD496" t="str">
        <f>""</f>
        <v/>
      </c>
      <c r="CE496" t="str">
        <f>""</f>
        <v/>
      </c>
      <c r="CF496" t="str">
        <f>""</f>
        <v/>
      </c>
      <c r="CG496" t="str">
        <f>""</f>
        <v/>
      </c>
      <c r="CH496" t="str">
        <f>""</f>
        <v/>
      </c>
      <c r="CI496" t="str">
        <f>""</f>
        <v/>
      </c>
      <c r="CJ496" t="str">
        <f>""</f>
        <v/>
      </c>
      <c r="CK496" t="str">
        <f>""</f>
        <v/>
      </c>
      <c r="CL496" t="str">
        <f>""</f>
        <v/>
      </c>
      <c r="CM496" t="str">
        <f>""</f>
        <v/>
      </c>
      <c r="CN496" t="str">
        <f>""</f>
        <v/>
      </c>
      <c r="CO496" t="str">
        <f>""</f>
        <v/>
      </c>
      <c r="CP496" t="str">
        <f>""</f>
        <v/>
      </c>
      <c r="CQ496" t="str">
        <f>""</f>
        <v/>
      </c>
      <c r="CR496" t="str">
        <f>""</f>
        <v/>
      </c>
      <c r="CS496" t="str">
        <f>""</f>
        <v/>
      </c>
      <c r="CT496" t="str">
        <f>""</f>
        <v/>
      </c>
      <c r="CU496" t="str">
        <f>""</f>
        <v/>
      </c>
      <c r="CV496" t="str">
        <f>""</f>
        <v/>
      </c>
      <c r="CW496" t="str">
        <f>""</f>
        <v/>
      </c>
      <c r="CX496" t="str">
        <f>""</f>
        <v/>
      </c>
      <c r="CY496" t="str">
        <f>""</f>
        <v/>
      </c>
      <c r="CZ496" t="str">
        <f>""</f>
        <v/>
      </c>
      <c r="DA496" t="str">
        <f>""</f>
        <v/>
      </c>
      <c r="DB496" t="str">
        <f>""</f>
        <v/>
      </c>
      <c r="DC496" t="str">
        <f>""</f>
        <v/>
      </c>
      <c r="DD496" t="str">
        <f>""</f>
        <v/>
      </c>
      <c r="DE496" t="str">
        <f>""</f>
        <v/>
      </c>
      <c r="DF496" t="str">
        <f>""</f>
        <v/>
      </c>
      <c r="DG496" t="str">
        <f>""</f>
        <v/>
      </c>
      <c r="DH496" t="str">
        <f>""</f>
        <v/>
      </c>
      <c r="DI496" t="str">
        <f>""</f>
        <v/>
      </c>
      <c r="DJ496" t="str">
        <f>""</f>
        <v/>
      </c>
      <c r="DK496" t="str">
        <f>""</f>
        <v/>
      </c>
      <c r="DL496" t="str">
        <f>""</f>
        <v/>
      </c>
      <c r="DM496" t="str">
        <f>""</f>
        <v/>
      </c>
      <c r="DN496" t="str">
        <f>""</f>
        <v/>
      </c>
      <c r="DO496" t="str">
        <f>""</f>
        <v/>
      </c>
      <c r="DP496" t="str">
        <f>""</f>
        <v/>
      </c>
      <c r="DQ496" t="str">
        <f>""</f>
        <v/>
      </c>
      <c r="DR496" t="str">
        <f>""</f>
        <v/>
      </c>
      <c r="DS496" t="str">
        <f>""</f>
        <v/>
      </c>
      <c r="DT496" t="str">
        <f>""</f>
        <v/>
      </c>
      <c r="DU496" t="str">
        <f>""</f>
        <v/>
      </c>
    </row>
    <row r="497" spans="1:125">
      <c r="A497" t="str">
        <f>$A$193</f>
        <v xml:space="preserve">    Brandywine Realty Trust</v>
      </c>
      <c r="B497" t="str">
        <f>$B$193</f>
        <v>BDN US Equity</v>
      </c>
      <c r="C497" t="str">
        <f>$C$193</f>
        <v>RR263</v>
      </c>
      <c r="D497" t="str">
        <f>$D$193</f>
        <v>DEBT_TO_MKT_CAP</v>
      </c>
      <c r="E497" t="str">
        <f>$E$193</f>
        <v>动态</v>
      </c>
      <c r="F497" t="str">
        <f ca="1">BDH($B$193,$C$193,$B$292,$B$293,CONCATENATE("Per=",$B$290),"Dts=H","Dir=H",CONCATENATE("Points=",$B$291),"Sort=R","Days=A","Fill=B",CONCATENATE("FX=", $B$289) )</f>
        <v>#N/A Authorization</v>
      </c>
      <c r="BN497" t="str">
        <f>""</f>
        <v/>
      </c>
      <c r="BO497" t="str">
        <f>""</f>
        <v/>
      </c>
      <c r="BP497" t="str">
        <f>""</f>
        <v/>
      </c>
      <c r="BQ497" t="str">
        <f>""</f>
        <v/>
      </c>
      <c r="BR497" t="str">
        <f>""</f>
        <v/>
      </c>
      <c r="BS497" t="str">
        <f>""</f>
        <v/>
      </c>
      <c r="BT497" t="str">
        <f>""</f>
        <v/>
      </c>
      <c r="BU497" t="str">
        <f>""</f>
        <v/>
      </c>
      <c r="BV497" t="str">
        <f>""</f>
        <v/>
      </c>
      <c r="BW497" t="str">
        <f>""</f>
        <v/>
      </c>
      <c r="BX497" t="str">
        <f>""</f>
        <v/>
      </c>
      <c r="BY497" t="str">
        <f>""</f>
        <v/>
      </c>
      <c r="BZ497" t="str">
        <f>""</f>
        <v/>
      </c>
      <c r="CA497" t="str">
        <f>""</f>
        <v/>
      </c>
      <c r="CB497" t="str">
        <f>""</f>
        <v/>
      </c>
      <c r="CC497" t="str">
        <f>""</f>
        <v/>
      </c>
      <c r="CD497" t="str">
        <f>""</f>
        <v/>
      </c>
      <c r="CE497" t="str">
        <f>""</f>
        <v/>
      </c>
      <c r="CF497" t="str">
        <f>""</f>
        <v/>
      </c>
      <c r="CG497" t="str">
        <f>""</f>
        <v/>
      </c>
      <c r="CH497" t="str">
        <f>""</f>
        <v/>
      </c>
      <c r="CI497" t="str">
        <f>""</f>
        <v/>
      </c>
      <c r="CJ497" t="str">
        <f>""</f>
        <v/>
      </c>
      <c r="CK497" t="str">
        <f>""</f>
        <v/>
      </c>
      <c r="CL497" t="str">
        <f>""</f>
        <v/>
      </c>
      <c r="CM497" t="str">
        <f>""</f>
        <v/>
      </c>
      <c r="CN497" t="str">
        <f>""</f>
        <v/>
      </c>
      <c r="CO497" t="str">
        <f>""</f>
        <v/>
      </c>
      <c r="CP497" t="str">
        <f>""</f>
        <v/>
      </c>
      <c r="CQ497" t="str">
        <f>""</f>
        <v/>
      </c>
      <c r="CR497" t="str">
        <f>""</f>
        <v/>
      </c>
      <c r="CS497" t="str">
        <f>""</f>
        <v/>
      </c>
      <c r="CT497" t="str">
        <f>""</f>
        <v/>
      </c>
      <c r="CU497" t="str">
        <f>""</f>
        <v/>
      </c>
      <c r="CV497" t="str">
        <f>""</f>
        <v/>
      </c>
      <c r="CW497" t="str">
        <f>""</f>
        <v/>
      </c>
      <c r="CX497" t="str">
        <f>""</f>
        <v/>
      </c>
      <c r="CY497" t="str">
        <f>""</f>
        <v/>
      </c>
      <c r="CZ497" t="str">
        <f>""</f>
        <v/>
      </c>
      <c r="DA497" t="str">
        <f>""</f>
        <v/>
      </c>
      <c r="DB497" t="str">
        <f>""</f>
        <v/>
      </c>
      <c r="DC497" t="str">
        <f>""</f>
        <v/>
      </c>
      <c r="DD497" t="str">
        <f>""</f>
        <v/>
      </c>
      <c r="DE497" t="str">
        <f>""</f>
        <v/>
      </c>
      <c r="DF497" t="str">
        <f>""</f>
        <v/>
      </c>
      <c r="DG497" t="str">
        <f>""</f>
        <v/>
      </c>
      <c r="DH497" t="str">
        <f>""</f>
        <v/>
      </c>
      <c r="DI497" t="str">
        <f>""</f>
        <v/>
      </c>
      <c r="DJ497" t="str">
        <f>""</f>
        <v/>
      </c>
      <c r="DK497" t="str">
        <f>""</f>
        <v/>
      </c>
      <c r="DL497" t="str">
        <f>""</f>
        <v/>
      </c>
      <c r="DM497" t="str">
        <f>""</f>
        <v/>
      </c>
      <c r="DN497" t="str">
        <f>""</f>
        <v/>
      </c>
      <c r="DO497" t="str">
        <f>""</f>
        <v/>
      </c>
      <c r="DP497" t="str">
        <f>""</f>
        <v/>
      </c>
      <c r="DQ497" t="str">
        <f>""</f>
        <v/>
      </c>
      <c r="DR497" t="str">
        <f>""</f>
        <v/>
      </c>
      <c r="DS497" t="str">
        <f>""</f>
        <v/>
      </c>
      <c r="DT497" t="str">
        <f>""</f>
        <v/>
      </c>
      <c r="DU497" t="str">
        <f>""</f>
        <v/>
      </c>
    </row>
    <row r="498" spans="1:125">
      <c r="A498" t="str">
        <f>$A$194</f>
        <v xml:space="preserve">    Columbia Property Trust Inc</v>
      </c>
      <c r="B498" t="str">
        <f>$B$194</f>
        <v>CXP US Equity</v>
      </c>
      <c r="C498" t="str">
        <f>$C$194</f>
        <v>RR263</v>
      </c>
      <c r="D498" t="str">
        <f>$D$194</f>
        <v>DEBT_TO_MKT_CAP</v>
      </c>
      <c r="E498" t="str">
        <f>$E$194</f>
        <v>动态</v>
      </c>
      <c r="F498" t="str">
        <f ca="1">BDH($B$194,$C$194,$B$292,$B$293,CONCATENATE("Per=",$B$290),"Dts=H","Dir=H",CONCATENATE("Points=",$B$291),"Sort=R","Days=A","Fill=B",CONCATENATE("FX=", $B$289) )</f>
        <v>#N/A Authorization</v>
      </c>
      <c r="BN498" t="str">
        <f>""</f>
        <v/>
      </c>
      <c r="BO498" t="str">
        <f>""</f>
        <v/>
      </c>
      <c r="BP498" t="str">
        <f>""</f>
        <v/>
      </c>
      <c r="BQ498" t="str">
        <f>""</f>
        <v/>
      </c>
      <c r="BR498" t="str">
        <f>""</f>
        <v/>
      </c>
      <c r="BS498" t="str">
        <f>""</f>
        <v/>
      </c>
      <c r="BT498" t="str">
        <f>""</f>
        <v/>
      </c>
      <c r="BU498" t="str">
        <f>""</f>
        <v/>
      </c>
      <c r="BV498" t="str">
        <f>""</f>
        <v/>
      </c>
      <c r="BW498" t="str">
        <f>""</f>
        <v/>
      </c>
      <c r="BX498" t="str">
        <f>""</f>
        <v/>
      </c>
      <c r="BY498" t="str">
        <f>""</f>
        <v/>
      </c>
      <c r="BZ498" t="str">
        <f>""</f>
        <v/>
      </c>
      <c r="CA498" t="str">
        <f>""</f>
        <v/>
      </c>
      <c r="CB498" t="str">
        <f>""</f>
        <v/>
      </c>
      <c r="CC498" t="str">
        <f>""</f>
        <v/>
      </c>
      <c r="CD498" t="str">
        <f>""</f>
        <v/>
      </c>
      <c r="CE498" t="str">
        <f>""</f>
        <v/>
      </c>
      <c r="CF498" t="str">
        <f>""</f>
        <v/>
      </c>
      <c r="CG498" t="str">
        <f>""</f>
        <v/>
      </c>
      <c r="CH498" t="str">
        <f>""</f>
        <v/>
      </c>
      <c r="CI498" t="str">
        <f>""</f>
        <v/>
      </c>
      <c r="CJ498" t="str">
        <f>""</f>
        <v/>
      </c>
      <c r="CK498" t="str">
        <f>""</f>
        <v/>
      </c>
      <c r="CL498" t="str">
        <f>""</f>
        <v/>
      </c>
      <c r="CM498" t="str">
        <f>""</f>
        <v/>
      </c>
      <c r="CN498" t="str">
        <f>""</f>
        <v/>
      </c>
      <c r="CO498" t="str">
        <f>""</f>
        <v/>
      </c>
      <c r="CP498" t="str">
        <f>""</f>
        <v/>
      </c>
      <c r="CQ498" t="str">
        <f>""</f>
        <v/>
      </c>
      <c r="CR498" t="str">
        <f>""</f>
        <v/>
      </c>
      <c r="CS498" t="str">
        <f>""</f>
        <v/>
      </c>
      <c r="CT498" t="str">
        <f>""</f>
        <v/>
      </c>
      <c r="CU498" t="str">
        <f>""</f>
        <v/>
      </c>
      <c r="CV498" t="str">
        <f>""</f>
        <v/>
      </c>
      <c r="CW498" t="str">
        <f>""</f>
        <v/>
      </c>
      <c r="CX498" t="str">
        <f>""</f>
        <v/>
      </c>
      <c r="CY498" t="str">
        <f>""</f>
        <v/>
      </c>
      <c r="CZ498" t="str">
        <f>""</f>
        <v/>
      </c>
      <c r="DA498" t="str">
        <f>""</f>
        <v/>
      </c>
      <c r="DB498" t="str">
        <f>""</f>
        <v/>
      </c>
      <c r="DC498" t="str">
        <f>""</f>
        <v/>
      </c>
      <c r="DD498" t="str">
        <f>""</f>
        <v/>
      </c>
      <c r="DE498" t="str">
        <f>""</f>
        <v/>
      </c>
      <c r="DF498" t="str">
        <f>""</f>
        <v/>
      </c>
      <c r="DG498" t="str">
        <f>""</f>
        <v/>
      </c>
      <c r="DH498" t="str">
        <f>""</f>
        <v/>
      </c>
      <c r="DI498" t="str">
        <f>""</f>
        <v/>
      </c>
      <c r="DJ498" t="str">
        <f>""</f>
        <v/>
      </c>
      <c r="DK498" t="str">
        <f>""</f>
        <v/>
      </c>
      <c r="DL498" t="str">
        <f>""</f>
        <v/>
      </c>
      <c r="DM498" t="str">
        <f>""</f>
        <v/>
      </c>
      <c r="DN498" t="str">
        <f>""</f>
        <v/>
      </c>
      <c r="DO498" t="str">
        <f>""</f>
        <v/>
      </c>
      <c r="DP498" t="str">
        <f>""</f>
        <v/>
      </c>
      <c r="DQ498" t="str">
        <f>""</f>
        <v/>
      </c>
      <c r="DR498" t="str">
        <f>""</f>
        <v/>
      </c>
      <c r="DS498" t="str">
        <f>""</f>
        <v/>
      </c>
      <c r="DT498" t="str">
        <f>""</f>
        <v/>
      </c>
      <c r="DU498" t="str">
        <f>""</f>
        <v/>
      </c>
    </row>
    <row r="499" spans="1:125">
      <c r="A499" t="str">
        <f>$A$195</f>
        <v xml:space="preserve">    Corporate Office Properties Tr</v>
      </c>
      <c r="B499" t="str">
        <f>$B$195</f>
        <v>OFC US Equity</v>
      </c>
      <c r="C499" t="str">
        <f>$C$195</f>
        <v>RR263</v>
      </c>
      <c r="D499" t="str">
        <f>$D$195</f>
        <v>DEBT_TO_MKT_CAP</v>
      </c>
      <c r="E499" t="str">
        <f>$E$195</f>
        <v>动态</v>
      </c>
      <c r="F499" t="str">
        <f ca="1">BDH($B$195,$C$195,$B$292,$B$293,CONCATENATE("Per=",$B$290),"Dts=H","Dir=H",CONCATENATE("Points=",$B$291),"Sort=R","Days=A","Fill=B",CONCATENATE("FX=", $B$289) )</f>
        <v>#N/A Authorization</v>
      </c>
      <c r="BN499" t="str">
        <f>""</f>
        <v/>
      </c>
      <c r="BO499" t="str">
        <f>""</f>
        <v/>
      </c>
      <c r="BP499" t="str">
        <f>""</f>
        <v/>
      </c>
      <c r="BQ499" t="str">
        <f>""</f>
        <v/>
      </c>
      <c r="BR499" t="str">
        <f>""</f>
        <v/>
      </c>
      <c r="BS499" t="str">
        <f>""</f>
        <v/>
      </c>
      <c r="BT499" t="str">
        <f>""</f>
        <v/>
      </c>
      <c r="BU499" t="str">
        <f>""</f>
        <v/>
      </c>
      <c r="BV499" t="str">
        <f>""</f>
        <v/>
      </c>
      <c r="BW499" t="str">
        <f>""</f>
        <v/>
      </c>
      <c r="BX499" t="str">
        <f>""</f>
        <v/>
      </c>
      <c r="BY499" t="str">
        <f>""</f>
        <v/>
      </c>
      <c r="BZ499" t="str">
        <f>""</f>
        <v/>
      </c>
      <c r="CA499" t="str">
        <f>""</f>
        <v/>
      </c>
      <c r="CB499" t="str">
        <f>""</f>
        <v/>
      </c>
      <c r="CC499" t="str">
        <f>""</f>
        <v/>
      </c>
      <c r="CD499" t="str">
        <f>""</f>
        <v/>
      </c>
      <c r="CE499" t="str">
        <f>""</f>
        <v/>
      </c>
      <c r="CF499" t="str">
        <f>""</f>
        <v/>
      </c>
      <c r="CG499" t="str">
        <f>""</f>
        <v/>
      </c>
      <c r="CH499" t="str">
        <f>""</f>
        <v/>
      </c>
      <c r="CI499" t="str">
        <f>""</f>
        <v/>
      </c>
      <c r="CJ499" t="str">
        <f>""</f>
        <v/>
      </c>
      <c r="CK499" t="str">
        <f>""</f>
        <v/>
      </c>
      <c r="CL499" t="str">
        <f>""</f>
        <v/>
      </c>
      <c r="CM499" t="str">
        <f>""</f>
        <v/>
      </c>
      <c r="CN499" t="str">
        <f>""</f>
        <v/>
      </c>
      <c r="CO499" t="str">
        <f>""</f>
        <v/>
      </c>
      <c r="CP499" t="str">
        <f>""</f>
        <v/>
      </c>
      <c r="CQ499" t="str">
        <f>""</f>
        <v/>
      </c>
      <c r="CR499" t="str">
        <f>""</f>
        <v/>
      </c>
      <c r="CS499" t="str">
        <f>""</f>
        <v/>
      </c>
      <c r="CT499" t="str">
        <f>""</f>
        <v/>
      </c>
      <c r="CU499" t="str">
        <f>""</f>
        <v/>
      </c>
      <c r="CV499" t="str">
        <f>""</f>
        <v/>
      </c>
      <c r="CW499" t="str">
        <f>""</f>
        <v/>
      </c>
      <c r="CX499" t="str">
        <f>""</f>
        <v/>
      </c>
      <c r="CY499" t="str">
        <f>""</f>
        <v/>
      </c>
      <c r="CZ499" t="str">
        <f>""</f>
        <v/>
      </c>
      <c r="DA499" t="str">
        <f>""</f>
        <v/>
      </c>
      <c r="DB499" t="str">
        <f>""</f>
        <v/>
      </c>
      <c r="DC499" t="str">
        <f>""</f>
        <v/>
      </c>
      <c r="DD499" t="str">
        <f>""</f>
        <v/>
      </c>
      <c r="DE499" t="str">
        <f>""</f>
        <v/>
      </c>
      <c r="DF499" t="str">
        <f>""</f>
        <v/>
      </c>
      <c r="DG499" t="str">
        <f>""</f>
        <v/>
      </c>
      <c r="DH499" t="str">
        <f>""</f>
        <v/>
      </c>
      <c r="DI499" t="str">
        <f>""</f>
        <v/>
      </c>
      <c r="DJ499" t="str">
        <f>""</f>
        <v/>
      </c>
      <c r="DK499" t="str">
        <f>""</f>
        <v/>
      </c>
      <c r="DL499" t="str">
        <f>""</f>
        <v/>
      </c>
      <c r="DM499" t="str">
        <f>""</f>
        <v/>
      </c>
      <c r="DN499" t="str">
        <f>""</f>
        <v/>
      </c>
      <c r="DO499" t="str">
        <f>""</f>
        <v/>
      </c>
      <c r="DP499" t="str">
        <f>""</f>
        <v/>
      </c>
      <c r="DQ499" t="str">
        <f>""</f>
        <v/>
      </c>
      <c r="DR499" t="str">
        <f>""</f>
        <v/>
      </c>
      <c r="DS499" t="str">
        <f>""</f>
        <v/>
      </c>
      <c r="DT499" t="str">
        <f>""</f>
        <v/>
      </c>
      <c r="DU499" t="str">
        <f>""</f>
        <v/>
      </c>
    </row>
    <row r="500" spans="1:125">
      <c r="A500" t="str">
        <f>$A$196</f>
        <v xml:space="preserve">    Highwoods Properties Inc</v>
      </c>
      <c r="B500" t="str">
        <f>$B$196</f>
        <v>HIW US Equity</v>
      </c>
      <c r="C500" t="str">
        <f>$C$196</f>
        <v>RR263</v>
      </c>
      <c r="D500" t="str">
        <f>$D$196</f>
        <v>DEBT_TO_MKT_CAP</v>
      </c>
      <c r="E500" t="str">
        <f>$E$196</f>
        <v>动态</v>
      </c>
      <c r="F500" t="str">
        <f ca="1">BDH($B$196,$C$196,$B$292,$B$293,CONCATENATE("Per=",$B$290),"Dts=H","Dir=H",CONCATENATE("Points=",$B$291),"Sort=R","Days=A","Fill=B",CONCATENATE("FX=", $B$289) )</f>
        <v>#N/A Authorization</v>
      </c>
      <c r="BN500" t="str">
        <f>""</f>
        <v/>
      </c>
      <c r="BO500" t="str">
        <f>""</f>
        <v/>
      </c>
      <c r="BP500" t="str">
        <f>""</f>
        <v/>
      </c>
      <c r="BQ500" t="str">
        <f>""</f>
        <v/>
      </c>
      <c r="BR500" t="str">
        <f>""</f>
        <v/>
      </c>
      <c r="BS500" t="str">
        <f>""</f>
        <v/>
      </c>
      <c r="BT500" t="str">
        <f>""</f>
        <v/>
      </c>
      <c r="BU500" t="str">
        <f>""</f>
        <v/>
      </c>
      <c r="BV500" t="str">
        <f>""</f>
        <v/>
      </c>
      <c r="BW500" t="str">
        <f>""</f>
        <v/>
      </c>
      <c r="BX500" t="str">
        <f>""</f>
        <v/>
      </c>
      <c r="BY500" t="str">
        <f>""</f>
        <v/>
      </c>
      <c r="BZ500" t="str">
        <f>""</f>
        <v/>
      </c>
      <c r="CA500" t="str">
        <f>""</f>
        <v/>
      </c>
      <c r="CB500" t="str">
        <f>""</f>
        <v/>
      </c>
      <c r="CC500" t="str">
        <f>""</f>
        <v/>
      </c>
      <c r="CD500" t="str">
        <f>""</f>
        <v/>
      </c>
      <c r="CE500" t="str">
        <f>""</f>
        <v/>
      </c>
      <c r="CF500" t="str">
        <f>""</f>
        <v/>
      </c>
      <c r="CG500" t="str">
        <f>""</f>
        <v/>
      </c>
      <c r="CH500" t="str">
        <f>""</f>
        <v/>
      </c>
      <c r="CI500" t="str">
        <f>""</f>
        <v/>
      </c>
      <c r="CJ500" t="str">
        <f>""</f>
        <v/>
      </c>
      <c r="CK500" t="str">
        <f>""</f>
        <v/>
      </c>
      <c r="CL500" t="str">
        <f>""</f>
        <v/>
      </c>
      <c r="CM500" t="str">
        <f>""</f>
        <v/>
      </c>
      <c r="CN500" t="str">
        <f>""</f>
        <v/>
      </c>
      <c r="CO500" t="str">
        <f>""</f>
        <v/>
      </c>
      <c r="CP500" t="str">
        <f>""</f>
        <v/>
      </c>
      <c r="CQ500" t="str">
        <f>""</f>
        <v/>
      </c>
      <c r="CR500" t="str">
        <f>""</f>
        <v/>
      </c>
      <c r="CS500" t="str">
        <f>""</f>
        <v/>
      </c>
      <c r="CT500" t="str">
        <f>""</f>
        <v/>
      </c>
      <c r="CU500" t="str">
        <f>""</f>
        <v/>
      </c>
      <c r="CV500" t="str">
        <f>""</f>
        <v/>
      </c>
      <c r="CW500" t="str">
        <f>""</f>
        <v/>
      </c>
      <c r="CX500" t="str">
        <f>""</f>
        <v/>
      </c>
      <c r="CY500" t="str">
        <f>""</f>
        <v/>
      </c>
      <c r="CZ500" t="str">
        <f>""</f>
        <v/>
      </c>
      <c r="DA500" t="str">
        <f>""</f>
        <v/>
      </c>
      <c r="DB500" t="str">
        <f>""</f>
        <v/>
      </c>
      <c r="DC500" t="str">
        <f>""</f>
        <v/>
      </c>
      <c r="DD500" t="str">
        <f>""</f>
        <v/>
      </c>
      <c r="DE500" t="str">
        <f>""</f>
        <v/>
      </c>
      <c r="DF500" t="str">
        <f>""</f>
        <v/>
      </c>
      <c r="DG500" t="str">
        <f>""</f>
        <v/>
      </c>
      <c r="DH500" t="str">
        <f>""</f>
        <v/>
      </c>
      <c r="DI500" t="str">
        <f>""</f>
        <v/>
      </c>
      <c r="DJ500" t="str">
        <f>""</f>
        <v/>
      </c>
      <c r="DK500" t="str">
        <f>""</f>
        <v/>
      </c>
      <c r="DL500" t="str">
        <f>""</f>
        <v/>
      </c>
      <c r="DM500" t="str">
        <f>""</f>
        <v/>
      </c>
      <c r="DN500" t="str">
        <f>""</f>
        <v/>
      </c>
      <c r="DO500" t="str">
        <f>""</f>
        <v/>
      </c>
      <c r="DP500" t="str">
        <f>""</f>
        <v/>
      </c>
      <c r="DQ500" t="str">
        <f>""</f>
        <v/>
      </c>
      <c r="DR500" t="str">
        <f>""</f>
        <v/>
      </c>
      <c r="DS500" t="str">
        <f>""</f>
        <v/>
      </c>
      <c r="DT500" t="str">
        <f>""</f>
        <v/>
      </c>
      <c r="DU500" t="str">
        <f>""</f>
        <v/>
      </c>
    </row>
    <row r="501" spans="1:125">
      <c r="A501" t="str">
        <f>$A$197</f>
        <v xml:space="preserve">    Kilroy Realty Corp</v>
      </c>
      <c r="B501" t="str">
        <f>$B$197</f>
        <v>KRC US Equity</v>
      </c>
      <c r="C501" t="str">
        <f>$C$197</f>
        <v>RR263</v>
      </c>
      <c r="D501" t="str">
        <f>$D$197</f>
        <v>DEBT_TO_MKT_CAP</v>
      </c>
      <c r="E501" t="str">
        <f>$E$197</f>
        <v>动态</v>
      </c>
      <c r="F501" t="str">
        <f ca="1">BDH($B$197,$C$197,$B$292,$B$293,CONCATENATE("Per=",$B$290),"Dts=H","Dir=H",CONCATENATE("Points=",$B$291),"Sort=R","Days=A","Fill=B",CONCATENATE("FX=", $B$289) )</f>
        <v>#N/A Authorization</v>
      </c>
      <c r="BN501" t="str">
        <f>""</f>
        <v/>
      </c>
      <c r="BO501" t="str">
        <f>""</f>
        <v/>
      </c>
      <c r="BP501" t="str">
        <f>""</f>
        <v/>
      </c>
      <c r="BQ501" t="str">
        <f>""</f>
        <v/>
      </c>
      <c r="BR501" t="str">
        <f>""</f>
        <v/>
      </c>
      <c r="BS501" t="str">
        <f>""</f>
        <v/>
      </c>
      <c r="BT501" t="str">
        <f>""</f>
        <v/>
      </c>
      <c r="BU501" t="str">
        <f>""</f>
        <v/>
      </c>
      <c r="BV501" t="str">
        <f>""</f>
        <v/>
      </c>
      <c r="BW501" t="str">
        <f>""</f>
        <v/>
      </c>
      <c r="BX501" t="str">
        <f>""</f>
        <v/>
      </c>
      <c r="BY501" t="str">
        <f>""</f>
        <v/>
      </c>
      <c r="BZ501" t="str">
        <f>""</f>
        <v/>
      </c>
      <c r="CA501" t="str">
        <f>""</f>
        <v/>
      </c>
      <c r="CB501" t="str">
        <f>""</f>
        <v/>
      </c>
      <c r="CC501" t="str">
        <f>""</f>
        <v/>
      </c>
      <c r="CD501" t="str">
        <f>""</f>
        <v/>
      </c>
      <c r="CE501" t="str">
        <f>""</f>
        <v/>
      </c>
      <c r="CF501" t="str">
        <f>""</f>
        <v/>
      </c>
      <c r="CG501" t="str">
        <f>""</f>
        <v/>
      </c>
      <c r="CH501" t="str">
        <f>""</f>
        <v/>
      </c>
      <c r="CI501" t="str">
        <f>""</f>
        <v/>
      </c>
      <c r="CJ501" t="str">
        <f>""</f>
        <v/>
      </c>
      <c r="CK501" t="str">
        <f>""</f>
        <v/>
      </c>
      <c r="CL501" t="str">
        <f>""</f>
        <v/>
      </c>
      <c r="CM501" t="str">
        <f>""</f>
        <v/>
      </c>
      <c r="CN501" t="str">
        <f>""</f>
        <v/>
      </c>
      <c r="CO501" t="str">
        <f>""</f>
        <v/>
      </c>
      <c r="CP501" t="str">
        <f>""</f>
        <v/>
      </c>
      <c r="CQ501" t="str">
        <f>""</f>
        <v/>
      </c>
      <c r="CR501" t="str">
        <f>""</f>
        <v/>
      </c>
      <c r="CS501" t="str">
        <f>""</f>
        <v/>
      </c>
      <c r="CT501" t="str">
        <f>""</f>
        <v/>
      </c>
      <c r="CU501" t="str">
        <f>""</f>
        <v/>
      </c>
      <c r="CV501" t="str">
        <f>""</f>
        <v/>
      </c>
      <c r="CW501" t="str">
        <f>""</f>
        <v/>
      </c>
      <c r="CX501" t="str">
        <f>""</f>
        <v/>
      </c>
      <c r="CY501" t="str">
        <f>""</f>
        <v/>
      </c>
      <c r="CZ501" t="str">
        <f>""</f>
        <v/>
      </c>
      <c r="DA501" t="str">
        <f>""</f>
        <v/>
      </c>
      <c r="DB501" t="str">
        <f>""</f>
        <v/>
      </c>
      <c r="DC501" t="str">
        <f>""</f>
        <v/>
      </c>
      <c r="DD501" t="str">
        <f>""</f>
        <v/>
      </c>
      <c r="DE501" t="str">
        <f>""</f>
        <v/>
      </c>
      <c r="DF501" t="str">
        <f>""</f>
        <v/>
      </c>
      <c r="DG501" t="str">
        <f>""</f>
        <v/>
      </c>
      <c r="DH501" t="str">
        <f>""</f>
        <v/>
      </c>
      <c r="DI501" t="str">
        <f>""</f>
        <v/>
      </c>
      <c r="DJ501" t="str">
        <f>""</f>
        <v/>
      </c>
      <c r="DK501" t="str">
        <f>""</f>
        <v/>
      </c>
      <c r="DL501" t="str">
        <f>""</f>
        <v/>
      </c>
      <c r="DM501" t="str">
        <f>""</f>
        <v/>
      </c>
      <c r="DN501" t="str">
        <f>""</f>
        <v/>
      </c>
      <c r="DO501" t="str">
        <f>""</f>
        <v/>
      </c>
      <c r="DP501" t="str">
        <f>""</f>
        <v/>
      </c>
      <c r="DQ501" t="str">
        <f>""</f>
        <v/>
      </c>
      <c r="DR501" t="str">
        <f>""</f>
        <v/>
      </c>
      <c r="DS501" t="str">
        <f>""</f>
        <v/>
      </c>
      <c r="DT501" t="str">
        <f>""</f>
        <v/>
      </c>
      <c r="DU501" t="str">
        <f>""</f>
        <v/>
      </c>
    </row>
    <row r="502" spans="1:125">
      <c r="A502" t="str">
        <f>$A$198</f>
        <v xml:space="preserve">    Mack-Cali Realty Corp</v>
      </c>
      <c r="B502" t="str">
        <f>$B$198</f>
        <v>CLI US Equity</v>
      </c>
      <c r="C502" t="str">
        <f>$C$198</f>
        <v>RR263</v>
      </c>
      <c r="D502" t="str">
        <f>$D$198</f>
        <v>DEBT_TO_MKT_CAP</v>
      </c>
      <c r="E502" t="str">
        <f>$E$198</f>
        <v>动态</v>
      </c>
      <c r="F502" t="str">
        <f ca="1">BDH($B$198,$C$198,$B$292,$B$293,CONCATENATE("Per=",$B$290),"Dts=H","Dir=H",CONCATENATE("Points=",$B$291),"Sort=R","Days=A","Fill=B",CONCATENATE("FX=", $B$289) )</f>
        <v>#N/A Authorization</v>
      </c>
      <c r="BN502" t="str">
        <f>""</f>
        <v/>
      </c>
      <c r="BO502" t="str">
        <f>""</f>
        <v/>
      </c>
      <c r="BP502" t="str">
        <f>""</f>
        <v/>
      </c>
      <c r="BQ502" t="str">
        <f>""</f>
        <v/>
      </c>
      <c r="BR502" t="str">
        <f>""</f>
        <v/>
      </c>
      <c r="BS502" t="str">
        <f>""</f>
        <v/>
      </c>
      <c r="BT502" t="str">
        <f>""</f>
        <v/>
      </c>
      <c r="BU502" t="str">
        <f>""</f>
        <v/>
      </c>
      <c r="BV502" t="str">
        <f>""</f>
        <v/>
      </c>
      <c r="BW502" t="str">
        <f>""</f>
        <v/>
      </c>
      <c r="BX502" t="str">
        <f>""</f>
        <v/>
      </c>
      <c r="BY502" t="str">
        <f>""</f>
        <v/>
      </c>
      <c r="BZ502" t="str">
        <f>""</f>
        <v/>
      </c>
      <c r="CA502" t="str">
        <f>""</f>
        <v/>
      </c>
      <c r="CB502" t="str">
        <f>""</f>
        <v/>
      </c>
      <c r="CC502" t="str">
        <f>""</f>
        <v/>
      </c>
      <c r="CD502" t="str">
        <f>""</f>
        <v/>
      </c>
      <c r="CE502" t="str">
        <f>""</f>
        <v/>
      </c>
      <c r="CF502" t="str">
        <f>""</f>
        <v/>
      </c>
      <c r="CG502" t="str">
        <f>""</f>
        <v/>
      </c>
      <c r="CH502" t="str">
        <f>""</f>
        <v/>
      </c>
      <c r="CI502" t="str">
        <f>""</f>
        <v/>
      </c>
      <c r="CJ502" t="str">
        <f>""</f>
        <v/>
      </c>
      <c r="CK502" t="str">
        <f>""</f>
        <v/>
      </c>
      <c r="CL502" t="str">
        <f>""</f>
        <v/>
      </c>
      <c r="CM502" t="str">
        <f>""</f>
        <v/>
      </c>
      <c r="CN502" t="str">
        <f>""</f>
        <v/>
      </c>
      <c r="CO502" t="str">
        <f>""</f>
        <v/>
      </c>
      <c r="CP502" t="str">
        <f>""</f>
        <v/>
      </c>
      <c r="CQ502" t="str">
        <f>""</f>
        <v/>
      </c>
      <c r="CR502" t="str">
        <f>""</f>
        <v/>
      </c>
      <c r="CS502" t="str">
        <f>""</f>
        <v/>
      </c>
      <c r="CT502" t="str">
        <f>""</f>
        <v/>
      </c>
      <c r="CU502" t="str">
        <f>""</f>
        <v/>
      </c>
      <c r="CV502" t="str">
        <f>""</f>
        <v/>
      </c>
      <c r="CW502" t="str">
        <f>""</f>
        <v/>
      </c>
      <c r="CX502" t="str">
        <f>""</f>
        <v/>
      </c>
      <c r="CY502" t="str">
        <f>""</f>
        <v/>
      </c>
      <c r="CZ502" t="str">
        <f>""</f>
        <v/>
      </c>
      <c r="DA502" t="str">
        <f>""</f>
        <v/>
      </c>
      <c r="DB502" t="str">
        <f>""</f>
        <v/>
      </c>
      <c r="DC502" t="str">
        <f>""</f>
        <v/>
      </c>
      <c r="DD502" t="str">
        <f>""</f>
        <v/>
      </c>
      <c r="DE502" t="str">
        <f>""</f>
        <v/>
      </c>
      <c r="DF502" t="str">
        <f>""</f>
        <v/>
      </c>
      <c r="DG502" t="str">
        <f>""</f>
        <v/>
      </c>
      <c r="DH502" t="str">
        <f>""</f>
        <v/>
      </c>
      <c r="DI502" t="str">
        <f>""</f>
        <v/>
      </c>
      <c r="DJ502" t="str">
        <f>""</f>
        <v/>
      </c>
      <c r="DK502" t="str">
        <f>""</f>
        <v/>
      </c>
      <c r="DL502" t="str">
        <f>""</f>
        <v/>
      </c>
      <c r="DM502" t="str">
        <f>""</f>
        <v/>
      </c>
      <c r="DN502" t="str">
        <f>""</f>
        <v/>
      </c>
      <c r="DO502" t="str">
        <f>""</f>
        <v/>
      </c>
      <c r="DP502" t="str">
        <f>""</f>
        <v/>
      </c>
      <c r="DQ502" t="str">
        <f>""</f>
        <v/>
      </c>
      <c r="DR502" t="str">
        <f>""</f>
        <v/>
      </c>
      <c r="DS502" t="str">
        <f>""</f>
        <v/>
      </c>
      <c r="DT502" t="str">
        <f>""</f>
        <v/>
      </c>
      <c r="DU502" t="str">
        <f>""</f>
        <v/>
      </c>
    </row>
    <row r="503" spans="1:125">
      <c r="A503" t="str">
        <f>$A$199</f>
        <v xml:space="preserve">    Piedmont Office Realty Trust I</v>
      </c>
      <c r="B503" t="str">
        <f>$B$199</f>
        <v>PDM US Equity</v>
      </c>
      <c r="C503" t="str">
        <f>$C$199</f>
        <v>RR263</v>
      </c>
      <c r="D503" t="str">
        <f>$D$199</f>
        <v>DEBT_TO_MKT_CAP</v>
      </c>
      <c r="E503" t="str">
        <f>$E$199</f>
        <v>动态</v>
      </c>
      <c r="F503" t="str">
        <f ca="1">BDH($B$199,$C$199,$B$292,$B$293,CONCATENATE("Per=",$B$290),"Dts=H","Dir=H",CONCATENATE("Points=",$B$291),"Sort=R","Days=A","Fill=B",CONCATENATE("FX=", $B$289) )</f>
        <v>#N/A Authorization</v>
      </c>
      <c r="BN503" t="str">
        <f>""</f>
        <v/>
      </c>
      <c r="BO503" t="str">
        <f>""</f>
        <v/>
      </c>
      <c r="BP503" t="str">
        <f>""</f>
        <v/>
      </c>
      <c r="BQ503" t="str">
        <f>""</f>
        <v/>
      </c>
      <c r="BR503" t="str">
        <f>""</f>
        <v/>
      </c>
      <c r="BS503" t="str">
        <f>""</f>
        <v/>
      </c>
      <c r="BT503" t="str">
        <f>""</f>
        <v/>
      </c>
      <c r="BU503" t="str">
        <f>""</f>
        <v/>
      </c>
      <c r="BV503" t="str">
        <f>""</f>
        <v/>
      </c>
      <c r="BW503" t="str">
        <f>""</f>
        <v/>
      </c>
      <c r="BX503" t="str">
        <f>""</f>
        <v/>
      </c>
      <c r="BY503" t="str">
        <f>""</f>
        <v/>
      </c>
      <c r="BZ503" t="str">
        <f>""</f>
        <v/>
      </c>
      <c r="CA503" t="str">
        <f>""</f>
        <v/>
      </c>
      <c r="CB503" t="str">
        <f>""</f>
        <v/>
      </c>
      <c r="CC503" t="str">
        <f>""</f>
        <v/>
      </c>
      <c r="CD503" t="str">
        <f>""</f>
        <v/>
      </c>
      <c r="CE503" t="str">
        <f>""</f>
        <v/>
      </c>
      <c r="CF503" t="str">
        <f>""</f>
        <v/>
      </c>
      <c r="CG503" t="str">
        <f>""</f>
        <v/>
      </c>
      <c r="CH503" t="str">
        <f>""</f>
        <v/>
      </c>
      <c r="CI503" t="str">
        <f>""</f>
        <v/>
      </c>
      <c r="CJ503" t="str">
        <f>""</f>
        <v/>
      </c>
      <c r="CK503" t="str">
        <f>""</f>
        <v/>
      </c>
      <c r="CL503" t="str">
        <f>""</f>
        <v/>
      </c>
      <c r="CM503" t="str">
        <f>""</f>
        <v/>
      </c>
      <c r="CN503" t="str">
        <f>""</f>
        <v/>
      </c>
      <c r="CO503" t="str">
        <f>""</f>
        <v/>
      </c>
      <c r="CP503" t="str">
        <f>""</f>
        <v/>
      </c>
      <c r="CQ503" t="str">
        <f>""</f>
        <v/>
      </c>
      <c r="CR503" t="str">
        <f>""</f>
        <v/>
      </c>
      <c r="CS503" t="str">
        <f>""</f>
        <v/>
      </c>
      <c r="CT503" t="str">
        <f>""</f>
        <v/>
      </c>
      <c r="CU503" t="str">
        <f>""</f>
        <v/>
      </c>
      <c r="CV503" t="str">
        <f>""</f>
        <v/>
      </c>
      <c r="CW503" t="str">
        <f>""</f>
        <v/>
      </c>
      <c r="CX503" t="str">
        <f>""</f>
        <v/>
      </c>
      <c r="CY503" t="str">
        <f>""</f>
        <v/>
      </c>
      <c r="CZ503" t="str">
        <f>""</f>
        <v/>
      </c>
      <c r="DA503" t="str">
        <f>""</f>
        <v/>
      </c>
      <c r="DB503" t="str">
        <f>""</f>
        <v/>
      </c>
      <c r="DC503" t="str">
        <f>""</f>
        <v/>
      </c>
      <c r="DD503" t="str">
        <f>""</f>
        <v/>
      </c>
      <c r="DE503" t="str">
        <f>""</f>
        <v/>
      </c>
      <c r="DF503" t="str">
        <f>""</f>
        <v/>
      </c>
      <c r="DG503" t="str">
        <f>""</f>
        <v/>
      </c>
      <c r="DH503" t="str">
        <f>""</f>
        <v/>
      </c>
      <c r="DI503" t="str">
        <f>""</f>
        <v/>
      </c>
      <c r="DJ503" t="str">
        <f>""</f>
        <v/>
      </c>
      <c r="DK503" t="str">
        <f>""</f>
        <v/>
      </c>
      <c r="DL503" t="str">
        <f>""</f>
        <v/>
      </c>
      <c r="DM503" t="str">
        <f>""</f>
        <v/>
      </c>
      <c r="DN503" t="str">
        <f>""</f>
        <v/>
      </c>
      <c r="DO503" t="str">
        <f>""</f>
        <v/>
      </c>
      <c r="DP503" t="str">
        <f>""</f>
        <v/>
      </c>
      <c r="DQ503" t="str">
        <f>""</f>
        <v/>
      </c>
      <c r="DR503" t="str">
        <f>""</f>
        <v/>
      </c>
      <c r="DS503" t="str">
        <f>""</f>
        <v/>
      </c>
      <c r="DT503" t="str">
        <f>""</f>
        <v/>
      </c>
      <c r="DU503" t="str">
        <f>""</f>
        <v/>
      </c>
    </row>
    <row r="504" spans="1:125">
      <c r="A504" t="str">
        <f>$A$200</f>
        <v xml:space="preserve">    SL Green Realty Corp</v>
      </c>
      <c r="B504" t="str">
        <f>$B$200</f>
        <v>SLG US Equity</v>
      </c>
      <c r="C504" t="str">
        <f>$C$200</f>
        <v>RR263</v>
      </c>
      <c r="D504" t="str">
        <f>$D$200</f>
        <v>DEBT_TO_MKT_CAP</v>
      </c>
      <c r="E504" t="str">
        <f>$E$200</f>
        <v>动态</v>
      </c>
      <c r="F504" t="str">
        <f ca="1">BDH($B$200,$C$200,$B$292,$B$293,CONCATENATE("Per=",$B$290),"Dts=H","Dir=H",CONCATENATE("Points=",$B$291),"Sort=R","Days=A","Fill=B",CONCATENATE("FX=", $B$289) )</f>
        <v>#N/A Authorization</v>
      </c>
      <c r="BN504" t="str">
        <f>""</f>
        <v/>
      </c>
      <c r="BO504" t="str">
        <f>""</f>
        <v/>
      </c>
      <c r="BP504" t="str">
        <f>""</f>
        <v/>
      </c>
      <c r="BQ504" t="str">
        <f>""</f>
        <v/>
      </c>
      <c r="BR504" t="str">
        <f>""</f>
        <v/>
      </c>
      <c r="BS504" t="str">
        <f>""</f>
        <v/>
      </c>
      <c r="BT504" t="str">
        <f>""</f>
        <v/>
      </c>
      <c r="BU504" t="str">
        <f>""</f>
        <v/>
      </c>
      <c r="BV504" t="str">
        <f>""</f>
        <v/>
      </c>
      <c r="BW504" t="str">
        <f>""</f>
        <v/>
      </c>
      <c r="BX504" t="str">
        <f>""</f>
        <v/>
      </c>
      <c r="BY504" t="str">
        <f>""</f>
        <v/>
      </c>
      <c r="BZ504" t="str">
        <f>""</f>
        <v/>
      </c>
      <c r="CA504" t="str">
        <f>""</f>
        <v/>
      </c>
      <c r="CB504" t="str">
        <f>""</f>
        <v/>
      </c>
      <c r="CC504" t="str">
        <f>""</f>
        <v/>
      </c>
      <c r="CD504" t="str">
        <f>""</f>
        <v/>
      </c>
      <c r="CE504" t="str">
        <f>""</f>
        <v/>
      </c>
      <c r="CF504" t="str">
        <f>""</f>
        <v/>
      </c>
      <c r="CG504" t="str">
        <f>""</f>
        <v/>
      </c>
      <c r="CH504" t="str">
        <f>""</f>
        <v/>
      </c>
      <c r="CI504" t="str">
        <f>""</f>
        <v/>
      </c>
      <c r="CJ504" t="str">
        <f>""</f>
        <v/>
      </c>
      <c r="CK504" t="str">
        <f>""</f>
        <v/>
      </c>
      <c r="CL504" t="str">
        <f>""</f>
        <v/>
      </c>
      <c r="CM504" t="str">
        <f>""</f>
        <v/>
      </c>
      <c r="CN504" t="str">
        <f>""</f>
        <v/>
      </c>
      <c r="CO504" t="str">
        <f>""</f>
        <v/>
      </c>
      <c r="CP504" t="str">
        <f>""</f>
        <v/>
      </c>
      <c r="CQ504" t="str">
        <f>""</f>
        <v/>
      </c>
      <c r="CR504" t="str">
        <f>""</f>
        <v/>
      </c>
      <c r="CS504" t="str">
        <f>""</f>
        <v/>
      </c>
      <c r="CT504" t="str">
        <f>""</f>
        <v/>
      </c>
      <c r="CU504" t="str">
        <f>""</f>
        <v/>
      </c>
      <c r="CV504" t="str">
        <f>""</f>
        <v/>
      </c>
      <c r="CW504" t="str">
        <f>""</f>
        <v/>
      </c>
      <c r="CX504" t="str">
        <f>""</f>
        <v/>
      </c>
      <c r="CY504" t="str">
        <f>""</f>
        <v/>
      </c>
      <c r="CZ504" t="str">
        <f>""</f>
        <v/>
      </c>
      <c r="DA504" t="str">
        <f>""</f>
        <v/>
      </c>
      <c r="DB504" t="str">
        <f>""</f>
        <v/>
      </c>
      <c r="DC504" t="str">
        <f>""</f>
        <v/>
      </c>
      <c r="DD504" t="str">
        <f>""</f>
        <v/>
      </c>
      <c r="DE504" t="str">
        <f>""</f>
        <v/>
      </c>
      <c r="DF504" t="str">
        <f>""</f>
        <v/>
      </c>
      <c r="DG504" t="str">
        <f>""</f>
        <v/>
      </c>
      <c r="DH504" t="str">
        <f>""</f>
        <v/>
      </c>
      <c r="DI504" t="str">
        <f>""</f>
        <v/>
      </c>
      <c r="DJ504" t="str">
        <f>""</f>
        <v/>
      </c>
      <c r="DK504" t="str">
        <f>""</f>
        <v/>
      </c>
      <c r="DL504" t="str">
        <f>""</f>
        <v/>
      </c>
      <c r="DM504" t="str">
        <f>""</f>
        <v/>
      </c>
      <c r="DN504" t="str">
        <f>""</f>
        <v/>
      </c>
      <c r="DO504" t="str">
        <f>""</f>
        <v/>
      </c>
      <c r="DP504" t="str">
        <f>""</f>
        <v/>
      </c>
      <c r="DQ504" t="str">
        <f>""</f>
        <v/>
      </c>
      <c r="DR504" t="str">
        <f>""</f>
        <v/>
      </c>
      <c r="DS504" t="str">
        <f>""</f>
        <v/>
      </c>
      <c r="DT504" t="str">
        <f>""</f>
        <v/>
      </c>
      <c r="DU504" t="str">
        <f>""</f>
        <v/>
      </c>
    </row>
    <row r="505" spans="1:125">
      <c r="A505" t="str">
        <f>$A$201</f>
        <v xml:space="preserve">    Vornado Realty Trust</v>
      </c>
      <c r="B505" t="str">
        <f>$B$201</f>
        <v>VNO US Equity</v>
      </c>
      <c r="C505" t="str">
        <f>$C$201</f>
        <v>RR263</v>
      </c>
      <c r="D505" t="str">
        <f>$D$201</f>
        <v>DEBT_TO_MKT_CAP</v>
      </c>
      <c r="E505" t="str">
        <f>$E$201</f>
        <v>动态</v>
      </c>
      <c r="F505" t="str">
        <f ca="1">BDH($B$201,$C$201,$B$292,$B$293,CONCATENATE("Per=",$B$290),"Dts=H","Dir=H",CONCATENATE("Points=",$B$291),"Sort=R","Days=A","Fill=B",CONCATENATE("FX=", $B$289) )</f>
        <v>#N/A Authorization</v>
      </c>
      <c r="BN505" t="str">
        <f>""</f>
        <v/>
      </c>
      <c r="BO505" t="str">
        <f>""</f>
        <v/>
      </c>
      <c r="BP505" t="str">
        <f>""</f>
        <v/>
      </c>
      <c r="BQ505" t="str">
        <f>""</f>
        <v/>
      </c>
      <c r="BR505" t="str">
        <f>""</f>
        <v/>
      </c>
      <c r="BS505" t="str">
        <f>""</f>
        <v/>
      </c>
      <c r="BT505" t="str">
        <f>""</f>
        <v/>
      </c>
      <c r="BU505" t="str">
        <f>""</f>
        <v/>
      </c>
      <c r="BV505" t="str">
        <f>""</f>
        <v/>
      </c>
      <c r="BW505" t="str">
        <f>""</f>
        <v/>
      </c>
      <c r="BX505" t="str">
        <f>""</f>
        <v/>
      </c>
      <c r="BY505" t="str">
        <f>""</f>
        <v/>
      </c>
      <c r="BZ505" t="str">
        <f>""</f>
        <v/>
      </c>
      <c r="CA505" t="str">
        <f>""</f>
        <v/>
      </c>
      <c r="CB505" t="str">
        <f>""</f>
        <v/>
      </c>
      <c r="CC505" t="str">
        <f>""</f>
        <v/>
      </c>
      <c r="CD505" t="str">
        <f>""</f>
        <v/>
      </c>
      <c r="CE505" t="str">
        <f>""</f>
        <v/>
      </c>
      <c r="CF505" t="str">
        <f>""</f>
        <v/>
      </c>
      <c r="CG505" t="str">
        <f>""</f>
        <v/>
      </c>
      <c r="CH505" t="str">
        <f>""</f>
        <v/>
      </c>
      <c r="CI505" t="str">
        <f>""</f>
        <v/>
      </c>
      <c r="CJ505" t="str">
        <f>""</f>
        <v/>
      </c>
      <c r="CK505" t="str">
        <f>""</f>
        <v/>
      </c>
      <c r="CL505" t="str">
        <f>""</f>
        <v/>
      </c>
      <c r="CM505" t="str">
        <f>""</f>
        <v/>
      </c>
      <c r="CN505" t="str">
        <f>""</f>
        <v/>
      </c>
      <c r="CO505" t="str">
        <f>""</f>
        <v/>
      </c>
      <c r="CP505" t="str">
        <f>""</f>
        <v/>
      </c>
      <c r="CQ505" t="str">
        <f>""</f>
        <v/>
      </c>
      <c r="CR505" t="str">
        <f>""</f>
        <v/>
      </c>
      <c r="CS505" t="str">
        <f>""</f>
        <v/>
      </c>
      <c r="CT505" t="str">
        <f>""</f>
        <v/>
      </c>
      <c r="CU505" t="str">
        <f>""</f>
        <v/>
      </c>
      <c r="CV505" t="str">
        <f>""</f>
        <v/>
      </c>
      <c r="CW505" t="str">
        <f>""</f>
        <v/>
      </c>
      <c r="CX505" t="str">
        <f>""</f>
        <v/>
      </c>
      <c r="CY505" t="str">
        <f>""</f>
        <v/>
      </c>
      <c r="CZ505" t="str">
        <f>""</f>
        <v/>
      </c>
      <c r="DA505" t="str">
        <f>""</f>
        <v/>
      </c>
      <c r="DB505" t="str">
        <f>""</f>
        <v/>
      </c>
      <c r="DC505" t="str">
        <f>""</f>
        <v/>
      </c>
      <c r="DD505" t="str">
        <f>""</f>
        <v/>
      </c>
      <c r="DE505" t="str">
        <f>""</f>
        <v/>
      </c>
      <c r="DF505" t="str">
        <f>""</f>
        <v/>
      </c>
      <c r="DG505" t="str">
        <f>""</f>
        <v/>
      </c>
      <c r="DH505" t="str">
        <f>""</f>
        <v/>
      </c>
      <c r="DI505" t="str">
        <f>""</f>
        <v/>
      </c>
      <c r="DJ505" t="str">
        <f>""</f>
        <v/>
      </c>
      <c r="DK505" t="str">
        <f>""</f>
        <v/>
      </c>
      <c r="DL505" t="str">
        <f>""</f>
        <v/>
      </c>
      <c r="DM505" t="str">
        <f>""</f>
        <v/>
      </c>
      <c r="DN505" t="str">
        <f>""</f>
        <v/>
      </c>
      <c r="DO505" t="str">
        <f>""</f>
        <v/>
      </c>
      <c r="DP505" t="str">
        <f>""</f>
        <v/>
      </c>
      <c r="DQ505" t="str">
        <f>""</f>
        <v/>
      </c>
      <c r="DR505" t="str">
        <f>""</f>
        <v/>
      </c>
      <c r="DS505" t="str">
        <f>""</f>
        <v/>
      </c>
      <c r="DT505" t="str">
        <f>""</f>
        <v/>
      </c>
      <c r="DU505" t="str">
        <f>""</f>
        <v/>
      </c>
    </row>
    <row r="506" spans="1:125">
      <c r="A506" t="str">
        <f>$A$203</f>
        <v xml:space="preserve">    Boston Properties Inc</v>
      </c>
      <c r="B506" t="str">
        <f>$B$203</f>
        <v>BXP US Equity</v>
      </c>
      <c r="C506" t="str">
        <f>$C$203</f>
        <v>RX951</v>
      </c>
      <c r="D506" t="str">
        <f>$D$203</f>
        <v>EBITDA_TO_INTEREST_EXPN</v>
      </c>
      <c r="E506" t="str">
        <f>$E$203</f>
        <v>动态</v>
      </c>
      <c r="F506" t="str">
        <f ca="1">BDH($B$203,$C$203,$B$292,$B$293,CONCATENATE("Per=",$B$290),"Dts=H","Dir=H",CONCATENATE("Points=",$B$291),"Sort=R","Days=A","Fill=B",CONCATENATE("FX=", $B$289) )</f>
        <v>#N/A Authorization</v>
      </c>
      <c r="BN506" t="str">
        <f>""</f>
        <v/>
      </c>
      <c r="BO506" t="str">
        <f>""</f>
        <v/>
      </c>
      <c r="BP506" t="str">
        <f>""</f>
        <v/>
      </c>
      <c r="BQ506" t="str">
        <f>""</f>
        <v/>
      </c>
      <c r="BR506" t="str">
        <f>""</f>
        <v/>
      </c>
      <c r="BS506" t="str">
        <f>""</f>
        <v/>
      </c>
      <c r="BT506" t="str">
        <f>""</f>
        <v/>
      </c>
      <c r="BU506" t="str">
        <f>""</f>
        <v/>
      </c>
      <c r="BV506" t="str">
        <f>""</f>
        <v/>
      </c>
      <c r="BW506" t="str">
        <f>""</f>
        <v/>
      </c>
      <c r="BX506" t="str">
        <f>""</f>
        <v/>
      </c>
      <c r="BY506" t="str">
        <f>""</f>
        <v/>
      </c>
      <c r="BZ506" t="str">
        <f>""</f>
        <v/>
      </c>
      <c r="CA506" t="str">
        <f>""</f>
        <v/>
      </c>
      <c r="CB506" t="str">
        <f>""</f>
        <v/>
      </c>
      <c r="CC506" t="str">
        <f>""</f>
        <v/>
      </c>
      <c r="CD506" t="str">
        <f>""</f>
        <v/>
      </c>
      <c r="CE506" t="str">
        <f>""</f>
        <v/>
      </c>
      <c r="CF506" t="str">
        <f>""</f>
        <v/>
      </c>
      <c r="CG506" t="str">
        <f>""</f>
        <v/>
      </c>
      <c r="CH506" t="str">
        <f>""</f>
        <v/>
      </c>
      <c r="CI506" t="str">
        <f>""</f>
        <v/>
      </c>
      <c r="CJ506" t="str">
        <f>""</f>
        <v/>
      </c>
      <c r="CK506" t="str">
        <f>""</f>
        <v/>
      </c>
      <c r="CL506" t="str">
        <f>""</f>
        <v/>
      </c>
      <c r="CM506" t="str">
        <f>""</f>
        <v/>
      </c>
      <c r="CN506" t="str">
        <f>""</f>
        <v/>
      </c>
      <c r="CO506" t="str">
        <f>""</f>
        <v/>
      </c>
      <c r="CP506" t="str">
        <f>""</f>
        <v/>
      </c>
      <c r="CQ506" t="str">
        <f>""</f>
        <v/>
      </c>
      <c r="CR506" t="str">
        <f>""</f>
        <v/>
      </c>
      <c r="CS506" t="str">
        <f>""</f>
        <v/>
      </c>
      <c r="CT506" t="str">
        <f>""</f>
        <v/>
      </c>
      <c r="CU506" t="str">
        <f>""</f>
        <v/>
      </c>
      <c r="CV506" t="str">
        <f>""</f>
        <v/>
      </c>
      <c r="CW506" t="str">
        <f>""</f>
        <v/>
      </c>
      <c r="CX506" t="str">
        <f>""</f>
        <v/>
      </c>
      <c r="CY506" t="str">
        <f>""</f>
        <v/>
      </c>
      <c r="CZ506" t="str">
        <f>""</f>
        <v/>
      </c>
      <c r="DA506" t="str">
        <f>""</f>
        <v/>
      </c>
      <c r="DB506" t="str">
        <f>""</f>
        <v/>
      </c>
      <c r="DC506" t="str">
        <f>""</f>
        <v/>
      </c>
      <c r="DD506" t="str">
        <f>""</f>
        <v/>
      </c>
      <c r="DE506" t="str">
        <f>""</f>
        <v/>
      </c>
      <c r="DF506" t="str">
        <f>""</f>
        <v/>
      </c>
      <c r="DG506" t="str">
        <f>""</f>
        <v/>
      </c>
      <c r="DH506" t="str">
        <f>""</f>
        <v/>
      </c>
      <c r="DI506" t="str">
        <f>""</f>
        <v/>
      </c>
      <c r="DJ506" t="str">
        <f>""</f>
        <v/>
      </c>
      <c r="DK506" t="str">
        <f>""</f>
        <v/>
      </c>
      <c r="DL506" t="str">
        <f>""</f>
        <v/>
      </c>
      <c r="DM506" t="str">
        <f>""</f>
        <v/>
      </c>
      <c r="DN506" t="str">
        <f>""</f>
        <v/>
      </c>
      <c r="DO506" t="str">
        <f>""</f>
        <v/>
      </c>
      <c r="DP506" t="str">
        <f>""</f>
        <v/>
      </c>
      <c r="DQ506" t="str">
        <f>""</f>
        <v/>
      </c>
      <c r="DR506" t="str">
        <f>""</f>
        <v/>
      </c>
      <c r="DS506" t="str">
        <f>""</f>
        <v/>
      </c>
      <c r="DT506" t="str">
        <f>""</f>
        <v/>
      </c>
      <c r="DU506" t="str">
        <f>""</f>
        <v/>
      </c>
    </row>
    <row r="507" spans="1:125">
      <c r="A507" t="str">
        <f>$A$204</f>
        <v xml:space="preserve">    Brandywine Realty Trust</v>
      </c>
      <c r="B507" t="str">
        <f>$B$204</f>
        <v>BDN US Equity</v>
      </c>
      <c r="C507" t="str">
        <f>$C$204</f>
        <v>RX951</v>
      </c>
      <c r="D507" t="str">
        <f>$D$204</f>
        <v>EBITDA_TO_INTEREST_EXPN</v>
      </c>
      <c r="E507" t="str">
        <f>$E$204</f>
        <v>动态</v>
      </c>
      <c r="F507" t="str">
        <f ca="1">BDH($B$204,$C$204,$B$292,$B$293,CONCATENATE("Per=",$B$290),"Dts=H","Dir=H",CONCATENATE("Points=",$B$291),"Sort=R","Days=A","Fill=B",CONCATENATE("FX=", $B$289) )</f>
        <v>#N/A Authorization</v>
      </c>
      <c r="BN507" t="str">
        <f>""</f>
        <v/>
      </c>
      <c r="BO507" t="str">
        <f>""</f>
        <v/>
      </c>
      <c r="BP507" t="str">
        <f>""</f>
        <v/>
      </c>
      <c r="BQ507" t="str">
        <f>""</f>
        <v/>
      </c>
      <c r="BR507" t="str">
        <f>""</f>
        <v/>
      </c>
      <c r="BS507" t="str">
        <f>""</f>
        <v/>
      </c>
      <c r="BT507" t="str">
        <f>""</f>
        <v/>
      </c>
      <c r="BU507" t="str">
        <f>""</f>
        <v/>
      </c>
      <c r="BV507" t="str">
        <f>""</f>
        <v/>
      </c>
      <c r="BW507" t="str">
        <f>""</f>
        <v/>
      </c>
      <c r="BX507" t="str">
        <f>""</f>
        <v/>
      </c>
      <c r="BY507" t="str">
        <f>""</f>
        <v/>
      </c>
      <c r="BZ507" t="str">
        <f>""</f>
        <v/>
      </c>
      <c r="CA507" t="str">
        <f>""</f>
        <v/>
      </c>
      <c r="CB507" t="str">
        <f>""</f>
        <v/>
      </c>
      <c r="CC507" t="str">
        <f>""</f>
        <v/>
      </c>
      <c r="CD507" t="str">
        <f>""</f>
        <v/>
      </c>
      <c r="CE507" t="str">
        <f>""</f>
        <v/>
      </c>
      <c r="CF507" t="str">
        <f>""</f>
        <v/>
      </c>
      <c r="CG507" t="str">
        <f>""</f>
        <v/>
      </c>
      <c r="CH507" t="str">
        <f>""</f>
        <v/>
      </c>
      <c r="CI507" t="str">
        <f>""</f>
        <v/>
      </c>
      <c r="CJ507" t="str">
        <f>""</f>
        <v/>
      </c>
      <c r="CK507" t="str">
        <f>""</f>
        <v/>
      </c>
      <c r="CL507" t="str">
        <f>""</f>
        <v/>
      </c>
      <c r="CM507" t="str">
        <f>""</f>
        <v/>
      </c>
      <c r="CN507" t="str">
        <f>""</f>
        <v/>
      </c>
      <c r="CO507" t="str">
        <f>""</f>
        <v/>
      </c>
      <c r="CP507" t="str">
        <f>""</f>
        <v/>
      </c>
      <c r="CQ507" t="str">
        <f>""</f>
        <v/>
      </c>
      <c r="CR507" t="str">
        <f>""</f>
        <v/>
      </c>
      <c r="CS507" t="str">
        <f>""</f>
        <v/>
      </c>
      <c r="CT507" t="str">
        <f>""</f>
        <v/>
      </c>
      <c r="CU507" t="str">
        <f>""</f>
        <v/>
      </c>
      <c r="CV507" t="str">
        <f>""</f>
        <v/>
      </c>
      <c r="CW507" t="str">
        <f>""</f>
        <v/>
      </c>
      <c r="CX507" t="str">
        <f>""</f>
        <v/>
      </c>
      <c r="CY507" t="str">
        <f>""</f>
        <v/>
      </c>
      <c r="CZ507" t="str">
        <f>""</f>
        <v/>
      </c>
      <c r="DA507" t="str">
        <f>""</f>
        <v/>
      </c>
      <c r="DB507" t="str">
        <f>""</f>
        <v/>
      </c>
      <c r="DC507" t="str">
        <f>""</f>
        <v/>
      </c>
      <c r="DD507" t="str">
        <f>""</f>
        <v/>
      </c>
      <c r="DE507" t="str">
        <f>""</f>
        <v/>
      </c>
      <c r="DF507" t="str">
        <f>""</f>
        <v/>
      </c>
      <c r="DG507" t="str">
        <f>""</f>
        <v/>
      </c>
      <c r="DH507" t="str">
        <f>""</f>
        <v/>
      </c>
      <c r="DI507" t="str">
        <f>""</f>
        <v/>
      </c>
      <c r="DJ507" t="str">
        <f>""</f>
        <v/>
      </c>
      <c r="DK507" t="str">
        <f>""</f>
        <v/>
      </c>
      <c r="DL507" t="str">
        <f>""</f>
        <v/>
      </c>
      <c r="DM507" t="str">
        <f>""</f>
        <v/>
      </c>
      <c r="DN507" t="str">
        <f>""</f>
        <v/>
      </c>
      <c r="DO507" t="str">
        <f>""</f>
        <v/>
      </c>
      <c r="DP507" t="str">
        <f>""</f>
        <v/>
      </c>
      <c r="DQ507" t="str">
        <f>""</f>
        <v/>
      </c>
      <c r="DR507" t="str">
        <f>""</f>
        <v/>
      </c>
      <c r="DS507" t="str">
        <f>""</f>
        <v/>
      </c>
      <c r="DT507" t="str">
        <f>""</f>
        <v/>
      </c>
      <c r="DU507" t="str">
        <f>""</f>
        <v/>
      </c>
    </row>
    <row r="508" spans="1:125">
      <c r="A508" t="str">
        <f>$A$205</f>
        <v xml:space="preserve">    Columbia Property Trust Inc</v>
      </c>
      <c r="B508" t="str">
        <f>$B$205</f>
        <v>CXP US Equity</v>
      </c>
      <c r="C508" t="str">
        <f>$C$205</f>
        <v>RX951</v>
      </c>
      <c r="D508" t="str">
        <f>$D$205</f>
        <v>EBITDA_TO_INTEREST_EXPN</v>
      </c>
      <c r="E508" t="str">
        <f>$E$205</f>
        <v>动态</v>
      </c>
      <c r="F508" t="str">
        <f ca="1">BDH($B$205,$C$205,$B$292,$B$293,CONCATENATE("Per=",$B$290),"Dts=H","Dir=H",CONCATENATE("Points=",$B$291),"Sort=R","Days=A","Fill=B",CONCATENATE("FX=", $B$289) )</f>
        <v>#N/A Authorization</v>
      </c>
      <c r="BN508" t="str">
        <f>""</f>
        <v/>
      </c>
      <c r="BO508" t="str">
        <f>""</f>
        <v/>
      </c>
      <c r="BP508" t="str">
        <f>""</f>
        <v/>
      </c>
      <c r="BQ508" t="str">
        <f>""</f>
        <v/>
      </c>
      <c r="BR508" t="str">
        <f>""</f>
        <v/>
      </c>
      <c r="BS508" t="str">
        <f>""</f>
        <v/>
      </c>
      <c r="BT508" t="str">
        <f>""</f>
        <v/>
      </c>
      <c r="BU508" t="str">
        <f>""</f>
        <v/>
      </c>
      <c r="BV508" t="str">
        <f>""</f>
        <v/>
      </c>
      <c r="BW508" t="str">
        <f>""</f>
        <v/>
      </c>
      <c r="BX508" t="str">
        <f>""</f>
        <v/>
      </c>
      <c r="BY508" t="str">
        <f>""</f>
        <v/>
      </c>
      <c r="BZ508" t="str">
        <f>""</f>
        <v/>
      </c>
      <c r="CA508" t="str">
        <f>""</f>
        <v/>
      </c>
      <c r="CB508" t="str">
        <f>""</f>
        <v/>
      </c>
      <c r="CC508" t="str">
        <f>""</f>
        <v/>
      </c>
      <c r="CD508" t="str">
        <f>""</f>
        <v/>
      </c>
      <c r="CE508" t="str">
        <f>""</f>
        <v/>
      </c>
      <c r="CF508" t="str">
        <f>""</f>
        <v/>
      </c>
      <c r="CG508" t="str">
        <f>""</f>
        <v/>
      </c>
      <c r="CH508" t="str">
        <f>""</f>
        <v/>
      </c>
      <c r="CI508" t="str">
        <f>""</f>
        <v/>
      </c>
      <c r="CJ508" t="str">
        <f>""</f>
        <v/>
      </c>
      <c r="CK508" t="str">
        <f>""</f>
        <v/>
      </c>
      <c r="CL508" t="str">
        <f>""</f>
        <v/>
      </c>
      <c r="CM508" t="str">
        <f>""</f>
        <v/>
      </c>
      <c r="CN508" t="str">
        <f>""</f>
        <v/>
      </c>
      <c r="CO508" t="str">
        <f>""</f>
        <v/>
      </c>
      <c r="CP508" t="str">
        <f>""</f>
        <v/>
      </c>
      <c r="CQ508" t="str">
        <f>""</f>
        <v/>
      </c>
      <c r="CR508" t="str">
        <f>""</f>
        <v/>
      </c>
      <c r="CS508" t="str">
        <f>""</f>
        <v/>
      </c>
      <c r="CT508" t="str">
        <f>""</f>
        <v/>
      </c>
      <c r="CU508" t="str">
        <f>""</f>
        <v/>
      </c>
      <c r="CV508" t="str">
        <f>""</f>
        <v/>
      </c>
      <c r="CW508" t="str">
        <f>""</f>
        <v/>
      </c>
      <c r="CX508" t="str">
        <f>""</f>
        <v/>
      </c>
      <c r="CY508" t="str">
        <f>""</f>
        <v/>
      </c>
      <c r="CZ508" t="str">
        <f>""</f>
        <v/>
      </c>
      <c r="DA508" t="str">
        <f>""</f>
        <v/>
      </c>
      <c r="DB508" t="str">
        <f>""</f>
        <v/>
      </c>
      <c r="DC508" t="str">
        <f>""</f>
        <v/>
      </c>
      <c r="DD508" t="str">
        <f>""</f>
        <v/>
      </c>
      <c r="DE508" t="str">
        <f>""</f>
        <v/>
      </c>
      <c r="DF508" t="str">
        <f>""</f>
        <v/>
      </c>
      <c r="DG508" t="str">
        <f>""</f>
        <v/>
      </c>
      <c r="DH508" t="str">
        <f>""</f>
        <v/>
      </c>
      <c r="DI508" t="str">
        <f>""</f>
        <v/>
      </c>
      <c r="DJ508" t="str">
        <f>""</f>
        <v/>
      </c>
      <c r="DK508" t="str">
        <f>""</f>
        <v/>
      </c>
      <c r="DL508" t="str">
        <f>""</f>
        <v/>
      </c>
      <c r="DM508" t="str">
        <f>""</f>
        <v/>
      </c>
      <c r="DN508" t="str">
        <f>""</f>
        <v/>
      </c>
      <c r="DO508" t="str">
        <f>""</f>
        <v/>
      </c>
      <c r="DP508" t="str">
        <f>""</f>
        <v/>
      </c>
      <c r="DQ508" t="str">
        <f>""</f>
        <v/>
      </c>
      <c r="DR508" t="str">
        <f>""</f>
        <v/>
      </c>
      <c r="DS508" t="str">
        <f>""</f>
        <v/>
      </c>
      <c r="DT508" t="str">
        <f>""</f>
        <v/>
      </c>
      <c r="DU508" t="str">
        <f>""</f>
        <v/>
      </c>
    </row>
    <row r="509" spans="1:125">
      <c r="A509" t="str">
        <f>$A$206</f>
        <v xml:space="preserve">    Corporate Office Properties Tr</v>
      </c>
      <c r="B509" t="str">
        <f>$B$206</f>
        <v>OFC US Equity</v>
      </c>
      <c r="C509" t="str">
        <f>$C$206</f>
        <v>RX951</v>
      </c>
      <c r="D509" t="str">
        <f>$D$206</f>
        <v>EBITDA_TO_INTEREST_EXPN</v>
      </c>
      <c r="E509" t="str">
        <f>$E$206</f>
        <v>动态</v>
      </c>
      <c r="F509" t="str">
        <f ca="1">BDH($B$206,$C$206,$B$292,$B$293,CONCATENATE("Per=",$B$290),"Dts=H","Dir=H",CONCATENATE("Points=",$B$291),"Sort=R","Days=A","Fill=B",CONCATENATE("FX=", $B$289) )</f>
        <v>#N/A Authorization</v>
      </c>
      <c r="BN509" t="str">
        <f>""</f>
        <v/>
      </c>
      <c r="BO509" t="str">
        <f>""</f>
        <v/>
      </c>
      <c r="BP509" t="str">
        <f>""</f>
        <v/>
      </c>
      <c r="BQ509" t="str">
        <f>""</f>
        <v/>
      </c>
      <c r="BR509" t="str">
        <f>""</f>
        <v/>
      </c>
      <c r="BS509" t="str">
        <f>""</f>
        <v/>
      </c>
      <c r="BT509" t="str">
        <f>""</f>
        <v/>
      </c>
      <c r="BU509" t="str">
        <f>""</f>
        <v/>
      </c>
      <c r="BV509" t="str">
        <f>""</f>
        <v/>
      </c>
      <c r="BW509" t="str">
        <f>""</f>
        <v/>
      </c>
      <c r="BX509" t="str">
        <f>""</f>
        <v/>
      </c>
      <c r="BY509" t="str">
        <f>""</f>
        <v/>
      </c>
      <c r="BZ509" t="str">
        <f>""</f>
        <v/>
      </c>
      <c r="CA509" t="str">
        <f>""</f>
        <v/>
      </c>
      <c r="CB509" t="str">
        <f>""</f>
        <v/>
      </c>
      <c r="CC509" t="str">
        <f>""</f>
        <v/>
      </c>
      <c r="CD509" t="str">
        <f>""</f>
        <v/>
      </c>
      <c r="CE509" t="str">
        <f>""</f>
        <v/>
      </c>
      <c r="CF509" t="str">
        <f>""</f>
        <v/>
      </c>
      <c r="CG509" t="str">
        <f>""</f>
        <v/>
      </c>
      <c r="CH509" t="str">
        <f>""</f>
        <v/>
      </c>
      <c r="CI509" t="str">
        <f>""</f>
        <v/>
      </c>
      <c r="CJ509" t="str">
        <f>""</f>
        <v/>
      </c>
      <c r="CK509" t="str">
        <f>""</f>
        <v/>
      </c>
      <c r="CL509" t="str">
        <f>""</f>
        <v/>
      </c>
      <c r="CM509" t="str">
        <f>""</f>
        <v/>
      </c>
      <c r="CN509" t="str">
        <f>""</f>
        <v/>
      </c>
      <c r="CO509" t="str">
        <f>""</f>
        <v/>
      </c>
      <c r="CP509" t="str">
        <f>""</f>
        <v/>
      </c>
      <c r="CQ509" t="str">
        <f>""</f>
        <v/>
      </c>
      <c r="CR509" t="str">
        <f>""</f>
        <v/>
      </c>
      <c r="CS509" t="str">
        <f>""</f>
        <v/>
      </c>
      <c r="CT509" t="str">
        <f>""</f>
        <v/>
      </c>
      <c r="CU509" t="str">
        <f>""</f>
        <v/>
      </c>
      <c r="CV509" t="str">
        <f>""</f>
        <v/>
      </c>
      <c r="CW509" t="str">
        <f>""</f>
        <v/>
      </c>
      <c r="CX509" t="str">
        <f>""</f>
        <v/>
      </c>
      <c r="CY509" t="str">
        <f>""</f>
        <v/>
      </c>
      <c r="CZ509" t="str">
        <f>""</f>
        <v/>
      </c>
      <c r="DA509" t="str">
        <f>""</f>
        <v/>
      </c>
      <c r="DB509" t="str">
        <f>""</f>
        <v/>
      </c>
      <c r="DC509" t="str">
        <f>""</f>
        <v/>
      </c>
      <c r="DD509" t="str">
        <f>""</f>
        <v/>
      </c>
      <c r="DE509" t="str">
        <f>""</f>
        <v/>
      </c>
      <c r="DF509" t="str">
        <f>""</f>
        <v/>
      </c>
      <c r="DG509" t="str">
        <f>""</f>
        <v/>
      </c>
      <c r="DH509" t="str">
        <f>""</f>
        <v/>
      </c>
      <c r="DI509" t="str">
        <f>""</f>
        <v/>
      </c>
      <c r="DJ509" t="str">
        <f>""</f>
        <v/>
      </c>
      <c r="DK509" t="str">
        <f>""</f>
        <v/>
      </c>
      <c r="DL509" t="str">
        <f>""</f>
        <v/>
      </c>
      <c r="DM509" t="str">
        <f>""</f>
        <v/>
      </c>
      <c r="DN509" t="str">
        <f>""</f>
        <v/>
      </c>
      <c r="DO509" t="str">
        <f>""</f>
        <v/>
      </c>
      <c r="DP509" t="str">
        <f>""</f>
        <v/>
      </c>
      <c r="DQ509" t="str">
        <f>""</f>
        <v/>
      </c>
      <c r="DR509" t="str">
        <f>""</f>
        <v/>
      </c>
      <c r="DS509" t="str">
        <f>""</f>
        <v/>
      </c>
      <c r="DT509" t="str">
        <f>""</f>
        <v/>
      </c>
      <c r="DU509" t="str">
        <f>""</f>
        <v/>
      </c>
    </row>
    <row r="510" spans="1:125">
      <c r="A510" t="str">
        <f>$A$207</f>
        <v xml:space="preserve">    Highwoods Properties Inc</v>
      </c>
      <c r="B510" t="str">
        <f>$B$207</f>
        <v>HIW US Equity</v>
      </c>
      <c r="C510" t="str">
        <f>$C$207</f>
        <v>RX951</v>
      </c>
      <c r="D510" t="str">
        <f>$D$207</f>
        <v>EBITDA_TO_INTEREST_EXPN</v>
      </c>
      <c r="E510" t="str">
        <f>$E$207</f>
        <v>动态</v>
      </c>
      <c r="F510" t="str">
        <f ca="1">BDH($B$207,$C$207,$B$292,$B$293,CONCATENATE("Per=",$B$290),"Dts=H","Dir=H",CONCATENATE("Points=",$B$291),"Sort=R","Days=A","Fill=B",CONCATENATE("FX=", $B$289) )</f>
        <v>#N/A Authorization</v>
      </c>
      <c r="BN510" t="str">
        <f>""</f>
        <v/>
      </c>
      <c r="BO510" t="str">
        <f>""</f>
        <v/>
      </c>
      <c r="BP510" t="str">
        <f>""</f>
        <v/>
      </c>
      <c r="BQ510" t="str">
        <f>""</f>
        <v/>
      </c>
      <c r="BR510" t="str">
        <f>""</f>
        <v/>
      </c>
      <c r="BS510" t="str">
        <f>""</f>
        <v/>
      </c>
      <c r="BT510" t="str">
        <f>""</f>
        <v/>
      </c>
      <c r="BU510" t="str">
        <f>""</f>
        <v/>
      </c>
      <c r="BV510" t="str">
        <f>""</f>
        <v/>
      </c>
      <c r="BW510" t="str">
        <f>""</f>
        <v/>
      </c>
      <c r="BX510" t="str">
        <f>""</f>
        <v/>
      </c>
      <c r="BY510" t="str">
        <f>""</f>
        <v/>
      </c>
      <c r="BZ510" t="str">
        <f>""</f>
        <v/>
      </c>
      <c r="CA510" t="str">
        <f>""</f>
        <v/>
      </c>
      <c r="CB510" t="str">
        <f>""</f>
        <v/>
      </c>
      <c r="CC510" t="str">
        <f>""</f>
        <v/>
      </c>
      <c r="CD510" t="str">
        <f>""</f>
        <v/>
      </c>
      <c r="CE510" t="str">
        <f>""</f>
        <v/>
      </c>
      <c r="CF510" t="str">
        <f>""</f>
        <v/>
      </c>
      <c r="CG510" t="str">
        <f>""</f>
        <v/>
      </c>
      <c r="CH510" t="str">
        <f>""</f>
        <v/>
      </c>
      <c r="CI510" t="str">
        <f>""</f>
        <v/>
      </c>
      <c r="CJ510" t="str">
        <f>""</f>
        <v/>
      </c>
      <c r="CK510" t="str">
        <f>""</f>
        <v/>
      </c>
      <c r="CL510" t="str">
        <f>""</f>
        <v/>
      </c>
      <c r="CM510" t="str">
        <f>""</f>
        <v/>
      </c>
      <c r="CN510" t="str">
        <f>""</f>
        <v/>
      </c>
      <c r="CO510" t="str">
        <f>""</f>
        <v/>
      </c>
      <c r="CP510" t="str">
        <f>""</f>
        <v/>
      </c>
      <c r="CQ510" t="str">
        <f>""</f>
        <v/>
      </c>
      <c r="CR510" t="str">
        <f>""</f>
        <v/>
      </c>
      <c r="CS510" t="str">
        <f>""</f>
        <v/>
      </c>
      <c r="CT510" t="str">
        <f>""</f>
        <v/>
      </c>
      <c r="CU510" t="str">
        <f>""</f>
        <v/>
      </c>
      <c r="CV510" t="str">
        <f>""</f>
        <v/>
      </c>
      <c r="CW510" t="str">
        <f>""</f>
        <v/>
      </c>
      <c r="CX510" t="str">
        <f>""</f>
        <v/>
      </c>
      <c r="CY510" t="str">
        <f>""</f>
        <v/>
      </c>
      <c r="CZ510" t="str">
        <f>""</f>
        <v/>
      </c>
      <c r="DA510" t="str">
        <f>""</f>
        <v/>
      </c>
      <c r="DB510" t="str">
        <f>""</f>
        <v/>
      </c>
      <c r="DC510" t="str">
        <f>""</f>
        <v/>
      </c>
      <c r="DD510" t="str">
        <f>""</f>
        <v/>
      </c>
      <c r="DE510" t="str">
        <f>""</f>
        <v/>
      </c>
      <c r="DF510" t="str">
        <f>""</f>
        <v/>
      </c>
      <c r="DG510" t="str">
        <f>""</f>
        <v/>
      </c>
      <c r="DH510" t="str">
        <f>""</f>
        <v/>
      </c>
      <c r="DI510" t="str">
        <f>""</f>
        <v/>
      </c>
      <c r="DJ510" t="str">
        <f>""</f>
        <v/>
      </c>
      <c r="DK510" t="str">
        <f>""</f>
        <v/>
      </c>
      <c r="DL510" t="str">
        <f>""</f>
        <v/>
      </c>
      <c r="DM510" t="str">
        <f>""</f>
        <v/>
      </c>
      <c r="DN510" t="str">
        <f>""</f>
        <v/>
      </c>
      <c r="DO510" t="str">
        <f>""</f>
        <v/>
      </c>
      <c r="DP510" t="str">
        <f>""</f>
        <v/>
      </c>
      <c r="DQ510" t="str">
        <f>""</f>
        <v/>
      </c>
      <c r="DR510" t="str">
        <f>""</f>
        <v/>
      </c>
      <c r="DS510" t="str">
        <f>""</f>
        <v/>
      </c>
      <c r="DT510" t="str">
        <f>""</f>
        <v/>
      </c>
      <c r="DU510" t="str">
        <f>""</f>
        <v/>
      </c>
    </row>
    <row r="511" spans="1:125">
      <c r="A511" t="str">
        <f>$A$208</f>
        <v xml:space="preserve">    Kilroy Realty Corp</v>
      </c>
      <c r="B511" t="str">
        <f>$B$208</f>
        <v>KRC US Equity</v>
      </c>
      <c r="C511" t="str">
        <f>$C$208</f>
        <v>RX951</v>
      </c>
      <c r="D511" t="str">
        <f>$D$208</f>
        <v>EBITDA_TO_INTEREST_EXPN</v>
      </c>
      <c r="E511" t="str">
        <f>$E$208</f>
        <v>动态</v>
      </c>
      <c r="F511" t="str">
        <f ca="1">BDH($B$208,$C$208,$B$292,$B$293,CONCATENATE("Per=",$B$290),"Dts=H","Dir=H",CONCATENATE("Points=",$B$291),"Sort=R","Days=A","Fill=B",CONCATENATE("FX=", $B$289) )</f>
        <v>#N/A Authorization</v>
      </c>
      <c r="BN511" t="str">
        <f>""</f>
        <v/>
      </c>
      <c r="BO511" t="str">
        <f>""</f>
        <v/>
      </c>
      <c r="BP511" t="str">
        <f>""</f>
        <v/>
      </c>
      <c r="BQ511" t="str">
        <f>""</f>
        <v/>
      </c>
      <c r="BR511" t="str">
        <f>""</f>
        <v/>
      </c>
      <c r="BS511" t="str">
        <f>""</f>
        <v/>
      </c>
      <c r="BT511" t="str">
        <f>""</f>
        <v/>
      </c>
      <c r="BU511" t="str">
        <f>""</f>
        <v/>
      </c>
      <c r="BV511" t="str">
        <f>""</f>
        <v/>
      </c>
      <c r="BW511" t="str">
        <f>""</f>
        <v/>
      </c>
      <c r="BX511" t="str">
        <f>""</f>
        <v/>
      </c>
      <c r="BY511" t="str">
        <f>""</f>
        <v/>
      </c>
      <c r="BZ511" t="str">
        <f>""</f>
        <v/>
      </c>
      <c r="CA511" t="str">
        <f>""</f>
        <v/>
      </c>
      <c r="CB511" t="str">
        <f>""</f>
        <v/>
      </c>
      <c r="CC511" t="str">
        <f>""</f>
        <v/>
      </c>
      <c r="CD511" t="str">
        <f>""</f>
        <v/>
      </c>
      <c r="CE511" t="str">
        <f>""</f>
        <v/>
      </c>
      <c r="CF511" t="str">
        <f>""</f>
        <v/>
      </c>
      <c r="CG511" t="str">
        <f>""</f>
        <v/>
      </c>
      <c r="CH511" t="str">
        <f>""</f>
        <v/>
      </c>
      <c r="CI511" t="str">
        <f>""</f>
        <v/>
      </c>
      <c r="CJ511" t="str">
        <f>""</f>
        <v/>
      </c>
      <c r="CK511" t="str">
        <f>""</f>
        <v/>
      </c>
      <c r="CL511" t="str">
        <f>""</f>
        <v/>
      </c>
      <c r="CM511" t="str">
        <f>""</f>
        <v/>
      </c>
      <c r="CN511" t="str">
        <f>""</f>
        <v/>
      </c>
      <c r="CO511" t="str">
        <f>""</f>
        <v/>
      </c>
      <c r="CP511" t="str">
        <f>""</f>
        <v/>
      </c>
      <c r="CQ511" t="str">
        <f>""</f>
        <v/>
      </c>
      <c r="CR511" t="str">
        <f>""</f>
        <v/>
      </c>
      <c r="CS511" t="str">
        <f>""</f>
        <v/>
      </c>
      <c r="CT511" t="str">
        <f>""</f>
        <v/>
      </c>
      <c r="CU511" t="str">
        <f>""</f>
        <v/>
      </c>
      <c r="CV511" t="str">
        <f>""</f>
        <v/>
      </c>
      <c r="CW511" t="str">
        <f>""</f>
        <v/>
      </c>
      <c r="CX511" t="str">
        <f>""</f>
        <v/>
      </c>
      <c r="CY511" t="str">
        <f>""</f>
        <v/>
      </c>
      <c r="CZ511" t="str">
        <f>""</f>
        <v/>
      </c>
      <c r="DA511" t="str">
        <f>""</f>
        <v/>
      </c>
      <c r="DB511" t="str">
        <f>""</f>
        <v/>
      </c>
      <c r="DC511" t="str">
        <f>""</f>
        <v/>
      </c>
      <c r="DD511" t="str">
        <f>""</f>
        <v/>
      </c>
      <c r="DE511" t="str">
        <f>""</f>
        <v/>
      </c>
      <c r="DF511" t="str">
        <f>""</f>
        <v/>
      </c>
      <c r="DG511" t="str">
        <f>""</f>
        <v/>
      </c>
      <c r="DH511" t="str">
        <f>""</f>
        <v/>
      </c>
      <c r="DI511" t="str">
        <f>""</f>
        <v/>
      </c>
      <c r="DJ511" t="str">
        <f>""</f>
        <v/>
      </c>
      <c r="DK511" t="str">
        <f>""</f>
        <v/>
      </c>
      <c r="DL511" t="str">
        <f>""</f>
        <v/>
      </c>
      <c r="DM511" t="str">
        <f>""</f>
        <v/>
      </c>
      <c r="DN511" t="str">
        <f>""</f>
        <v/>
      </c>
      <c r="DO511" t="str">
        <f>""</f>
        <v/>
      </c>
      <c r="DP511" t="str">
        <f>""</f>
        <v/>
      </c>
      <c r="DQ511" t="str">
        <f>""</f>
        <v/>
      </c>
      <c r="DR511" t="str">
        <f>""</f>
        <v/>
      </c>
      <c r="DS511" t="str">
        <f>""</f>
        <v/>
      </c>
      <c r="DT511" t="str">
        <f>""</f>
        <v/>
      </c>
      <c r="DU511" t="str">
        <f>""</f>
        <v/>
      </c>
    </row>
    <row r="512" spans="1:125">
      <c r="A512" t="str">
        <f>$A$209</f>
        <v xml:space="preserve">    Mack-Cali Realty Corp</v>
      </c>
      <c r="B512" t="str">
        <f>$B$209</f>
        <v>CLI US Equity</v>
      </c>
      <c r="C512" t="str">
        <f>$C$209</f>
        <v>RX951</v>
      </c>
      <c r="D512" t="str">
        <f>$D$209</f>
        <v>EBITDA_TO_INTEREST_EXPN</v>
      </c>
      <c r="E512" t="str">
        <f>$E$209</f>
        <v>动态</v>
      </c>
      <c r="F512" t="str">
        <f ca="1">BDH($B$209,$C$209,$B$292,$B$293,CONCATENATE("Per=",$B$290),"Dts=H","Dir=H",CONCATENATE("Points=",$B$291),"Sort=R","Days=A","Fill=B",CONCATENATE("FX=", $B$289) )</f>
        <v>#N/A Authorization</v>
      </c>
      <c r="BN512" t="str">
        <f>""</f>
        <v/>
      </c>
      <c r="BO512" t="str">
        <f>""</f>
        <v/>
      </c>
      <c r="BP512" t="str">
        <f>""</f>
        <v/>
      </c>
      <c r="BQ512" t="str">
        <f>""</f>
        <v/>
      </c>
      <c r="BR512" t="str">
        <f>""</f>
        <v/>
      </c>
      <c r="BS512" t="str">
        <f>""</f>
        <v/>
      </c>
      <c r="BT512" t="str">
        <f>""</f>
        <v/>
      </c>
      <c r="BU512" t="str">
        <f>""</f>
        <v/>
      </c>
      <c r="BV512" t="str">
        <f>""</f>
        <v/>
      </c>
      <c r="BW512" t="str">
        <f>""</f>
        <v/>
      </c>
      <c r="BX512" t="str">
        <f>""</f>
        <v/>
      </c>
      <c r="BY512" t="str">
        <f>""</f>
        <v/>
      </c>
      <c r="BZ512" t="str">
        <f>""</f>
        <v/>
      </c>
      <c r="CA512" t="str">
        <f>""</f>
        <v/>
      </c>
      <c r="CB512" t="str">
        <f>""</f>
        <v/>
      </c>
      <c r="CC512" t="str">
        <f>""</f>
        <v/>
      </c>
      <c r="CD512" t="str">
        <f>""</f>
        <v/>
      </c>
      <c r="CE512" t="str">
        <f>""</f>
        <v/>
      </c>
      <c r="CF512" t="str">
        <f>""</f>
        <v/>
      </c>
      <c r="CG512" t="str">
        <f>""</f>
        <v/>
      </c>
      <c r="CH512" t="str">
        <f>""</f>
        <v/>
      </c>
      <c r="CI512" t="str">
        <f>""</f>
        <v/>
      </c>
      <c r="CJ512" t="str">
        <f>""</f>
        <v/>
      </c>
      <c r="CK512" t="str">
        <f>""</f>
        <v/>
      </c>
      <c r="CL512" t="str">
        <f>""</f>
        <v/>
      </c>
      <c r="CM512" t="str">
        <f>""</f>
        <v/>
      </c>
      <c r="CN512" t="str">
        <f>""</f>
        <v/>
      </c>
      <c r="CO512" t="str">
        <f>""</f>
        <v/>
      </c>
      <c r="CP512" t="str">
        <f>""</f>
        <v/>
      </c>
      <c r="CQ512" t="str">
        <f>""</f>
        <v/>
      </c>
      <c r="CR512" t="str">
        <f>""</f>
        <v/>
      </c>
      <c r="CS512" t="str">
        <f>""</f>
        <v/>
      </c>
      <c r="CT512" t="str">
        <f>""</f>
        <v/>
      </c>
      <c r="CU512" t="str">
        <f>""</f>
        <v/>
      </c>
      <c r="CV512" t="str">
        <f>""</f>
        <v/>
      </c>
      <c r="CW512" t="str">
        <f>""</f>
        <v/>
      </c>
      <c r="CX512" t="str">
        <f>""</f>
        <v/>
      </c>
      <c r="CY512" t="str">
        <f>""</f>
        <v/>
      </c>
      <c r="CZ512" t="str">
        <f>""</f>
        <v/>
      </c>
      <c r="DA512" t="str">
        <f>""</f>
        <v/>
      </c>
      <c r="DB512" t="str">
        <f>""</f>
        <v/>
      </c>
      <c r="DC512" t="str">
        <f>""</f>
        <v/>
      </c>
      <c r="DD512" t="str">
        <f>""</f>
        <v/>
      </c>
      <c r="DE512" t="str">
        <f>""</f>
        <v/>
      </c>
      <c r="DF512" t="str">
        <f>""</f>
        <v/>
      </c>
      <c r="DG512" t="str">
        <f>""</f>
        <v/>
      </c>
      <c r="DH512" t="str">
        <f>""</f>
        <v/>
      </c>
      <c r="DI512" t="str">
        <f>""</f>
        <v/>
      </c>
      <c r="DJ512" t="str">
        <f>""</f>
        <v/>
      </c>
      <c r="DK512" t="str">
        <f>""</f>
        <v/>
      </c>
      <c r="DL512" t="str">
        <f>""</f>
        <v/>
      </c>
      <c r="DM512" t="str">
        <f>""</f>
        <v/>
      </c>
      <c r="DN512" t="str">
        <f>""</f>
        <v/>
      </c>
      <c r="DO512" t="str">
        <f>""</f>
        <v/>
      </c>
      <c r="DP512" t="str">
        <f>""</f>
        <v/>
      </c>
      <c r="DQ512" t="str">
        <f>""</f>
        <v/>
      </c>
      <c r="DR512" t="str">
        <f>""</f>
        <v/>
      </c>
      <c r="DS512" t="str">
        <f>""</f>
        <v/>
      </c>
      <c r="DT512" t="str">
        <f>""</f>
        <v/>
      </c>
      <c r="DU512" t="str">
        <f>""</f>
        <v/>
      </c>
    </row>
    <row r="513" spans="1:125">
      <c r="A513" t="str">
        <f>$A$210</f>
        <v xml:space="preserve">    Piedmont Office Realty Trust I</v>
      </c>
      <c r="B513" t="str">
        <f>$B$210</f>
        <v>PDM US Equity</v>
      </c>
      <c r="C513" t="str">
        <f>$C$210</f>
        <v>RX951</v>
      </c>
      <c r="D513" t="str">
        <f>$D$210</f>
        <v>EBITDA_TO_INTEREST_EXPN</v>
      </c>
      <c r="E513" t="str">
        <f>$E$210</f>
        <v>动态</v>
      </c>
      <c r="F513" t="str">
        <f ca="1">BDH($B$210,$C$210,$B$292,$B$293,CONCATENATE("Per=",$B$290),"Dts=H","Dir=H",CONCATENATE("Points=",$B$291),"Sort=R","Days=A","Fill=B",CONCATENATE("FX=", $B$289) )</f>
        <v>#N/A Authorization</v>
      </c>
      <c r="BN513" t="str">
        <f>""</f>
        <v/>
      </c>
      <c r="BO513" t="str">
        <f>""</f>
        <v/>
      </c>
      <c r="BP513" t="str">
        <f>""</f>
        <v/>
      </c>
      <c r="BQ513" t="str">
        <f>""</f>
        <v/>
      </c>
      <c r="BR513" t="str">
        <f>""</f>
        <v/>
      </c>
      <c r="BS513" t="str">
        <f>""</f>
        <v/>
      </c>
      <c r="BT513" t="str">
        <f>""</f>
        <v/>
      </c>
      <c r="BU513" t="str">
        <f>""</f>
        <v/>
      </c>
      <c r="BV513" t="str">
        <f>""</f>
        <v/>
      </c>
      <c r="BW513" t="str">
        <f>""</f>
        <v/>
      </c>
      <c r="BX513" t="str">
        <f>""</f>
        <v/>
      </c>
      <c r="BY513" t="str">
        <f>""</f>
        <v/>
      </c>
      <c r="BZ513" t="str">
        <f>""</f>
        <v/>
      </c>
      <c r="CA513" t="str">
        <f>""</f>
        <v/>
      </c>
      <c r="CB513" t="str">
        <f>""</f>
        <v/>
      </c>
      <c r="CC513" t="str">
        <f>""</f>
        <v/>
      </c>
      <c r="CD513" t="str">
        <f>""</f>
        <v/>
      </c>
      <c r="CE513" t="str">
        <f>""</f>
        <v/>
      </c>
      <c r="CF513" t="str">
        <f>""</f>
        <v/>
      </c>
      <c r="CG513" t="str">
        <f>""</f>
        <v/>
      </c>
      <c r="CH513" t="str">
        <f>""</f>
        <v/>
      </c>
      <c r="CI513" t="str">
        <f>""</f>
        <v/>
      </c>
      <c r="CJ513" t="str">
        <f>""</f>
        <v/>
      </c>
      <c r="CK513" t="str">
        <f>""</f>
        <v/>
      </c>
      <c r="CL513" t="str">
        <f>""</f>
        <v/>
      </c>
      <c r="CM513" t="str">
        <f>""</f>
        <v/>
      </c>
      <c r="CN513" t="str">
        <f>""</f>
        <v/>
      </c>
      <c r="CO513" t="str">
        <f>""</f>
        <v/>
      </c>
      <c r="CP513" t="str">
        <f>""</f>
        <v/>
      </c>
      <c r="CQ513" t="str">
        <f>""</f>
        <v/>
      </c>
      <c r="CR513" t="str">
        <f>""</f>
        <v/>
      </c>
      <c r="CS513" t="str">
        <f>""</f>
        <v/>
      </c>
      <c r="CT513" t="str">
        <f>""</f>
        <v/>
      </c>
      <c r="CU513" t="str">
        <f>""</f>
        <v/>
      </c>
      <c r="CV513" t="str">
        <f>""</f>
        <v/>
      </c>
      <c r="CW513" t="str">
        <f>""</f>
        <v/>
      </c>
      <c r="CX513" t="str">
        <f>""</f>
        <v/>
      </c>
      <c r="CY513" t="str">
        <f>""</f>
        <v/>
      </c>
      <c r="CZ513" t="str">
        <f>""</f>
        <v/>
      </c>
      <c r="DA513" t="str">
        <f>""</f>
        <v/>
      </c>
      <c r="DB513" t="str">
        <f>""</f>
        <v/>
      </c>
      <c r="DC513" t="str">
        <f>""</f>
        <v/>
      </c>
      <c r="DD513" t="str">
        <f>""</f>
        <v/>
      </c>
      <c r="DE513" t="str">
        <f>""</f>
        <v/>
      </c>
      <c r="DF513" t="str">
        <f>""</f>
        <v/>
      </c>
      <c r="DG513" t="str">
        <f>""</f>
        <v/>
      </c>
      <c r="DH513" t="str">
        <f>""</f>
        <v/>
      </c>
      <c r="DI513" t="str">
        <f>""</f>
        <v/>
      </c>
      <c r="DJ513" t="str">
        <f>""</f>
        <v/>
      </c>
      <c r="DK513" t="str">
        <f>""</f>
        <v/>
      </c>
      <c r="DL513" t="str">
        <f>""</f>
        <v/>
      </c>
      <c r="DM513" t="str">
        <f>""</f>
        <v/>
      </c>
      <c r="DN513" t="str">
        <f>""</f>
        <v/>
      </c>
      <c r="DO513" t="str">
        <f>""</f>
        <v/>
      </c>
      <c r="DP513" t="str">
        <f>""</f>
        <v/>
      </c>
      <c r="DQ513" t="str">
        <f>""</f>
        <v/>
      </c>
      <c r="DR513" t="str">
        <f>""</f>
        <v/>
      </c>
      <c r="DS513" t="str">
        <f>""</f>
        <v/>
      </c>
      <c r="DT513" t="str">
        <f>""</f>
        <v/>
      </c>
      <c r="DU513" t="str">
        <f>""</f>
        <v/>
      </c>
    </row>
    <row r="514" spans="1:125">
      <c r="A514" t="str">
        <f>$A$211</f>
        <v xml:space="preserve">    SL Green Realty Corp</v>
      </c>
      <c r="B514" t="str">
        <f>$B$211</f>
        <v>SLG US Equity</v>
      </c>
      <c r="C514" t="str">
        <f>$C$211</f>
        <v>RX951</v>
      </c>
      <c r="D514" t="str">
        <f>$D$211</f>
        <v>EBITDA_TO_INTEREST_EXPN</v>
      </c>
      <c r="E514" t="str">
        <f>$E$211</f>
        <v>动态</v>
      </c>
      <c r="F514" t="str">
        <f ca="1">BDH($B$211,$C$211,$B$292,$B$293,CONCATENATE("Per=",$B$290),"Dts=H","Dir=H",CONCATENATE("Points=",$B$291),"Sort=R","Days=A","Fill=B",CONCATENATE("FX=", $B$289) )</f>
        <v>#N/A Authorization</v>
      </c>
      <c r="BN514" t="str">
        <f>""</f>
        <v/>
      </c>
      <c r="BO514" t="str">
        <f>""</f>
        <v/>
      </c>
      <c r="BP514" t="str">
        <f>""</f>
        <v/>
      </c>
      <c r="BQ514" t="str">
        <f>""</f>
        <v/>
      </c>
      <c r="BR514" t="str">
        <f>""</f>
        <v/>
      </c>
      <c r="BS514" t="str">
        <f>""</f>
        <v/>
      </c>
      <c r="BT514" t="str">
        <f>""</f>
        <v/>
      </c>
      <c r="BU514" t="str">
        <f>""</f>
        <v/>
      </c>
      <c r="BV514" t="str">
        <f>""</f>
        <v/>
      </c>
      <c r="BW514" t="str">
        <f>""</f>
        <v/>
      </c>
      <c r="BX514" t="str">
        <f>""</f>
        <v/>
      </c>
      <c r="BY514" t="str">
        <f>""</f>
        <v/>
      </c>
      <c r="BZ514" t="str">
        <f>""</f>
        <v/>
      </c>
      <c r="CA514" t="str">
        <f>""</f>
        <v/>
      </c>
      <c r="CB514" t="str">
        <f>""</f>
        <v/>
      </c>
      <c r="CC514" t="str">
        <f>""</f>
        <v/>
      </c>
      <c r="CD514" t="str">
        <f>""</f>
        <v/>
      </c>
      <c r="CE514" t="str">
        <f>""</f>
        <v/>
      </c>
      <c r="CF514" t="str">
        <f>""</f>
        <v/>
      </c>
      <c r="CG514" t="str">
        <f>""</f>
        <v/>
      </c>
      <c r="CH514" t="str">
        <f>""</f>
        <v/>
      </c>
      <c r="CI514" t="str">
        <f>""</f>
        <v/>
      </c>
      <c r="CJ514" t="str">
        <f>""</f>
        <v/>
      </c>
      <c r="CK514" t="str">
        <f>""</f>
        <v/>
      </c>
      <c r="CL514" t="str">
        <f>""</f>
        <v/>
      </c>
      <c r="CM514" t="str">
        <f>""</f>
        <v/>
      </c>
      <c r="CN514" t="str">
        <f>""</f>
        <v/>
      </c>
      <c r="CO514" t="str">
        <f>""</f>
        <v/>
      </c>
      <c r="CP514" t="str">
        <f>""</f>
        <v/>
      </c>
      <c r="CQ514" t="str">
        <f>""</f>
        <v/>
      </c>
      <c r="CR514" t="str">
        <f>""</f>
        <v/>
      </c>
      <c r="CS514" t="str">
        <f>""</f>
        <v/>
      </c>
      <c r="CT514" t="str">
        <f>""</f>
        <v/>
      </c>
      <c r="CU514" t="str">
        <f>""</f>
        <v/>
      </c>
      <c r="CV514" t="str">
        <f>""</f>
        <v/>
      </c>
      <c r="CW514" t="str">
        <f>""</f>
        <v/>
      </c>
      <c r="CX514" t="str">
        <f>""</f>
        <v/>
      </c>
      <c r="CY514" t="str">
        <f>""</f>
        <v/>
      </c>
      <c r="CZ514" t="str">
        <f>""</f>
        <v/>
      </c>
      <c r="DA514" t="str">
        <f>""</f>
        <v/>
      </c>
      <c r="DB514" t="str">
        <f>""</f>
        <v/>
      </c>
      <c r="DC514" t="str">
        <f>""</f>
        <v/>
      </c>
      <c r="DD514" t="str">
        <f>""</f>
        <v/>
      </c>
      <c r="DE514" t="str">
        <f>""</f>
        <v/>
      </c>
      <c r="DF514" t="str">
        <f>""</f>
        <v/>
      </c>
      <c r="DG514" t="str">
        <f>""</f>
        <v/>
      </c>
      <c r="DH514" t="str">
        <f>""</f>
        <v/>
      </c>
      <c r="DI514" t="str">
        <f>""</f>
        <v/>
      </c>
      <c r="DJ514" t="str">
        <f>""</f>
        <v/>
      </c>
      <c r="DK514" t="str">
        <f>""</f>
        <v/>
      </c>
      <c r="DL514" t="str">
        <f>""</f>
        <v/>
      </c>
      <c r="DM514" t="str">
        <f>""</f>
        <v/>
      </c>
      <c r="DN514" t="str">
        <f>""</f>
        <v/>
      </c>
      <c r="DO514" t="str">
        <f>""</f>
        <v/>
      </c>
      <c r="DP514" t="str">
        <f>""</f>
        <v/>
      </c>
      <c r="DQ514" t="str">
        <f>""</f>
        <v/>
      </c>
      <c r="DR514" t="str">
        <f>""</f>
        <v/>
      </c>
      <c r="DS514" t="str">
        <f>""</f>
        <v/>
      </c>
      <c r="DT514" t="str">
        <f>""</f>
        <v/>
      </c>
      <c r="DU514" t="str">
        <f>""</f>
        <v/>
      </c>
    </row>
    <row r="515" spans="1:125">
      <c r="A515" t="str">
        <f>$A$212</f>
        <v xml:space="preserve">    Vornado Realty Trust</v>
      </c>
      <c r="B515" t="str">
        <f>$B$212</f>
        <v>VNO US Equity</v>
      </c>
      <c r="C515" t="str">
        <f>$C$212</f>
        <v>RX951</v>
      </c>
      <c r="D515" t="str">
        <f>$D$212</f>
        <v>EBITDA_TO_INTEREST_EXPN</v>
      </c>
      <c r="E515" t="str">
        <f>$E$212</f>
        <v>动态</v>
      </c>
      <c r="F515" t="str">
        <f ca="1">BDH($B$212,$C$212,$B$292,$B$293,CONCATENATE("Per=",$B$290),"Dts=H","Dir=H",CONCATENATE("Points=",$B$291),"Sort=R","Days=A","Fill=B",CONCATENATE("FX=", $B$289) )</f>
        <v>#N/A Authorization</v>
      </c>
      <c r="BN515" t="str">
        <f>""</f>
        <v/>
      </c>
      <c r="BO515" t="str">
        <f>""</f>
        <v/>
      </c>
      <c r="BP515" t="str">
        <f>""</f>
        <v/>
      </c>
      <c r="BQ515" t="str">
        <f>""</f>
        <v/>
      </c>
      <c r="BR515" t="str">
        <f>""</f>
        <v/>
      </c>
      <c r="BS515" t="str">
        <f>""</f>
        <v/>
      </c>
      <c r="BT515" t="str">
        <f>""</f>
        <v/>
      </c>
      <c r="BU515" t="str">
        <f>""</f>
        <v/>
      </c>
      <c r="BV515" t="str">
        <f>""</f>
        <v/>
      </c>
      <c r="BW515" t="str">
        <f>""</f>
        <v/>
      </c>
      <c r="BX515" t="str">
        <f>""</f>
        <v/>
      </c>
      <c r="BY515" t="str">
        <f>""</f>
        <v/>
      </c>
      <c r="BZ515" t="str">
        <f>""</f>
        <v/>
      </c>
      <c r="CA515" t="str">
        <f>""</f>
        <v/>
      </c>
      <c r="CB515" t="str">
        <f>""</f>
        <v/>
      </c>
      <c r="CC515" t="str">
        <f>""</f>
        <v/>
      </c>
      <c r="CD515" t="str">
        <f>""</f>
        <v/>
      </c>
      <c r="CE515" t="str">
        <f>""</f>
        <v/>
      </c>
      <c r="CF515" t="str">
        <f>""</f>
        <v/>
      </c>
      <c r="CG515" t="str">
        <f>""</f>
        <v/>
      </c>
      <c r="CH515" t="str">
        <f>""</f>
        <v/>
      </c>
      <c r="CI515" t="str">
        <f>""</f>
        <v/>
      </c>
      <c r="CJ515" t="str">
        <f>""</f>
        <v/>
      </c>
      <c r="CK515" t="str">
        <f>""</f>
        <v/>
      </c>
      <c r="CL515" t="str">
        <f>""</f>
        <v/>
      </c>
      <c r="CM515" t="str">
        <f>""</f>
        <v/>
      </c>
      <c r="CN515" t="str">
        <f>""</f>
        <v/>
      </c>
      <c r="CO515" t="str">
        <f>""</f>
        <v/>
      </c>
      <c r="CP515" t="str">
        <f>""</f>
        <v/>
      </c>
      <c r="CQ515" t="str">
        <f>""</f>
        <v/>
      </c>
      <c r="CR515" t="str">
        <f>""</f>
        <v/>
      </c>
      <c r="CS515" t="str">
        <f>""</f>
        <v/>
      </c>
      <c r="CT515" t="str">
        <f>""</f>
        <v/>
      </c>
      <c r="CU515" t="str">
        <f>""</f>
        <v/>
      </c>
      <c r="CV515" t="str">
        <f>""</f>
        <v/>
      </c>
      <c r="CW515" t="str">
        <f>""</f>
        <v/>
      </c>
      <c r="CX515" t="str">
        <f>""</f>
        <v/>
      </c>
      <c r="CY515" t="str">
        <f>""</f>
        <v/>
      </c>
      <c r="CZ515" t="str">
        <f>""</f>
        <v/>
      </c>
      <c r="DA515" t="str">
        <f>""</f>
        <v/>
      </c>
      <c r="DB515" t="str">
        <f>""</f>
        <v/>
      </c>
      <c r="DC515" t="str">
        <f>""</f>
        <v/>
      </c>
      <c r="DD515" t="str">
        <f>""</f>
        <v/>
      </c>
      <c r="DE515" t="str">
        <f>""</f>
        <v/>
      </c>
      <c r="DF515" t="str">
        <f>""</f>
        <v/>
      </c>
      <c r="DG515" t="str">
        <f>""</f>
        <v/>
      </c>
      <c r="DH515" t="str">
        <f>""</f>
        <v/>
      </c>
      <c r="DI515" t="str">
        <f>""</f>
        <v/>
      </c>
      <c r="DJ515" t="str">
        <f>""</f>
        <v/>
      </c>
      <c r="DK515" t="str">
        <f>""</f>
        <v/>
      </c>
      <c r="DL515" t="str">
        <f>""</f>
        <v/>
      </c>
      <c r="DM515" t="str">
        <f>""</f>
        <v/>
      </c>
      <c r="DN515" t="str">
        <f>""</f>
        <v/>
      </c>
      <c r="DO515" t="str">
        <f>""</f>
        <v/>
      </c>
      <c r="DP515" t="str">
        <f>""</f>
        <v/>
      </c>
      <c r="DQ515" t="str">
        <f>""</f>
        <v/>
      </c>
      <c r="DR515" t="str">
        <f>""</f>
        <v/>
      </c>
      <c r="DS515" t="str">
        <f>""</f>
        <v/>
      </c>
      <c r="DT515" t="str">
        <f>""</f>
        <v/>
      </c>
      <c r="DU515" t="str">
        <f>""</f>
        <v/>
      </c>
    </row>
    <row r="516" spans="1:125">
      <c r="A516" t="str">
        <f>$A$214</f>
        <v xml:space="preserve">    Boston Properties Inc</v>
      </c>
      <c r="B516" t="str">
        <f>$B$214</f>
        <v>BXP US Equity</v>
      </c>
      <c r="C516" t="str">
        <f>$C$214</f>
        <v>RR059</v>
      </c>
      <c r="D516" t="str">
        <f>$D$214</f>
        <v>EBITDA_TO_TOT_INT_EXP</v>
      </c>
      <c r="E516" t="str">
        <f>$E$214</f>
        <v>动态</v>
      </c>
      <c r="F516" t="str">
        <f ca="1">BDH($B$214,$C$214,$B$292,$B$293,CONCATENATE("Per=",$B$290),"Dts=H","Dir=H",CONCATENATE("Points=",$B$291),"Sort=R","Days=A","Fill=B",CONCATENATE("FX=", $B$289) )</f>
        <v>#N/A Authorization</v>
      </c>
      <c r="BN516" t="str">
        <f>""</f>
        <v/>
      </c>
      <c r="BO516" t="str">
        <f>""</f>
        <v/>
      </c>
      <c r="BP516" t="str">
        <f>""</f>
        <v/>
      </c>
      <c r="BQ516" t="str">
        <f>""</f>
        <v/>
      </c>
      <c r="BR516" t="str">
        <f>""</f>
        <v/>
      </c>
      <c r="BS516" t="str">
        <f>""</f>
        <v/>
      </c>
      <c r="BT516" t="str">
        <f>""</f>
        <v/>
      </c>
      <c r="BU516" t="str">
        <f>""</f>
        <v/>
      </c>
      <c r="BV516" t="str">
        <f>""</f>
        <v/>
      </c>
      <c r="BW516" t="str">
        <f>""</f>
        <v/>
      </c>
      <c r="BX516" t="str">
        <f>""</f>
        <v/>
      </c>
      <c r="BY516" t="str">
        <f>""</f>
        <v/>
      </c>
      <c r="BZ516" t="str">
        <f>""</f>
        <v/>
      </c>
      <c r="CA516" t="str">
        <f>""</f>
        <v/>
      </c>
      <c r="CB516" t="str">
        <f>""</f>
        <v/>
      </c>
      <c r="CC516" t="str">
        <f>""</f>
        <v/>
      </c>
      <c r="CD516" t="str">
        <f>""</f>
        <v/>
      </c>
      <c r="CE516" t="str">
        <f>""</f>
        <v/>
      </c>
      <c r="CF516" t="str">
        <f>""</f>
        <v/>
      </c>
      <c r="CG516" t="str">
        <f>""</f>
        <v/>
      </c>
      <c r="CH516" t="str">
        <f>""</f>
        <v/>
      </c>
      <c r="CI516" t="str">
        <f>""</f>
        <v/>
      </c>
      <c r="CJ516" t="str">
        <f>""</f>
        <v/>
      </c>
      <c r="CK516" t="str">
        <f>""</f>
        <v/>
      </c>
      <c r="CL516" t="str">
        <f>""</f>
        <v/>
      </c>
      <c r="CM516" t="str">
        <f>""</f>
        <v/>
      </c>
      <c r="CN516" t="str">
        <f>""</f>
        <v/>
      </c>
      <c r="CO516" t="str">
        <f>""</f>
        <v/>
      </c>
      <c r="CP516" t="str">
        <f>""</f>
        <v/>
      </c>
      <c r="CQ516" t="str">
        <f>""</f>
        <v/>
      </c>
      <c r="CR516" t="str">
        <f>""</f>
        <v/>
      </c>
      <c r="CS516" t="str">
        <f>""</f>
        <v/>
      </c>
      <c r="CT516" t="str">
        <f>""</f>
        <v/>
      </c>
      <c r="CU516" t="str">
        <f>""</f>
        <v/>
      </c>
      <c r="CV516" t="str">
        <f>""</f>
        <v/>
      </c>
      <c r="CW516" t="str">
        <f>""</f>
        <v/>
      </c>
      <c r="CX516" t="str">
        <f>""</f>
        <v/>
      </c>
      <c r="CY516" t="str">
        <f>""</f>
        <v/>
      </c>
      <c r="CZ516" t="str">
        <f>""</f>
        <v/>
      </c>
      <c r="DA516" t="str">
        <f>""</f>
        <v/>
      </c>
      <c r="DB516" t="str">
        <f>""</f>
        <v/>
      </c>
      <c r="DC516" t="str">
        <f>""</f>
        <v/>
      </c>
      <c r="DD516" t="str">
        <f>""</f>
        <v/>
      </c>
      <c r="DE516" t="str">
        <f>""</f>
        <v/>
      </c>
      <c r="DF516" t="str">
        <f>""</f>
        <v/>
      </c>
      <c r="DG516" t="str">
        <f>""</f>
        <v/>
      </c>
      <c r="DH516" t="str">
        <f>""</f>
        <v/>
      </c>
      <c r="DI516" t="str">
        <f>""</f>
        <v/>
      </c>
      <c r="DJ516" t="str">
        <f>""</f>
        <v/>
      </c>
      <c r="DK516" t="str">
        <f>""</f>
        <v/>
      </c>
      <c r="DL516" t="str">
        <f>""</f>
        <v/>
      </c>
      <c r="DM516" t="str">
        <f>""</f>
        <v/>
      </c>
      <c r="DN516" t="str">
        <f>""</f>
        <v/>
      </c>
      <c r="DO516" t="str">
        <f>""</f>
        <v/>
      </c>
      <c r="DP516" t="str">
        <f>""</f>
        <v/>
      </c>
      <c r="DQ516" t="str">
        <f>""</f>
        <v/>
      </c>
      <c r="DR516" t="str">
        <f>""</f>
        <v/>
      </c>
      <c r="DS516" t="str">
        <f>""</f>
        <v/>
      </c>
      <c r="DT516" t="str">
        <f>""</f>
        <v/>
      </c>
      <c r="DU516" t="str">
        <f>""</f>
        <v/>
      </c>
    </row>
    <row r="517" spans="1:125">
      <c r="A517" t="str">
        <f>$A$215</f>
        <v xml:space="preserve">    Brandywine Realty Trust</v>
      </c>
      <c r="B517" t="str">
        <f>$B$215</f>
        <v>BDN US Equity</v>
      </c>
      <c r="C517" t="str">
        <f>$C$215</f>
        <v>RR059</v>
      </c>
      <c r="D517" t="str">
        <f>$D$215</f>
        <v>EBITDA_TO_TOT_INT_EXP</v>
      </c>
      <c r="E517" t="str">
        <f>$E$215</f>
        <v>动态</v>
      </c>
      <c r="F517" t="str">
        <f ca="1">BDH($B$215,$C$215,$B$292,$B$293,CONCATENATE("Per=",$B$290),"Dts=H","Dir=H",CONCATENATE("Points=",$B$291),"Sort=R","Days=A","Fill=B",CONCATENATE("FX=", $B$289) )</f>
        <v>#N/A Authorization</v>
      </c>
      <c r="BN517" t="str">
        <f>""</f>
        <v/>
      </c>
      <c r="BO517" t="str">
        <f>""</f>
        <v/>
      </c>
      <c r="BP517" t="str">
        <f>""</f>
        <v/>
      </c>
      <c r="BQ517" t="str">
        <f>""</f>
        <v/>
      </c>
      <c r="BR517" t="str">
        <f>""</f>
        <v/>
      </c>
      <c r="BS517" t="str">
        <f>""</f>
        <v/>
      </c>
      <c r="BT517" t="str">
        <f>""</f>
        <v/>
      </c>
      <c r="BU517" t="str">
        <f>""</f>
        <v/>
      </c>
      <c r="BV517" t="str">
        <f>""</f>
        <v/>
      </c>
      <c r="BW517" t="str">
        <f>""</f>
        <v/>
      </c>
      <c r="BX517" t="str">
        <f>""</f>
        <v/>
      </c>
      <c r="BY517" t="str">
        <f>""</f>
        <v/>
      </c>
      <c r="BZ517" t="str">
        <f>""</f>
        <v/>
      </c>
      <c r="CA517" t="str">
        <f>""</f>
        <v/>
      </c>
      <c r="CB517" t="str">
        <f>""</f>
        <v/>
      </c>
      <c r="CC517" t="str">
        <f>""</f>
        <v/>
      </c>
      <c r="CD517" t="str">
        <f>""</f>
        <v/>
      </c>
      <c r="CE517" t="str">
        <f>""</f>
        <v/>
      </c>
      <c r="CF517" t="str">
        <f>""</f>
        <v/>
      </c>
      <c r="CG517" t="str">
        <f>""</f>
        <v/>
      </c>
      <c r="CH517" t="str">
        <f>""</f>
        <v/>
      </c>
      <c r="CI517" t="str">
        <f>""</f>
        <v/>
      </c>
      <c r="CJ517" t="str">
        <f>""</f>
        <v/>
      </c>
      <c r="CK517" t="str">
        <f>""</f>
        <v/>
      </c>
      <c r="CL517" t="str">
        <f>""</f>
        <v/>
      </c>
      <c r="CM517" t="str">
        <f>""</f>
        <v/>
      </c>
      <c r="CN517" t="str">
        <f>""</f>
        <v/>
      </c>
      <c r="CO517" t="str">
        <f>""</f>
        <v/>
      </c>
      <c r="CP517" t="str">
        <f>""</f>
        <v/>
      </c>
      <c r="CQ517" t="str">
        <f>""</f>
        <v/>
      </c>
      <c r="CR517" t="str">
        <f>""</f>
        <v/>
      </c>
      <c r="CS517" t="str">
        <f>""</f>
        <v/>
      </c>
      <c r="CT517" t="str">
        <f>""</f>
        <v/>
      </c>
      <c r="CU517" t="str">
        <f>""</f>
        <v/>
      </c>
      <c r="CV517" t="str">
        <f>""</f>
        <v/>
      </c>
      <c r="CW517" t="str">
        <f>""</f>
        <v/>
      </c>
      <c r="CX517" t="str">
        <f>""</f>
        <v/>
      </c>
      <c r="CY517" t="str">
        <f>""</f>
        <v/>
      </c>
      <c r="CZ517" t="str">
        <f>""</f>
        <v/>
      </c>
      <c r="DA517" t="str">
        <f>""</f>
        <v/>
      </c>
      <c r="DB517" t="str">
        <f>""</f>
        <v/>
      </c>
      <c r="DC517" t="str">
        <f>""</f>
        <v/>
      </c>
      <c r="DD517" t="str">
        <f>""</f>
        <v/>
      </c>
      <c r="DE517" t="str">
        <f>""</f>
        <v/>
      </c>
      <c r="DF517" t="str">
        <f>""</f>
        <v/>
      </c>
      <c r="DG517" t="str">
        <f>""</f>
        <v/>
      </c>
      <c r="DH517" t="str">
        <f>""</f>
        <v/>
      </c>
      <c r="DI517" t="str">
        <f>""</f>
        <v/>
      </c>
      <c r="DJ517" t="str">
        <f>""</f>
        <v/>
      </c>
      <c r="DK517" t="str">
        <f>""</f>
        <v/>
      </c>
      <c r="DL517" t="str">
        <f>""</f>
        <v/>
      </c>
      <c r="DM517" t="str">
        <f>""</f>
        <v/>
      </c>
      <c r="DN517" t="str">
        <f>""</f>
        <v/>
      </c>
      <c r="DO517" t="str">
        <f>""</f>
        <v/>
      </c>
      <c r="DP517" t="str">
        <f>""</f>
        <v/>
      </c>
      <c r="DQ517" t="str">
        <f>""</f>
        <v/>
      </c>
      <c r="DR517" t="str">
        <f>""</f>
        <v/>
      </c>
      <c r="DS517" t="str">
        <f>""</f>
        <v/>
      </c>
      <c r="DT517" t="str">
        <f>""</f>
        <v/>
      </c>
      <c r="DU517" t="str">
        <f>""</f>
        <v/>
      </c>
    </row>
    <row r="518" spans="1:125">
      <c r="A518" t="str">
        <f>$A$216</f>
        <v xml:space="preserve">    Columbia Property Trust Inc</v>
      </c>
      <c r="B518" t="str">
        <f>$B$216</f>
        <v>CXP US Equity</v>
      </c>
      <c r="C518" t="str">
        <f>$C$216</f>
        <v>RR059</v>
      </c>
      <c r="D518" t="str">
        <f>$D$216</f>
        <v>EBITDA_TO_TOT_INT_EXP</v>
      </c>
      <c r="E518" t="str">
        <f>$E$216</f>
        <v>动态</v>
      </c>
      <c r="F518" t="str">
        <f ca="1">BDH($B$216,$C$216,$B$292,$B$293,CONCATENATE("Per=",$B$290),"Dts=H","Dir=H",CONCATENATE("Points=",$B$291),"Sort=R","Days=A","Fill=B",CONCATENATE("FX=", $B$289) )</f>
        <v>#N/A Authorization</v>
      </c>
      <c r="BN518" t="str">
        <f>""</f>
        <v/>
      </c>
      <c r="BO518" t="str">
        <f>""</f>
        <v/>
      </c>
      <c r="BP518" t="str">
        <f>""</f>
        <v/>
      </c>
      <c r="BQ518" t="str">
        <f>""</f>
        <v/>
      </c>
      <c r="BR518" t="str">
        <f>""</f>
        <v/>
      </c>
      <c r="BS518" t="str">
        <f>""</f>
        <v/>
      </c>
      <c r="BT518" t="str">
        <f>""</f>
        <v/>
      </c>
      <c r="BU518" t="str">
        <f>""</f>
        <v/>
      </c>
      <c r="BV518" t="str">
        <f>""</f>
        <v/>
      </c>
      <c r="BW518" t="str">
        <f>""</f>
        <v/>
      </c>
      <c r="BX518" t="str">
        <f>""</f>
        <v/>
      </c>
      <c r="BY518" t="str">
        <f>""</f>
        <v/>
      </c>
      <c r="BZ518" t="str">
        <f>""</f>
        <v/>
      </c>
      <c r="CA518" t="str">
        <f>""</f>
        <v/>
      </c>
      <c r="CB518" t="str">
        <f>""</f>
        <v/>
      </c>
      <c r="CC518" t="str">
        <f>""</f>
        <v/>
      </c>
      <c r="CD518" t="str">
        <f>""</f>
        <v/>
      </c>
      <c r="CE518" t="str">
        <f>""</f>
        <v/>
      </c>
      <c r="CF518" t="str">
        <f>""</f>
        <v/>
      </c>
      <c r="CG518" t="str">
        <f>""</f>
        <v/>
      </c>
      <c r="CH518" t="str">
        <f>""</f>
        <v/>
      </c>
      <c r="CI518" t="str">
        <f>""</f>
        <v/>
      </c>
      <c r="CJ518" t="str">
        <f>""</f>
        <v/>
      </c>
      <c r="CK518" t="str">
        <f>""</f>
        <v/>
      </c>
      <c r="CL518" t="str">
        <f>""</f>
        <v/>
      </c>
      <c r="CM518" t="str">
        <f>""</f>
        <v/>
      </c>
      <c r="CN518" t="str">
        <f>""</f>
        <v/>
      </c>
      <c r="CO518" t="str">
        <f>""</f>
        <v/>
      </c>
      <c r="CP518" t="str">
        <f>""</f>
        <v/>
      </c>
      <c r="CQ518" t="str">
        <f>""</f>
        <v/>
      </c>
      <c r="CR518" t="str">
        <f>""</f>
        <v/>
      </c>
      <c r="CS518" t="str">
        <f>""</f>
        <v/>
      </c>
      <c r="CT518" t="str">
        <f>""</f>
        <v/>
      </c>
      <c r="CU518" t="str">
        <f>""</f>
        <v/>
      </c>
      <c r="CV518" t="str">
        <f>""</f>
        <v/>
      </c>
      <c r="CW518" t="str">
        <f>""</f>
        <v/>
      </c>
      <c r="CX518" t="str">
        <f>""</f>
        <v/>
      </c>
      <c r="CY518" t="str">
        <f>""</f>
        <v/>
      </c>
      <c r="CZ518" t="str">
        <f>""</f>
        <v/>
      </c>
      <c r="DA518" t="str">
        <f>""</f>
        <v/>
      </c>
      <c r="DB518" t="str">
        <f>""</f>
        <v/>
      </c>
      <c r="DC518" t="str">
        <f>""</f>
        <v/>
      </c>
      <c r="DD518" t="str">
        <f>""</f>
        <v/>
      </c>
      <c r="DE518" t="str">
        <f>""</f>
        <v/>
      </c>
      <c r="DF518" t="str">
        <f>""</f>
        <v/>
      </c>
      <c r="DG518" t="str">
        <f>""</f>
        <v/>
      </c>
      <c r="DH518" t="str">
        <f>""</f>
        <v/>
      </c>
      <c r="DI518" t="str">
        <f>""</f>
        <v/>
      </c>
      <c r="DJ518" t="str">
        <f>""</f>
        <v/>
      </c>
      <c r="DK518" t="str">
        <f>""</f>
        <v/>
      </c>
      <c r="DL518" t="str">
        <f>""</f>
        <v/>
      </c>
      <c r="DM518" t="str">
        <f>""</f>
        <v/>
      </c>
      <c r="DN518" t="str">
        <f>""</f>
        <v/>
      </c>
      <c r="DO518" t="str">
        <f>""</f>
        <v/>
      </c>
      <c r="DP518" t="str">
        <f>""</f>
        <v/>
      </c>
      <c r="DQ518" t="str">
        <f>""</f>
        <v/>
      </c>
      <c r="DR518" t="str">
        <f>""</f>
        <v/>
      </c>
      <c r="DS518" t="str">
        <f>""</f>
        <v/>
      </c>
      <c r="DT518" t="str">
        <f>""</f>
        <v/>
      </c>
      <c r="DU518" t="str">
        <f>""</f>
        <v/>
      </c>
    </row>
    <row r="519" spans="1:125">
      <c r="A519" t="str">
        <f>$A$217</f>
        <v xml:space="preserve">    Corporate Office Properties Tr</v>
      </c>
      <c r="B519" t="str">
        <f>$B$217</f>
        <v>OFC US Equity</v>
      </c>
      <c r="C519" t="str">
        <f>$C$217</f>
        <v>RR059</v>
      </c>
      <c r="D519" t="str">
        <f>$D$217</f>
        <v>EBITDA_TO_TOT_INT_EXP</v>
      </c>
      <c r="E519" t="str">
        <f>$E$217</f>
        <v>动态</v>
      </c>
      <c r="F519" t="str">
        <f ca="1">BDH($B$217,$C$217,$B$292,$B$293,CONCATENATE("Per=",$B$290),"Dts=H","Dir=H",CONCATENATE("Points=",$B$291),"Sort=R","Days=A","Fill=B",CONCATENATE("FX=", $B$289) )</f>
        <v>#N/A Authorization</v>
      </c>
      <c r="BN519" t="str">
        <f>""</f>
        <v/>
      </c>
      <c r="BO519" t="str">
        <f>""</f>
        <v/>
      </c>
      <c r="BP519" t="str">
        <f>""</f>
        <v/>
      </c>
      <c r="BQ519" t="str">
        <f>""</f>
        <v/>
      </c>
      <c r="BR519" t="str">
        <f>""</f>
        <v/>
      </c>
      <c r="BS519" t="str">
        <f>""</f>
        <v/>
      </c>
      <c r="BT519" t="str">
        <f>""</f>
        <v/>
      </c>
      <c r="BU519" t="str">
        <f>""</f>
        <v/>
      </c>
      <c r="BV519" t="str">
        <f>""</f>
        <v/>
      </c>
      <c r="BW519" t="str">
        <f>""</f>
        <v/>
      </c>
      <c r="BX519" t="str">
        <f>""</f>
        <v/>
      </c>
      <c r="BY519" t="str">
        <f>""</f>
        <v/>
      </c>
      <c r="BZ519" t="str">
        <f>""</f>
        <v/>
      </c>
      <c r="CA519" t="str">
        <f>""</f>
        <v/>
      </c>
      <c r="CB519" t="str">
        <f>""</f>
        <v/>
      </c>
      <c r="CC519" t="str">
        <f>""</f>
        <v/>
      </c>
      <c r="CD519" t="str">
        <f>""</f>
        <v/>
      </c>
      <c r="CE519" t="str">
        <f>""</f>
        <v/>
      </c>
      <c r="CF519" t="str">
        <f>""</f>
        <v/>
      </c>
      <c r="CG519" t="str">
        <f>""</f>
        <v/>
      </c>
      <c r="CH519" t="str">
        <f>""</f>
        <v/>
      </c>
      <c r="CI519" t="str">
        <f>""</f>
        <v/>
      </c>
      <c r="CJ519" t="str">
        <f>""</f>
        <v/>
      </c>
      <c r="CK519" t="str">
        <f>""</f>
        <v/>
      </c>
      <c r="CL519" t="str">
        <f>""</f>
        <v/>
      </c>
      <c r="CM519" t="str">
        <f>""</f>
        <v/>
      </c>
      <c r="CN519" t="str">
        <f>""</f>
        <v/>
      </c>
      <c r="CO519" t="str">
        <f>""</f>
        <v/>
      </c>
      <c r="CP519" t="str">
        <f>""</f>
        <v/>
      </c>
      <c r="CQ519" t="str">
        <f>""</f>
        <v/>
      </c>
      <c r="CR519" t="str">
        <f>""</f>
        <v/>
      </c>
      <c r="CS519" t="str">
        <f>""</f>
        <v/>
      </c>
      <c r="CT519" t="str">
        <f>""</f>
        <v/>
      </c>
      <c r="CU519" t="str">
        <f>""</f>
        <v/>
      </c>
      <c r="CV519" t="str">
        <f>""</f>
        <v/>
      </c>
      <c r="CW519" t="str">
        <f>""</f>
        <v/>
      </c>
      <c r="CX519" t="str">
        <f>""</f>
        <v/>
      </c>
      <c r="CY519" t="str">
        <f>""</f>
        <v/>
      </c>
      <c r="CZ519" t="str">
        <f>""</f>
        <v/>
      </c>
      <c r="DA519" t="str">
        <f>""</f>
        <v/>
      </c>
      <c r="DB519" t="str">
        <f>""</f>
        <v/>
      </c>
      <c r="DC519" t="str">
        <f>""</f>
        <v/>
      </c>
      <c r="DD519" t="str">
        <f>""</f>
        <v/>
      </c>
      <c r="DE519" t="str">
        <f>""</f>
        <v/>
      </c>
      <c r="DF519" t="str">
        <f>""</f>
        <v/>
      </c>
      <c r="DG519" t="str">
        <f>""</f>
        <v/>
      </c>
      <c r="DH519" t="str">
        <f>""</f>
        <v/>
      </c>
      <c r="DI519" t="str">
        <f>""</f>
        <v/>
      </c>
      <c r="DJ519" t="str">
        <f>""</f>
        <v/>
      </c>
      <c r="DK519" t="str">
        <f>""</f>
        <v/>
      </c>
      <c r="DL519" t="str">
        <f>""</f>
        <v/>
      </c>
      <c r="DM519" t="str">
        <f>""</f>
        <v/>
      </c>
      <c r="DN519" t="str">
        <f>""</f>
        <v/>
      </c>
      <c r="DO519" t="str">
        <f>""</f>
        <v/>
      </c>
      <c r="DP519" t="str">
        <f>""</f>
        <v/>
      </c>
      <c r="DQ519" t="str">
        <f>""</f>
        <v/>
      </c>
      <c r="DR519" t="str">
        <f>""</f>
        <v/>
      </c>
      <c r="DS519" t="str">
        <f>""</f>
        <v/>
      </c>
      <c r="DT519" t="str">
        <f>""</f>
        <v/>
      </c>
      <c r="DU519" t="str">
        <f>""</f>
        <v/>
      </c>
    </row>
    <row r="520" spans="1:125">
      <c r="A520" t="str">
        <f>$A$218</f>
        <v xml:space="preserve">    Highwoods Properties Inc</v>
      </c>
      <c r="B520" t="str">
        <f>$B$218</f>
        <v>HIW US Equity</v>
      </c>
      <c r="C520" t="str">
        <f>$C$218</f>
        <v>RR059</v>
      </c>
      <c r="D520" t="str">
        <f>$D$218</f>
        <v>EBITDA_TO_TOT_INT_EXP</v>
      </c>
      <c r="E520" t="str">
        <f>$E$218</f>
        <v>动态</v>
      </c>
      <c r="F520" t="str">
        <f ca="1">BDH($B$218,$C$218,$B$292,$B$293,CONCATENATE("Per=",$B$290),"Dts=H","Dir=H",CONCATENATE("Points=",$B$291),"Sort=R","Days=A","Fill=B",CONCATENATE("FX=", $B$289) )</f>
        <v>#N/A Authorization</v>
      </c>
      <c r="BN520" t="str">
        <f>""</f>
        <v/>
      </c>
      <c r="BO520" t="str">
        <f>""</f>
        <v/>
      </c>
      <c r="BP520" t="str">
        <f>""</f>
        <v/>
      </c>
      <c r="BQ520" t="str">
        <f>""</f>
        <v/>
      </c>
      <c r="BR520" t="str">
        <f>""</f>
        <v/>
      </c>
      <c r="BS520" t="str">
        <f>""</f>
        <v/>
      </c>
      <c r="BT520" t="str">
        <f>""</f>
        <v/>
      </c>
      <c r="BU520" t="str">
        <f>""</f>
        <v/>
      </c>
      <c r="BV520" t="str">
        <f>""</f>
        <v/>
      </c>
      <c r="BW520" t="str">
        <f>""</f>
        <v/>
      </c>
      <c r="BX520" t="str">
        <f>""</f>
        <v/>
      </c>
      <c r="BY520" t="str">
        <f>""</f>
        <v/>
      </c>
      <c r="BZ520" t="str">
        <f>""</f>
        <v/>
      </c>
      <c r="CA520" t="str">
        <f>""</f>
        <v/>
      </c>
      <c r="CB520" t="str">
        <f>""</f>
        <v/>
      </c>
      <c r="CC520" t="str">
        <f>""</f>
        <v/>
      </c>
      <c r="CD520" t="str">
        <f>""</f>
        <v/>
      </c>
      <c r="CE520" t="str">
        <f>""</f>
        <v/>
      </c>
      <c r="CF520" t="str">
        <f>""</f>
        <v/>
      </c>
      <c r="CG520" t="str">
        <f>""</f>
        <v/>
      </c>
      <c r="CH520" t="str">
        <f>""</f>
        <v/>
      </c>
      <c r="CI520" t="str">
        <f>""</f>
        <v/>
      </c>
      <c r="CJ520" t="str">
        <f>""</f>
        <v/>
      </c>
      <c r="CK520" t="str">
        <f>""</f>
        <v/>
      </c>
      <c r="CL520" t="str">
        <f>""</f>
        <v/>
      </c>
      <c r="CM520" t="str">
        <f>""</f>
        <v/>
      </c>
      <c r="CN520" t="str">
        <f>""</f>
        <v/>
      </c>
      <c r="CO520" t="str">
        <f>""</f>
        <v/>
      </c>
      <c r="CP520" t="str">
        <f>""</f>
        <v/>
      </c>
      <c r="CQ520" t="str">
        <f>""</f>
        <v/>
      </c>
      <c r="CR520" t="str">
        <f>""</f>
        <v/>
      </c>
      <c r="CS520" t="str">
        <f>""</f>
        <v/>
      </c>
      <c r="CT520" t="str">
        <f>""</f>
        <v/>
      </c>
      <c r="CU520" t="str">
        <f>""</f>
        <v/>
      </c>
      <c r="CV520" t="str">
        <f>""</f>
        <v/>
      </c>
      <c r="CW520" t="str">
        <f>""</f>
        <v/>
      </c>
      <c r="CX520" t="str">
        <f>""</f>
        <v/>
      </c>
      <c r="CY520" t="str">
        <f>""</f>
        <v/>
      </c>
      <c r="CZ520" t="str">
        <f>""</f>
        <v/>
      </c>
      <c r="DA520" t="str">
        <f>""</f>
        <v/>
      </c>
      <c r="DB520" t="str">
        <f>""</f>
        <v/>
      </c>
      <c r="DC520" t="str">
        <f>""</f>
        <v/>
      </c>
      <c r="DD520" t="str">
        <f>""</f>
        <v/>
      </c>
      <c r="DE520" t="str">
        <f>""</f>
        <v/>
      </c>
      <c r="DF520" t="str">
        <f>""</f>
        <v/>
      </c>
      <c r="DG520" t="str">
        <f>""</f>
        <v/>
      </c>
      <c r="DH520" t="str">
        <f>""</f>
        <v/>
      </c>
      <c r="DI520" t="str">
        <f>""</f>
        <v/>
      </c>
      <c r="DJ520" t="str">
        <f>""</f>
        <v/>
      </c>
      <c r="DK520" t="str">
        <f>""</f>
        <v/>
      </c>
      <c r="DL520" t="str">
        <f>""</f>
        <v/>
      </c>
      <c r="DM520" t="str">
        <f>""</f>
        <v/>
      </c>
      <c r="DN520" t="str">
        <f>""</f>
        <v/>
      </c>
      <c r="DO520" t="str">
        <f>""</f>
        <v/>
      </c>
      <c r="DP520" t="str">
        <f>""</f>
        <v/>
      </c>
      <c r="DQ520" t="str">
        <f>""</f>
        <v/>
      </c>
      <c r="DR520" t="str">
        <f>""</f>
        <v/>
      </c>
      <c r="DS520" t="str">
        <f>""</f>
        <v/>
      </c>
      <c r="DT520" t="str">
        <f>""</f>
        <v/>
      </c>
      <c r="DU520" t="str">
        <f>""</f>
        <v/>
      </c>
    </row>
    <row r="521" spans="1:125">
      <c r="A521" t="str">
        <f>$A$219</f>
        <v xml:space="preserve">    Kilroy Realty Corp</v>
      </c>
      <c r="B521" t="str">
        <f>$B$219</f>
        <v>KRC US Equity</v>
      </c>
      <c r="C521" t="str">
        <f>$C$219</f>
        <v>RR059</v>
      </c>
      <c r="D521" t="str">
        <f>$D$219</f>
        <v>EBITDA_TO_TOT_INT_EXP</v>
      </c>
      <c r="E521" t="str">
        <f>$E$219</f>
        <v>动态</v>
      </c>
      <c r="F521" t="str">
        <f ca="1">BDH($B$219,$C$219,$B$292,$B$293,CONCATENATE("Per=",$B$290),"Dts=H","Dir=H",CONCATENATE("Points=",$B$291),"Sort=R","Days=A","Fill=B",CONCATENATE("FX=", $B$289) )</f>
        <v>#N/A Authorization</v>
      </c>
      <c r="BN521" t="str">
        <f>""</f>
        <v/>
      </c>
      <c r="BO521" t="str">
        <f>""</f>
        <v/>
      </c>
      <c r="BP521" t="str">
        <f>""</f>
        <v/>
      </c>
      <c r="BQ521" t="str">
        <f>""</f>
        <v/>
      </c>
      <c r="BR521" t="str">
        <f>""</f>
        <v/>
      </c>
      <c r="BS521" t="str">
        <f>""</f>
        <v/>
      </c>
      <c r="BT521" t="str">
        <f>""</f>
        <v/>
      </c>
      <c r="BU521" t="str">
        <f>""</f>
        <v/>
      </c>
      <c r="BV521" t="str">
        <f>""</f>
        <v/>
      </c>
      <c r="BW521" t="str">
        <f>""</f>
        <v/>
      </c>
      <c r="BX521" t="str">
        <f>""</f>
        <v/>
      </c>
      <c r="BY521" t="str">
        <f>""</f>
        <v/>
      </c>
      <c r="BZ521" t="str">
        <f>""</f>
        <v/>
      </c>
      <c r="CA521" t="str">
        <f>""</f>
        <v/>
      </c>
      <c r="CB521" t="str">
        <f>""</f>
        <v/>
      </c>
      <c r="CC521" t="str">
        <f>""</f>
        <v/>
      </c>
      <c r="CD521" t="str">
        <f>""</f>
        <v/>
      </c>
      <c r="CE521" t="str">
        <f>""</f>
        <v/>
      </c>
      <c r="CF521" t="str">
        <f>""</f>
        <v/>
      </c>
      <c r="CG521" t="str">
        <f>""</f>
        <v/>
      </c>
      <c r="CH521" t="str">
        <f>""</f>
        <v/>
      </c>
      <c r="CI521" t="str">
        <f>""</f>
        <v/>
      </c>
      <c r="CJ521" t="str">
        <f>""</f>
        <v/>
      </c>
      <c r="CK521" t="str">
        <f>""</f>
        <v/>
      </c>
      <c r="CL521" t="str">
        <f>""</f>
        <v/>
      </c>
      <c r="CM521" t="str">
        <f>""</f>
        <v/>
      </c>
      <c r="CN521" t="str">
        <f>""</f>
        <v/>
      </c>
      <c r="CO521" t="str">
        <f>""</f>
        <v/>
      </c>
      <c r="CP521" t="str">
        <f>""</f>
        <v/>
      </c>
      <c r="CQ521" t="str">
        <f>""</f>
        <v/>
      </c>
      <c r="CR521" t="str">
        <f>""</f>
        <v/>
      </c>
      <c r="CS521" t="str">
        <f>""</f>
        <v/>
      </c>
      <c r="CT521" t="str">
        <f>""</f>
        <v/>
      </c>
      <c r="CU521" t="str">
        <f>""</f>
        <v/>
      </c>
      <c r="CV521" t="str">
        <f>""</f>
        <v/>
      </c>
      <c r="CW521" t="str">
        <f>""</f>
        <v/>
      </c>
      <c r="CX521" t="str">
        <f>""</f>
        <v/>
      </c>
      <c r="CY521" t="str">
        <f>""</f>
        <v/>
      </c>
      <c r="CZ521" t="str">
        <f>""</f>
        <v/>
      </c>
      <c r="DA521" t="str">
        <f>""</f>
        <v/>
      </c>
      <c r="DB521" t="str">
        <f>""</f>
        <v/>
      </c>
      <c r="DC521" t="str">
        <f>""</f>
        <v/>
      </c>
      <c r="DD521" t="str">
        <f>""</f>
        <v/>
      </c>
      <c r="DE521" t="str">
        <f>""</f>
        <v/>
      </c>
      <c r="DF521" t="str">
        <f>""</f>
        <v/>
      </c>
      <c r="DG521" t="str">
        <f>""</f>
        <v/>
      </c>
      <c r="DH521" t="str">
        <f>""</f>
        <v/>
      </c>
      <c r="DI521" t="str">
        <f>""</f>
        <v/>
      </c>
      <c r="DJ521" t="str">
        <f>""</f>
        <v/>
      </c>
      <c r="DK521" t="str">
        <f>""</f>
        <v/>
      </c>
      <c r="DL521" t="str">
        <f>""</f>
        <v/>
      </c>
      <c r="DM521" t="str">
        <f>""</f>
        <v/>
      </c>
      <c r="DN521" t="str">
        <f>""</f>
        <v/>
      </c>
      <c r="DO521" t="str">
        <f>""</f>
        <v/>
      </c>
      <c r="DP521" t="str">
        <f>""</f>
        <v/>
      </c>
      <c r="DQ521" t="str">
        <f>""</f>
        <v/>
      </c>
      <c r="DR521" t="str">
        <f>""</f>
        <v/>
      </c>
      <c r="DS521" t="str">
        <f>""</f>
        <v/>
      </c>
      <c r="DT521" t="str">
        <f>""</f>
        <v/>
      </c>
      <c r="DU521" t="str">
        <f>""</f>
        <v/>
      </c>
    </row>
    <row r="522" spans="1:125">
      <c r="A522" t="str">
        <f>$A$220</f>
        <v xml:space="preserve">    Mack-Cali Realty Corp</v>
      </c>
      <c r="B522" t="str">
        <f>$B$220</f>
        <v>CLI US Equity</v>
      </c>
      <c r="C522" t="str">
        <f>$C$220</f>
        <v>RR059</v>
      </c>
      <c r="D522" t="str">
        <f>$D$220</f>
        <v>EBITDA_TO_TOT_INT_EXP</v>
      </c>
      <c r="E522" t="str">
        <f>$E$220</f>
        <v>动态</v>
      </c>
      <c r="F522" t="str">
        <f ca="1">BDH($B$220,$C$220,$B$292,$B$293,CONCATENATE("Per=",$B$290),"Dts=H","Dir=H",CONCATENATE("Points=",$B$291),"Sort=R","Days=A","Fill=B",CONCATENATE("FX=", $B$289) )</f>
        <v>#N/A Authorization</v>
      </c>
      <c r="BN522" t="str">
        <f>""</f>
        <v/>
      </c>
      <c r="BO522" t="str">
        <f>""</f>
        <v/>
      </c>
      <c r="BP522" t="str">
        <f>""</f>
        <v/>
      </c>
      <c r="BQ522" t="str">
        <f>""</f>
        <v/>
      </c>
      <c r="BR522" t="str">
        <f>""</f>
        <v/>
      </c>
      <c r="BS522" t="str">
        <f>""</f>
        <v/>
      </c>
      <c r="BT522" t="str">
        <f>""</f>
        <v/>
      </c>
      <c r="BU522" t="str">
        <f>""</f>
        <v/>
      </c>
      <c r="BV522" t="str">
        <f>""</f>
        <v/>
      </c>
      <c r="BW522" t="str">
        <f>""</f>
        <v/>
      </c>
      <c r="BX522" t="str">
        <f>""</f>
        <v/>
      </c>
      <c r="BY522" t="str">
        <f>""</f>
        <v/>
      </c>
      <c r="BZ522" t="str">
        <f>""</f>
        <v/>
      </c>
      <c r="CA522" t="str">
        <f>""</f>
        <v/>
      </c>
      <c r="CB522" t="str">
        <f>""</f>
        <v/>
      </c>
      <c r="CC522" t="str">
        <f>""</f>
        <v/>
      </c>
      <c r="CD522" t="str">
        <f>""</f>
        <v/>
      </c>
      <c r="CE522" t="str">
        <f>""</f>
        <v/>
      </c>
      <c r="CF522" t="str">
        <f>""</f>
        <v/>
      </c>
      <c r="CG522" t="str">
        <f>""</f>
        <v/>
      </c>
      <c r="CH522" t="str">
        <f>""</f>
        <v/>
      </c>
      <c r="CI522" t="str">
        <f>""</f>
        <v/>
      </c>
      <c r="CJ522" t="str">
        <f>""</f>
        <v/>
      </c>
      <c r="CK522" t="str">
        <f>""</f>
        <v/>
      </c>
      <c r="CL522" t="str">
        <f>""</f>
        <v/>
      </c>
      <c r="CM522" t="str">
        <f>""</f>
        <v/>
      </c>
      <c r="CN522" t="str">
        <f>""</f>
        <v/>
      </c>
      <c r="CO522" t="str">
        <f>""</f>
        <v/>
      </c>
      <c r="CP522" t="str">
        <f>""</f>
        <v/>
      </c>
      <c r="CQ522" t="str">
        <f>""</f>
        <v/>
      </c>
      <c r="CR522" t="str">
        <f>""</f>
        <v/>
      </c>
      <c r="CS522" t="str">
        <f>""</f>
        <v/>
      </c>
      <c r="CT522" t="str">
        <f>""</f>
        <v/>
      </c>
      <c r="CU522" t="str">
        <f>""</f>
        <v/>
      </c>
      <c r="CV522" t="str">
        <f>""</f>
        <v/>
      </c>
      <c r="CW522" t="str">
        <f>""</f>
        <v/>
      </c>
      <c r="CX522" t="str">
        <f>""</f>
        <v/>
      </c>
      <c r="CY522" t="str">
        <f>""</f>
        <v/>
      </c>
      <c r="CZ522" t="str">
        <f>""</f>
        <v/>
      </c>
      <c r="DA522" t="str">
        <f>""</f>
        <v/>
      </c>
      <c r="DB522" t="str">
        <f>""</f>
        <v/>
      </c>
      <c r="DC522" t="str">
        <f>""</f>
        <v/>
      </c>
      <c r="DD522" t="str">
        <f>""</f>
        <v/>
      </c>
      <c r="DE522" t="str">
        <f>""</f>
        <v/>
      </c>
      <c r="DF522" t="str">
        <f>""</f>
        <v/>
      </c>
      <c r="DG522" t="str">
        <f>""</f>
        <v/>
      </c>
      <c r="DH522" t="str">
        <f>""</f>
        <v/>
      </c>
      <c r="DI522" t="str">
        <f>""</f>
        <v/>
      </c>
      <c r="DJ522" t="str">
        <f>""</f>
        <v/>
      </c>
      <c r="DK522" t="str">
        <f>""</f>
        <v/>
      </c>
      <c r="DL522" t="str">
        <f>""</f>
        <v/>
      </c>
      <c r="DM522" t="str">
        <f>""</f>
        <v/>
      </c>
      <c r="DN522" t="str">
        <f>""</f>
        <v/>
      </c>
      <c r="DO522" t="str">
        <f>""</f>
        <v/>
      </c>
      <c r="DP522" t="str">
        <f>""</f>
        <v/>
      </c>
      <c r="DQ522" t="str">
        <f>""</f>
        <v/>
      </c>
      <c r="DR522" t="str">
        <f>""</f>
        <v/>
      </c>
      <c r="DS522" t="str">
        <f>""</f>
        <v/>
      </c>
      <c r="DT522" t="str">
        <f>""</f>
        <v/>
      </c>
      <c r="DU522" t="str">
        <f>""</f>
        <v/>
      </c>
    </row>
    <row r="523" spans="1:125">
      <c r="A523" t="str">
        <f>$A$221</f>
        <v xml:space="preserve">    Piedmont Office Realty Trust I</v>
      </c>
      <c r="B523" t="str">
        <f>$B$221</f>
        <v>PDM US Equity</v>
      </c>
      <c r="C523" t="str">
        <f>$C$221</f>
        <v>RR059</v>
      </c>
      <c r="D523" t="str">
        <f>$D$221</f>
        <v>EBITDA_TO_TOT_INT_EXP</v>
      </c>
      <c r="E523" t="str">
        <f>$E$221</f>
        <v>动态</v>
      </c>
      <c r="F523" t="str">
        <f ca="1">BDH($B$221,$C$221,$B$292,$B$293,CONCATENATE("Per=",$B$290),"Dts=H","Dir=H",CONCATENATE("Points=",$B$291),"Sort=R","Days=A","Fill=B",CONCATENATE("FX=", $B$289) )</f>
        <v>#N/A Authorization</v>
      </c>
      <c r="BN523" t="str">
        <f>""</f>
        <v/>
      </c>
      <c r="BO523" t="str">
        <f>""</f>
        <v/>
      </c>
      <c r="BP523" t="str">
        <f>""</f>
        <v/>
      </c>
      <c r="BQ523" t="str">
        <f>""</f>
        <v/>
      </c>
      <c r="BR523" t="str">
        <f>""</f>
        <v/>
      </c>
      <c r="BS523" t="str">
        <f>""</f>
        <v/>
      </c>
      <c r="BT523" t="str">
        <f>""</f>
        <v/>
      </c>
      <c r="BU523" t="str">
        <f>""</f>
        <v/>
      </c>
      <c r="BV523" t="str">
        <f>""</f>
        <v/>
      </c>
      <c r="BW523" t="str">
        <f>""</f>
        <v/>
      </c>
      <c r="BX523" t="str">
        <f>""</f>
        <v/>
      </c>
      <c r="BY523" t="str">
        <f>""</f>
        <v/>
      </c>
      <c r="BZ523" t="str">
        <f>""</f>
        <v/>
      </c>
      <c r="CA523" t="str">
        <f>""</f>
        <v/>
      </c>
      <c r="CB523" t="str">
        <f>""</f>
        <v/>
      </c>
      <c r="CC523" t="str">
        <f>""</f>
        <v/>
      </c>
      <c r="CD523" t="str">
        <f>""</f>
        <v/>
      </c>
      <c r="CE523" t="str">
        <f>""</f>
        <v/>
      </c>
      <c r="CF523" t="str">
        <f>""</f>
        <v/>
      </c>
      <c r="CG523" t="str">
        <f>""</f>
        <v/>
      </c>
      <c r="CH523" t="str">
        <f>""</f>
        <v/>
      </c>
      <c r="CI523" t="str">
        <f>""</f>
        <v/>
      </c>
      <c r="CJ523" t="str">
        <f>""</f>
        <v/>
      </c>
      <c r="CK523" t="str">
        <f>""</f>
        <v/>
      </c>
      <c r="CL523" t="str">
        <f>""</f>
        <v/>
      </c>
      <c r="CM523" t="str">
        <f>""</f>
        <v/>
      </c>
      <c r="CN523" t="str">
        <f>""</f>
        <v/>
      </c>
      <c r="CO523" t="str">
        <f>""</f>
        <v/>
      </c>
      <c r="CP523" t="str">
        <f>""</f>
        <v/>
      </c>
      <c r="CQ523" t="str">
        <f>""</f>
        <v/>
      </c>
      <c r="CR523" t="str">
        <f>""</f>
        <v/>
      </c>
      <c r="CS523" t="str">
        <f>""</f>
        <v/>
      </c>
      <c r="CT523" t="str">
        <f>""</f>
        <v/>
      </c>
      <c r="CU523" t="str">
        <f>""</f>
        <v/>
      </c>
      <c r="CV523" t="str">
        <f>""</f>
        <v/>
      </c>
      <c r="CW523" t="str">
        <f>""</f>
        <v/>
      </c>
      <c r="CX523" t="str">
        <f>""</f>
        <v/>
      </c>
      <c r="CY523" t="str">
        <f>""</f>
        <v/>
      </c>
      <c r="CZ523" t="str">
        <f>""</f>
        <v/>
      </c>
      <c r="DA523" t="str">
        <f>""</f>
        <v/>
      </c>
      <c r="DB523" t="str">
        <f>""</f>
        <v/>
      </c>
      <c r="DC523" t="str">
        <f>""</f>
        <v/>
      </c>
      <c r="DD523" t="str">
        <f>""</f>
        <v/>
      </c>
      <c r="DE523" t="str">
        <f>""</f>
        <v/>
      </c>
      <c r="DF523" t="str">
        <f>""</f>
        <v/>
      </c>
      <c r="DG523" t="str">
        <f>""</f>
        <v/>
      </c>
      <c r="DH523" t="str">
        <f>""</f>
        <v/>
      </c>
      <c r="DI523" t="str">
        <f>""</f>
        <v/>
      </c>
      <c r="DJ523" t="str">
        <f>""</f>
        <v/>
      </c>
      <c r="DK523" t="str">
        <f>""</f>
        <v/>
      </c>
      <c r="DL523" t="str">
        <f>""</f>
        <v/>
      </c>
      <c r="DM523" t="str">
        <f>""</f>
        <v/>
      </c>
      <c r="DN523" t="str">
        <f>""</f>
        <v/>
      </c>
      <c r="DO523" t="str">
        <f>""</f>
        <v/>
      </c>
      <c r="DP523" t="str">
        <f>""</f>
        <v/>
      </c>
      <c r="DQ523" t="str">
        <f>""</f>
        <v/>
      </c>
      <c r="DR523" t="str">
        <f>""</f>
        <v/>
      </c>
      <c r="DS523" t="str">
        <f>""</f>
        <v/>
      </c>
      <c r="DT523" t="str">
        <f>""</f>
        <v/>
      </c>
      <c r="DU523" t="str">
        <f>""</f>
        <v/>
      </c>
    </row>
    <row r="524" spans="1:125">
      <c r="A524" t="str">
        <f>$A$222</f>
        <v xml:space="preserve">    SL Green Realty Corp</v>
      </c>
      <c r="B524" t="str">
        <f>$B$222</f>
        <v>SLG US Equity</v>
      </c>
      <c r="C524" t="str">
        <f>$C$222</f>
        <v>RR059</v>
      </c>
      <c r="D524" t="str">
        <f>$D$222</f>
        <v>EBITDA_TO_TOT_INT_EXP</v>
      </c>
      <c r="E524" t="str">
        <f>$E$222</f>
        <v>动态</v>
      </c>
      <c r="F524" t="str">
        <f ca="1">BDH($B$222,$C$222,$B$292,$B$293,CONCATENATE("Per=",$B$290),"Dts=H","Dir=H",CONCATENATE("Points=",$B$291),"Sort=R","Days=A","Fill=B",CONCATENATE("FX=", $B$289) )</f>
        <v>#N/A Authorization</v>
      </c>
      <c r="BN524" t="str">
        <f>""</f>
        <v/>
      </c>
      <c r="BO524" t="str">
        <f>""</f>
        <v/>
      </c>
      <c r="BP524" t="str">
        <f>""</f>
        <v/>
      </c>
      <c r="BQ524" t="str">
        <f>""</f>
        <v/>
      </c>
      <c r="BR524" t="str">
        <f>""</f>
        <v/>
      </c>
      <c r="BS524" t="str">
        <f>""</f>
        <v/>
      </c>
      <c r="BT524" t="str">
        <f>""</f>
        <v/>
      </c>
      <c r="BU524" t="str">
        <f>""</f>
        <v/>
      </c>
      <c r="BV524" t="str">
        <f>""</f>
        <v/>
      </c>
      <c r="BW524" t="str">
        <f>""</f>
        <v/>
      </c>
      <c r="BX524" t="str">
        <f>""</f>
        <v/>
      </c>
      <c r="BY524" t="str">
        <f>""</f>
        <v/>
      </c>
      <c r="BZ524" t="str">
        <f>""</f>
        <v/>
      </c>
      <c r="CA524" t="str">
        <f>""</f>
        <v/>
      </c>
      <c r="CB524" t="str">
        <f>""</f>
        <v/>
      </c>
      <c r="CC524" t="str">
        <f>""</f>
        <v/>
      </c>
      <c r="CD524" t="str">
        <f>""</f>
        <v/>
      </c>
      <c r="CE524" t="str">
        <f>""</f>
        <v/>
      </c>
      <c r="CF524" t="str">
        <f>""</f>
        <v/>
      </c>
      <c r="CG524" t="str">
        <f>""</f>
        <v/>
      </c>
      <c r="CH524" t="str">
        <f>""</f>
        <v/>
      </c>
      <c r="CI524" t="str">
        <f>""</f>
        <v/>
      </c>
      <c r="CJ524" t="str">
        <f>""</f>
        <v/>
      </c>
      <c r="CK524" t="str">
        <f>""</f>
        <v/>
      </c>
      <c r="CL524" t="str">
        <f>""</f>
        <v/>
      </c>
      <c r="CM524" t="str">
        <f>""</f>
        <v/>
      </c>
      <c r="CN524" t="str">
        <f>""</f>
        <v/>
      </c>
      <c r="CO524" t="str">
        <f>""</f>
        <v/>
      </c>
      <c r="CP524" t="str">
        <f>""</f>
        <v/>
      </c>
      <c r="CQ524" t="str">
        <f>""</f>
        <v/>
      </c>
      <c r="CR524" t="str">
        <f>""</f>
        <v/>
      </c>
      <c r="CS524" t="str">
        <f>""</f>
        <v/>
      </c>
      <c r="CT524" t="str">
        <f>""</f>
        <v/>
      </c>
      <c r="CU524" t="str">
        <f>""</f>
        <v/>
      </c>
      <c r="CV524" t="str">
        <f>""</f>
        <v/>
      </c>
      <c r="CW524" t="str">
        <f>""</f>
        <v/>
      </c>
      <c r="CX524" t="str">
        <f>""</f>
        <v/>
      </c>
      <c r="CY524" t="str">
        <f>""</f>
        <v/>
      </c>
      <c r="CZ524" t="str">
        <f>""</f>
        <v/>
      </c>
      <c r="DA524" t="str">
        <f>""</f>
        <v/>
      </c>
      <c r="DB524" t="str">
        <f>""</f>
        <v/>
      </c>
      <c r="DC524" t="str">
        <f>""</f>
        <v/>
      </c>
      <c r="DD524" t="str">
        <f>""</f>
        <v/>
      </c>
      <c r="DE524" t="str">
        <f>""</f>
        <v/>
      </c>
      <c r="DF524" t="str">
        <f>""</f>
        <v/>
      </c>
      <c r="DG524" t="str">
        <f>""</f>
        <v/>
      </c>
      <c r="DH524" t="str">
        <f>""</f>
        <v/>
      </c>
      <c r="DI524" t="str">
        <f>""</f>
        <v/>
      </c>
      <c r="DJ524" t="str">
        <f>""</f>
        <v/>
      </c>
      <c r="DK524" t="str">
        <f>""</f>
        <v/>
      </c>
      <c r="DL524" t="str">
        <f>""</f>
        <v/>
      </c>
      <c r="DM524" t="str">
        <f>""</f>
        <v/>
      </c>
      <c r="DN524" t="str">
        <f>""</f>
        <v/>
      </c>
      <c r="DO524" t="str">
        <f>""</f>
        <v/>
      </c>
      <c r="DP524" t="str">
        <f>""</f>
        <v/>
      </c>
      <c r="DQ524" t="str">
        <f>""</f>
        <v/>
      </c>
      <c r="DR524" t="str">
        <f>""</f>
        <v/>
      </c>
      <c r="DS524" t="str">
        <f>""</f>
        <v/>
      </c>
      <c r="DT524" t="str">
        <f>""</f>
        <v/>
      </c>
      <c r="DU524" t="str">
        <f>""</f>
        <v/>
      </c>
    </row>
    <row r="525" spans="1:125">
      <c r="A525" t="str">
        <f>$A$223</f>
        <v xml:space="preserve">    Vornado Realty Trust</v>
      </c>
      <c r="B525" t="str">
        <f>$B$223</f>
        <v>VNO US Equity</v>
      </c>
      <c r="C525" t="str">
        <f>$C$223</f>
        <v>RR059</v>
      </c>
      <c r="D525" t="str">
        <f>$D$223</f>
        <v>EBITDA_TO_TOT_INT_EXP</v>
      </c>
      <c r="E525" t="str">
        <f>$E$223</f>
        <v>动态</v>
      </c>
      <c r="F525" t="str">
        <f ca="1">BDH($B$223,$C$223,$B$292,$B$293,CONCATENATE("Per=",$B$290),"Dts=H","Dir=H",CONCATENATE("Points=",$B$291),"Sort=R","Days=A","Fill=B",CONCATENATE("FX=", $B$289) )</f>
        <v>#N/A Authorization</v>
      </c>
      <c r="BN525" t="str">
        <f>""</f>
        <v/>
      </c>
      <c r="BO525" t="str">
        <f>""</f>
        <v/>
      </c>
      <c r="BP525" t="str">
        <f>""</f>
        <v/>
      </c>
      <c r="BQ525" t="str">
        <f>""</f>
        <v/>
      </c>
      <c r="BR525" t="str">
        <f>""</f>
        <v/>
      </c>
      <c r="BS525" t="str">
        <f>""</f>
        <v/>
      </c>
      <c r="BT525" t="str">
        <f>""</f>
        <v/>
      </c>
      <c r="BU525" t="str">
        <f>""</f>
        <v/>
      </c>
      <c r="BV525" t="str">
        <f>""</f>
        <v/>
      </c>
      <c r="BW525" t="str">
        <f>""</f>
        <v/>
      </c>
      <c r="BX525" t="str">
        <f>""</f>
        <v/>
      </c>
      <c r="BY525" t="str">
        <f>""</f>
        <v/>
      </c>
      <c r="BZ525" t="str">
        <f>""</f>
        <v/>
      </c>
      <c r="CA525" t="str">
        <f>""</f>
        <v/>
      </c>
      <c r="CB525" t="str">
        <f>""</f>
        <v/>
      </c>
      <c r="CC525" t="str">
        <f>""</f>
        <v/>
      </c>
      <c r="CD525" t="str">
        <f>""</f>
        <v/>
      </c>
      <c r="CE525" t="str">
        <f>""</f>
        <v/>
      </c>
      <c r="CF525" t="str">
        <f>""</f>
        <v/>
      </c>
      <c r="CG525" t="str">
        <f>""</f>
        <v/>
      </c>
      <c r="CH525" t="str">
        <f>""</f>
        <v/>
      </c>
      <c r="CI525" t="str">
        <f>""</f>
        <v/>
      </c>
      <c r="CJ525" t="str">
        <f>""</f>
        <v/>
      </c>
      <c r="CK525" t="str">
        <f>""</f>
        <v/>
      </c>
      <c r="CL525" t="str">
        <f>""</f>
        <v/>
      </c>
      <c r="CM525" t="str">
        <f>""</f>
        <v/>
      </c>
      <c r="CN525" t="str">
        <f>""</f>
        <v/>
      </c>
      <c r="CO525" t="str">
        <f>""</f>
        <v/>
      </c>
      <c r="CP525" t="str">
        <f>""</f>
        <v/>
      </c>
      <c r="CQ525" t="str">
        <f>""</f>
        <v/>
      </c>
      <c r="CR525" t="str">
        <f>""</f>
        <v/>
      </c>
      <c r="CS525" t="str">
        <f>""</f>
        <v/>
      </c>
      <c r="CT525" t="str">
        <f>""</f>
        <v/>
      </c>
      <c r="CU525" t="str">
        <f>""</f>
        <v/>
      </c>
      <c r="CV525" t="str">
        <f>""</f>
        <v/>
      </c>
      <c r="CW525" t="str">
        <f>""</f>
        <v/>
      </c>
      <c r="CX525" t="str">
        <f>""</f>
        <v/>
      </c>
      <c r="CY525" t="str">
        <f>""</f>
        <v/>
      </c>
      <c r="CZ525" t="str">
        <f>""</f>
        <v/>
      </c>
      <c r="DA525" t="str">
        <f>""</f>
        <v/>
      </c>
      <c r="DB525" t="str">
        <f>""</f>
        <v/>
      </c>
      <c r="DC525" t="str">
        <f>""</f>
        <v/>
      </c>
      <c r="DD525" t="str">
        <f>""</f>
        <v/>
      </c>
      <c r="DE525" t="str">
        <f>""</f>
        <v/>
      </c>
      <c r="DF525" t="str">
        <f>""</f>
        <v/>
      </c>
      <c r="DG525" t="str">
        <f>""</f>
        <v/>
      </c>
      <c r="DH525" t="str">
        <f>""</f>
        <v/>
      </c>
      <c r="DI525" t="str">
        <f>""</f>
        <v/>
      </c>
      <c r="DJ525" t="str">
        <f>""</f>
        <v/>
      </c>
      <c r="DK525" t="str">
        <f>""</f>
        <v/>
      </c>
      <c r="DL525" t="str">
        <f>""</f>
        <v/>
      </c>
      <c r="DM525" t="str">
        <f>""</f>
        <v/>
      </c>
      <c r="DN525" t="str">
        <f>""</f>
        <v/>
      </c>
      <c r="DO525" t="str">
        <f>""</f>
        <v/>
      </c>
      <c r="DP525" t="str">
        <f>""</f>
        <v/>
      </c>
      <c r="DQ525" t="str">
        <f>""</f>
        <v/>
      </c>
      <c r="DR525" t="str">
        <f>""</f>
        <v/>
      </c>
      <c r="DS525" t="str">
        <f>""</f>
        <v/>
      </c>
      <c r="DT525" t="str">
        <f>""</f>
        <v/>
      </c>
      <c r="DU525" t="str">
        <f>""</f>
        <v/>
      </c>
    </row>
    <row r="526" spans="1:125">
      <c r="A526" t="str">
        <f>$A$225</f>
        <v xml:space="preserve">    Boston Properties Inc</v>
      </c>
      <c r="B526" t="str">
        <f>$B$225</f>
        <v>BXP US Equity</v>
      </c>
      <c r="C526" t="str">
        <f>$C$225</f>
        <v>F1023</v>
      </c>
      <c r="D526" t="str">
        <f>$D$225</f>
        <v>FIXED_CHARGE_COVERAGE_RATIO</v>
      </c>
      <c r="E526" t="str">
        <f>$E$225</f>
        <v>动态</v>
      </c>
      <c r="F526" t="str">
        <f ca="1">BDH($B$225,$C$225,$B$292,$B$293,CONCATENATE("Per=",$B$290),"Dts=H","Dir=H",CONCATENATE("Points=",$B$291),"Sort=R","Days=A","Fill=B",CONCATENATE("FX=", $B$289) )</f>
        <v>#N/A Authorization</v>
      </c>
      <c r="BN526" t="str">
        <f>""</f>
        <v/>
      </c>
      <c r="BO526" t="str">
        <f>""</f>
        <v/>
      </c>
      <c r="BP526" t="str">
        <f>""</f>
        <v/>
      </c>
      <c r="BQ526" t="str">
        <f>""</f>
        <v/>
      </c>
      <c r="BR526" t="str">
        <f>""</f>
        <v/>
      </c>
      <c r="BS526" t="str">
        <f>""</f>
        <v/>
      </c>
      <c r="BT526" t="str">
        <f>""</f>
        <v/>
      </c>
      <c r="BU526" t="str">
        <f>""</f>
        <v/>
      </c>
      <c r="BV526" t="str">
        <f>""</f>
        <v/>
      </c>
      <c r="BW526" t="str">
        <f>""</f>
        <v/>
      </c>
      <c r="BX526" t="str">
        <f>""</f>
        <v/>
      </c>
      <c r="BY526" t="str">
        <f>""</f>
        <v/>
      </c>
      <c r="BZ526" t="str">
        <f>""</f>
        <v/>
      </c>
      <c r="CA526" t="str">
        <f>""</f>
        <v/>
      </c>
      <c r="CB526" t="str">
        <f>""</f>
        <v/>
      </c>
      <c r="CC526" t="str">
        <f>""</f>
        <v/>
      </c>
      <c r="CD526" t="str">
        <f>""</f>
        <v/>
      </c>
      <c r="CE526" t="str">
        <f>""</f>
        <v/>
      </c>
      <c r="CF526" t="str">
        <f>""</f>
        <v/>
      </c>
      <c r="CG526" t="str">
        <f>""</f>
        <v/>
      </c>
      <c r="CH526" t="str">
        <f>""</f>
        <v/>
      </c>
      <c r="CI526" t="str">
        <f>""</f>
        <v/>
      </c>
      <c r="CJ526" t="str">
        <f>""</f>
        <v/>
      </c>
      <c r="CK526" t="str">
        <f>""</f>
        <v/>
      </c>
      <c r="CL526" t="str">
        <f>""</f>
        <v/>
      </c>
      <c r="CM526" t="str">
        <f>""</f>
        <v/>
      </c>
      <c r="CN526" t="str">
        <f>""</f>
        <v/>
      </c>
      <c r="CO526" t="str">
        <f>""</f>
        <v/>
      </c>
      <c r="CP526" t="str">
        <f>""</f>
        <v/>
      </c>
      <c r="CQ526" t="str">
        <f>""</f>
        <v/>
      </c>
      <c r="CR526" t="str">
        <f>""</f>
        <v/>
      </c>
      <c r="CS526" t="str">
        <f>""</f>
        <v/>
      </c>
      <c r="CT526" t="str">
        <f>""</f>
        <v/>
      </c>
      <c r="CU526" t="str">
        <f>""</f>
        <v/>
      </c>
      <c r="CV526" t="str">
        <f>""</f>
        <v/>
      </c>
      <c r="CW526" t="str">
        <f>""</f>
        <v/>
      </c>
      <c r="CX526" t="str">
        <f>""</f>
        <v/>
      </c>
      <c r="CY526" t="str">
        <f>""</f>
        <v/>
      </c>
      <c r="CZ526" t="str">
        <f>""</f>
        <v/>
      </c>
      <c r="DA526" t="str">
        <f>""</f>
        <v/>
      </c>
      <c r="DB526" t="str">
        <f>""</f>
        <v/>
      </c>
      <c r="DC526" t="str">
        <f>""</f>
        <v/>
      </c>
      <c r="DD526" t="str">
        <f>""</f>
        <v/>
      </c>
      <c r="DE526" t="str">
        <f>""</f>
        <v/>
      </c>
      <c r="DF526" t="str">
        <f>""</f>
        <v/>
      </c>
      <c r="DG526" t="str">
        <f>""</f>
        <v/>
      </c>
      <c r="DH526" t="str">
        <f>""</f>
        <v/>
      </c>
      <c r="DI526" t="str">
        <f>""</f>
        <v/>
      </c>
      <c r="DJ526" t="str">
        <f>""</f>
        <v/>
      </c>
      <c r="DK526" t="str">
        <f>""</f>
        <v/>
      </c>
      <c r="DL526" t="str">
        <f>""</f>
        <v/>
      </c>
      <c r="DM526" t="str">
        <f>""</f>
        <v/>
      </c>
      <c r="DN526" t="str">
        <f>""</f>
        <v/>
      </c>
      <c r="DO526" t="str">
        <f>""</f>
        <v/>
      </c>
      <c r="DP526" t="str">
        <f>""</f>
        <v/>
      </c>
      <c r="DQ526" t="str">
        <f>""</f>
        <v/>
      </c>
      <c r="DR526" t="str">
        <f>""</f>
        <v/>
      </c>
      <c r="DS526" t="str">
        <f>""</f>
        <v/>
      </c>
      <c r="DT526" t="str">
        <f>""</f>
        <v/>
      </c>
      <c r="DU526" t="str">
        <f>""</f>
        <v/>
      </c>
    </row>
    <row r="527" spans="1:125">
      <c r="A527" t="str">
        <f>$A$226</f>
        <v xml:space="preserve">    Brandywine Realty Trust</v>
      </c>
      <c r="B527" t="str">
        <f>$B$226</f>
        <v>BDN US Equity</v>
      </c>
      <c r="C527" t="str">
        <f>$C$226</f>
        <v>F1023</v>
      </c>
      <c r="D527" t="str">
        <f>$D$226</f>
        <v>FIXED_CHARGE_COVERAGE_RATIO</v>
      </c>
      <c r="E527" t="str">
        <f>$E$226</f>
        <v>动态</v>
      </c>
      <c r="F527" t="str">
        <f ca="1">BDH($B$226,$C$226,$B$292,$B$293,CONCATENATE("Per=",$B$290),"Dts=H","Dir=H",CONCATENATE("Points=",$B$291),"Sort=R","Days=A","Fill=B",CONCATENATE("FX=", $B$289) )</f>
        <v>#N/A Authorization</v>
      </c>
      <c r="BN527" t="str">
        <f>""</f>
        <v/>
      </c>
      <c r="BO527" t="str">
        <f>""</f>
        <v/>
      </c>
      <c r="BP527" t="str">
        <f>""</f>
        <v/>
      </c>
      <c r="BQ527" t="str">
        <f>""</f>
        <v/>
      </c>
      <c r="BR527" t="str">
        <f>""</f>
        <v/>
      </c>
      <c r="BS527" t="str">
        <f>""</f>
        <v/>
      </c>
      <c r="BT527" t="str">
        <f>""</f>
        <v/>
      </c>
      <c r="BU527" t="str">
        <f>""</f>
        <v/>
      </c>
      <c r="BV527" t="str">
        <f>""</f>
        <v/>
      </c>
      <c r="BW527" t="str">
        <f>""</f>
        <v/>
      </c>
      <c r="BX527" t="str">
        <f>""</f>
        <v/>
      </c>
      <c r="BY527" t="str">
        <f>""</f>
        <v/>
      </c>
      <c r="BZ527" t="str">
        <f>""</f>
        <v/>
      </c>
      <c r="CA527" t="str">
        <f>""</f>
        <v/>
      </c>
      <c r="CB527" t="str">
        <f>""</f>
        <v/>
      </c>
      <c r="CC527" t="str">
        <f>""</f>
        <v/>
      </c>
      <c r="CD527" t="str">
        <f>""</f>
        <v/>
      </c>
      <c r="CE527" t="str">
        <f>""</f>
        <v/>
      </c>
      <c r="CF527" t="str">
        <f>""</f>
        <v/>
      </c>
      <c r="CG527" t="str">
        <f>""</f>
        <v/>
      </c>
      <c r="CH527" t="str">
        <f>""</f>
        <v/>
      </c>
      <c r="CI527" t="str">
        <f>""</f>
        <v/>
      </c>
      <c r="CJ527" t="str">
        <f>""</f>
        <v/>
      </c>
      <c r="CK527" t="str">
        <f>""</f>
        <v/>
      </c>
      <c r="CL527" t="str">
        <f>""</f>
        <v/>
      </c>
      <c r="CM527" t="str">
        <f>""</f>
        <v/>
      </c>
      <c r="CN527" t="str">
        <f>""</f>
        <v/>
      </c>
      <c r="CO527" t="str">
        <f>""</f>
        <v/>
      </c>
      <c r="CP527" t="str">
        <f>""</f>
        <v/>
      </c>
      <c r="CQ527" t="str">
        <f>""</f>
        <v/>
      </c>
      <c r="CR527" t="str">
        <f>""</f>
        <v/>
      </c>
      <c r="CS527" t="str">
        <f>""</f>
        <v/>
      </c>
      <c r="CT527" t="str">
        <f>""</f>
        <v/>
      </c>
      <c r="CU527" t="str">
        <f>""</f>
        <v/>
      </c>
      <c r="CV527" t="str">
        <f>""</f>
        <v/>
      </c>
      <c r="CW527" t="str">
        <f>""</f>
        <v/>
      </c>
      <c r="CX527" t="str">
        <f>""</f>
        <v/>
      </c>
      <c r="CY527" t="str">
        <f>""</f>
        <v/>
      </c>
      <c r="CZ527" t="str">
        <f>""</f>
        <v/>
      </c>
      <c r="DA527" t="str">
        <f>""</f>
        <v/>
      </c>
      <c r="DB527" t="str">
        <f>""</f>
        <v/>
      </c>
      <c r="DC527" t="str">
        <f>""</f>
        <v/>
      </c>
      <c r="DD527" t="str">
        <f>""</f>
        <v/>
      </c>
      <c r="DE527" t="str">
        <f>""</f>
        <v/>
      </c>
      <c r="DF527" t="str">
        <f>""</f>
        <v/>
      </c>
      <c r="DG527" t="str">
        <f>""</f>
        <v/>
      </c>
      <c r="DH527" t="str">
        <f>""</f>
        <v/>
      </c>
      <c r="DI527" t="str">
        <f>""</f>
        <v/>
      </c>
      <c r="DJ527" t="str">
        <f>""</f>
        <v/>
      </c>
      <c r="DK527" t="str">
        <f>""</f>
        <v/>
      </c>
      <c r="DL527" t="str">
        <f>""</f>
        <v/>
      </c>
      <c r="DM527" t="str">
        <f>""</f>
        <v/>
      </c>
      <c r="DN527" t="str">
        <f>""</f>
        <v/>
      </c>
      <c r="DO527" t="str">
        <f>""</f>
        <v/>
      </c>
      <c r="DP527" t="str">
        <f>""</f>
        <v/>
      </c>
      <c r="DQ527" t="str">
        <f>""</f>
        <v/>
      </c>
      <c r="DR527" t="str">
        <f>""</f>
        <v/>
      </c>
      <c r="DS527" t="str">
        <f>""</f>
        <v/>
      </c>
      <c r="DT527" t="str">
        <f>""</f>
        <v/>
      </c>
      <c r="DU527" t="str">
        <f>""</f>
        <v/>
      </c>
    </row>
    <row r="528" spans="1:125">
      <c r="A528" t="str">
        <f>$A$227</f>
        <v xml:space="preserve">    Columbia Property Trust Inc</v>
      </c>
      <c r="B528" t="str">
        <f>$B$227</f>
        <v>CXP US Equity</v>
      </c>
      <c r="C528" t="str">
        <f>$C$227</f>
        <v>F1023</v>
      </c>
      <c r="D528" t="str">
        <f>$D$227</f>
        <v>FIXED_CHARGE_COVERAGE_RATIO</v>
      </c>
      <c r="E528" t="str">
        <f>$E$227</f>
        <v>动态</v>
      </c>
      <c r="F528" t="str">
        <f ca="1">BDH($B$227,$C$227,$B$292,$B$293,CONCATENATE("Per=",$B$290),"Dts=H","Dir=H",CONCATENATE("Points=",$B$291),"Sort=R","Days=A","Fill=B",CONCATENATE("FX=", $B$289) )</f>
        <v>#N/A Authorization</v>
      </c>
      <c r="BN528" t="str">
        <f>""</f>
        <v/>
      </c>
      <c r="BO528" t="str">
        <f>""</f>
        <v/>
      </c>
      <c r="BP528" t="str">
        <f>""</f>
        <v/>
      </c>
      <c r="BQ528" t="str">
        <f>""</f>
        <v/>
      </c>
      <c r="BR528" t="str">
        <f>""</f>
        <v/>
      </c>
      <c r="BS528" t="str">
        <f>""</f>
        <v/>
      </c>
      <c r="BT528" t="str">
        <f>""</f>
        <v/>
      </c>
      <c r="BU528" t="str">
        <f>""</f>
        <v/>
      </c>
      <c r="BV528" t="str">
        <f>""</f>
        <v/>
      </c>
      <c r="BW528" t="str">
        <f>""</f>
        <v/>
      </c>
      <c r="BX528" t="str">
        <f>""</f>
        <v/>
      </c>
      <c r="BY528" t="str">
        <f>""</f>
        <v/>
      </c>
      <c r="BZ528" t="str">
        <f>""</f>
        <v/>
      </c>
      <c r="CA528" t="str">
        <f>""</f>
        <v/>
      </c>
      <c r="CB528" t="str">
        <f>""</f>
        <v/>
      </c>
      <c r="CC528" t="str">
        <f>""</f>
        <v/>
      </c>
      <c r="CD528" t="str">
        <f>""</f>
        <v/>
      </c>
      <c r="CE528" t="str">
        <f>""</f>
        <v/>
      </c>
      <c r="CF528" t="str">
        <f>""</f>
        <v/>
      </c>
      <c r="CG528" t="str">
        <f>""</f>
        <v/>
      </c>
      <c r="CH528" t="str">
        <f>""</f>
        <v/>
      </c>
      <c r="CI528" t="str">
        <f>""</f>
        <v/>
      </c>
      <c r="CJ528" t="str">
        <f>""</f>
        <v/>
      </c>
      <c r="CK528" t="str">
        <f>""</f>
        <v/>
      </c>
      <c r="CL528" t="str">
        <f>""</f>
        <v/>
      </c>
      <c r="CM528" t="str">
        <f>""</f>
        <v/>
      </c>
      <c r="CN528" t="str">
        <f>""</f>
        <v/>
      </c>
      <c r="CO528" t="str">
        <f>""</f>
        <v/>
      </c>
      <c r="CP528" t="str">
        <f>""</f>
        <v/>
      </c>
      <c r="CQ528" t="str">
        <f>""</f>
        <v/>
      </c>
      <c r="CR528" t="str">
        <f>""</f>
        <v/>
      </c>
      <c r="CS528" t="str">
        <f>""</f>
        <v/>
      </c>
      <c r="CT528" t="str">
        <f>""</f>
        <v/>
      </c>
      <c r="CU528" t="str">
        <f>""</f>
        <v/>
      </c>
      <c r="CV528" t="str">
        <f>""</f>
        <v/>
      </c>
      <c r="CW528" t="str">
        <f>""</f>
        <v/>
      </c>
      <c r="CX528" t="str">
        <f>""</f>
        <v/>
      </c>
      <c r="CY528" t="str">
        <f>""</f>
        <v/>
      </c>
      <c r="CZ528" t="str">
        <f>""</f>
        <v/>
      </c>
      <c r="DA528" t="str">
        <f>""</f>
        <v/>
      </c>
      <c r="DB528" t="str">
        <f>""</f>
        <v/>
      </c>
      <c r="DC528" t="str">
        <f>""</f>
        <v/>
      </c>
      <c r="DD528" t="str">
        <f>""</f>
        <v/>
      </c>
      <c r="DE528" t="str">
        <f>""</f>
        <v/>
      </c>
      <c r="DF528" t="str">
        <f>""</f>
        <v/>
      </c>
      <c r="DG528" t="str">
        <f>""</f>
        <v/>
      </c>
      <c r="DH528" t="str">
        <f>""</f>
        <v/>
      </c>
      <c r="DI528" t="str">
        <f>""</f>
        <v/>
      </c>
      <c r="DJ528" t="str">
        <f>""</f>
        <v/>
      </c>
      <c r="DK528" t="str">
        <f>""</f>
        <v/>
      </c>
      <c r="DL528" t="str">
        <f>""</f>
        <v/>
      </c>
      <c r="DM528" t="str">
        <f>""</f>
        <v/>
      </c>
      <c r="DN528" t="str">
        <f>""</f>
        <v/>
      </c>
      <c r="DO528" t="str">
        <f>""</f>
        <v/>
      </c>
      <c r="DP528" t="str">
        <f>""</f>
        <v/>
      </c>
      <c r="DQ528" t="str">
        <f>""</f>
        <v/>
      </c>
      <c r="DR528" t="str">
        <f>""</f>
        <v/>
      </c>
      <c r="DS528" t="str">
        <f>""</f>
        <v/>
      </c>
      <c r="DT528" t="str">
        <f>""</f>
        <v/>
      </c>
      <c r="DU528" t="str">
        <f>""</f>
        <v/>
      </c>
    </row>
    <row r="529" spans="1:125">
      <c r="A529" t="str">
        <f>$A$228</f>
        <v xml:space="preserve">    Corporate Office Properties Tr</v>
      </c>
      <c r="B529" t="str">
        <f>$B$228</f>
        <v>OFC US Equity</v>
      </c>
      <c r="C529" t="str">
        <f>$C$228</f>
        <v>F1023</v>
      </c>
      <c r="D529" t="str">
        <f>$D$228</f>
        <v>FIXED_CHARGE_COVERAGE_RATIO</v>
      </c>
      <c r="E529" t="str">
        <f>$E$228</f>
        <v>动态</v>
      </c>
      <c r="F529" t="str">
        <f ca="1">BDH($B$228,$C$228,$B$292,$B$293,CONCATENATE("Per=",$B$290),"Dts=H","Dir=H",CONCATENATE("Points=",$B$291),"Sort=R","Days=A","Fill=B",CONCATENATE("FX=", $B$289) )</f>
        <v>#N/A Authorization</v>
      </c>
      <c r="BN529" t="str">
        <f>""</f>
        <v/>
      </c>
      <c r="BO529" t="str">
        <f>""</f>
        <v/>
      </c>
      <c r="BP529" t="str">
        <f>""</f>
        <v/>
      </c>
      <c r="BQ529" t="str">
        <f>""</f>
        <v/>
      </c>
      <c r="BR529" t="str">
        <f>""</f>
        <v/>
      </c>
      <c r="BS529" t="str">
        <f>""</f>
        <v/>
      </c>
      <c r="BT529" t="str">
        <f>""</f>
        <v/>
      </c>
      <c r="BU529" t="str">
        <f>""</f>
        <v/>
      </c>
      <c r="BV529" t="str">
        <f>""</f>
        <v/>
      </c>
      <c r="BW529" t="str">
        <f>""</f>
        <v/>
      </c>
      <c r="BX529" t="str">
        <f>""</f>
        <v/>
      </c>
      <c r="BY529" t="str">
        <f>""</f>
        <v/>
      </c>
      <c r="BZ529" t="str">
        <f>""</f>
        <v/>
      </c>
      <c r="CA529" t="str">
        <f>""</f>
        <v/>
      </c>
      <c r="CB529" t="str">
        <f>""</f>
        <v/>
      </c>
      <c r="CC529" t="str">
        <f>""</f>
        <v/>
      </c>
      <c r="CD529" t="str">
        <f>""</f>
        <v/>
      </c>
      <c r="CE529" t="str">
        <f>""</f>
        <v/>
      </c>
      <c r="CF529" t="str">
        <f>""</f>
        <v/>
      </c>
      <c r="CG529" t="str">
        <f>""</f>
        <v/>
      </c>
      <c r="CH529" t="str">
        <f>""</f>
        <v/>
      </c>
      <c r="CI529" t="str">
        <f>""</f>
        <v/>
      </c>
      <c r="CJ529" t="str">
        <f>""</f>
        <v/>
      </c>
      <c r="CK529" t="str">
        <f>""</f>
        <v/>
      </c>
      <c r="CL529" t="str">
        <f>""</f>
        <v/>
      </c>
      <c r="CM529" t="str">
        <f>""</f>
        <v/>
      </c>
      <c r="CN529" t="str">
        <f>""</f>
        <v/>
      </c>
      <c r="CO529" t="str">
        <f>""</f>
        <v/>
      </c>
      <c r="CP529" t="str">
        <f>""</f>
        <v/>
      </c>
      <c r="CQ529" t="str">
        <f>""</f>
        <v/>
      </c>
      <c r="CR529" t="str">
        <f>""</f>
        <v/>
      </c>
      <c r="CS529" t="str">
        <f>""</f>
        <v/>
      </c>
      <c r="CT529" t="str">
        <f>""</f>
        <v/>
      </c>
      <c r="CU529" t="str">
        <f>""</f>
        <v/>
      </c>
      <c r="CV529" t="str">
        <f>""</f>
        <v/>
      </c>
      <c r="CW529" t="str">
        <f>""</f>
        <v/>
      </c>
      <c r="CX529" t="str">
        <f>""</f>
        <v/>
      </c>
      <c r="CY529" t="str">
        <f>""</f>
        <v/>
      </c>
      <c r="CZ529" t="str">
        <f>""</f>
        <v/>
      </c>
      <c r="DA529" t="str">
        <f>""</f>
        <v/>
      </c>
      <c r="DB529" t="str">
        <f>""</f>
        <v/>
      </c>
      <c r="DC529" t="str">
        <f>""</f>
        <v/>
      </c>
      <c r="DD529" t="str">
        <f>""</f>
        <v/>
      </c>
      <c r="DE529" t="str">
        <f>""</f>
        <v/>
      </c>
      <c r="DF529" t="str">
        <f>""</f>
        <v/>
      </c>
      <c r="DG529" t="str">
        <f>""</f>
        <v/>
      </c>
      <c r="DH529" t="str">
        <f>""</f>
        <v/>
      </c>
      <c r="DI529" t="str">
        <f>""</f>
        <v/>
      </c>
      <c r="DJ529" t="str">
        <f>""</f>
        <v/>
      </c>
      <c r="DK529" t="str">
        <f>""</f>
        <v/>
      </c>
      <c r="DL529" t="str">
        <f>""</f>
        <v/>
      </c>
      <c r="DM529" t="str">
        <f>""</f>
        <v/>
      </c>
      <c r="DN529" t="str">
        <f>""</f>
        <v/>
      </c>
      <c r="DO529" t="str">
        <f>""</f>
        <v/>
      </c>
      <c r="DP529" t="str">
        <f>""</f>
        <v/>
      </c>
      <c r="DQ529" t="str">
        <f>""</f>
        <v/>
      </c>
      <c r="DR529" t="str">
        <f>""</f>
        <v/>
      </c>
      <c r="DS529" t="str">
        <f>""</f>
        <v/>
      </c>
      <c r="DT529" t="str">
        <f>""</f>
        <v/>
      </c>
      <c r="DU529" t="str">
        <f>""</f>
        <v/>
      </c>
    </row>
    <row r="530" spans="1:125">
      <c r="A530" t="str">
        <f>$A$229</f>
        <v xml:space="preserve">    Highwoods Properties Inc</v>
      </c>
      <c r="B530" t="str">
        <f>$B$229</f>
        <v>HIW US Equity</v>
      </c>
      <c r="C530" t="str">
        <f>$C$229</f>
        <v>F1023</v>
      </c>
      <c r="D530" t="str">
        <f>$D$229</f>
        <v>FIXED_CHARGE_COVERAGE_RATIO</v>
      </c>
      <c r="E530" t="str">
        <f>$E$229</f>
        <v>动态</v>
      </c>
      <c r="F530" t="str">
        <f ca="1">BDH($B$229,$C$229,$B$292,$B$293,CONCATENATE("Per=",$B$290),"Dts=H","Dir=H",CONCATENATE("Points=",$B$291),"Sort=R","Days=A","Fill=B",CONCATENATE("FX=", $B$289) )</f>
        <v>#N/A Authorization</v>
      </c>
      <c r="BN530" t="str">
        <f>""</f>
        <v/>
      </c>
      <c r="BO530" t="str">
        <f>""</f>
        <v/>
      </c>
      <c r="BP530" t="str">
        <f>""</f>
        <v/>
      </c>
      <c r="BQ530" t="str">
        <f>""</f>
        <v/>
      </c>
      <c r="BR530" t="str">
        <f>""</f>
        <v/>
      </c>
      <c r="BS530" t="str">
        <f>""</f>
        <v/>
      </c>
      <c r="BT530" t="str">
        <f>""</f>
        <v/>
      </c>
      <c r="BU530" t="str">
        <f>""</f>
        <v/>
      </c>
      <c r="BV530" t="str">
        <f>""</f>
        <v/>
      </c>
      <c r="BW530" t="str">
        <f>""</f>
        <v/>
      </c>
      <c r="BX530" t="str">
        <f>""</f>
        <v/>
      </c>
      <c r="BY530" t="str">
        <f>""</f>
        <v/>
      </c>
      <c r="BZ530" t="str">
        <f>""</f>
        <v/>
      </c>
      <c r="CA530" t="str">
        <f>""</f>
        <v/>
      </c>
      <c r="CB530" t="str">
        <f>""</f>
        <v/>
      </c>
      <c r="CC530" t="str">
        <f>""</f>
        <v/>
      </c>
      <c r="CD530" t="str">
        <f>""</f>
        <v/>
      </c>
      <c r="CE530" t="str">
        <f>""</f>
        <v/>
      </c>
      <c r="CF530" t="str">
        <f>""</f>
        <v/>
      </c>
      <c r="CG530" t="str">
        <f>""</f>
        <v/>
      </c>
      <c r="CH530" t="str">
        <f>""</f>
        <v/>
      </c>
      <c r="CI530" t="str">
        <f>""</f>
        <v/>
      </c>
      <c r="CJ530" t="str">
        <f>""</f>
        <v/>
      </c>
      <c r="CK530" t="str">
        <f>""</f>
        <v/>
      </c>
      <c r="CL530" t="str">
        <f>""</f>
        <v/>
      </c>
      <c r="CM530" t="str">
        <f>""</f>
        <v/>
      </c>
      <c r="CN530" t="str">
        <f>""</f>
        <v/>
      </c>
      <c r="CO530" t="str">
        <f>""</f>
        <v/>
      </c>
      <c r="CP530" t="str">
        <f>""</f>
        <v/>
      </c>
      <c r="CQ530" t="str">
        <f>""</f>
        <v/>
      </c>
      <c r="CR530" t="str">
        <f>""</f>
        <v/>
      </c>
      <c r="CS530" t="str">
        <f>""</f>
        <v/>
      </c>
      <c r="CT530" t="str">
        <f>""</f>
        <v/>
      </c>
      <c r="CU530" t="str">
        <f>""</f>
        <v/>
      </c>
      <c r="CV530" t="str">
        <f>""</f>
        <v/>
      </c>
      <c r="CW530" t="str">
        <f>""</f>
        <v/>
      </c>
      <c r="CX530" t="str">
        <f>""</f>
        <v/>
      </c>
      <c r="CY530" t="str">
        <f>""</f>
        <v/>
      </c>
      <c r="CZ530" t="str">
        <f>""</f>
        <v/>
      </c>
      <c r="DA530" t="str">
        <f>""</f>
        <v/>
      </c>
      <c r="DB530" t="str">
        <f>""</f>
        <v/>
      </c>
      <c r="DC530" t="str">
        <f>""</f>
        <v/>
      </c>
      <c r="DD530" t="str">
        <f>""</f>
        <v/>
      </c>
      <c r="DE530" t="str">
        <f>""</f>
        <v/>
      </c>
      <c r="DF530" t="str">
        <f>""</f>
        <v/>
      </c>
      <c r="DG530" t="str">
        <f>""</f>
        <v/>
      </c>
      <c r="DH530" t="str">
        <f>""</f>
        <v/>
      </c>
      <c r="DI530" t="str">
        <f>""</f>
        <v/>
      </c>
      <c r="DJ530" t="str">
        <f>""</f>
        <v/>
      </c>
      <c r="DK530" t="str">
        <f>""</f>
        <v/>
      </c>
      <c r="DL530" t="str">
        <f>""</f>
        <v/>
      </c>
      <c r="DM530" t="str">
        <f>""</f>
        <v/>
      </c>
      <c r="DN530" t="str">
        <f>""</f>
        <v/>
      </c>
      <c r="DO530" t="str">
        <f>""</f>
        <v/>
      </c>
      <c r="DP530" t="str">
        <f>""</f>
        <v/>
      </c>
      <c r="DQ530" t="str">
        <f>""</f>
        <v/>
      </c>
      <c r="DR530" t="str">
        <f>""</f>
        <v/>
      </c>
      <c r="DS530" t="str">
        <f>""</f>
        <v/>
      </c>
      <c r="DT530" t="str">
        <f>""</f>
        <v/>
      </c>
      <c r="DU530" t="str">
        <f>""</f>
        <v/>
      </c>
    </row>
    <row r="531" spans="1:125">
      <c r="A531" t="str">
        <f>$A$230</f>
        <v xml:space="preserve">    Kilroy Realty Corp</v>
      </c>
      <c r="B531" t="str">
        <f>$B$230</f>
        <v>KRC US Equity</v>
      </c>
      <c r="C531" t="str">
        <f>$C$230</f>
        <v>F1023</v>
      </c>
      <c r="D531" t="str">
        <f>$D$230</f>
        <v>FIXED_CHARGE_COVERAGE_RATIO</v>
      </c>
      <c r="E531" t="str">
        <f>$E$230</f>
        <v>动态</v>
      </c>
      <c r="F531" t="str">
        <f ca="1">BDH($B$230,$C$230,$B$292,$B$293,CONCATENATE("Per=",$B$290),"Dts=H","Dir=H",CONCATENATE("Points=",$B$291),"Sort=R","Days=A","Fill=B",CONCATENATE("FX=", $B$289) )</f>
        <v>#N/A Authorization</v>
      </c>
      <c r="BN531" t="str">
        <f>""</f>
        <v/>
      </c>
      <c r="BO531" t="str">
        <f>""</f>
        <v/>
      </c>
      <c r="BP531" t="str">
        <f>""</f>
        <v/>
      </c>
      <c r="BQ531" t="str">
        <f>""</f>
        <v/>
      </c>
      <c r="BR531" t="str">
        <f>""</f>
        <v/>
      </c>
      <c r="BS531" t="str">
        <f>""</f>
        <v/>
      </c>
      <c r="BT531" t="str">
        <f>""</f>
        <v/>
      </c>
      <c r="BU531" t="str">
        <f>""</f>
        <v/>
      </c>
      <c r="BV531" t="str">
        <f>""</f>
        <v/>
      </c>
      <c r="BW531" t="str">
        <f>""</f>
        <v/>
      </c>
      <c r="BX531" t="str">
        <f>""</f>
        <v/>
      </c>
      <c r="BY531" t="str">
        <f>""</f>
        <v/>
      </c>
      <c r="BZ531" t="str">
        <f>""</f>
        <v/>
      </c>
      <c r="CA531" t="str">
        <f>""</f>
        <v/>
      </c>
      <c r="CB531" t="str">
        <f>""</f>
        <v/>
      </c>
      <c r="CC531" t="str">
        <f>""</f>
        <v/>
      </c>
      <c r="CD531" t="str">
        <f>""</f>
        <v/>
      </c>
      <c r="CE531" t="str">
        <f>""</f>
        <v/>
      </c>
      <c r="CF531" t="str">
        <f>""</f>
        <v/>
      </c>
      <c r="CG531" t="str">
        <f>""</f>
        <v/>
      </c>
      <c r="CH531" t="str">
        <f>""</f>
        <v/>
      </c>
      <c r="CI531" t="str">
        <f>""</f>
        <v/>
      </c>
      <c r="CJ531" t="str">
        <f>""</f>
        <v/>
      </c>
      <c r="CK531" t="str">
        <f>""</f>
        <v/>
      </c>
      <c r="CL531" t="str">
        <f>""</f>
        <v/>
      </c>
      <c r="CM531" t="str">
        <f>""</f>
        <v/>
      </c>
      <c r="CN531" t="str">
        <f>""</f>
        <v/>
      </c>
      <c r="CO531" t="str">
        <f>""</f>
        <v/>
      </c>
      <c r="CP531" t="str">
        <f>""</f>
        <v/>
      </c>
      <c r="CQ531" t="str">
        <f>""</f>
        <v/>
      </c>
      <c r="CR531" t="str">
        <f>""</f>
        <v/>
      </c>
      <c r="CS531" t="str">
        <f>""</f>
        <v/>
      </c>
      <c r="CT531" t="str">
        <f>""</f>
        <v/>
      </c>
      <c r="CU531" t="str">
        <f>""</f>
        <v/>
      </c>
      <c r="CV531" t="str">
        <f>""</f>
        <v/>
      </c>
      <c r="CW531" t="str">
        <f>""</f>
        <v/>
      </c>
      <c r="CX531" t="str">
        <f>""</f>
        <v/>
      </c>
      <c r="CY531" t="str">
        <f>""</f>
        <v/>
      </c>
      <c r="CZ531" t="str">
        <f>""</f>
        <v/>
      </c>
      <c r="DA531" t="str">
        <f>""</f>
        <v/>
      </c>
      <c r="DB531" t="str">
        <f>""</f>
        <v/>
      </c>
      <c r="DC531" t="str">
        <f>""</f>
        <v/>
      </c>
      <c r="DD531" t="str">
        <f>""</f>
        <v/>
      </c>
      <c r="DE531" t="str">
        <f>""</f>
        <v/>
      </c>
      <c r="DF531" t="str">
        <f>""</f>
        <v/>
      </c>
      <c r="DG531" t="str">
        <f>""</f>
        <v/>
      </c>
      <c r="DH531" t="str">
        <f>""</f>
        <v/>
      </c>
      <c r="DI531" t="str">
        <f>""</f>
        <v/>
      </c>
      <c r="DJ531" t="str">
        <f>""</f>
        <v/>
      </c>
      <c r="DK531" t="str">
        <f>""</f>
        <v/>
      </c>
      <c r="DL531" t="str">
        <f>""</f>
        <v/>
      </c>
      <c r="DM531" t="str">
        <f>""</f>
        <v/>
      </c>
      <c r="DN531" t="str">
        <f>""</f>
        <v/>
      </c>
      <c r="DO531" t="str">
        <f>""</f>
        <v/>
      </c>
      <c r="DP531" t="str">
        <f>""</f>
        <v/>
      </c>
      <c r="DQ531" t="str">
        <f>""</f>
        <v/>
      </c>
      <c r="DR531" t="str">
        <f>""</f>
        <v/>
      </c>
      <c r="DS531" t="str">
        <f>""</f>
        <v/>
      </c>
      <c r="DT531" t="str">
        <f>""</f>
        <v/>
      </c>
      <c r="DU531" t="str">
        <f>""</f>
        <v/>
      </c>
    </row>
    <row r="532" spans="1:125">
      <c r="A532" t="str">
        <f>$A$231</f>
        <v xml:space="preserve">    Mack-Cali Realty Corp</v>
      </c>
      <c r="B532" t="str">
        <f>$B$231</f>
        <v>CLI US Equity</v>
      </c>
      <c r="C532" t="str">
        <f>$C$231</f>
        <v>F1023</v>
      </c>
      <c r="D532" t="str">
        <f>$D$231</f>
        <v>FIXED_CHARGE_COVERAGE_RATIO</v>
      </c>
      <c r="E532" t="str">
        <f>$E$231</f>
        <v>动态</v>
      </c>
      <c r="F532" t="str">
        <f ca="1">BDH($B$231,$C$231,$B$292,$B$293,CONCATENATE("Per=",$B$290),"Dts=H","Dir=H",CONCATENATE("Points=",$B$291),"Sort=R","Days=A","Fill=B",CONCATENATE("FX=", $B$289) )</f>
        <v>#N/A Authorization</v>
      </c>
      <c r="BN532" t="str">
        <f>""</f>
        <v/>
      </c>
      <c r="BO532" t="str">
        <f>""</f>
        <v/>
      </c>
      <c r="BP532" t="str">
        <f>""</f>
        <v/>
      </c>
      <c r="BQ532" t="str">
        <f>""</f>
        <v/>
      </c>
      <c r="BR532" t="str">
        <f>""</f>
        <v/>
      </c>
      <c r="BS532" t="str">
        <f>""</f>
        <v/>
      </c>
      <c r="BT532" t="str">
        <f>""</f>
        <v/>
      </c>
      <c r="BU532" t="str">
        <f>""</f>
        <v/>
      </c>
      <c r="BV532" t="str">
        <f>""</f>
        <v/>
      </c>
      <c r="BW532" t="str">
        <f>""</f>
        <v/>
      </c>
      <c r="BX532" t="str">
        <f>""</f>
        <v/>
      </c>
      <c r="BY532" t="str">
        <f>""</f>
        <v/>
      </c>
      <c r="BZ532" t="str">
        <f>""</f>
        <v/>
      </c>
      <c r="CA532" t="str">
        <f>""</f>
        <v/>
      </c>
      <c r="CB532" t="str">
        <f>""</f>
        <v/>
      </c>
      <c r="CC532" t="str">
        <f>""</f>
        <v/>
      </c>
      <c r="CD532" t="str">
        <f>""</f>
        <v/>
      </c>
      <c r="CE532" t="str">
        <f>""</f>
        <v/>
      </c>
      <c r="CF532" t="str">
        <f>""</f>
        <v/>
      </c>
      <c r="CG532" t="str">
        <f>""</f>
        <v/>
      </c>
      <c r="CH532" t="str">
        <f>""</f>
        <v/>
      </c>
      <c r="CI532" t="str">
        <f>""</f>
        <v/>
      </c>
      <c r="CJ532" t="str">
        <f>""</f>
        <v/>
      </c>
      <c r="CK532" t="str">
        <f>""</f>
        <v/>
      </c>
      <c r="CL532" t="str">
        <f>""</f>
        <v/>
      </c>
      <c r="CM532" t="str">
        <f>""</f>
        <v/>
      </c>
      <c r="CN532" t="str">
        <f>""</f>
        <v/>
      </c>
      <c r="CO532" t="str">
        <f>""</f>
        <v/>
      </c>
      <c r="CP532" t="str">
        <f>""</f>
        <v/>
      </c>
      <c r="CQ532" t="str">
        <f>""</f>
        <v/>
      </c>
      <c r="CR532" t="str">
        <f>""</f>
        <v/>
      </c>
      <c r="CS532" t="str">
        <f>""</f>
        <v/>
      </c>
      <c r="CT532" t="str">
        <f>""</f>
        <v/>
      </c>
      <c r="CU532" t="str">
        <f>""</f>
        <v/>
      </c>
      <c r="CV532" t="str">
        <f>""</f>
        <v/>
      </c>
      <c r="CW532" t="str">
        <f>""</f>
        <v/>
      </c>
      <c r="CX532" t="str">
        <f>""</f>
        <v/>
      </c>
      <c r="CY532" t="str">
        <f>""</f>
        <v/>
      </c>
      <c r="CZ532" t="str">
        <f>""</f>
        <v/>
      </c>
      <c r="DA532" t="str">
        <f>""</f>
        <v/>
      </c>
      <c r="DB532" t="str">
        <f>""</f>
        <v/>
      </c>
      <c r="DC532" t="str">
        <f>""</f>
        <v/>
      </c>
      <c r="DD532" t="str">
        <f>""</f>
        <v/>
      </c>
      <c r="DE532" t="str">
        <f>""</f>
        <v/>
      </c>
      <c r="DF532" t="str">
        <f>""</f>
        <v/>
      </c>
      <c r="DG532" t="str">
        <f>""</f>
        <v/>
      </c>
      <c r="DH532" t="str">
        <f>""</f>
        <v/>
      </c>
      <c r="DI532" t="str">
        <f>""</f>
        <v/>
      </c>
      <c r="DJ532" t="str">
        <f>""</f>
        <v/>
      </c>
      <c r="DK532" t="str">
        <f>""</f>
        <v/>
      </c>
      <c r="DL532" t="str">
        <f>""</f>
        <v/>
      </c>
      <c r="DM532" t="str">
        <f>""</f>
        <v/>
      </c>
      <c r="DN532" t="str">
        <f>""</f>
        <v/>
      </c>
      <c r="DO532" t="str">
        <f>""</f>
        <v/>
      </c>
      <c r="DP532" t="str">
        <f>""</f>
        <v/>
      </c>
      <c r="DQ532" t="str">
        <f>""</f>
        <v/>
      </c>
      <c r="DR532" t="str">
        <f>""</f>
        <v/>
      </c>
      <c r="DS532" t="str">
        <f>""</f>
        <v/>
      </c>
      <c r="DT532" t="str">
        <f>""</f>
        <v/>
      </c>
      <c r="DU532" t="str">
        <f>""</f>
        <v/>
      </c>
    </row>
    <row r="533" spans="1:125">
      <c r="A533" t="str">
        <f>$A$232</f>
        <v xml:space="preserve">    Piedmont Office Realty Trust I</v>
      </c>
      <c r="B533" t="str">
        <f>$B$232</f>
        <v>PDM US Equity</v>
      </c>
      <c r="C533" t="str">
        <f>$C$232</f>
        <v>F1023</v>
      </c>
      <c r="D533" t="str">
        <f>$D$232</f>
        <v>FIXED_CHARGE_COVERAGE_RATIO</v>
      </c>
      <c r="E533" t="str">
        <f>$E$232</f>
        <v>动态</v>
      </c>
      <c r="F533" t="str">
        <f ca="1">BDH($B$232,$C$232,$B$292,$B$293,CONCATENATE("Per=",$B$290),"Dts=H","Dir=H",CONCATENATE("Points=",$B$291),"Sort=R","Days=A","Fill=B",CONCATENATE("FX=", $B$289) )</f>
        <v>#N/A Authorization</v>
      </c>
      <c r="BN533" t="str">
        <f>""</f>
        <v/>
      </c>
      <c r="BO533" t="str">
        <f>""</f>
        <v/>
      </c>
      <c r="BP533" t="str">
        <f>""</f>
        <v/>
      </c>
      <c r="BQ533" t="str">
        <f>""</f>
        <v/>
      </c>
      <c r="BR533" t="str">
        <f>""</f>
        <v/>
      </c>
      <c r="BS533" t="str">
        <f>""</f>
        <v/>
      </c>
      <c r="BT533" t="str">
        <f>""</f>
        <v/>
      </c>
      <c r="BU533" t="str">
        <f>""</f>
        <v/>
      </c>
      <c r="BV533" t="str">
        <f>""</f>
        <v/>
      </c>
      <c r="BW533" t="str">
        <f>""</f>
        <v/>
      </c>
      <c r="BX533" t="str">
        <f>""</f>
        <v/>
      </c>
      <c r="BY533" t="str">
        <f>""</f>
        <v/>
      </c>
      <c r="BZ533" t="str">
        <f>""</f>
        <v/>
      </c>
      <c r="CA533" t="str">
        <f>""</f>
        <v/>
      </c>
      <c r="CB533" t="str">
        <f>""</f>
        <v/>
      </c>
      <c r="CC533" t="str">
        <f>""</f>
        <v/>
      </c>
      <c r="CD533" t="str">
        <f>""</f>
        <v/>
      </c>
      <c r="CE533" t="str">
        <f>""</f>
        <v/>
      </c>
      <c r="CF533" t="str">
        <f>""</f>
        <v/>
      </c>
      <c r="CG533" t="str">
        <f>""</f>
        <v/>
      </c>
      <c r="CH533" t="str">
        <f>""</f>
        <v/>
      </c>
      <c r="CI533" t="str">
        <f>""</f>
        <v/>
      </c>
      <c r="CJ533" t="str">
        <f>""</f>
        <v/>
      </c>
      <c r="CK533" t="str">
        <f>""</f>
        <v/>
      </c>
      <c r="CL533" t="str">
        <f>""</f>
        <v/>
      </c>
      <c r="CM533" t="str">
        <f>""</f>
        <v/>
      </c>
      <c r="CN533" t="str">
        <f>""</f>
        <v/>
      </c>
      <c r="CO533" t="str">
        <f>""</f>
        <v/>
      </c>
      <c r="CP533" t="str">
        <f>""</f>
        <v/>
      </c>
      <c r="CQ533" t="str">
        <f>""</f>
        <v/>
      </c>
      <c r="CR533" t="str">
        <f>""</f>
        <v/>
      </c>
      <c r="CS533" t="str">
        <f>""</f>
        <v/>
      </c>
      <c r="CT533" t="str">
        <f>""</f>
        <v/>
      </c>
      <c r="CU533" t="str">
        <f>""</f>
        <v/>
      </c>
      <c r="CV533" t="str">
        <f>""</f>
        <v/>
      </c>
      <c r="CW533" t="str">
        <f>""</f>
        <v/>
      </c>
      <c r="CX533" t="str">
        <f>""</f>
        <v/>
      </c>
      <c r="CY533" t="str">
        <f>""</f>
        <v/>
      </c>
      <c r="CZ533" t="str">
        <f>""</f>
        <v/>
      </c>
      <c r="DA533" t="str">
        <f>""</f>
        <v/>
      </c>
      <c r="DB533" t="str">
        <f>""</f>
        <v/>
      </c>
      <c r="DC533" t="str">
        <f>""</f>
        <v/>
      </c>
      <c r="DD533" t="str">
        <f>""</f>
        <v/>
      </c>
      <c r="DE533" t="str">
        <f>""</f>
        <v/>
      </c>
      <c r="DF533" t="str">
        <f>""</f>
        <v/>
      </c>
      <c r="DG533" t="str">
        <f>""</f>
        <v/>
      </c>
      <c r="DH533" t="str">
        <f>""</f>
        <v/>
      </c>
      <c r="DI533" t="str">
        <f>""</f>
        <v/>
      </c>
      <c r="DJ533" t="str">
        <f>""</f>
        <v/>
      </c>
      <c r="DK533" t="str">
        <f>""</f>
        <v/>
      </c>
      <c r="DL533" t="str">
        <f>""</f>
        <v/>
      </c>
      <c r="DM533" t="str">
        <f>""</f>
        <v/>
      </c>
      <c r="DN533" t="str">
        <f>""</f>
        <v/>
      </c>
      <c r="DO533" t="str">
        <f>""</f>
        <v/>
      </c>
      <c r="DP533" t="str">
        <f>""</f>
        <v/>
      </c>
      <c r="DQ533" t="str">
        <f>""</f>
        <v/>
      </c>
      <c r="DR533" t="str">
        <f>""</f>
        <v/>
      </c>
      <c r="DS533" t="str">
        <f>""</f>
        <v/>
      </c>
      <c r="DT533" t="str">
        <f>""</f>
        <v/>
      </c>
      <c r="DU533" t="str">
        <f>""</f>
        <v/>
      </c>
    </row>
    <row r="534" spans="1:125">
      <c r="A534" t="str">
        <f>$A$233</f>
        <v xml:space="preserve">    SL Green Realty Corp</v>
      </c>
      <c r="B534" t="str">
        <f>$B$233</f>
        <v>SLG US Equity</v>
      </c>
      <c r="C534" t="str">
        <f>$C$233</f>
        <v>F1023</v>
      </c>
      <c r="D534" t="str">
        <f>$D$233</f>
        <v>FIXED_CHARGE_COVERAGE_RATIO</v>
      </c>
      <c r="E534" t="str">
        <f>$E$233</f>
        <v>动态</v>
      </c>
      <c r="F534" t="str">
        <f ca="1">BDH($B$233,$C$233,$B$292,$B$293,CONCATENATE("Per=",$B$290),"Dts=H","Dir=H",CONCATENATE("Points=",$B$291),"Sort=R","Days=A","Fill=B",CONCATENATE("FX=", $B$289) )</f>
        <v>#N/A Authorization</v>
      </c>
      <c r="BN534" t="str">
        <f>""</f>
        <v/>
      </c>
      <c r="BO534" t="str">
        <f>""</f>
        <v/>
      </c>
      <c r="BP534" t="str">
        <f>""</f>
        <v/>
      </c>
      <c r="BQ534" t="str">
        <f>""</f>
        <v/>
      </c>
      <c r="BR534" t="str">
        <f>""</f>
        <v/>
      </c>
      <c r="BS534" t="str">
        <f>""</f>
        <v/>
      </c>
      <c r="BT534" t="str">
        <f>""</f>
        <v/>
      </c>
      <c r="BU534" t="str">
        <f>""</f>
        <v/>
      </c>
      <c r="BV534" t="str">
        <f>""</f>
        <v/>
      </c>
      <c r="BW534" t="str">
        <f>""</f>
        <v/>
      </c>
      <c r="BX534" t="str">
        <f>""</f>
        <v/>
      </c>
      <c r="BY534" t="str">
        <f>""</f>
        <v/>
      </c>
      <c r="BZ534" t="str">
        <f>""</f>
        <v/>
      </c>
      <c r="CA534" t="str">
        <f>""</f>
        <v/>
      </c>
      <c r="CB534" t="str">
        <f>""</f>
        <v/>
      </c>
      <c r="CC534" t="str">
        <f>""</f>
        <v/>
      </c>
      <c r="CD534" t="str">
        <f>""</f>
        <v/>
      </c>
      <c r="CE534" t="str">
        <f>""</f>
        <v/>
      </c>
      <c r="CF534" t="str">
        <f>""</f>
        <v/>
      </c>
      <c r="CG534" t="str">
        <f>""</f>
        <v/>
      </c>
      <c r="CH534" t="str">
        <f>""</f>
        <v/>
      </c>
      <c r="CI534" t="str">
        <f>""</f>
        <v/>
      </c>
      <c r="CJ534" t="str">
        <f>""</f>
        <v/>
      </c>
      <c r="CK534" t="str">
        <f>""</f>
        <v/>
      </c>
      <c r="CL534" t="str">
        <f>""</f>
        <v/>
      </c>
      <c r="CM534" t="str">
        <f>""</f>
        <v/>
      </c>
      <c r="CN534" t="str">
        <f>""</f>
        <v/>
      </c>
      <c r="CO534" t="str">
        <f>""</f>
        <v/>
      </c>
      <c r="CP534" t="str">
        <f>""</f>
        <v/>
      </c>
      <c r="CQ534" t="str">
        <f>""</f>
        <v/>
      </c>
      <c r="CR534" t="str">
        <f>""</f>
        <v/>
      </c>
      <c r="CS534" t="str">
        <f>""</f>
        <v/>
      </c>
      <c r="CT534" t="str">
        <f>""</f>
        <v/>
      </c>
      <c r="CU534" t="str">
        <f>""</f>
        <v/>
      </c>
      <c r="CV534" t="str">
        <f>""</f>
        <v/>
      </c>
      <c r="CW534" t="str">
        <f>""</f>
        <v/>
      </c>
      <c r="CX534" t="str">
        <f>""</f>
        <v/>
      </c>
      <c r="CY534" t="str">
        <f>""</f>
        <v/>
      </c>
      <c r="CZ534" t="str">
        <f>""</f>
        <v/>
      </c>
      <c r="DA534" t="str">
        <f>""</f>
        <v/>
      </c>
      <c r="DB534" t="str">
        <f>""</f>
        <v/>
      </c>
      <c r="DC534" t="str">
        <f>""</f>
        <v/>
      </c>
      <c r="DD534" t="str">
        <f>""</f>
        <v/>
      </c>
      <c r="DE534" t="str">
        <f>""</f>
        <v/>
      </c>
      <c r="DF534" t="str">
        <f>""</f>
        <v/>
      </c>
      <c r="DG534" t="str">
        <f>""</f>
        <v/>
      </c>
      <c r="DH534" t="str">
        <f>""</f>
        <v/>
      </c>
      <c r="DI534" t="str">
        <f>""</f>
        <v/>
      </c>
      <c r="DJ534" t="str">
        <f>""</f>
        <v/>
      </c>
      <c r="DK534" t="str">
        <f>""</f>
        <v/>
      </c>
      <c r="DL534" t="str">
        <f>""</f>
        <v/>
      </c>
      <c r="DM534" t="str">
        <f>""</f>
        <v/>
      </c>
      <c r="DN534" t="str">
        <f>""</f>
        <v/>
      </c>
      <c r="DO534" t="str">
        <f>""</f>
        <v/>
      </c>
      <c r="DP534" t="str">
        <f>""</f>
        <v/>
      </c>
      <c r="DQ534" t="str">
        <f>""</f>
        <v/>
      </c>
      <c r="DR534" t="str">
        <f>""</f>
        <v/>
      </c>
      <c r="DS534" t="str">
        <f>""</f>
        <v/>
      </c>
      <c r="DT534" t="str">
        <f>""</f>
        <v/>
      </c>
      <c r="DU534" t="str">
        <f>""</f>
        <v/>
      </c>
    </row>
    <row r="535" spans="1:125">
      <c r="A535" t="str">
        <f>$A$234</f>
        <v xml:space="preserve">    Vornado Realty Trust</v>
      </c>
      <c r="B535" t="str">
        <f>$B$234</f>
        <v>VNO US Equity</v>
      </c>
      <c r="C535" t="str">
        <f>$C$234</f>
        <v>F1023</v>
      </c>
      <c r="D535" t="str">
        <f>$D$234</f>
        <v>FIXED_CHARGE_COVERAGE_RATIO</v>
      </c>
      <c r="E535" t="str">
        <f>$E$234</f>
        <v>动态</v>
      </c>
      <c r="F535" t="str">
        <f ca="1">BDH($B$234,$C$234,$B$292,$B$293,CONCATENATE("Per=",$B$290),"Dts=H","Dir=H",CONCATENATE("Points=",$B$291),"Sort=R","Days=A","Fill=B",CONCATENATE("FX=", $B$289) )</f>
        <v>#N/A Authorization</v>
      </c>
      <c r="BN535" t="str">
        <f>""</f>
        <v/>
      </c>
      <c r="BO535" t="str">
        <f>""</f>
        <v/>
      </c>
      <c r="BP535" t="str">
        <f>""</f>
        <v/>
      </c>
      <c r="BQ535" t="str">
        <f>""</f>
        <v/>
      </c>
      <c r="BR535" t="str">
        <f>""</f>
        <v/>
      </c>
      <c r="BS535" t="str">
        <f>""</f>
        <v/>
      </c>
      <c r="BT535" t="str">
        <f>""</f>
        <v/>
      </c>
      <c r="BU535" t="str">
        <f>""</f>
        <v/>
      </c>
      <c r="BV535" t="str">
        <f>""</f>
        <v/>
      </c>
      <c r="BW535" t="str">
        <f>""</f>
        <v/>
      </c>
      <c r="BX535" t="str">
        <f>""</f>
        <v/>
      </c>
      <c r="BY535" t="str">
        <f>""</f>
        <v/>
      </c>
      <c r="BZ535" t="str">
        <f>""</f>
        <v/>
      </c>
      <c r="CA535" t="str">
        <f>""</f>
        <v/>
      </c>
      <c r="CB535" t="str">
        <f>""</f>
        <v/>
      </c>
      <c r="CC535" t="str">
        <f>""</f>
        <v/>
      </c>
      <c r="CD535" t="str">
        <f>""</f>
        <v/>
      </c>
      <c r="CE535" t="str">
        <f>""</f>
        <v/>
      </c>
      <c r="CF535" t="str">
        <f>""</f>
        <v/>
      </c>
      <c r="CG535" t="str">
        <f>""</f>
        <v/>
      </c>
      <c r="CH535" t="str">
        <f>""</f>
        <v/>
      </c>
      <c r="CI535" t="str">
        <f>""</f>
        <v/>
      </c>
      <c r="CJ535" t="str">
        <f>""</f>
        <v/>
      </c>
      <c r="CK535" t="str">
        <f>""</f>
        <v/>
      </c>
      <c r="CL535" t="str">
        <f>""</f>
        <v/>
      </c>
      <c r="CM535" t="str">
        <f>""</f>
        <v/>
      </c>
      <c r="CN535" t="str">
        <f>""</f>
        <v/>
      </c>
      <c r="CO535" t="str">
        <f>""</f>
        <v/>
      </c>
      <c r="CP535" t="str">
        <f>""</f>
        <v/>
      </c>
      <c r="CQ535" t="str">
        <f>""</f>
        <v/>
      </c>
      <c r="CR535" t="str">
        <f>""</f>
        <v/>
      </c>
      <c r="CS535" t="str">
        <f>""</f>
        <v/>
      </c>
      <c r="CT535" t="str">
        <f>""</f>
        <v/>
      </c>
      <c r="CU535" t="str">
        <f>""</f>
        <v/>
      </c>
      <c r="CV535" t="str">
        <f>""</f>
        <v/>
      </c>
      <c r="CW535" t="str">
        <f>""</f>
        <v/>
      </c>
      <c r="CX535" t="str">
        <f>""</f>
        <v/>
      </c>
      <c r="CY535" t="str">
        <f>""</f>
        <v/>
      </c>
      <c r="CZ535" t="str">
        <f>""</f>
        <v/>
      </c>
      <c r="DA535" t="str">
        <f>""</f>
        <v/>
      </c>
      <c r="DB535" t="str">
        <f>""</f>
        <v/>
      </c>
      <c r="DC535" t="str">
        <f>""</f>
        <v/>
      </c>
      <c r="DD535" t="str">
        <f>""</f>
        <v/>
      </c>
      <c r="DE535" t="str">
        <f>""</f>
        <v/>
      </c>
      <c r="DF535" t="str">
        <f>""</f>
        <v/>
      </c>
      <c r="DG535" t="str">
        <f>""</f>
        <v/>
      </c>
      <c r="DH535" t="str">
        <f>""</f>
        <v/>
      </c>
      <c r="DI535" t="str">
        <f>""</f>
        <v/>
      </c>
      <c r="DJ535" t="str">
        <f>""</f>
        <v/>
      </c>
      <c r="DK535" t="str">
        <f>""</f>
        <v/>
      </c>
      <c r="DL535" t="str">
        <f>""</f>
        <v/>
      </c>
      <c r="DM535" t="str">
        <f>""</f>
        <v/>
      </c>
      <c r="DN535" t="str">
        <f>""</f>
        <v/>
      </c>
      <c r="DO535" t="str">
        <f>""</f>
        <v/>
      </c>
      <c r="DP535" t="str">
        <f>""</f>
        <v/>
      </c>
      <c r="DQ535" t="str">
        <f>""</f>
        <v/>
      </c>
      <c r="DR535" t="str">
        <f>""</f>
        <v/>
      </c>
      <c r="DS535" t="str">
        <f>""</f>
        <v/>
      </c>
      <c r="DT535" t="str">
        <f>""</f>
        <v/>
      </c>
      <c r="DU535" t="str">
        <f>""</f>
        <v/>
      </c>
    </row>
    <row r="536" spans="1:125">
      <c r="A536" t="str">
        <f>$A$236</f>
        <v xml:space="preserve">    Boston Properties Inc</v>
      </c>
      <c r="B536" t="str">
        <f>$B$236</f>
        <v>BXP US Equity</v>
      </c>
      <c r="C536" t="str">
        <f>$C$236</f>
        <v>RR253</v>
      </c>
      <c r="D536" t="str">
        <f>$D$236</f>
        <v>CASH_AND_MARKETABLE_SECURITIES</v>
      </c>
      <c r="E536" t="str">
        <f>$E$236</f>
        <v>动态</v>
      </c>
      <c r="F536" t="str">
        <f ca="1">BDH($B$236,$C$236,$B$292,$B$293,CONCATENATE("Per=",$B$290),"Dts=H","Dir=H",CONCATENATE("Points=",$B$291),"Sort=R","Days=A","Fill=B",CONCATENATE("FX=", $B$289) )</f>
        <v>#N/A Authorization</v>
      </c>
      <c r="BN536" t="str">
        <f>""</f>
        <v/>
      </c>
      <c r="BO536" t="str">
        <f>""</f>
        <v/>
      </c>
      <c r="BP536" t="str">
        <f>""</f>
        <v/>
      </c>
      <c r="BQ536" t="str">
        <f>""</f>
        <v/>
      </c>
      <c r="BR536" t="str">
        <f>""</f>
        <v/>
      </c>
      <c r="BS536" t="str">
        <f>""</f>
        <v/>
      </c>
      <c r="BT536" t="str">
        <f>""</f>
        <v/>
      </c>
      <c r="BU536" t="str">
        <f>""</f>
        <v/>
      </c>
      <c r="BV536" t="str">
        <f>""</f>
        <v/>
      </c>
      <c r="BW536" t="str">
        <f>""</f>
        <v/>
      </c>
      <c r="BX536" t="str">
        <f>""</f>
        <v/>
      </c>
      <c r="BY536" t="str">
        <f>""</f>
        <v/>
      </c>
      <c r="BZ536" t="str">
        <f>""</f>
        <v/>
      </c>
      <c r="CA536" t="str">
        <f>""</f>
        <v/>
      </c>
      <c r="CB536" t="str">
        <f>""</f>
        <v/>
      </c>
      <c r="CC536" t="str">
        <f>""</f>
        <v/>
      </c>
      <c r="CD536" t="str">
        <f>""</f>
        <v/>
      </c>
      <c r="CE536" t="str">
        <f>""</f>
        <v/>
      </c>
      <c r="CF536" t="str">
        <f>""</f>
        <v/>
      </c>
      <c r="CG536" t="str">
        <f>""</f>
        <v/>
      </c>
      <c r="CH536" t="str">
        <f>""</f>
        <v/>
      </c>
      <c r="CI536" t="str">
        <f>""</f>
        <v/>
      </c>
      <c r="CJ536" t="str">
        <f>""</f>
        <v/>
      </c>
      <c r="CK536" t="str">
        <f>""</f>
        <v/>
      </c>
      <c r="CL536" t="str">
        <f>""</f>
        <v/>
      </c>
      <c r="CM536" t="str">
        <f>""</f>
        <v/>
      </c>
      <c r="CN536" t="str">
        <f>""</f>
        <v/>
      </c>
      <c r="CO536" t="str">
        <f>""</f>
        <v/>
      </c>
      <c r="CP536" t="str">
        <f>""</f>
        <v/>
      </c>
      <c r="CQ536" t="str">
        <f>""</f>
        <v/>
      </c>
      <c r="CR536" t="str">
        <f>""</f>
        <v/>
      </c>
      <c r="CS536" t="str">
        <f>""</f>
        <v/>
      </c>
      <c r="CT536" t="str">
        <f>""</f>
        <v/>
      </c>
      <c r="CU536" t="str">
        <f>""</f>
        <v/>
      </c>
      <c r="CV536" t="str">
        <f>""</f>
        <v/>
      </c>
      <c r="CW536" t="str">
        <f>""</f>
        <v/>
      </c>
      <c r="CX536" t="str">
        <f>""</f>
        <v/>
      </c>
      <c r="CY536" t="str">
        <f>""</f>
        <v/>
      </c>
      <c r="CZ536" t="str">
        <f>""</f>
        <v/>
      </c>
      <c r="DA536" t="str">
        <f>""</f>
        <v/>
      </c>
      <c r="DB536" t="str">
        <f>""</f>
        <v/>
      </c>
      <c r="DC536" t="str">
        <f>""</f>
        <v/>
      </c>
      <c r="DD536" t="str">
        <f>""</f>
        <v/>
      </c>
      <c r="DE536" t="str">
        <f>""</f>
        <v/>
      </c>
      <c r="DF536" t="str">
        <f>""</f>
        <v/>
      </c>
      <c r="DG536" t="str">
        <f>""</f>
        <v/>
      </c>
      <c r="DH536" t="str">
        <f>""</f>
        <v/>
      </c>
      <c r="DI536" t="str">
        <f>""</f>
        <v/>
      </c>
      <c r="DJ536" t="str">
        <f>""</f>
        <v/>
      </c>
      <c r="DK536" t="str">
        <f>""</f>
        <v/>
      </c>
      <c r="DL536" t="str">
        <f>""</f>
        <v/>
      </c>
      <c r="DM536" t="str">
        <f>""</f>
        <v/>
      </c>
      <c r="DN536" t="str">
        <f>""</f>
        <v/>
      </c>
      <c r="DO536" t="str">
        <f>""</f>
        <v/>
      </c>
      <c r="DP536" t="str">
        <f>""</f>
        <v/>
      </c>
      <c r="DQ536" t="str">
        <f>""</f>
        <v/>
      </c>
      <c r="DR536" t="str">
        <f>""</f>
        <v/>
      </c>
      <c r="DS536" t="str">
        <f>""</f>
        <v/>
      </c>
      <c r="DT536" t="str">
        <f>""</f>
        <v/>
      </c>
      <c r="DU536" t="str">
        <f>""</f>
        <v/>
      </c>
    </row>
    <row r="537" spans="1:125">
      <c r="A537" t="str">
        <f>$A$237</f>
        <v xml:space="preserve">    Brandywine Realty Trust</v>
      </c>
      <c r="B537" t="str">
        <f>$B$237</f>
        <v>BDN US Equity</v>
      </c>
      <c r="C537" t="str">
        <f>$C$237</f>
        <v>RR253</v>
      </c>
      <c r="D537" t="str">
        <f>$D$237</f>
        <v>CASH_AND_MARKETABLE_SECURITIES</v>
      </c>
      <c r="E537" t="str">
        <f>$E$237</f>
        <v>动态</v>
      </c>
      <c r="F537" t="str">
        <f ca="1">BDH($B$237,$C$237,$B$292,$B$293,CONCATENATE("Per=",$B$290),"Dts=H","Dir=H",CONCATENATE("Points=",$B$291),"Sort=R","Days=A","Fill=B",CONCATENATE("FX=", $B$289) )</f>
        <v>#N/A Authorization</v>
      </c>
      <c r="BN537" t="str">
        <f>""</f>
        <v/>
      </c>
      <c r="BO537" t="str">
        <f>""</f>
        <v/>
      </c>
      <c r="BP537" t="str">
        <f>""</f>
        <v/>
      </c>
      <c r="BQ537" t="str">
        <f>""</f>
        <v/>
      </c>
      <c r="BR537" t="str">
        <f>""</f>
        <v/>
      </c>
      <c r="BS537" t="str">
        <f>""</f>
        <v/>
      </c>
      <c r="BT537" t="str">
        <f>""</f>
        <v/>
      </c>
      <c r="BU537" t="str">
        <f>""</f>
        <v/>
      </c>
      <c r="BV537" t="str">
        <f>""</f>
        <v/>
      </c>
      <c r="BW537" t="str">
        <f>""</f>
        <v/>
      </c>
      <c r="BX537" t="str">
        <f>""</f>
        <v/>
      </c>
      <c r="BY537" t="str">
        <f>""</f>
        <v/>
      </c>
      <c r="BZ537" t="str">
        <f>""</f>
        <v/>
      </c>
      <c r="CA537" t="str">
        <f>""</f>
        <v/>
      </c>
      <c r="CB537" t="str">
        <f>""</f>
        <v/>
      </c>
      <c r="CC537" t="str">
        <f>""</f>
        <v/>
      </c>
      <c r="CD537" t="str">
        <f>""</f>
        <v/>
      </c>
      <c r="CE537" t="str">
        <f>""</f>
        <v/>
      </c>
      <c r="CF537" t="str">
        <f>""</f>
        <v/>
      </c>
      <c r="CG537" t="str">
        <f>""</f>
        <v/>
      </c>
      <c r="CH537" t="str">
        <f>""</f>
        <v/>
      </c>
      <c r="CI537" t="str">
        <f>""</f>
        <v/>
      </c>
      <c r="CJ537" t="str">
        <f>""</f>
        <v/>
      </c>
      <c r="CK537" t="str">
        <f>""</f>
        <v/>
      </c>
      <c r="CL537" t="str">
        <f>""</f>
        <v/>
      </c>
      <c r="CM537" t="str">
        <f>""</f>
        <v/>
      </c>
      <c r="CN537" t="str">
        <f>""</f>
        <v/>
      </c>
      <c r="CO537" t="str">
        <f>""</f>
        <v/>
      </c>
      <c r="CP537" t="str">
        <f>""</f>
        <v/>
      </c>
      <c r="CQ537" t="str">
        <f>""</f>
        <v/>
      </c>
      <c r="CR537" t="str">
        <f>""</f>
        <v/>
      </c>
      <c r="CS537" t="str">
        <f>""</f>
        <v/>
      </c>
      <c r="CT537" t="str">
        <f>""</f>
        <v/>
      </c>
      <c r="CU537" t="str">
        <f>""</f>
        <v/>
      </c>
      <c r="CV537" t="str">
        <f>""</f>
        <v/>
      </c>
      <c r="CW537" t="str">
        <f>""</f>
        <v/>
      </c>
      <c r="CX537" t="str">
        <f>""</f>
        <v/>
      </c>
      <c r="CY537" t="str">
        <f>""</f>
        <v/>
      </c>
      <c r="CZ537" t="str">
        <f>""</f>
        <v/>
      </c>
      <c r="DA537" t="str">
        <f>""</f>
        <v/>
      </c>
      <c r="DB537" t="str">
        <f>""</f>
        <v/>
      </c>
      <c r="DC537" t="str">
        <f>""</f>
        <v/>
      </c>
      <c r="DD537" t="str">
        <f>""</f>
        <v/>
      </c>
      <c r="DE537" t="str">
        <f>""</f>
        <v/>
      </c>
      <c r="DF537" t="str">
        <f>""</f>
        <v/>
      </c>
      <c r="DG537" t="str">
        <f>""</f>
        <v/>
      </c>
      <c r="DH537" t="str">
        <f>""</f>
        <v/>
      </c>
      <c r="DI537" t="str">
        <f>""</f>
        <v/>
      </c>
      <c r="DJ537" t="str">
        <f>""</f>
        <v/>
      </c>
      <c r="DK537" t="str">
        <f>""</f>
        <v/>
      </c>
      <c r="DL537" t="str">
        <f>""</f>
        <v/>
      </c>
      <c r="DM537" t="str">
        <f>""</f>
        <v/>
      </c>
      <c r="DN537" t="str">
        <f>""</f>
        <v/>
      </c>
      <c r="DO537" t="str">
        <f>""</f>
        <v/>
      </c>
      <c r="DP537" t="str">
        <f>""</f>
        <v/>
      </c>
      <c r="DQ537" t="str">
        <f>""</f>
        <v/>
      </c>
      <c r="DR537" t="str">
        <f>""</f>
        <v/>
      </c>
      <c r="DS537" t="str">
        <f>""</f>
        <v/>
      </c>
      <c r="DT537" t="str">
        <f>""</f>
        <v/>
      </c>
      <c r="DU537" t="str">
        <f>""</f>
        <v/>
      </c>
    </row>
    <row r="538" spans="1:125">
      <c r="A538" t="str">
        <f>$A$238</f>
        <v xml:space="preserve">    Columbia Property Trust Inc</v>
      </c>
      <c r="B538" t="str">
        <f>$B$238</f>
        <v>CXP US Equity</v>
      </c>
      <c r="C538" t="str">
        <f>$C$238</f>
        <v>RR253</v>
      </c>
      <c r="D538" t="str">
        <f>$D$238</f>
        <v>CASH_AND_MARKETABLE_SECURITIES</v>
      </c>
      <c r="E538" t="str">
        <f>$E$238</f>
        <v>动态</v>
      </c>
      <c r="F538" t="str">
        <f ca="1">BDH($B$238,$C$238,$B$292,$B$293,CONCATENATE("Per=",$B$290),"Dts=H","Dir=H",CONCATENATE("Points=",$B$291),"Sort=R","Days=A","Fill=B",CONCATENATE("FX=", $B$289) )</f>
        <v>#N/A Authorization</v>
      </c>
      <c r="BN538" t="str">
        <f>""</f>
        <v/>
      </c>
      <c r="BO538" t="str">
        <f>""</f>
        <v/>
      </c>
      <c r="BP538" t="str">
        <f>""</f>
        <v/>
      </c>
      <c r="BQ538" t="str">
        <f>""</f>
        <v/>
      </c>
      <c r="BR538" t="str">
        <f>""</f>
        <v/>
      </c>
      <c r="BS538" t="str">
        <f>""</f>
        <v/>
      </c>
      <c r="BT538" t="str">
        <f>""</f>
        <v/>
      </c>
      <c r="BU538" t="str">
        <f>""</f>
        <v/>
      </c>
      <c r="BV538" t="str">
        <f>""</f>
        <v/>
      </c>
      <c r="BW538" t="str">
        <f>""</f>
        <v/>
      </c>
      <c r="BX538" t="str">
        <f>""</f>
        <v/>
      </c>
      <c r="BY538" t="str">
        <f>""</f>
        <v/>
      </c>
      <c r="BZ538" t="str">
        <f>""</f>
        <v/>
      </c>
      <c r="CA538" t="str">
        <f>""</f>
        <v/>
      </c>
      <c r="CB538" t="str">
        <f>""</f>
        <v/>
      </c>
      <c r="CC538" t="str">
        <f>""</f>
        <v/>
      </c>
      <c r="CD538" t="str">
        <f>""</f>
        <v/>
      </c>
      <c r="CE538" t="str">
        <f>""</f>
        <v/>
      </c>
      <c r="CF538" t="str">
        <f>""</f>
        <v/>
      </c>
      <c r="CG538" t="str">
        <f>""</f>
        <v/>
      </c>
      <c r="CH538" t="str">
        <f>""</f>
        <v/>
      </c>
      <c r="CI538" t="str">
        <f>""</f>
        <v/>
      </c>
      <c r="CJ538" t="str">
        <f>""</f>
        <v/>
      </c>
      <c r="CK538" t="str">
        <f>""</f>
        <v/>
      </c>
      <c r="CL538" t="str">
        <f>""</f>
        <v/>
      </c>
      <c r="CM538" t="str">
        <f>""</f>
        <v/>
      </c>
      <c r="CN538" t="str">
        <f>""</f>
        <v/>
      </c>
      <c r="CO538" t="str">
        <f>""</f>
        <v/>
      </c>
      <c r="CP538" t="str">
        <f>""</f>
        <v/>
      </c>
      <c r="CQ538" t="str">
        <f>""</f>
        <v/>
      </c>
      <c r="CR538" t="str">
        <f>""</f>
        <v/>
      </c>
      <c r="CS538" t="str">
        <f>""</f>
        <v/>
      </c>
      <c r="CT538" t="str">
        <f>""</f>
        <v/>
      </c>
      <c r="CU538" t="str">
        <f>""</f>
        <v/>
      </c>
      <c r="CV538" t="str">
        <f>""</f>
        <v/>
      </c>
      <c r="CW538" t="str">
        <f>""</f>
        <v/>
      </c>
      <c r="CX538" t="str">
        <f>""</f>
        <v/>
      </c>
      <c r="CY538" t="str">
        <f>""</f>
        <v/>
      </c>
      <c r="CZ538" t="str">
        <f>""</f>
        <v/>
      </c>
      <c r="DA538" t="str">
        <f>""</f>
        <v/>
      </c>
      <c r="DB538" t="str">
        <f>""</f>
        <v/>
      </c>
      <c r="DC538" t="str">
        <f>""</f>
        <v/>
      </c>
      <c r="DD538" t="str">
        <f>""</f>
        <v/>
      </c>
      <c r="DE538" t="str">
        <f>""</f>
        <v/>
      </c>
      <c r="DF538" t="str">
        <f>""</f>
        <v/>
      </c>
      <c r="DG538" t="str">
        <f>""</f>
        <v/>
      </c>
      <c r="DH538" t="str">
        <f>""</f>
        <v/>
      </c>
      <c r="DI538" t="str">
        <f>""</f>
        <v/>
      </c>
      <c r="DJ538" t="str">
        <f>""</f>
        <v/>
      </c>
      <c r="DK538" t="str">
        <f>""</f>
        <v/>
      </c>
      <c r="DL538" t="str">
        <f>""</f>
        <v/>
      </c>
      <c r="DM538" t="str">
        <f>""</f>
        <v/>
      </c>
      <c r="DN538" t="str">
        <f>""</f>
        <v/>
      </c>
      <c r="DO538" t="str">
        <f>""</f>
        <v/>
      </c>
      <c r="DP538" t="str">
        <f>""</f>
        <v/>
      </c>
      <c r="DQ538" t="str">
        <f>""</f>
        <v/>
      </c>
      <c r="DR538" t="str">
        <f>""</f>
        <v/>
      </c>
      <c r="DS538" t="str">
        <f>""</f>
        <v/>
      </c>
      <c r="DT538" t="str">
        <f>""</f>
        <v/>
      </c>
      <c r="DU538" t="str">
        <f>""</f>
        <v/>
      </c>
    </row>
    <row r="539" spans="1:125">
      <c r="A539" t="str">
        <f>$A$239</f>
        <v xml:space="preserve">    Corporate Office Properties Tr</v>
      </c>
      <c r="B539" t="str">
        <f>$B$239</f>
        <v>OFC US Equity</v>
      </c>
      <c r="C539" t="str">
        <f>$C$239</f>
        <v>RR253</v>
      </c>
      <c r="D539" t="str">
        <f>$D$239</f>
        <v>CASH_AND_MARKETABLE_SECURITIES</v>
      </c>
      <c r="E539" t="str">
        <f>$E$239</f>
        <v>动态</v>
      </c>
      <c r="F539" t="str">
        <f ca="1">BDH($B$239,$C$239,$B$292,$B$293,CONCATENATE("Per=",$B$290),"Dts=H","Dir=H",CONCATENATE("Points=",$B$291),"Sort=R","Days=A","Fill=B",CONCATENATE("FX=", $B$289) )</f>
        <v>#N/A Authorization</v>
      </c>
      <c r="BN539" t="str">
        <f>""</f>
        <v/>
      </c>
      <c r="BO539" t="str">
        <f>""</f>
        <v/>
      </c>
      <c r="BP539" t="str">
        <f>""</f>
        <v/>
      </c>
      <c r="BQ539" t="str">
        <f>""</f>
        <v/>
      </c>
      <c r="BR539" t="str">
        <f>""</f>
        <v/>
      </c>
      <c r="BS539" t="str">
        <f>""</f>
        <v/>
      </c>
      <c r="BT539" t="str">
        <f>""</f>
        <v/>
      </c>
      <c r="BU539" t="str">
        <f>""</f>
        <v/>
      </c>
      <c r="BV539" t="str">
        <f>""</f>
        <v/>
      </c>
      <c r="BW539" t="str">
        <f>""</f>
        <v/>
      </c>
      <c r="BX539" t="str">
        <f>""</f>
        <v/>
      </c>
      <c r="BY539" t="str">
        <f>""</f>
        <v/>
      </c>
      <c r="BZ539" t="str">
        <f>""</f>
        <v/>
      </c>
      <c r="CA539" t="str">
        <f>""</f>
        <v/>
      </c>
      <c r="CB539" t="str">
        <f>""</f>
        <v/>
      </c>
      <c r="CC539" t="str">
        <f>""</f>
        <v/>
      </c>
      <c r="CD539" t="str">
        <f>""</f>
        <v/>
      </c>
      <c r="CE539" t="str">
        <f>""</f>
        <v/>
      </c>
      <c r="CF539" t="str">
        <f>""</f>
        <v/>
      </c>
      <c r="CG539" t="str">
        <f>""</f>
        <v/>
      </c>
      <c r="CH539" t="str">
        <f>""</f>
        <v/>
      </c>
      <c r="CI539" t="str">
        <f>""</f>
        <v/>
      </c>
      <c r="CJ539" t="str">
        <f>""</f>
        <v/>
      </c>
      <c r="CK539" t="str">
        <f>""</f>
        <v/>
      </c>
      <c r="CL539" t="str">
        <f>""</f>
        <v/>
      </c>
      <c r="CM539" t="str">
        <f>""</f>
        <v/>
      </c>
      <c r="CN539" t="str">
        <f>""</f>
        <v/>
      </c>
      <c r="CO539" t="str">
        <f>""</f>
        <v/>
      </c>
      <c r="CP539" t="str">
        <f>""</f>
        <v/>
      </c>
      <c r="CQ539" t="str">
        <f>""</f>
        <v/>
      </c>
      <c r="CR539" t="str">
        <f>""</f>
        <v/>
      </c>
      <c r="CS539" t="str">
        <f>""</f>
        <v/>
      </c>
      <c r="CT539" t="str">
        <f>""</f>
        <v/>
      </c>
      <c r="CU539" t="str">
        <f>""</f>
        <v/>
      </c>
      <c r="CV539" t="str">
        <f>""</f>
        <v/>
      </c>
      <c r="CW539" t="str">
        <f>""</f>
        <v/>
      </c>
      <c r="CX539" t="str">
        <f>""</f>
        <v/>
      </c>
      <c r="CY539" t="str">
        <f>""</f>
        <v/>
      </c>
      <c r="CZ539" t="str">
        <f>""</f>
        <v/>
      </c>
      <c r="DA539" t="str">
        <f>""</f>
        <v/>
      </c>
      <c r="DB539" t="str">
        <f>""</f>
        <v/>
      </c>
      <c r="DC539" t="str">
        <f>""</f>
        <v/>
      </c>
      <c r="DD539" t="str">
        <f>""</f>
        <v/>
      </c>
      <c r="DE539" t="str">
        <f>""</f>
        <v/>
      </c>
      <c r="DF539" t="str">
        <f>""</f>
        <v/>
      </c>
      <c r="DG539" t="str">
        <f>""</f>
        <v/>
      </c>
      <c r="DH539" t="str">
        <f>""</f>
        <v/>
      </c>
      <c r="DI539" t="str">
        <f>""</f>
        <v/>
      </c>
      <c r="DJ539" t="str">
        <f>""</f>
        <v/>
      </c>
      <c r="DK539" t="str">
        <f>""</f>
        <v/>
      </c>
      <c r="DL539" t="str">
        <f>""</f>
        <v/>
      </c>
      <c r="DM539" t="str">
        <f>""</f>
        <v/>
      </c>
      <c r="DN539" t="str">
        <f>""</f>
        <v/>
      </c>
      <c r="DO539" t="str">
        <f>""</f>
        <v/>
      </c>
      <c r="DP539" t="str">
        <f>""</f>
        <v/>
      </c>
      <c r="DQ539" t="str">
        <f>""</f>
        <v/>
      </c>
      <c r="DR539" t="str">
        <f>""</f>
        <v/>
      </c>
      <c r="DS539" t="str">
        <f>""</f>
        <v/>
      </c>
      <c r="DT539" t="str">
        <f>""</f>
        <v/>
      </c>
      <c r="DU539" t="str">
        <f>""</f>
        <v/>
      </c>
    </row>
    <row r="540" spans="1:125">
      <c r="A540" t="str">
        <f>$A$240</f>
        <v xml:space="preserve">    Highwoods Properties Inc</v>
      </c>
      <c r="B540" t="str">
        <f>$B$240</f>
        <v>HIW US Equity</v>
      </c>
      <c r="C540" t="str">
        <f>$C$240</f>
        <v>RR253</v>
      </c>
      <c r="D540" t="str">
        <f>$D$240</f>
        <v>CASH_AND_MARKETABLE_SECURITIES</v>
      </c>
      <c r="E540" t="str">
        <f>$E$240</f>
        <v>动态</v>
      </c>
      <c r="F540" t="str">
        <f ca="1">BDH($B$240,$C$240,$B$292,$B$293,CONCATENATE("Per=",$B$290),"Dts=H","Dir=H",CONCATENATE("Points=",$B$291),"Sort=R","Days=A","Fill=B",CONCATENATE("FX=", $B$289) )</f>
        <v>#N/A Authorization</v>
      </c>
      <c r="BN540" t="str">
        <f>""</f>
        <v/>
      </c>
      <c r="BO540" t="str">
        <f>""</f>
        <v/>
      </c>
      <c r="BP540" t="str">
        <f>""</f>
        <v/>
      </c>
      <c r="BQ540" t="str">
        <f>""</f>
        <v/>
      </c>
      <c r="BR540" t="str">
        <f>""</f>
        <v/>
      </c>
      <c r="BS540" t="str">
        <f>""</f>
        <v/>
      </c>
      <c r="BT540" t="str">
        <f>""</f>
        <v/>
      </c>
      <c r="BU540" t="str">
        <f>""</f>
        <v/>
      </c>
      <c r="BV540" t="str">
        <f>""</f>
        <v/>
      </c>
      <c r="BW540" t="str">
        <f>""</f>
        <v/>
      </c>
      <c r="BX540" t="str">
        <f>""</f>
        <v/>
      </c>
      <c r="BY540" t="str">
        <f>""</f>
        <v/>
      </c>
      <c r="BZ540" t="str">
        <f>""</f>
        <v/>
      </c>
      <c r="CA540" t="str">
        <f>""</f>
        <v/>
      </c>
      <c r="CB540" t="str">
        <f>""</f>
        <v/>
      </c>
      <c r="CC540" t="str">
        <f>""</f>
        <v/>
      </c>
      <c r="CD540" t="str">
        <f>""</f>
        <v/>
      </c>
      <c r="CE540" t="str">
        <f>""</f>
        <v/>
      </c>
      <c r="CF540" t="str">
        <f>""</f>
        <v/>
      </c>
      <c r="CG540" t="str">
        <f>""</f>
        <v/>
      </c>
      <c r="CH540" t="str">
        <f>""</f>
        <v/>
      </c>
      <c r="CI540" t="str">
        <f>""</f>
        <v/>
      </c>
      <c r="CJ540" t="str">
        <f>""</f>
        <v/>
      </c>
      <c r="CK540" t="str">
        <f>""</f>
        <v/>
      </c>
      <c r="CL540" t="str">
        <f>""</f>
        <v/>
      </c>
      <c r="CM540" t="str">
        <f>""</f>
        <v/>
      </c>
      <c r="CN540" t="str">
        <f>""</f>
        <v/>
      </c>
      <c r="CO540" t="str">
        <f>""</f>
        <v/>
      </c>
      <c r="CP540" t="str">
        <f>""</f>
        <v/>
      </c>
      <c r="CQ540" t="str">
        <f>""</f>
        <v/>
      </c>
      <c r="CR540" t="str">
        <f>""</f>
        <v/>
      </c>
      <c r="CS540" t="str">
        <f>""</f>
        <v/>
      </c>
      <c r="CT540" t="str">
        <f>""</f>
        <v/>
      </c>
      <c r="CU540" t="str">
        <f>""</f>
        <v/>
      </c>
      <c r="CV540" t="str">
        <f>""</f>
        <v/>
      </c>
      <c r="CW540" t="str">
        <f>""</f>
        <v/>
      </c>
      <c r="CX540" t="str">
        <f>""</f>
        <v/>
      </c>
      <c r="CY540" t="str">
        <f>""</f>
        <v/>
      </c>
      <c r="CZ540" t="str">
        <f>""</f>
        <v/>
      </c>
      <c r="DA540" t="str">
        <f>""</f>
        <v/>
      </c>
      <c r="DB540" t="str">
        <f>""</f>
        <v/>
      </c>
      <c r="DC540" t="str">
        <f>""</f>
        <v/>
      </c>
      <c r="DD540" t="str">
        <f>""</f>
        <v/>
      </c>
      <c r="DE540" t="str">
        <f>""</f>
        <v/>
      </c>
      <c r="DF540" t="str">
        <f>""</f>
        <v/>
      </c>
      <c r="DG540" t="str">
        <f>""</f>
        <v/>
      </c>
      <c r="DH540" t="str">
        <f>""</f>
        <v/>
      </c>
      <c r="DI540" t="str">
        <f>""</f>
        <v/>
      </c>
      <c r="DJ540" t="str">
        <f>""</f>
        <v/>
      </c>
      <c r="DK540" t="str">
        <f>""</f>
        <v/>
      </c>
      <c r="DL540" t="str">
        <f>""</f>
        <v/>
      </c>
      <c r="DM540" t="str">
        <f>""</f>
        <v/>
      </c>
      <c r="DN540" t="str">
        <f>""</f>
        <v/>
      </c>
      <c r="DO540" t="str">
        <f>""</f>
        <v/>
      </c>
      <c r="DP540" t="str">
        <f>""</f>
        <v/>
      </c>
      <c r="DQ540" t="str">
        <f>""</f>
        <v/>
      </c>
      <c r="DR540" t="str">
        <f>""</f>
        <v/>
      </c>
      <c r="DS540" t="str">
        <f>""</f>
        <v/>
      </c>
      <c r="DT540" t="str">
        <f>""</f>
        <v/>
      </c>
      <c r="DU540" t="str">
        <f>""</f>
        <v/>
      </c>
    </row>
    <row r="541" spans="1:125">
      <c r="A541" t="str">
        <f>$A$241</f>
        <v xml:space="preserve">    Kilroy Realty Corp</v>
      </c>
      <c r="B541" t="str">
        <f>$B$241</f>
        <v>KRC US Equity</v>
      </c>
      <c r="C541" t="str">
        <f>$C$241</f>
        <v>RR253</v>
      </c>
      <c r="D541" t="str">
        <f>$D$241</f>
        <v>CASH_AND_MARKETABLE_SECURITIES</v>
      </c>
      <c r="E541" t="str">
        <f>$E$241</f>
        <v>动态</v>
      </c>
      <c r="F541" t="str">
        <f ca="1">BDH($B$241,$C$241,$B$292,$B$293,CONCATENATE("Per=",$B$290),"Dts=H","Dir=H",CONCATENATE("Points=",$B$291),"Sort=R","Days=A","Fill=B",CONCATENATE("FX=", $B$289) )</f>
        <v>#N/A Authorization</v>
      </c>
      <c r="BN541" t="str">
        <f>""</f>
        <v/>
      </c>
      <c r="BO541" t="str">
        <f>""</f>
        <v/>
      </c>
      <c r="BP541" t="str">
        <f>""</f>
        <v/>
      </c>
      <c r="BQ541" t="str">
        <f>""</f>
        <v/>
      </c>
      <c r="BR541" t="str">
        <f>""</f>
        <v/>
      </c>
      <c r="BS541" t="str">
        <f>""</f>
        <v/>
      </c>
      <c r="BT541" t="str">
        <f>""</f>
        <v/>
      </c>
      <c r="BU541" t="str">
        <f>""</f>
        <v/>
      </c>
      <c r="BV541" t="str">
        <f>""</f>
        <v/>
      </c>
      <c r="BW541" t="str">
        <f>""</f>
        <v/>
      </c>
      <c r="BX541" t="str">
        <f>""</f>
        <v/>
      </c>
      <c r="BY541" t="str">
        <f>""</f>
        <v/>
      </c>
      <c r="BZ541" t="str">
        <f>""</f>
        <v/>
      </c>
      <c r="CA541" t="str">
        <f>""</f>
        <v/>
      </c>
      <c r="CB541" t="str">
        <f>""</f>
        <v/>
      </c>
      <c r="CC541" t="str">
        <f>""</f>
        <v/>
      </c>
      <c r="CD541" t="str">
        <f>""</f>
        <v/>
      </c>
      <c r="CE541" t="str">
        <f>""</f>
        <v/>
      </c>
      <c r="CF541" t="str">
        <f>""</f>
        <v/>
      </c>
      <c r="CG541" t="str">
        <f>""</f>
        <v/>
      </c>
      <c r="CH541" t="str">
        <f>""</f>
        <v/>
      </c>
      <c r="CI541" t="str">
        <f>""</f>
        <v/>
      </c>
      <c r="CJ541" t="str">
        <f>""</f>
        <v/>
      </c>
      <c r="CK541" t="str">
        <f>""</f>
        <v/>
      </c>
      <c r="CL541" t="str">
        <f>""</f>
        <v/>
      </c>
      <c r="CM541" t="str">
        <f>""</f>
        <v/>
      </c>
      <c r="CN541" t="str">
        <f>""</f>
        <v/>
      </c>
      <c r="CO541" t="str">
        <f>""</f>
        <v/>
      </c>
      <c r="CP541" t="str">
        <f>""</f>
        <v/>
      </c>
      <c r="CQ541" t="str">
        <f>""</f>
        <v/>
      </c>
      <c r="CR541" t="str">
        <f>""</f>
        <v/>
      </c>
      <c r="CS541" t="str">
        <f>""</f>
        <v/>
      </c>
      <c r="CT541" t="str">
        <f>""</f>
        <v/>
      </c>
      <c r="CU541" t="str">
        <f>""</f>
        <v/>
      </c>
      <c r="CV541" t="str">
        <f>""</f>
        <v/>
      </c>
      <c r="CW541" t="str">
        <f>""</f>
        <v/>
      </c>
      <c r="CX541" t="str">
        <f>""</f>
        <v/>
      </c>
      <c r="CY541" t="str">
        <f>""</f>
        <v/>
      </c>
      <c r="CZ541" t="str">
        <f>""</f>
        <v/>
      </c>
      <c r="DA541" t="str">
        <f>""</f>
        <v/>
      </c>
      <c r="DB541" t="str">
        <f>""</f>
        <v/>
      </c>
      <c r="DC541" t="str">
        <f>""</f>
        <v/>
      </c>
      <c r="DD541" t="str">
        <f>""</f>
        <v/>
      </c>
      <c r="DE541" t="str">
        <f>""</f>
        <v/>
      </c>
      <c r="DF541" t="str">
        <f>""</f>
        <v/>
      </c>
      <c r="DG541" t="str">
        <f>""</f>
        <v/>
      </c>
      <c r="DH541" t="str">
        <f>""</f>
        <v/>
      </c>
      <c r="DI541" t="str">
        <f>""</f>
        <v/>
      </c>
      <c r="DJ541" t="str">
        <f>""</f>
        <v/>
      </c>
      <c r="DK541" t="str">
        <f>""</f>
        <v/>
      </c>
      <c r="DL541" t="str">
        <f>""</f>
        <v/>
      </c>
      <c r="DM541" t="str">
        <f>""</f>
        <v/>
      </c>
      <c r="DN541" t="str">
        <f>""</f>
        <v/>
      </c>
      <c r="DO541" t="str">
        <f>""</f>
        <v/>
      </c>
      <c r="DP541" t="str">
        <f>""</f>
        <v/>
      </c>
      <c r="DQ541" t="str">
        <f>""</f>
        <v/>
      </c>
      <c r="DR541" t="str">
        <f>""</f>
        <v/>
      </c>
      <c r="DS541" t="str">
        <f>""</f>
        <v/>
      </c>
      <c r="DT541" t="str">
        <f>""</f>
        <v/>
      </c>
      <c r="DU541" t="str">
        <f>""</f>
        <v/>
      </c>
    </row>
    <row r="542" spans="1:125">
      <c r="A542" t="str">
        <f>$A$242</f>
        <v xml:space="preserve">    Mack-Cali Realty Corp</v>
      </c>
      <c r="B542" t="str">
        <f>$B$242</f>
        <v>CLI US Equity</v>
      </c>
      <c r="C542" t="str">
        <f>$C$242</f>
        <v>RR253</v>
      </c>
      <c r="D542" t="str">
        <f>$D$242</f>
        <v>CASH_AND_MARKETABLE_SECURITIES</v>
      </c>
      <c r="E542" t="str">
        <f>$E$242</f>
        <v>动态</v>
      </c>
      <c r="F542" t="str">
        <f ca="1">BDH($B$242,$C$242,$B$292,$B$293,CONCATENATE("Per=",$B$290),"Dts=H","Dir=H",CONCATENATE("Points=",$B$291),"Sort=R","Days=A","Fill=B",CONCATENATE("FX=", $B$289) )</f>
        <v>#N/A Authorization</v>
      </c>
      <c r="BN542" t="str">
        <f>""</f>
        <v/>
      </c>
      <c r="BO542" t="str">
        <f>""</f>
        <v/>
      </c>
      <c r="BP542" t="str">
        <f>""</f>
        <v/>
      </c>
      <c r="BQ542" t="str">
        <f>""</f>
        <v/>
      </c>
      <c r="BR542" t="str">
        <f>""</f>
        <v/>
      </c>
      <c r="BS542" t="str">
        <f>""</f>
        <v/>
      </c>
      <c r="BT542" t="str">
        <f>""</f>
        <v/>
      </c>
      <c r="BU542" t="str">
        <f>""</f>
        <v/>
      </c>
      <c r="BV542" t="str">
        <f>""</f>
        <v/>
      </c>
      <c r="BW542" t="str">
        <f>""</f>
        <v/>
      </c>
      <c r="BX542" t="str">
        <f>""</f>
        <v/>
      </c>
      <c r="BY542" t="str">
        <f>""</f>
        <v/>
      </c>
      <c r="BZ542" t="str">
        <f>""</f>
        <v/>
      </c>
      <c r="CA542" t="str">
        <f>""</f>
        <v/>
      </c>
      <c r="CB542" t="str">
        <f>""</f>
        <v/>
      </c>
      <c r="CC542" t="str">
        <f>""</f>
        <v/>
      </c>
      <c r="CD542" t="str">
        <f>""</f>
        <v/>
      </c>
      <c r="CE542" t="str">
        <f>""</f>
        <v/>
      </c>
      <c r="CF542" t="str">
        <f>""</f>
        <v/>
      </c>
      <c r="CG542" t="str">
        <f>""</f>
        <v/>
      </c>
      <c r="CH542" t="str">
        <f>""</f>
        <v/>
      </c>
      <c r="CI542" t="str">
        <f>""</f>
        <v/>
      </c>
      <c r="CJ542" t="str">
        <f>""</f>
        <v/>
      </c>
      <c r="CK542" t="str">
        <f>""</f>
        <v/>
      </c>
      <c r="CL542" t="str">
        <f>""</f>
        <v/>
      </c>
      <c r="CM542" t="str">
        <f>""</f>
        <v/>
      </c>
      <c r="CN542" t="str">
        <f>""</f>
        <v/>
      </c>
      <c r="CO542" t="str">
        <f>""</f>
        <v/>
      </c>
      <c r="CP542" t="str">
        <f>""</f>
        <v/>
      </c>
      <c r="CQ542" t="str">
        <f>""</f>
        <v/>
      </c>
      <c r="CR542" t="str">
        <f>""</f>
        <v/>
      </c>
      <c r="CS542" t="str">
        <f>""</f>
        <v/>
      </c>
      <c r="CT542" t="str">
        <f>""</f>
        <v/>
      </c>
      <c r="CU542" t="str">
        <f>""</f>
        <v/>
      </c>
      <c r="CV542" t="str">
        <f>""</f>
        <v/>
      </c>
      <c r="CW542" t="str">
        <f>""</f>
        <v/>
      </c>
      <c r="CX542" t="str">
        <f>""</f>
        <v/>
      </c>
      <c r="CY542" t="str">
        <f>""</f>
        <v/>
      </c>
      <c r="CZ542" t="str">
        <f>""</f>
        <v/>
      </c>
      <c r="DA542" t="str">
        <f>""</f>
        <v/>
      </c>
      <c r="DB542" t="str">
        <f>""</f>
        <v/>
      </c>
      <c r="DC542" t="str">
        <f>""</f>
        <v/>
      </c>
      <c r="DD542" t="str">
        <f>""</f>
        <v/>
      </c>
      <c r="DE542" t="str">
        <f>""</f>
        <v/>
      </c>
      <c r="DF542" t="str">
        <f>""</f>
        <v/>
      </c>
      <c r="DG542" t="str">
        <f>""</f>
        <v/>
      </c>
      <c r="DH542" t="str">
        <f>""</f>
        <v/>
      </c>
      <c r="DI542" t="str">
        <f>""</f>
        <v/>
      </c>
      <c r="DJ542" t="str">
        <f>""</f>
        <v/>
      </c>
      <c r="DK542" t="str">
        <f>""</f>
        <v/>
      </c>
      <c r="DL542" t="str">
        <f>""</f>
        <v/>
      </c>
      <c r="DM542" t="str">
        <f>""</f>
        <v/>
      </c>
      <c r="DN542" t="str">
        <f>""</f>
        <v/>
      </c>
      <c r="DO542" t="str">
        <f>""</f>
        <v/>
      </c>
      <c r="DP542" t="str">
        <f>""</f>
        <v/>
      </c>
      <c r="DQ542" t="str">
        <f>""</f>
        <v/>
      </c>
      <c r="DR542" t="str">
        <f>""</f>
        <v/>
      </c>
      <c r="DS542" t="str">
        <f>""</f>
        <v/>
      </c>
      <c r="DT542" t="str">
        <f>""</f>
        <v/>
      </c>
      <c r="DU542" t="str">
        <f>""</f>
        <v/>
      </c>
    </row>
    <row r="543" spans="1:125">
      <c r="A543" t="str">
        <f>$A$243</f>
        <v xml:space="preserve">    Piedmont Office Realty Trust I</v>
      </c>
      <c r="B543" t="str">
        <f>$B$243</f>
        <v>PDM US Equity</v>
      </c>
      <c r="C543" t="str">
        <f>$C$243</f>
        <v>RR253</v>
      </c>
      <c r="D543" t="str">
        <f>$D$243</f>
        <v>CASH_AND_MARKETABLE_SECURITIES</v>
      </c>
      <c r="E543" t="str">
        <f>$E$243</f>
        <v>动态</v>
      </c>
      <c r="F543" t="str">
        <f ca="1">BDH($B$243,$C$243,$B$292,$B$293,CONCATENATE("Per=",$B$290),"Dts=H","Dir=H",CONCATENATE("Points=",$B$291),"Sort=R","Days=A","Fill=B",CONCATENATE("FX=", $B$289) )</f>
        <v>#N/A Authorization</v>
      </c>
      <c r="BN543" t="str">
        <f>""</f>
        <v/>
      </c>
      <c r="BO543" t="str">
        <f>""</f>
        <v/>
      </c>
      <c r="BP543" t="str">
        <f>""</f>
        <v/>
      </c>
      <c r="BQ543" t="str">
        <f>""</f>
        <v/>
      </c>
      <c r="BR543" t="str">
        <f>""</f>
        <v/>
      </c>
      <c r="BS543" t="str">
        <f>""</f>
        <v/>
      </c>
      <c r="BT543" t="str">
        <f>""</f>
        <v/>
      </c>
      <c r="BU543" t="str">
        <f>""</f>
        <v/>
      </c>
      <c r="BV543" t="str">
        <f>""</f>
        <v/>
      </c>
      <c r="BW543" t="str">
        <f>""</f>
        <v/>
      </c>
      <c r="BX543" t="str">
        <f>""</f>
        <v/>
      </c>
      <c r="BY543" t="str">
        <f>""</f>
        <v/>
      </c>
      <c r="BZ543" t="str">
        <f>""</f>
        <v/>
      </c>
      <c r="CA543" t="str">
        <f>""</f>
        <v/>
      </c>
      <c r="CB543" t="str">
        <f>""</f>
        <v/>
      </c>
      <c r="CC543" t="str">
        <f>""</f>
        <v/>
      </c>
      <c r="CD543" t="str">
        <f>""</f>
        <v/>
      </c>
      <c r="CE543" t="str">
        <f>""</f>
        <v/>
      </c>
      <c r="CF543" t="str">
        <f>""</f>
        <v/>
      </c>
      <c r="CG543" t="str">
        <f>""</f>
        <v/>
      </c>
      <c r="CH543" t="str">
        <f>""</f>
        <v/>
      </c>
      <c r="CI543" t="str">
        <f>""</f>
        <v/>
      </c>
      <c r="CJ543" t="str">
        <f>""</f>
        <v/>
      </c>
      <c r="CK543" t="str">
        <f>""</f>
        <v/>
      </c>
      <c r="CL543" t="str">
        <f>""</f>
        <v/>
      </c>
      <c r="CM543" t="str">
        <f>""</f>
        <v/>
      </c>
      <c r="CN543" t="str">
        <f>""</f>
        <v/>
      </c>
      <c r="CO543" t="str">
        <f>""</f>
        <v/>
      </c>
      <c r="CP543" t="str">
        <f>""</f>
        <v/>
      </c>
      <c r="CQ543" t="str">
        <f>""</f>
        <v/>
      </c>
      <c r="CR543" t="str">
        <f>""</f>
        <v/>
      </c>
      <c r="CS543" t="str">
        <f>""</f>
        <v/>
      </c>
      <c r="CT543" t="str">
        <f>""</f>
        <v/>
      </c>
      <c r="CU543" t="str">
        <f>""</f>
        <v/>
      </c>
      <c r="CV543" t="str">
        <f>""</f>
        <v/>
      </c>
      <c r="CW543" t="str">
        <f>""</f>
        <v/>
      </c>
      <c r="CX543" t="str">
        <f>""</f>
        <v/>
      </c>
      <c r="CY543" t="str">
        <f>""</f>
        <v/>
      </c>
      <c r="CZ543" t="str">
        <f>""</f>
        <v/>
      </c>
      <c r="DA543" t="str">
        <f>""</f>
        <v/>
      </c>
      <c r="DB543" t="str">
        <f>""</f>
        <v/>
      </c>
      <c r="DC543" t="str">
        <f>""</f>
        <v/>
      </c>
      <c r="DD543" t="str">
        <f>""</f>
        <v/>
      </c>
      <c r="DE543" t="str">
        <f>""</f>
        <v/>
      </c>
      <c r="DF543" t="str">
        <f>""</f>
        <v/>
      </c>
      <c r="DG543" t="str">
        <f>""</f>
        <v/>
      </c>
      <c r="DH543" t="str">
        <f>""</f>
        <v/>
      </c>
      <c r="DI543" t="str">
        <f>""</f>
        <v/>
      </c>
      <c r="DJ543" t="str">
        <f>""</f>
        <v/>
      </c>
      <c r="DK543" t="str">
        <f>""</f>
        <v/>
      </c>
      <c r="DL543" t="str">
        <f>""</f>
        <v/>
      </c>
      <c r="DM543" t="str">
        <f>""</f>
        <v/>
      </c>
      <c r="DN543" t="str">
        <f>""</f>
        <v/>
      </c>
      <c r="DO543" t="str">
        <f>""</f>
        <v/>
      </c>
      <c r="DP543" t="str">
        <f>""</f>
        <v/>
      </c>
      <c r="DQ543" t="str">
        <f>""</f>
        <v/>
      </c>
      <c r="DR543" t="str">
        <f>""</f>
        <v/>
      </c>
      <c r="DS543" t="str">
        <f>""</f>
        <v/>
      </c>
      <c r="DT543" t="str">
        <f>""</f>
        <v/>
      </c>
      <c r="DU543" t="str">
        <f>""</f>
        <v/>
      </c>
    </row>
    <row r="544" spans="1:125">
      <c r="A544" t="str">
        <f>$A$244</f>
        <v xml:space="preserve">    SL Green Realty Corp</v>
      </c>
      <c r="B544" t="str">
        <f>$B$244</f>
        <v>SLG US Equity</v>
      </c>
      <c r="C544" t="str">
        <f>$C$244</f>
        <v>RR253</v>
      </c>
      <c r="D544" t="str">
        <f>$D$244</f>
        <v>CASH_AND_MARKETABLE_SECURITIES</v>
      </c>
      <c r="E544" t="str">
        <f>$E$244</f>
        <v>动态</v>
      </c>
      <c r="F544" t="str">
        <f ca="1">BDH($B$244,$C$244,$B$292,$B$293,CONCATENATE("Per=",$B$290),"Dts=H","Dir=H",CONCATENATE("Points=",$B$291),"Sort=R","Days=A","Fill=B",CONCATENATE("FX=", $B$289) )</f>
        <v>#N/A Authorization</v>
      </c>
      <c r="BN544" t="str">
        <f>""</f>
        <v/>
      </c>
      <c r="BO544" t="str">
        <f>""</f>
        <v/>
      </c>
      <c r="BP544" t="str">
        <f>""</f>
        <v/>
      </c>
      <c r="BQ544" t="str">
        <f>""</f>
        <v/>
      </c>
      <c r="BR544" t="str">
        <f>""</f>
        <v/>
      </c>
      <c r="BS544" t="str">
        <f>""</f>
        <v/>
      </c>
      <c r="BT544" t="str">
        <f>""</f>
        <v/>
      </c>
      <c r="BU544" t="str">
        <f>""</f>
        <v/>
      </c>
      <c r="BV544" t="str">
        <f>""</f>
        <v/>
      </c>
      <c r="BW544" t="str">
        <f>""</f>
        <v/>
      </c>
      <c r="BX544" t="str">
        <f>""</f>
        <v/>
      </c>
      <c r="BY544" t="str">
        <f>""</f>
        <v/>
      </c>
      <c r="BZ544" t="str">
        <f>""</f>
        <v/>
      </c>
      <c r="CA544" t="str">
        <f>""</f>
        <v/>
      </c>
      <c r="CB544" t="str">
        <f>""</f>
        <v/>
      </c>
      <c r="CC544" t="str">
        <f>""</f>
        <v/>
      </c>
      <c r="CD544" t="str">
        <f>""</f>
        <v/>
      </c>
      <c r="CE544" t="str">
        <f>""</f>
        <v/>
      </c>
      <c r="CF544" t="str">
        <f>""</f>
        <v/>
      </c>
      <c r="CG544" t="str">
        <f>""</f>
        <v/>
      </c>
      <c r="CH544" t="str">
        <f>""</f>
        <v/>
      </c>
      <c r="CI544" t="str">
        <f>""</f>
        <v/>
      </c>
      <c r="CJ544" t="str">
        <f>""</f>
        <v/>
      </c>
      <c r="CK544" t="str">
        <f>""</f>
        <v/>
      </c>
      <c r="CL544" t="str">
        <f>""</f>
        <v/>
      </c>
      <c r="CM544" t="str">
        <f>""</f>
        <v/>
      </c>
      <c r="CN544" t="str">
        <f>""</f>
        <v/>
      </c>
      <c r="CO544" t="str">
        <f>""</f>
        <v/>
      </c>
      <c r="CP544" t="str">
        <f>""</f>
        <v/>
      </c>
      <c r="CQ544" t="str">
        <f>""</f>
        <v/>
      </c>
      <c r="CR544" t="str">
        <f>""</f>
        <v/>
      </c>
      <c r="CS544" t="str">
        <f>""</f>
        <v/>
      </c>
      <c r="CT544" t="str">
        <f>""</f>
        <v/>
      </c>
      <c r="CU544" t="str">
        <f>""</f>
        <v/>
      </c>
      <c r="CV544" t="str">
        <f>""</f>
        <v/>
      </c>
      <c r="CW544" t="str">
        <f>""</f>
        <v/>
      </c>
      <c r="CX544" t="str">
        <f>""</f>
        <v/>
      </c>
      <c r="CY544" t="str">
        <f>""</f>
        <v/>
      </c>
      <c r="CZ544" t="str">
        <f>""</f>
        <v/>
      </c>
      <c r="DA544" t="str">
        <f>""</f>
        <v/>
      </c>
      <c r="DB544" t="str">
        <f>""</f>
        <v/>
      </c>
      <c r="DC544" t="str">
        <f>""</f>
        <v/>
      </c>
      <c r="DD544" t="str">
        <f>""</f>
        <v/>
      </c>
      <c r="DE544" t="str">
        <f>""</f>
        <v/>
      </c>
      <c r="DF544" t="str">
        <f>""</f>
        <v/>
      </c>
      <c r="DG544" t="str">
        <f>""</f>
        <v/>
      </c>
      <c r="DH544" t="str">
        <f>""</f>
        <v/>
      </c>
      <c r="DI544" t="str">
        <f>""</f>
        <v/>
      </c>
      <c r="DJ544" t="str">
        <f>""</f>
        <v/>
      </c>
      <c r="DK544" t="str">
        <f>""</f>
        <v/>
      </c>
      <c r="DL544" t="str">
        <f>""</f>
        <v/>
      </c>
      <c r="DM544" t="str">
        <f>""</f>
        <v/>
      </c>
      <c r="DN544" t="str">
        <f>""</f>
        <v/>
      </c>
      <c r="DO544" t="str">
        <f>""</f>
        <v/>
      </c>
      <c r="DP544" t="str">
        <f>""</f>
        <v/>
      </c>
      <c r="DQ544" t="str">
        <f>""</f>
        <v/>
      </c>
      <c r="DR544" t="str">
        <f>""</f>
        <v/>
      </c>
      <c r="DS544" t="str">
        <f>""</f>
        <v/>
      </c>
      <c r="DT544" t="str">
        <f>""</f>
        <v/>
      </c>
      <c r="DU544" t="str">
        <f>""</f>
        <v/>
      </c>
    </row>
    <row r="545" spans="1:125">
      <c r="A545" t="str">
        <f>$A$245</f>
        <v xml:space="preserve">    Vornado Realty Trust</v>
      </c>
      <c r="B545" t="str">
        <f>$B$245</f>
        <v>VNO US Equity</v>
      </c>
      <c r="C545" t="str">
        <f>$C$245</f>
        <v>RR253</v>
      </c>
      <c r="D545" t="str">
        <f>$D$245</f>
        <v>CASH_AND_MARKETABLE_SECURITIES</v>
      </c>
      <c r="E545" t="str">
        <f>$E$245</f>
        <v>动态</v>
      </c>
      <c r="F545" t="str">
        <f ca="1">BDH($B$245,$C$245,$B$292,$B$293,CONCATENATE("Per=",$B$290),"Dts=H","Dir=H",CONCATENATE("Points=",$B$291),"Sort=R","Days=A","Fill=B",CONCATENATE("FX=", $B$289) )</f>
        <v>#N/A Authorization</v>
      </c>
      <c r="BN545" t="str">
        <f>""</f>
        <v/>
      </c>
      <c r="BO545" t="str">
        <f>""</f>
        <v/>
      </c>
      <c r="BP545" t="str">
        <f>""</f>
        <v/>
      </c>
      <c r="BQ545" t="str">
        <f>""</f>
        <v/>
      </c>
      <c r="BR545" t="str">
        <f>""</f>
        <v/>
      </c>
      <c r="BS545" t="str">
        <f>""</f>
        <v/>
      </c>
      <c r="BT545" t="str">
        <f>""</f>
        <v/>
      </c>
      <c r="BU545" t="str">
        <f>""</f>
        <v/>
      </c>
      <c r="BV545" t="str">
        <f>""</f>
        <v/>
      </c>
      <c r="BW545" t="str">
        <f>""</f>
        <v/>
      </c>
      <c r="BX545" t="str">
        <f>""</f>
        <v/>
      </c>
      <c r="BY545" t="str">
        <f>""</f>
        <v/>
      </c>
      <c r="BZ545" t="str">
        <f>""</f>
        <v/>
      </c>
      <c r="CA545" t="str">
        <f>""</f>
        <v/>
      </c>
      <c r="CB545" t="str">
        <f>""</f>
        <v/>
      </c>
      <c r="CC545" t="str">
        <f>""</f>
        <v/>
      </c>
      <c r="CD545" t="str">
        <f>""</f>
        <v/>
      </c>
      <c r="CE545" t="str">
        <f>""</f>
        <v/>
      </c>
      <c r="CF545" t="str">
        <f>""</f>
        <v/>
      </c>
      <c r="CG545" t="str">
        <f>""</f>
        <v/>
      </c>
      <c r="CH545" t="str">
        <f>""</f>
        <v/>
      </c>
      <c r="CI545" t="str">
        <f>""</f>
        <v/>
      </c>
      <c r="CJ545" t="str">
        <f>""</f>
        <v/>
      </c>
      <c r="CK545" t="str">
        <f>""</f>
        <v/>
      </c>
      <c r="CL545" t="str">
        <f>""</f>
        <v/>
      </c>
      <c r="CM545" t="str">
        <f>""</f>
        <v/>
      </c>
      <c r="CN545" t="str">
        <f>""</f>
        <v/>
      </c>
      <c r="CO545" t="str">
        <f>""</f>
        <v/>
      </c>
      <c r="CP545" t="str">
        <f>""</f>
        <v/>
      </c>
      <c r="CQ545" t="str">
        <f>""</f>
        <v/>
      </c>
      <c r="CR545" t="str">
        <f>""</f>
        <v/>
      </c>
      <c r="CS545" t="str">
        <f>""</f>
        <v/>
      </c>
      <c r="CT545" t="str">
        <f>""</f>
        <v/>
      </c>
      <c r="CU545" t="str">
        <f>""</f>
        <v/>
      </c>
      <c r="CV545" t="str">
        <f>""</f>
        <v/>
      </c>
      <c r="CW545" t="str">
        <f>""</f>
        <v/>
      </c>
      <c r="CX545" t="str">
        <f>""</f>
        <v/>
      </c>
      <c r="CY545" t="str">
        <f>""</f>
        <v/>
      </c>
      <c r="CZ545" t="str">
        <f>""</f>
        <v/>
      </c>
      <c r="DA545" t="str">
        <f>""</f>
        <v/>
      </c>
      <c r="DB545" t="str">
        <f>""</f>
        <v/>
      </c>
      <c r="DC545" t="str">
        <f>""</f>
        <v/>
      </c>
      <c r="DD545" t="str">
        <f>""</f>
        <v/>
      </c>
      <c r="DE545" t="str">
        <f>""</f>
        <v/>
      </c>
      <c r="DF545" t="str">
        <f>""</f>
        <v/>
      </c>
      <c r="DG545" t="str">
        <f>""</f>
        <v/>
      </c>
      <c r="DH545" t="str">
        <f>""</f>
        <v/>
      </c>
      <c r="DI545" t="str">
        <f>""</f>
        <v/>
      </c>
      <c r="DJ545" t="str">
        <f>""</f>
        <v/>
      </c>
      <c r="DK545" t="str">
        <f>""</f>
        <v/>
      </c>
      <c r="DL545" t="str">
        <f>""</f>
        <v/>
      </c>
      <c r="DM545" t="str">
        <f>""</f>
        <v/>
      </c>
      <c r="DN545" t="str">
        <f>""</f>
        <v/>
      </c>
      <c r="DO545" t="str">
        <f>""</f>
        <v/>
      </c>
      <c r="DP545" t="str">
        <f>""</f>
        <v/>
      </c>
      <c r="DQ545" t="str">
        <f>""</f>
        <v/>
      </c>
      <c r="DR545" t="str">
        <f>""</f>
        <v/>
      </c>
      <c r="DS545" t="str">
        <f>""</f>
        <v/>
      </c>
      <c r="DT545" t="str">
        <f>""</f>
        <v/>
      </c>
      <c r="DU545" t="str">
        <f>""</f>
        <v/>
      </c>
    </row>
    <row r="546" spans="1:125">
      <c r="A546" t="str">
        <f>$A$247</f>
        <v xml:space="preserve">    Boston Properties Inc</v>
      </c>
      <c r="B546" t="str">
        <f>$B$247</f>
        <v>BXP US Equity</v>
      </c>
      <c r="C546" t="str">
        <f>$C$247</f>
        <v>RR008</v>
      </c>
      <c r="D546" t="str">
        <f>$D$247</f>
        <v>CF_FREE_CASH_FLOW</v>
      </c>
      <c r="E546" t="str">
        <f>$E$247</f>
        <v>动态</v>
      </c>
      <c r="F546" t="str">
        <f ca="1">BDH($B$247,$C$247,$B$292,$B$293,CONCATENATE("Per=",$B$290),"Dts=H","Dir=H",CONCATENATE("Points=",$B$291),"Sort=R","Days=A","Fill=B",CONCATENATE("FX=", $B$289) )</f>
        <v>#N/A Authorization</v>
      </c>
      <c r="BN546" t="str">
        <f>""</f>
        <v/>
      </c>
      <c r="BO546" t="str">
        <f>""</f>
        <v/>
      </c>
      <c r="BP546" t="str">
        <f>""</f>
        <v/>
      </c>
      <c r="BQ546" t="str">
        <f>""</f>
        <v/>
      </c>
      <c r="BR546" t="str">
        <f>""</f>
        <v/>
      </c>
      <c r="BS546" t="str">
        <f>""</f>
        <v/>
      </c>
      <c r="BT546" t="str">
        <f>""</f>
        <v/>
      </c>
      <c r="BU546" t="str">
        <f>""</f>
        <v/>
      </c>
      <c r="BV546" t="str">
        <f>""</f>
        <v/>
      </c>
      <c r="BW546" t="str">
        <f>""</f>
        <v/>
      </c>
      <c r="BX546" t="str">
        <f>""</f>
        <v/>
      </c>
      <c r="BY546" t="str">
        <f>""</f>
        <v/>
      </c>
      <c r="BZ546" t="str">
        <f>""</f>
        <v/>
      </c>
      <c r="CA546" t="str">
        <f>""</f>
        <v/>
      </c>
      <c r="CB546" t="str">
        <f>""</f>
        <v/>
      </c>
      <c r="CC546" t="str">
        <f>""</f>
        <v/>
      </c>
      <c r="CD546" t="str">
        <f>""</f>
        <v/>
      </c>
      <c r="CE546" t="str">
        <f>""</f>
        <v/>
      </c>
      <c r="CF546" t="str">
        <f>""</f>
        <v/>
      </c>
      <c r="CG546" t="str">
        <f>""</f>
        <v/>
      </c>
      <c r="CH546" t="str">
        <f>""</f>
        <v/>
      </c>
      <c r="CI546" t="str">
        <f>""</f>
        <v/>
      </c>
      <c r="CJ546" t="str">
        <f>""</f>
        <v/>
      </c>
      <c r="CK546" t="str">
        <f>""</f>
        <v/>
      </c>
      <c r="CL546" t="str">
        <f>""</f>
        <v/>
      </c>
      <c r="CM546" t="str">
        <f>""</f>
        <v/>
      </c>
      <c r="CN546" t="str">
        <f>""</f>
        <v/>
      </c>
      <c r="CO546" t="str">
        <f>""</f>
        <v/>
      </c>
      <c r="CP546" t="str">
        <f>""</f>
        <v/>
      </c>
      <c r="CQ546" t="str">
        <f>""</f>
        <v/>
      </c>
      <c r="CR546" t="str">
        <f>""</f>
        <v/>
      </c>
      <c r="CS546" t="str">
        <f>""</f>
        <v/>
      </c>
      <c r="CT546" t="str">
        <f>""</f>
        <v/>
      </c>
      <c r="CU546" t="str">
        <f>""</f>
        <v/>
      </c>
      <c r="CV546" t="str">
        <f>""</f>
        <v/>
      </c>
      <c r="CW546" t="str">
        <f>""</f>
        <v/>
      </c>
      <c r="CX546" t="str">
        <f>""</f>
        <v/>
      </c>
      <c r="CY546" t="str">
        <f>""</f>
        <v/>
      </c>
      <c r="CZ546" t="str">
        <f>""</f>
        <v/>
      </c>
      <c r="DA546" t="str">
        <f>""</f>
        <v/>
      </c>
      <c r="DB546" t="str">
        <f>""</f>
        <v/>
      </c>
      <c r="DC546" t="str">
        <f>""</f>
        <v/>
      </c>
      <c r="DD546" t="str">
        <f>""</f>
        <v/>
      </c>
      <c r="DE546" t="str">
        <f>""</f>
        <v/>
      </c>
      <c r="DF546" t="str">
        <f>""</f>
        <v/>
      </c>
      <c r="DG546" t="str">
        <f>""</f>
        <v/>
      </c>
      <c r="DH546" t="str">
        <f>""</f>
        <v/>
      </c>
      <c r="DI546" t="str">
        <f>""</f>
        <v/>
      </c>
      <c r="DJ546" t="str">
        <f>""</f>
        <v/>
      </c>
      <c r="DK546" t="str">
        <f>""</f>
        <v/>
      </c>
      <c r="DL546" t="str">
        <f>""</f>
        <v/>
      </c>
      <c r="DM546" t="str">
        <f>""</f>
        <v/>
      </c>
      <c r="DN546" t="str">
        <f>""</f>
        <v/>
      </c>
      <c r="DO546" t="str">
        <f>""</f>
        <v/>
      </c>
      <c r="DP546" t="str">
        <f>""</f>
        <v/>
      </c>
      <c r="DQ546" t="str">
        <f>""</f>
        <v/>
      </c>
      <c r="DR546" t="str">
        <f>""</f>
        <v/>
      </c>
      <c r="DS546" t="str">
        <f>""</f>
        <v/>
      </c>
      <c r="DT546" t="str">
        <f>""</f>
        <v/>
      </c>
      <c r="DU546" t="str">
        <f>""</f>
        <v/>
      </c>
    </row>
    <row r="547" spans="1:125">
      <c r="A547" t="str">
        <f>$A$248</f>
        <v xml:space="preserve">    Brandywine Realty Trust</v>
      </c>
      <c r="B547" t="str">
        <f>$B$248</f>
        <v>BDN US Equity</v>
      </c>
      <c r="C547" t="str">
        <f>$C$248</f>
        <v>RR008</v>
      </c>
      <c r="D547" t="str">
        <f>$D$248</f>
        <v>CF_FREE_CASH_FLOW</v>
      </c>
      <c r="E547" t="str">
        <f>$E$248</f>
        <v>动态</v>
      </c>
      <c r="F547" t="str">
        <f ca="1">BDH($B$248,$C$248,$B$292,$B$293,CONCATENATE("Per=",$B$290),"Dts=H","Dir=H",CONCATENATE("Points=",$B$291),"Sort=R","Days=A","Fill=B",CONCATENATE("FX=", $B$289) )</f>
        <v>#N/A Authorization</v>
      </c>
      <c r="BN547" t="str">
        <f>""</f>
        <v/>
      </c>
      <c r="BO547" t="str">
        <f>""</f>
        <v/>
      </c>
      <c r="BP547" t="str">
        <f>""</f>
        <v/>
      </c>
      <c r="BQ547" t="str">
        <f>""</f>
        <v/>
      </c>
      <c r="BR547" t="str">
        <f>""</f>
        <v/>
      </c>
      <c r="BS547" t="str">
        <f>""</f>
        <v/>
      </c>
      <c r="BT547" t="str">
        <f>""</f>
        <v/>
      </c>
      <c r="BU547" t="str">
        <f>""</f>
        <v/>
      </c>
      <c r="BV547" t="str">
        <f>""</f>
        <v/>
      </c>
      <c r="BW547" t="str">
        <f>""</f>
        <v/>
      </c>
      <c r="BX547" t="str">
        <f>""</f>
        <v/>
      </c>
      <c r="BY547" t="str">
        <f>""</f>
        <v/>
      </c>
      <c r="BZ547" t="str">
        <f>""</f>
        <v/>
      </c>
      <c r="CA547" t="str">
        <f>""</f>
        <v/>
      </c>
      <c r="CB547" t="str">
        <f>""</f>
        <v/>
      </c>
      <c r="CC547" t="str">
        <f>""</f>
        <v/>
      </c>
      <c r="CD547" t="str">
        <f>""</f>
        <v/>
      </c>
      <c r="CE547" t="str">
        <f>""</f>
        <v/>
      </c>
      <c r="CF547" t="str">
        <f>""</f>
        <v/>
      </c>
      <c r="CG547" t="str">
        <f>""</f>
        <v/>
      </c>
      <c r="CH547" t="str">
        <f>""</f>
        <v/>
      </c>
      <c r="CI547" t="str">
        <f>""</f>
        <v/>
      </c>
      <c r="CJ547" t="str">
        <f>""</f>
        <v/>
      </c>
      <c r="CK547" t="str">
        <f>""</f>
        <v/>
      </c>
      <c r="CL547" t="str">
        <f>""</f>
        <v/>
      </c>
      <c r="CM547" t="str">
        <f>""</f>
        <v/>
      </c>
      <c r="CN547" t="str">
        <f>""</f>
        <v/>
      </c>
      <c r="CO547" t="str">
        <f>""</f>
        <v/>
      </c>
      <c r="CP547" t="str">
        <f>""</f>
        <v/>
      </c>
      <c r="CQ547" t="str">
        <f>""</f>
        <v/>
      </c>
      <c r="CR547" t="str">
        <f>""</f>
        <v/>
      </c>
      <c r="CS547" t="str">
        <f>""</f>
        <v/>
      </c>
      <c r="CT547" t="str">
        <f>""</f>
        <v/>
      </c>
      <c r="CU547" t="str">
        <f>""</f>
        <v/>
      </c>
      <c r="CV547" t="str">
        <f>""</f>
        <v/>
      </c>
      <c r="CW547" t="str">
        <f>""</f>
        <v/>
      </c>
      <c r="CX547" t="str">
        <f>""</f>
        <v/>
      </c>
      <c r="CY547" t="str">
        <f>""</f>
        <v/>
      </c>
      <c r="CZ547" t="str">
        <f>""</f>
        <v/>
      </c>
      <c r="DA547" t="str">
        <f>""</f>
        <v/>
      </c>
      <c r="DB547" t="str">
        <f>""</f>
        <v/>
      </c>
      <c r="DC547" t="str">
        <f>""</f>
        <v/>
      </c>
      <c r="DD547" t="str">
        <f>""</f>
        <v/>
      </c>
      <c r="DE547" t="str">
        <f>""</f>
        <v/>
      </c>
      <c r="DF547" t="str">
        <f>""</f>
        <v/>
      </c>
      <c r="DG547" t="str">
        <f>""</f>
        <v/>
      </c>
      <c r="DH547" t="str">
        <f>""</f>
        <v/>
      </c>
      <c r="DI547" t="str">
        <f>""</f>
        <v/>
      </c>
      <c r="DJ547" t="str">
        <f>""</f>
        <v/>
      </c>
      <c r="DK547" t="str">
        <f>""</f>
        <v/>
      </c>
      <c r="DL547" t="str">
        <f>""</f>
        <v/>
      </c>
      <c r="DM547" t="str">
        <f>""</f>
        <v/>
      </c>
      <c r="DN547" t="str">
        <f>""</f>
        <v/>
      </c>
      <c r="DO547" t="str">
        <f>""</f>
        <v/>
      </c>
      <c r="DP547" t="str">
        <f>""</f>
        <v/>
      </c>
      <c r="DQ547" t="str">
        <f>""</f>
        <v/>
      </c>
      <c r="DR547" t="str">
        <f>""</f>
        <v/>
      </c>
      <c r="DS547" t="str">
        <f>""</f>
        <v/>
      </c>
      <c r="DT547" t="str">
        <f>""</f>
        <v/>
      </c>
      <c r="DU547" t="str">
        <f>""</f>
        <v/>
      </c>
    </row>
    <row r="548" spans="1:125">
      <c r="A548" t="str">
        <f>$A$249</f>
        <v xml:space="preserve">    Columbia Property Trust Inc</v>
      </c>
      <c r="B548" t="str">
        <f>$B$249</f>
        <v>CXP US Equity</v>
      </c>
      <c r="C548" t="str">
        <f>$C$249</f>
        <v>RR008</v>
      </c>
      <c r="D548" t="str">
        <f>$D$249</f>
        <v>CF_FREE_CASH_FLOW</v>
      </c>
      <c r="E548" t="str">
        <f>$E$249</f>
        <v>动态</v>
      </c>
      <c r="F548" t="str">
        <f ca="1">BDH($B$249,$C$249,$B$292,$B$293,CONCATENATE("Per=",$B$290),"Dts=H","Dir=H",CONCATENATE("Points=",$B$291),"Sort=R","Days=A","Fill=B",CONCATENATE("FX=", $B$289) )</f>
        <v>#N/A Authorization</v>
      </c>
      <c r="BN548" t="str">
        <f>""</f>
        <v/>
      </c>
      <c r="BO548" t="str">
        <f>""</f>
        <v/>
      </c>
      <c r="BP548" t="str">
        <f>""</f>
        <v/>
      </c>
      <c r="BQ548" t="str">
        <f>""</f>
        <v/>
      </c>
      <c r="BR548" t="str">
        <f>""</f>
        <v/>
      </c>
      <c r="BS548" t="str">
        <f>""</f>
        <v/>
      </c>
      <c r="BT548" t="str">
        <f>""</f>
        <v/>
      </c>
      <c r="BU548" t="str">
        <f>""</f>
        <v/>
      </c>
      <c r="BV548" t="str">
        <f>""</f>
        <v/>
      </c>
      <c r="BW548" t="str">
        <f>""</f>
        <v/>
      </c>
      <c r="BX548" t="str">
        <f>""</f>
        <v/>
      </c>
      <c r="BY548" t="str">
        <f>""</f>
        <v/>
      </c>
      <c r="BZ548" t="str">
        <f>""</f>
        <v/>
      </c>
      <c r="CA548" t="str">
        <f>""</f>
        <v/>
      </c>
      <c r="CB548" t="str">
        <f>""</f>
        <v/>
      </c>
      <c r="CC548" t="str">
        <f>""</f>
        <v/>
      </c>
      <c r="CD548" t="str">
        <f>""</f>
        <v/>
      </c>
      <c r="CE548" t="str">
        <f>""</f>
        <v/>
      </c>
      <c r="CF548" t="str">
        <f>""</f>
        <v/>
      </c>
      <c r="CG548" t="str">
        <f>""</f>
        <v/>
      </c>
      <c r="CH548" t="str">
        <f>""</f>
        <v/>
      </c>
      <c r="CI548" t="str">
        <f>""</f>
        <v/>
      </c>
      <c r="CJ548" t="str">
        <f>""</f>
        <v/>
      </c>
      <c r="CK548" t="str">
        <f>""</f>
        <v/>
      </c>
      <c r="CL548" t="str">
        <f>""</f>
        <v/>
      </c>
      <c r="CM548" t="str">
        <f>""</f>
        <v/>
      </c>
      <c r="CN548" t="str">
        <f>""</f>
        <v/>
      </c>
      <c r="CO548" t="str">
        <f>""</f>
        <v/>
      </c>
      <c r="CP548" t="str">
        <f>""</f>
        <v/>
      </c>
      <c r="CQ548" t="str">
        <f>""</f>
        <v/>
      </c>
      <c r="CR548" t="str">
        <f>""</f>
        <v/>
      </c>
      <c r="CS548" t="str">
        <f>""</f>
        <v/>
      </c>
      <c r="CT548" t="str">
        <f>""</f>
        <v/>
      </c>
      <c r="CU548" t="str">
        <f>""</f>
        <v/>
      </c>
      <c r="CV548" t="str">
        <f>""</f>
        <v/>
      </c>
      <c r="CW548" t="str">
        <f>""</f>
        <v/>
      </c>
      <c r="CX548" t="str">
        <f>""</f>
        <v/>
      </c>
      <c r="CY548" t="str">
        <f>""</f>
        <v/>
      </c>
      <c r="CZ548" t="str">
        <f>""</f>
        <v/>
      </c>
      <c r="DA548" t="str">
        <f>""</f>
        <v/>
      </c>
      <c r="DB548" t="str">
        <f>""</f>
        <v/>
      </c>
      <c r="DC548" t="str">
        <f>""</f>
        <v/>
      </c>
      <c r="DD548" t="str">
        <f>""</f>
        <v/>
      </c>
      <c r="DE548" t="str">
        <f>""</f>
        <v/>
      </c>
      <c r="DF548" t="str">
        <f>""</f>
        <v/>
      </c>
      <c r="DG548" t="str">
        <f>""</f>
        <v/>
      </c>
      <c r="DH548" t="str">
        <f>""</f>
        <v/>
      </c>
      <c r="DI548" t="str">
        <f>""</f>
        <v/>
      </c>
      <c r="DJ548" t="str">
        <f>""</f>
        <v/>
      </c>
      <c r="DK548" t="str">
        <f>""</f>
        <v/>
      </c>
      <c r="DL548" t="str">
        <f>""</f>
        <v/>
      </c>
      <c r="DM548" t="str">
        <f>""</f>
        <v/>
      </c>
      <c r="DN548" t="str">
        <f>""</f>
        <v/>
      </c>
      <c r="DO548" t="str">
        <f>""</f>
        <v/>
      </c>
      <c r="DP548" t="str">
        <f>""</f>
        <v/>
      </c>
      <c r="DQ548" t="str">
        <f>""</f>
        <v/>
      </c>
      <c r="DR548" t="str">
        <f>""</f>
        <v/>
      </c>
      <c r="DS548" t="str">
        <f>""</f>
        <v/>
      </c>
      <c r="DT548" t="str">
        <f>""</f>
        <v/>
      </c>
      <c r="DU548" t="str">
        <f>""</f>
        <v/>
      </c>
    </row>
    <row r="549" spans="1:125">
      <c r="A549" t="str">
        <f>$A$250</f>
        <v xml:space="preserve">    Corporate Office Properties Tr</v>
      </c>
      <c r="B549" t="str">
        <f>$B$250</f>
        <v>OFC US Equity</v>
      </c>
      <c r="C549" t="str">
        <f>$C$250</f>
        <v>RR008</v>
      </c>
      <c r="D549" t="str">
        <f>$D$250</f>
        <v>CF_FREE_CASH_FLOW</v>
      </c>
      <c r="E549" t="str">
        <f>$E$250</f>
        <v>动态</v>
      </c>
      <c r="F549" t="str">
        <f ca="1">BDH($B$250,$C$250,$B$292,$B$293,CONCATENATE("Per=",$B$290),"Dts=H","Dir=H",CONCATENATE("Points=",$B$291),"Sort=R","Days=A","Fill=B",CONCATENATE("FX=", $B$289) )</f>
        <v>#N/A Authorization</v>
      </c>
      <c r="BN549" t="str">
        <f>""</f>
        <v/>
      </c>
      <c r="BO549" t="str">
        <f>""</f>
        <v/>
      </c>
      <c r="BP549" t="str">
        <f>""</f>
        <v/>
      </c>
      <c r="BQ549" t="str">
        <f>""</f>
        <v/>
      </c>
      <c r="BR549" t="str">
        <f>""</f>
        <v/>
      </c>
      <c r="BS549" t="str">
        <f>""</f>
        <v/>
      </c>
      <c r="BT549" t="str">
        <f>""</f>
        <v/>
      </c>
      <c r="BU549" t="str">
        <f>""</f>
        <v/>
      </c>
      <c r="BV549" t="str">
        <f>""</f>
        <v/>
      </c>
      <c r="BW549" t="str">
        <f>""</f>
        <v/>
      </c>
      <c r="BX549" t="str">
        <f>""</f>
        <v/>
      </c>
      <c r="BY549" t="str">
        <f>""</f>
        <v/>
      </c>
      <c r="BZ549" t="str">
        <f>""</f>
        <v/>
      </c>
      <c r="CA549" t="str">
        <f>""</f>
        <v/>
      </c>
      <c r="CB549" t="str">
        <f>""</f>
        <v/>
      </c>
      <c r="CC549" t="str">
        <f>""</f>
        <v/>
      </c>
      <c r="CD549" t="str">
        <f>""</f>
        <v/>
      </c>
      <c r="CE549" t="str">
        <f>""</f>
        <v/>
      </c>
      <c r="CF549" t="str">
        <f>""</f>
        <v/>
      </c>
      <c r="CG549" t="str">
        <f>""</f>
        <v/>
      </c>
      <c r="CH549" t="str">
        <f>""</f>
        <v/>
      </c>
      <c r="CI549" t="str">
        <f>""</f>
        <v/>
      </c>
      <c r="CJ549" t="str">
        <f>""</f>
        <v/>
      </c>
      <c r="CK549" t="str">
        <f>""</f>
        <v/>
      </c>
      <c r="CL549" t="str">
        <f>""</f>
        <v/>
      </c>
      <c r="CM549" t="str">
        <f>""</f>
        <v/>
      </c>
      <c r="CN549" t="str">
        <f>""</f>
        <v/>
      </c>
      <c r="CO549" t="str">
        <f>""</f>
        <v/>
      </c>
      <c r="CP549" t="str">
        <f>""</f>
        <v/>
      </c>
      <c r="CQ549" t="str">
        <f>""</f>
        <v/>
      </c>
      <c r="CR549" t="str">
        <f>""</f>
        <v/>
      </c>
      <c r="CS549" t="str">
        <f>""</f>
        <v/>
      </c>
      <c r="CT549" t="str">
        <f>""</f>
        <v/>
      </c>
      <c r="CU549" t="str">
        <f>""</f>
        <v/>
      </c>
      <c r="CV549" t="str">
        <f>""</f>
        <v/>
      </c>
      <c r="CW549" t="str">
        <f>""</f>
        <v/>
      </c>
      <c r="CX549" t="str">
        <f>""</f>
        <v/>
      </c>
      <c r="CY549" t="str">
        <f>""</f>
        <v/>
      </c>
      <c r="CZ549" t="str">
        <f>""</f>
        <v/>
      </c>
      <c r="DA549" t="str">
        <f>""</f>
        <v/>
      </c>
      <c r="DB549" t="str">
        <f>""</f>
        <v/>
      </c>
      <c r="DC549" t="str">
        <f>""</f>
        <v/>
      </c>
      <c r="DD549" t="str">
        <f>""</f>
        <v/>
      </c>
      <c r="DE549" t="str">
        <f>""</f>
        <v/>
      </c>
      <c r="DF549" t="str">
        <f>""</f>
        <v/>
      </c>
      <c r="DG549" t="str">
        <f>""</f>
        <v/>
      </c>
      <c r="DH549" t="str">
        <f>""</f>
        <v/>
      </c>
      <c r="DI549" t="str">
        <f>""</f>
        <v/>
      </c>
      <c r="DJ549" t="str">
        <f>""</f>
        <v/>
      </c>
      <c r="DK549" t="str">
        <f>""</f>
        <v/>
      </c>
      <c r="DL549" t="str">
        <f>""</f>
        <v/>
      </c>
      <c r="DM549" t="str">
        <f>""</f>
        <v/>
      </c>
      <c r="DN549" t="str">
        <f>""</f>
        <v/>
      </c>
      <c r="DO549" t="str">
        <f>""</f>
        <v/>
      </c>
      <c r="DP549" t="str">
        <f>""</f>
        <v/>
      </c>
      <c r="DQ549" t="str">
        <f>""</f>
        <v/>
      </c>
      <c r="DR549" t="str">
        <f>""</f>
        <v/>
      </c>
      <c r="DS549" t="str">
        <f>""</f>
        <v/>
      </c>
      <c r="DT549" t="str">
        <f>""</f>
        <v/>
      </c>
      <c r="DU549" t="str">
        <f>""</f>
        <v/>
      </c>
    </row>
    <row r="550" spans="1:125">
      <c r="A550" t="str">
        <f>$A$251</f>
        <v xml:space="preserve">    Highwoods Properties Inc</v>
      </c>
      <c r="B550" t="str">
        <f>$B$251</f>
        <v>HIW US Equity</v>
      </c>
      <c r="C550" t="str">
        <f>$C$251</f>
        <v>RR008</v>
      </c>
      <c r="D550" t="str">
        <f>$D$251</f>
        <v>CF_FREE_CASH_FLOW</v>
      </c>
      <c r="E550" t="str">
        <f>$E$251</f>
        <v>动态</v>
      </c>
      <c r="F550" t="str">
        <f ca="1">BDH($B$251,$C$251,$B$292,$B$293,CONCATENATE("Per=",$B$290),"Dts=H","Dir=H",CONCATENATE("Points=",$B$291),"Sort=R","Days=A","Fill=B",CONCATENATE("FX=", $B$289) )</f>
        <v>#N/A Authorization</v>
      </c>
      <c r="BN550" t="str">
        <f>""</f>
        <v/>
      </c>
      <c r="BO550" t="str">
        <f>""</f>
        <v/>
      </c>
      <c r="BP550" t="str">
        <f>""</f>
        <v/>
      </c>
      <c r="BQ550" t="str">
        <f>""</f>
        <v/>
      </c>
      <c r="BR550" t="str">
        <f>""</f>
        <v/>
      </c>
      <c r="BS550" t="str">
        <f>""</f>
        <v/>
      </c>
      <c r="BT550" t="str">
        <f>""</f>
        <v/>
      </c>
      <c r="BU550" t="str">
        <f>""</f>
        <v/>
      </c>
      <c r="BV550" t="str">
        <f>""</f>
        <v/>
      </c>
      <c r="BW550" t="str">
        <f>""</f>
        <v/>
      </c>
      <c r="BX550" t="str">
        <f>""</f>
        <v/>
      </c>
      <c r="BY550" t="str">
        <f>""</f>
        <v/>
      </c>
      <c r="BZ550" t="str">
        <f>""</f>
        <v/>
      </c>
      <c r="CA550" t="str">
        <f>""</f>
        <v/>
      </c>
      <c r="CB550" t="str">
        <f>""</f>
        <v/>
      </c>
      <c r="CC550" t="str">
        <f>""</f>
        <v/>
      </c>
      <c r="CD550" t="str">
        <f>""</f>
        <v/>
      </c>
      <c r="CE550" t="str">
        <f>""</f>
        <v/>
      </c>
      <c r="CF550" t="str">
        <f>""</f>
        <v/>
      </c>
      <c r="CG550" t="str">
        <f>""</f>
        <v/>
      </c>
      <c r="CH550" t="str">
        <f>""</f>
        <v/>
      </c>
      <c r="CI550" t="str">
        <f>""</f>
        <v/>
      </c>
      <c r="CJ550" t="str">
        <f>""</f>
        <v/>
      </c>
      <c r="CK550" t="str">
        <f>""</f>
        <v/>
      </c>
      <c r="CL550" t="str">
        <f>""</f>
        <v/>
      </c>
      <c r="CM550" t="str">
        <f>""</f>
        <v/>
      </c>
      <c r="CN550" t="str">
        <f>""</f>
        <v/>
      </c>
      <c r="CO550" t="str">
        <f>""</f>
        <v/>
      </c>
      <c r="CP550" t="str">
        <f>""</f>
        <v/>
      </c>
      <c r="CQ550" t="str">
        <f>""</f>
        <v/>
      </c>
      <c r="CR550" t="str">
        <f>""</f>
        <v/>
      </c>
      <c r="CS550" t="str">
        <f>""</f>
        <v/>
      </c>
      <c r="CT550" t="str">
        <f>""</f>
        <v/>
      </c>
      <c r="CU550" t="str">
        <f>""</f>
        <v/>
      </c>
      <c r="CV550" t="str">
        <f>""</f>
        <v/>
      </c>
      <c r="CW550" t="str">
        <f>""</f>
        <v/>
      </c>
      <c r="CX550" t="str">
        <f>""</f>
        <v/>
      </c>
      <c r="CY550" t="str">
        <f>""</f>
        <v/>
      </c>
      <c r="CZ550" t="str">
        <f>""</f>
        <v/>
      </c>
      <c r="DA550" t="str">
        <f>""</f>
        <v/>
      </c>
      <c r="DB550" t="str">
        <f>""</f>
        <v/>
      </c>
      <c r="DC550" t="str">
        <f>""</f>
        <v/>
      </c>
      <c r="DD550" t="str">
        <f>""</f>
        <v/>
      </c>
      <c r="DE550" t="str">
        <f>""</f>
        <v/>
      </c>
      <c r="DF550" t="str">
        <f>""</f>
        <v/>
      </c>
      <c r="DG550" t="str">
        <f>""</f>
        <v/>
      </c>
      <c r="DH550" t="str">
        <f>""</f>
        <v/>
      </c>
      <c r="DI550" t="str">
        <f>""</f>
        <v/>
      </c>
      <c r="DJ550" t="str">
        <f>""</f>
        <v/>
      </c>
      <c r="DK550" t="str">
        <f>""</f>
        <v/>
      </c>
      <c r="DL550" t="str">
        <f>""</f>
        <v/>
      </c>
      <c r="DM550" t="str">
        <f>""</f>
        <v/>
      </c>
      <c r="DN550" t="str">
        <f>""</f>
        <v/>
      </c>
      <c r="DO550" t="str">
        <f>""</f>
        <v/>
      </c>
      <c r="DP550" t="str">
        <f>""</f>
        <v/>
      </c>
      <c r="DQ550" t="str">
        <f>""</f>
        <v/>
      </c>
      <c r="DR550" t="str">
        <f>""</f>
        <v/>
      </c>
      <c r="DS550" t="str">
        <f>""</f>
        <v/>
      </c>
      <c r="DT550" t="str">
        <f>""</f>
        <v/>
      </c>
      <c r="DU550" t="str">
        <f>""</f>
        <v/>
      </c>
    </row>
    <row r="551" spans="1:125">
      <c r="A551" t="str">
        <f>$A$252</f>
        <v xml:space="preserve">    Kilroy Realty Corp</v>
      </c>
      <c r="B551" t="str">
        <f>$B$252</f>
        <v>KRC US Equity</v>
      </c>
      <c r="C551" t="str">
        <f>$C$252</f>
        <v>RR008</v>
      </c>
      <c r="D551" t="str">
        <f>$D$252</f>
        <v>CF_FREE_CASH_FLOW</v>
      </c>
      <c r="E551" t="str">
        <f>$E$252</f>
        <v>动态</v>
      </c>
      <c r="F551" t="str">
        <f ca="1">BDH($B$252,$C$252,$B$292,$B$293,CONCATENATE("Per=",$B$290),"Dts=H","Dir=H",CONCATENATE("Points=",$B$291),"Sort=R","Days=A","Fill=B",CONCATENATE("FX=", $B$289) )</f>
        <v>#N/A Authorization</v>
      </c>
      <c r="BN551" t="str">
        <f>""</f>
        <v/>
      </c>
      <c r="BO551" t="str">
        <f>""</f>
        <v/>
      </c>
      <c r="BP551" t="str">
        <f>""</f>
        <v/>
      </c>
      <c r="BQ551" t="str">
        <f>""</f>
        <v/>
      </c>
      <c r="BR551" t="str">
        <f>""</f>
        <v/>
      </c>
      <c r="BS551" t="str">
        <f>""</f>
        <v/>
      </c>
      <c r="BT551" t="str">
        <f>""</f>
        <v/>
      </c>
      <c r="BU551" t="str">
        <f>""</f>
        <v/>
      </c>
      <c r="BV551" t="str">
        <f>""</f>
        <v/>
      </c>
      <c r="BW551" t="str">
        <f>""</f>
        <v/>
      </c>
      <c r="BX551" t="str">
        <f>""</f>
        <v/>
      </c>
      <c r="BY551" t="str">
        <f>""</f>
        <v/>
      </c>
      <c r="BZ551" t="str">
        <f>""</f>
        <v/>
      </c>
      <c r="CA551" t="str">
        <f>""</f>
        <v/>
      </c>
      <c r="CB551" t="str">
        <f>""</f>
        <v/>
      </c>
      <c r="CC551" t="str">
        <f>""</f>
        <v/>
      </c>
      <c r="CD551" t="str">
        <f>""</f>
        <v/>
      </c>
      <c r="CE551" t="str">
        <f>""</f>
        <v/>
      </c>
      <c r="CF551" t="str">
        <f>""</f>
        <v/>
      </c>
      <c r="CG551" t="str">
        <f>""</f>
        <v/>
      </c>
      <c r="CH551" t="str">
        <f>""</f>
        <v/>
      </c>
      <c r="CI551" t="str">
        <f>""</f>
        <v/>
      </c>
      <c r="CJ551" t="str">
        <f>""</f>
        <v/>
      </c>
      <c r="CK551" t="str">
        <f>""</f>
        <v/>
      </c>
      <c r="CL551" t="str">
        <f>""</f>
        <v/>
      </c>
      <c r="CM551" t="str">
        <f>""</f>
        <v/>
      </c>
      <c r="CN551" t="str">
        <f>""</f>
        <v/>
      </c>
      <c r="CO551" t="str">
        <f>""</f>
        <v/>
      </c>
      <c r="CP551" t="str">
        <f>""</f>
        <v/>
      </c>
      <c r="CQ551" t="str">
        <f>""</f>
        <v/>
      </c>
      <c r="CR551" t="str">
        <f>""</f>
        <v/>
      </c>
      <c r="CS551" t="str">
        <f>""</f>
        <v/>
      </c>
      <c r="CT551" t="str">
        <f>""</f>
        <v/>
      </c>
      <c r="CU551" t="str">
        <f>""</f>
        <v/>
      </c>
      <c r="CV551" t="str">
        <f>""</f>
        <v/>
      </c>
      <c r="CW551" t="str">
        <f>""</f>
        <v/>
      </c>
      <c r="CX551" t="str">
        <f>""</f>
        <v/>
      </c>
      <c r="CY551" t="str">
        <f>""</f>
        <v/>
      </c>
      <c r="CZ551" t="str">
        <f>""</f>
        <v/>
      </c>
      <c r="DA551" t="str">
        <f>""</f>
        <v/>
      </c>
      <c r="DB551" t="str">
        <f>""</f>
        <v/>
      </c>
      <c r="DC551" t="str">
        <f>""</f>
        <v/>
      </c>
      <c r="DD551" t="str">
        <f>""</f>
        <v/>
      </c>
      <c r="DE551" t="str">
        <f>""</f>
        <v/>
      </c>
      <c r="DF551" t="str">
        <f>""</f>
        <v/>
      </c>
      <c r="DG551" t="str">
        <f>""</f>
        <v/>
      </c>
      <c r="DH551" t="str">
        <f>""</f>
        <v/>
      </c>
      <c r="DI551" t="str">
        <f>""</f>
        <v/>
      </c>
      <c r="DJ551" t="str">
        <f>""</f>
        <v/>
      </c>
      <c r="DK551" t="str">
        <f>""</f>
        <v/>
      </c>
      <c r="DL551" t="str">
        <f>""</f>
        <v/>
      </c>
      <c r="DM551" t="str">
        <f>""</f>
        <v/>
      </c>
      <c r="DN551" t="str">
        <f>""</f>
        <v/>
      </c>
      <c r="DO551" t="str">
        <f>""</f>
        <v/>
      </c>
      <c r="DP551" t="str">
        <f>""</f>
        <v/>
      </c>
      <c r="DQ551" t="str">
        <f>""</f>
        <v/>
      </c>
      <c r="DR551" t="str">
        <f>""</f>
        <v/>
      </c>
      <c r="DS551" t="str">
        <f>""</f>
        <v/>
      </c>
      <c r="DT551" t="str">
        <f>""</f>
        <v/>
      </c>
      <c r="DU551" t="str">
        <f>""</f>
        <v/>
      </c>
    </row>
    <row r="552" spans="1:125">
      <c r="A552" t="str">
        <f>$A$253</f>
        <v xml:space="preserve">    Mack-Cali Realty Corp</v>
      </c>
      <c r="B552" t="str">
        <f>$B$253</f>
        <v>CLI US Equity</v>
      </c>
      <c r="C552" t="str">
        <f>$C$253</f>
        <v>RR008</v>
      </c>
      <c r="D552" t="str">
        <f>$D$253</f>
        <v>CF_FREE_CASH_FLOW</v>
      </c>
      <c r="E552" t="str">
        <f>$E$253</f>
        <v>动态</v>
      </c>
      <c r="F552" t="str">
        <f ca="1">BDH($B$253,$C$253,$B$292,$B$293,CONCATENATE("Per=",$B$290),"Dts=H","Dir=H",CONCATENATE("Points=",$B$291),"Sort=R","Days=A","Fill=B",CONCATENATE("FX=", $B$289) )</f>
        <v>#N/A Authorization</v>
      </c>
      <c r="BN552" t="str">
        <f>""</f>
        <v/>
      </c>
      <c r="BO552" t="str">
        <f>""</f>
        <v/>
      </c>
      <c r="BP552" t="str">
        <f>""</f>
        <v/>
      </c>
      <c r="BQ552" t="str">
        <f>""</f>
        <v/>
      </c>
      <c r="BR552" t="str">
        <f>""</f>
        <v/>
      </c>
      <c r="BS552" t="str">
        <f>""</f>
        <v/>
      </c>
      <c r="BT552" t="str">
        <f>""</f>
        <v/>
      </c>
      <c r="BU552" t="str">
        <f>""</f>
        <v/>
      </c>
      <c r="BV552" t="str">
        <f>""</f>
        <v/>
      </c>
      <c r="BW552" t="str">
        <f>""</f>
        <v/>
      </c>
      <c r="BX552" t="str">
        <f>""</f>
        <v/>
      </c>
      <c r="BY552" t="str">
        <f>""</f>
        <v/>
      </c>
      <c r="BZ552" t="str">
        <f>""</f>
        <v/>
      </c>
      <c r="CA552" t="str">
        <f>""</f>
        <v/>
      </c>
      <c r="CB552" t="str">
        <f>""</f>
        <v/>
      </c>
      <c r="CC552" t="str">
        <f>""</f>
        <v/>
      </c>
      <c r="CD552" t="str">
        <f>""</f>
        <v/>
      </c>
      <c r="CE552" t="str">
        <f>""</f>
        <v/>
      </c>
      <c r="CF552" t="str">
        <f>""</f>
        <v/>
      </c>
      <c r="CG552" t="str">
        <f>""</f>
        <v/>
      </c>
      <c r="CH552" t="str">
        <f>""</f>
        <v/>
      </c>
      <c r="CI552" t="str">
        <f>""</f>
        <v/>
      </c>
      <c r="CJ552" t="str">
        <f>""</f>
        <v/>
      </c>
      <c r="CK552" t="str">
        <f>""</f>
        <v/>
      </c>
      <c r="CL552" t="str">
        <f>""</f>
        <v/>
      </c>
      <c r="CM552" t="str">
        <f>""</f>
        <v/>
      </c>
      <c r="CN552" t="str">
        <f>""</f>
        <v/>
      </c>
      <c r="CO552" t="str">
        <f>""</f>
        <v/>
      </c>
      <c r="CP552" t="str">
        <f>""</f>
        <v/>
      </c>
      <c r="CQ552" t="str">
        <f>""</f>
        <v/>
      </c>
      <c r="CR552" t="str">
        <f>""</f>
        <v/>
      </c>
      <c r="CS552" t="str">
        <f>""</f>
        <v/>
      </c>
      <c r="CT552" t="str">
        <f>""</f>
        <v/>
      </c>
      <c r="CU552" t="str">
        <f>""</f>
        <v/>
      </c>
      <c r="CV552" t="str">
        <f>""</f>
        <v/>
      </c>
      <c r="CW552" t="str">
        <f>""</f>
        <v/>
      </c>
      <c r="CX552" t="str">
        <f>""</f>
        <v/>
      </c>
      <c r="CY552" t="str">
        <f>""</f>
        <v/>
      </c>
      <c r="CZ552" t="str">
        <f>""</f>
        <v/>
      </c>
      <c r="DA552" t="str">
        <f>""</f>
        <v/>
      </c>
      <c r="DB552" t="str">
        <f>""</f>
        <v/>
      </c>
      <c r="DC552" t="str">
        <f>""</f>
        <v/>
      </c>
      <c r="DD552" t="str">
        <f>""</f>
        <v/>
      </c>
      <c r="DE552" t="str">
        <f>""</f>
        <v/>
      </c>
      <c r="DF552" t="str">
        <f>""</f>
        <v/>
      </c>
      <c r="DG552" t="str">
        <f>""</f>
        <v/>
      </c>
      <c r="DH552" t="str">
        <f>""</f>
        <v/>
      </c>
      <c r="DI552" t="str">
        <f>""</f>
        <v/>
      </c>
      <c r="DJ552" t="str">
        <f>""</f>
        <v/>
      </c>
      <c r="DK552" t="str">
        <f>""</f>
        <v/>
      </c>
      <c r="DL552" t="str">
        <f>""</f>
        <v/>
      </c>
      <c r="DM552" t="str">
        <f>""</f>
        <v/>
      </c>
      <c r="DN552" t="str">
        <f>""</f>
        <v/>
      </c>
      <c r="DO552" t="str">
        <f>""</f>
        <v/>
      </c>
      <c r="DP552" t="str">
        <f>""</f>
        <v/>
      </c>
      <c r="DQ552" t="str">
        <f>""</f>
        <v/>
      </c>
      <c r="DR552" t="str">
        <f>""</f>
        <v/>
      </c>
      <c r="DS552" t="str">
        <f>""</f>
        <v/>
      </c>
      <c r="DT552" t="str">
        <f>""</f>
        <v/>
      </c>
      <c r="DU552" t="str">
        <f>""</f>
        <v/>
      </c>
    </row>
    <row r="553" spans="1:125">
      <c r="A553" t="str">
        <f>$A$254</f>
        <v xml:space="preserve">    Piedmont Office Realty Trust I</v>
      </c>
      <c r="B553" t="str">
        <f>$B$254</f>
        <v>PDM US Equity</v>
      </c>
      <c r="C553" t="str">
        <f>$C$254</f>
        <v>RR008</v>
      </c>
      <c r="D553" t="str">
        <f>$D$254</f>
        <v>CF_FREE_CASH_FLOW</v>
      </c>
      <c r="E553" t="str">
        <f>$E$254</f>
        <v>动态</v>
      </c>
      <c r="F553" t="str">
        <f ca="1">BDH($B$254,$C$254,$B$292,$B$293,CONCATENATE("Per=",$B$290),"Dts=H","Dir=H",CONCATENATE("Points=",$B$291),"Sort=R","Days=A","Fill=B",CONCATENATE("FX=", $B$289) )</f>
        <v>#N/A Authorization</v>
      </c>
      <c r="BN553" t="str">
        <f>""</f>
        <v/>
      </c>
      <c r="BO553" t="str">
        <f>""</f>
        <v/>
      </c>
      <c r="BP553" t="str">
        <f>""</f>
        <v/>
      </c>
      <c r="BQ553" t="str">
        <f>""</f>
        <v/>
      </c>
      <c r="BR553" t="str">
        <f>""</f>
        <v/>
      </c>
      <c r="BS553" t="str">
        <f>""</f>
        <v/>
      </c>
      <c r="BT553" t="str">
        <f>""</f>
        <v/>
      </c>
      <c r="BU553" t="str">
        <f>""</f>
        <v/>
      </c>
      <c r="BV553" t="str">
        <f>""</f>
        <v/>
      </c>
      <c r="BW553" t="str">
        <f>""</f>
        <v/>
      </c>
      <c r="BX553" t="str">
        <f>""</f>
        <v/>
      </c>
      <c r="BY553" t="str">
        <f>""</f>
        <v/>
      </c>
      <c r="BZ553" t="str">
        <f>""</f>
        <v/>
      </c>
      <c r="CA553" t="str">
        <f>""</f>
        <v/>
      </c>
      <c r="CB553" t="str">
        <f>""</f>
        <v/>
      </c>
      <c r="CC553" t="str">
        <f>""</f>
        <v/>
      </c>
      <c r="CD553" t="str">
        <f>""</f>
        <v/>
      </c>
      <c r="CE553" t="str">
        <f>""</f>
        <v/>
      </c>
      <c r="CF553" t="str">
        <f>""</f>
        <v/>
      </c>
      <c r="CG553" t="str">
        <f>""</f>
        <v/>
      </c>
      <c r="CH553" t="str">
        <f>""</f>
        <v/>
      </c>
      <c r="CI553" t="str">
        <f>""</f>
        <v/>
      </c>
      <c r="CJ553" t="str">
        <f>""</f>
        <v/>
      </c>
      <c r="CK553" t="str">
        <f>""</f>
        <v/>
      </c>
      <c r="CL553" t="str">
        <f>""</f>
        <v/>
      </c>
      <c r="CM553" t="str">
        <f>""</f>
        <v/>
      </c>
      <c r="CN553" t="str">
        <f>""</f>
        <v/>
      </c>
      <c r="CO553" t="str">
        <f>""</f>
        <v/>
      </c>
      <c r="CP553" t="str">
        <f>""</f>
        <v/>
      </c>
      <c r="CQ553" t="str">
        <f>""</f>
        <v/>
      </c>
      <c r="CR553" t="str">
        <f>""</f>
        <v/>
      </c>
      <c r="CS553" t="str">
        <f>""</f>
        <v/>
      </c>
      <c r="CT553" t="str">
        <f>""</f>
        <v/>
      </c>
      <c r="CU553" t="str">
        <f>""</f>
        <v/>
      </c>
      <c r="CV553" t="str">
        <f>""</f>
        <v/>
      </c>
      <c r="CW553" t="str">
        <f>""</f>
        <v/>
      </c>
      <c r="CX553" t="str">
        <f>""</f>
        <v/>
      </c>
      <c r="CY553" t="str">
        <f>""</f>
        <v/>
      </c>
      <c r="CZ553" t="str">
        <f>""</f>
        <v/>
      </c>
      <c r="DA553" t="str">
        <f>""</f>
        <v/>
      </c>
      <c r="DB553" t="str">
        <f>""</f>
        <v/>
      </c>
      <c r="DC553" t="str">
        <f>""</f>
        <v/>
      </c>
      <c r="DD553" t="str">
        <f>""</f>
        <v/>
      </c>
      <c r="DE553" t="str">
        <f>""</f>
        <v/>
      </c>
      <c r="DF553" t="str">
        <f>""</f>
        <v/>
      </c>
      <c r="DG553" t="str">
        <f>""</f>
        <v/>
      </c>
      <c r="DH553" t="str">
        <f>""</f>
        <v/>
      </c>
      <c r="DI553" t="str">
        <f>""</f>
        <v/>
      </c>
      <c r="DJ553" t="str">
        <f>""</f>
        <v/>
      </c>
      <c r="DK553" t="str">
        <f>""</f>
        <v/>
      </c>
      <c r="DL553" t="str">
        <f>""</f>
        <v/>
      </c>
      <c r="DM553" t="str">
        <f>""</f>
        <v/>
      </c>
      <c r="DN553" t="str">
        <f>""</f>
        <v/>
      </c>
      <c r="DO553" t="str">
        <f>""</f>
        <v/>
      </c>
      <c r="DP553" t="str">
        <f>""</f>
        <v/>
      </c>
      <c r="DQ553" t="str">
        <f>""</f>
        <v/>
      </c>
      <c r="DR553" t="str">
        <f>""</f>
        <v/>
      </c>
      <c r="DS553" t="str">
        <f>""</f>
        <v/>
      </c>
      <c r="DT553" t="str">
        <f>""</f>
        <v/>
      </c>
      <c r="DU553" t="str">
        <f>""</f>
        <v/>
      </c>
    </row>
    <row r="554" spans="1:125">
      <c r="A554" t="str">
        <f>$A$255</f>
        <v xml:space="preserve">    SL Green Realty Corp</v>
      </c>
      <c r="B554" t="str">
        <f>$B$255</f>
        <v>SLG US Equity</v>
      </c>
      <c r="C554" t="str">
        <f>$C$255</f>
        <v>RR008</v>
      </c>
      <c r="D554" t="str">
        <f>$D$255</f>
        <v>CF_FREE_CASH_FLOW</v>
      </c>
      <c r="E554" t="str">
        <f>$E$255</f>
        <v>动态</v>
      </c>
      <c r="F554" t="str">
        <f ca="1">BDH($B$255,$C$255,$B$292,$B$293,CONCATENATE("Per=",$B$290),"Dts=H","Dir=H",CONCATENATE("Points=",$B$291),"Sort=R","Days=A","Fill=B",CONCATENATE("FX=", $B$289) )</f>
        <v>#N/A Authorization</v>
      </c>
      <c r="BN554" t="str">
        <f>""</f>
        <v/>
      </c>
      <c r="BO554" t="str">
        <f>""</f>
        <v/>
      </c>
      <c r="BP554" t="str">
        <f>""</f>
        <v/>
      </c>
      <c r="BQ554" t="str">
        <f>""</f>
        <v/>
      </c>
      <c r="BR554" t="str">
        <f>""</f>
        <v/>
      </c>
      <c r="BS554" t="str">
        <f>""</f>
        <v/>
      </c>
      <c r="BT554" t="str">
        <f>""</f>
        <v/>
      </c>
      <c r="BU554" t="str">
        <f>""</f>
        <v/>
      </c>
      <c r="BV554" t="str">
        <f>""</f>
        <v/>
      </c>
      <c r="BW554" t="str">
        <f>""</f>
        <v/>
      </c>
      <c r="BX554" t="str">
        <f>""</f>
        <v/>
      </c>
      <c r="BY554" t="str">
        <f>""</f>
        <v/>
      </c>
      <c r="BZ554" t="str">
        <f>""</f>
        <v/>
      </c>
      <c r="CA554" t="str">
        <f>""</f>
        <v/>
      </c>
      <c r="CB554" t="str">
        <f>""</f>
        <v/>
      </c>
      <c r="CC554" t="str">
        <f>""</f>
        <v/>
      </c>
      <c r="CD554" t="str">
        <f>""</f>
        <v/>
      </c>
      <c r="CE554" t="str">
        <f>""</f>
        <v/>
      </c>
      <c r="CF554" t="str">
        <f>""</f>
        <v/>
      </c>
      <c r="CG554" t="str">
        <f>""</f>
        <v/>
      </c>
      <c r="CH554" t="str">
        <f>""</f>
        <v/>
      </c>
      <c r="CI554" t="str">
        <f>""</f>
        <v/>
      </c>
      <c r="CJ554" t="str">
        <f>""</f>
        <v/>
      </c>
      <c r="CK554" t="str">
        <f>""</f>
        <v/>
      </c>
      <c r="CL554" t="str">
        <f>""</f>
        <v/>
      </c>
      <c r="CM554" t="str">
        <f>""</f>
        <v/>
      </c>
      <c r="CN554" t="str">
        <f>""</f>
        <v/>
      </c>
      <c r="CO554" t="str">
        <f>""</f>
        <v/>
      </c>
      <c r="CP554" t="str">
        <f>""</f>
        <v/>
      </c>
      <c r="CQ554" t="str">
        <f>""</f>
        <v/>
      </c>
      <c r="CR554" t="str">
        <f>""</f>
        <v/>
      </c>
      <c r="CS554" t="str">
        <f>""</f>
        <v/>
      </c>
      <c r="CT554" t="str">
        <f>""</f>
        <v/>
      </c>
      <c r="CU554" t="str">
        <f>""</f>
        <v/>
      </c>
      <c r="CV554" t="str">
        <f>""</f>
        <v/>
      </c>
      <c r="CW554" t="str">
        <f>""</f>
        <v/>
      </c>
      <c r="CX554" t="str">
        <f>""</f>
        <v/>
      </c>
      <c r="CY554" t="str">
        <f>""</f>
        <v/>
      </c>
      <c r="CZ554" t="str">
        <f>""</f>
        <v/>
      </c>
      <c r="DA554" t="str">
        <f>""</f>
        <v/>
      </c>
      <c r="DB554" t="str">
        <f>""</f>
        <v/>
      </c>
      <c r="DC554" t="str">
        <f>""</f>
        <v/>
      </c>
      <c r="DD554" t="str">
        <f>""</f>
        <v/>
      </c>
      <c r="DE554" t="str">
        <f>""</f>
        <v/>
      </c>
      <c r="DF554" t="str">
        <f>""</f>
        <v/>
      </c>
      <c r="DG554" t="str">
        <f>""</f>
        <v/>
      </c>
      <c r="DH554" t="str">
        <f>""</f>
        <v/>
      </c>
      <c r="DI554" t="str">
        <f>""</f>
        <v/>
      </c>
      <c r="DJ554" t="str">
        <f>""</f>
        <v/>
      </c>
      <c r="DK554" t="str">
        <f>""</f>
        <v/>
      </c>
      <c r="DL554" t="str">
        <f>""</f>
        <v/>
      </c>
      <c r="DM554" t="str">
        <f>""</f>
        <v/>
      </c>
      <c r="DN554" t="str">
        <f>""</f>
        <v/>
      </c>
      <c r="DO554" t="str">
        <f>""</f>
        <v/>
      </c>
      <c r="DP554" t="str">
        <f>""</f>
        <v/>
      </c>
      <c r="DQ554" t="str">
        <f>""</f>
        <v/>
      </c>
      <c r="DR554" t="str">
        <f>""</f>
        <v/>
      </c>
      <c r="DS554" t="str">
        <f>""</f>
        <v/>
      </c>
      <c r="DT554" t="str">
        <f>""</f>
        <v/>
      </c>
      <c r="DU554" t="str">
        <f>""</f>
        <v/>
      </c>
    </row>
    <row r="555" spans="1:125">
      <c r="A555" t="str">
        <f>$A$256</f>
        <v xml:space="preserve">    Vornado Realty Trust</v>
      </c>
      <c r="B555" t="str">
        <f>$B$256</f>
        <v>VNO US Equity</v>
      </c>
      <c r="C555" t="str">
        <f>$C$256</f>
        <v>RR008</v>
      </c>
      <c r="D555" t="str">
        <f>$D$256</f>
        <v>CF_FREE_CASH_FLOW</v>
      </c>
      <c r="E555" t="str">
        <f>$E$256</f>
        <v>动态</v>
      </c>
      <c r="F555" t="str">
        <f ca="1">BDH($B$256,$C$256,$B$292,$B$293,CONCATENATE("Per=",$B$290),"Dts=H","Dir=H",CONCATENATE("Points=",$B$291),"Sort=R","Days=A","Fill=B",CONCATENATE("FX=", $B$289) )</f>
        <v>#N/A Authorization</v>
      </c>
      <c r="BN555" t="str">
        <f>""</f>
        <v/>
      </c>
      <c r="BO555" t="str">
        <f>""</f>
        <v/>
      </c>
      <c r="BP555" t="str">
        <f>""</f>
        <v/>
      </c>
      <c r="BQ555" t="str">
        <f>""</f>
        <v/>
      </c>
      <c r="BR555" t="str">
        <f>""</f>
        <v/>
      </c>
      <c r="BS555" t="str">
        <f>""</f>
        <v/>
      </c>
      <c r="BT555" t="str">
        <f>""</f>
        <v/>
      </c>
      <c r="BU555" t="str">
        <f>""</f>
        <v/>
      </c>
      <c r="BV555" t="str">
        <f>""</f>
        <v/>
      </c>
      <c r="BW555" t="str">
        <f>""</f>
        <v/>
      </c>
      <c r="BX555" t="str">
        <f>""</f>
        <v/>
      </c>
      <c r="BY555" t="str">
        <f>""</f>
        <v/>
      </c>
      <c r="BZ555" t="str">
        <f>""</f>
        <v/>
      </c>
      <c r="CA555" t="str">
        <f>""</f>
        <v/>
      </c>
      <c r="CB555" t="str">
        <f>""</f>
        <v/>
      </c>
      <c r="CC555" t="str">
        <f>""</f>
        <v/>
      </c>
      <c r="CD555" t="str">
        <f>""</f>
        <v/>
      </c>
      <c r="CE555" t="str">
        <f>""</f>
        <v/>
      </c>
      <c r="CF555" t="str">
        <f>""</f>
        <v/>
      </c>
      <c r="CG555" t="str">
        <f>""</f>
        <v/>
      </c>
      <c r="CH555" t="str">
        <f>""</f>
        <v/>
      </c>
      <c r="CI555" t="str">
        <f>""</f>
        <v/>
      </c>
      <c r="CJ555" t="str">
        <f>""</f>
        <v/>
      </c>
      <c r="CK555" t="str">
        <f>""</f>
        <v/>
      </c>
      <c r="CL555" t="str">
        <f>""</f>
        <v/>
      </c>
      <c r="CM555" t="str">
        <f>""</f>
        <v/>
      </c>
      <c r="CN555" t="str">
        <f>""</f>
        <v/>
      </c>
      <c r="CO555" t="str">
        <f>""</f>
        <v/>
      </c>
      <c r="CP555" t="str">
        <f>""</f>
        <v/>
      </c>
      <c r="CQ555" t="str">
        <f>""</f>
        <v/>
      </c>
      <c r="CR555" t="str">
        <f>""</f>
        <v/>
      </c>
      <c r="CS555" t="str">
        <f>""</f>
        <v/>
      </c>
      <c r="CT555" t="str">
        <f>""</f>
        <v/>
      </c>
      <c r="CU555" t="str">
        <f>""</f>
        <v/>
      </c>
      <c r="CV555" t="str">
        <f>""</f>
        <v/>
      </c>
      <c r="CW555" t="str">
        <f>""</f>
        <v/>
      </c>
      <c r="CX555" t="str">
        <f>""</f>
        <v/>
      </c>
      <c r="CY555" t="str">
        <f>""</f>
        <v/>
      </c>
      <c r="CZ555" t="str">
        <f>""</f>
        <v/>
      </c>
      <c r="DA555" t="str">
        <f>""</f>
        <v/>
      </c>
      <c r="DB555" t="str">
        <f>""</f>
        <v/>
      </c>
      <c r="DC555" t="str">
        <f>""</f>
        <v/>
      </c>
      <c r="DD555" t="str">
        <f>""</f>
        <v/>
      </c>
      <c r="DE555" t="str">
        <f>""</f>
        <v/>
      </c>
      <c r="DF555" t="str">
        <f>""</f>
        <v/>
      </c>
      <c r="DG555" t="str">
        <f>""</f>
        <v/>
      </c>
      <c r="DH555" t="str">
        <f>""</f>
        <v/>
      </c>
      <c r="DI555" t="str">
        <f>""</f>
        <v/>
      </c>
      <c r="DJ555" t="str">
        <f>""</f>
        <v/>
      </c>
      <c r="DK555" t="str">
        <f>""</f>
        <v/>
      </c>
      <c r="DL555" t="str">
        <f>""</f>
        <v/>
      </c>
      <c r="DM555" t="str">
        <f>""</f>
        <v/>
      </c>
      <c r="DN555" t="str">
        <f>""</f>
        <v/>
      </c>
      <c r="DO555" t="str">
        <f>""</f>
        <v/>
      </c>
      <c r="DP555" t="str">
        <f>""</f>
        <v/>
      </c>
      <c r="DQ555" t="str">
        <f>""</f>
        <v/>
      </c>
      <c r="DR555" t="str">
        <f>""</f>
        <v/>
      </c>
      <c r="DS555" t="str">
        <f>""</f>
        <v/>
      </c>
      <c r="DT555" t="str">
        <f>""</f>
        <v/>
      </c>
      <c r="DU555" t="str">
        <f>""</f>
        <v/>
      </c>
    </row>
    <row r="556" spans="1:125">
      <c r="A556" t="str">
        <f>$A$269</f>
        <v xml:space="preserve">    Boston Properties Inc</v>
      </c>
      <c r="B556" t="str">
        <f>$B$269</f>
        <v>BXP US Equity</v>
      </c>
      <c r="C556" t="str">
        <f>$C$269</f>
        <v>RR106</v>
      </c>
      <c r="D556" t="str">
        <f>$D$269</f>
        <v>FFO_PAYOUT_RATIO</v>
      </c>
      <c r="E556" t="str">
        <f>$E$269</f>
        <v>动态</v>
      </c>
      <c r="F556" t="str">
        <f ca="1">BDH($B$269,$C$269,$B$292,$B$293,CONCATENATE("Per=",$B$290),"Dts=H","Dir=H",CONCATENATE("Points=",$B$291),"Sort=R","Days=A","Fill=B",CONCATENATE("FX=", $B$289) )</f>
        <v>#N/A Authorization</v>
      </c>
      <c r="BN556" t="str">
        <f>""</f>
        <v/>
      </c>
      <c r="BO556" t="str">
        <f>""</f>
        <v/>
      </c>
      <c r="BP556" t="str">
        <f>""</f>
        <v/>
      </c>
      <c r="BQ556" t="str">
        <f>""</f>
        <v/>
      </c>
      <c r="BR556" t="str">
        <f>""</f>
        <v/>
      </c>
      <c r="BS556" t="str">
        <f>""</f>
        <v/>
      </c>
      <c r="BT556" t="str">
        <f>""</f>
        <v/>
      </c>
      <c r="BU556" t="str">
        <f>""</f>
        <v/>
      </c>
      <c r="BV556" t="str">
        <f>""</f>
        <v/>
      </c>
      <c r="BW556" t="str">
        <f>""</f>
        <v/>
      </c>
      <c r="BX556" t="str">
        <f>""</f>
        <v/>
      </c>
      <c r="BY556" t="str">
        <f>""</f>
        <v/>
      </c>
      <c r="BZ556" t="str">
        <f>""</f>
        <v/>
      </c>
      <c r="CA556" t="str">
        <f>""</f>
        <v/>
      </c>
      <c r="CB556" t="str">
        <f>""</f>
        <v/>
      </c>
      <c r="CC556" t="str">
        <f>""</f>
        <v/>
      </c>
      <c r="CD556" t="str">
        <f>""</f>
        <v/>
      </c>
      <c r="CE556" t="str">
        <f>""</f>
        <v/>
      </c>
      <c r="CF556" t="str">
        <f>""</f>
        <v/>
      </c>
      <c r="CG556" t="str">
        <f>""</f>
        <v/>
      </c>
      <c r="CH556" t="str">
        <f>""</f>
        <v/>
      </c>
      <c r="CI556" t="str">
        <f>""</f>
        <v/>
      </c>
      <c r="CJ556" t="str">
        <f>""</f>
        <v/>
      </c>
      <c r="CK556" t="str">
        <f>""</f>
        <v/>
      </c>
      <c r="CL556" t="str">
        <f>""</f>
        <v/>
      </c>
      <c r="CM556" t="str">
        <f>""</f>
        <v/>
      </c>
      <c r="CN556" t="str">
        <f>""</f>
        <v/>
      </c>
      <c r="CO556" t="str">
        <f>""</f>
        <v/>
      </c>
      <c r="CP556" t="str">
        <f>""</f>
        <v/>
      </c>
      <c r="CQ556" t="str">
        <f>""</f>
        <v/>
      </c>
      <c r="CR556" t="str">
        <f>""</f>
        <v/>
      </c>
      <c r="CS556" t="str">
        <f>""</f>
        <v/>
      </c>
      <c r="CT556" t="str">
        <f>""</f>
        <v/>
      </c>
      <c r="CU556" t="str">
        <f>""</f>
        <v/>
      </c>
      <c r="CV556" t="str">
        <f>""</f>
        <v/>
      </c>
      <c r="CW556" t="str">
        <f>""</f>
        <v/>
      </c>
      <c r="CX556" t="str">
        <f>""</f>
        <v/>
      </c>
      <c r="CY556" t="str">
        <f>""</f>
        <v/>
      </c>
      <c r="CZ556" t="str">
        <f>""</f>
        <v/>
      </c>
      <c r="DA556" t="str">
        <f>""</f>
        <v/>
      </c>
      <c r="DB556" t="str">
        <f>""</f>
        <v/>
      </c>
      <c r="DC556" t="str">
        <f>""</f>
        <v/>
      </c>
      <c r="DD556" t="str">
        <f>""</f>
        <v/>
      </c>
      <c r="DE556" t="str">
        <f>""</f>
        <v/>
      </c>
      <c r="DF556" t="str">
        <f>""</f>
        <v/>
      </c>
      <c r="DG556" t="str">
        <f>""</f>
        <v/>
      </c>
      <c r="DH556" t="str">
        <f>""</f>
        <v/>
      </c>
      <c r="DI556" t="str">
        <f>""</f>
        <v/>
      </c>
      <c r="DJ556" t="str">
        <f>""</f>
        <v/>
      </c>
      <c r="DK556" t="str">
        <f>""</f>
        <v/>
      </c>
      <c r="DL556" t="str">
        <f>""</f>
        <v/>
      </c>
      <c r="DM556" t="str">
        <f>""</f>
        <v/>
      </c>
      <c r="DN556" t="str">
        <f>""</f>
        <v/>
      </c>
      <c r="DO556" t="str">
        <f>""</f>
        <v/>
      </c>
      <c r="DP556" t="str">
        <f>""</f>
        <v/>
      </c>
      <c r="DQ556" t="str">
        <f>""</f>
        <v/>
      </c>
      <c r="DR556" t="str">
        <f>""</f>
        <v/>
      </c>
      <c r="DS556" t="str">
        <f>""</f>
        <v/>
      </c>
      <c r="DT556" t="str">
        <f>""</f>
        <v/>
      </c>
      <c r="DU556" t="str">
        <f>""</f>
        <v/>
      </c>
    </row>
    <row r="557" spans="1:125">
      <c r="A557" t="str">
        <f>$A$270</f>
        <v xml:space="preserve">    Brandywine Realty Trust</v>
      </c>
      <c r="B557" t="str">
        <f>$B$270</f>
        <v>BDN US Equity</v>
      </c>
      <c r="C557" t="str">
        <f>$C$270</f>
        <v>RR106</v>
      </c>
      <c r="D557" t="str">
        <f>$D$270</f>
        <v>FFO_PAYOUT_RATIO</v>
      </c>
      <c r="E557" t="str">
        <f>$E$270</f>
        <v>动态</v>
      </c>
      <c r="F557" t="str">
        <f ca="1">BDH($B$270,$C$270,$B$292,$B$293,CONCATENATE("Per=",$B$290),"Dts=H","Dir=H",CONCATENATE("Points=",$B$291),"Sort=R","Days=A","Fill=B",CONCATENATE("FX=", $B$289) )</f>
        <v>#N/A Authorization</v>
      </c>
      <c r="BN557" t="str">
        <f>""</f>
        <v/>
      </c>
      <c r="BO557" t="str">
        <f>""</f>
        <v/>
      </c>
      <c r="BP557" t="str">
        <f>""</f>
        <v/>
      </c>
      <c r="BQ557" t="str">
        <f>""</f>
        <v/>
      </c>
      <c r="BR557" t="str">
        <f>""</f>
        <v/>
      </c>
      <c r="BS557" t="str">
        <f>""</f>
        <v/>
      </c>
      <c r="BT557" t="str">
        <f>""</f>
        <v/>
      </c>
      <c r="BU557" t="str">
        <f>""</f>
        <v/>
      </c>
      <c r="BV557" t="str">
        <f>""</f>
        <v/>
      </c>
      <c r="BW557" t="str">
        <f>""</f>
        <v/>
      </c>
      <c r="BX557" t="str">
        <f>""</f>
        <v/>
      </c>
      <c r="BY557" t="str">
        <f>""</f>
        <v/>
      </c>
      <c r="BZ557" t="str">
        <f>""</f>
        <v/>
      </c>
      <c r="CA557" t="str">
        <f>""</f>
        <v/>
      </c>
      <c r="CB557" t="str">
        <f>""</f>
        <v/>
      </c>
      <c r="CC557" t="str">
        <f>""</f>
        <v/>
      </c>
      <c r="CD557" t="str">
        <f>""</f>
        <v/>
      </c>
      <c r="CE557" t="str">
        <f>""</f>
        <v/>
      </c>
      <c r="CF557" t="str">
        <f>""</f>
        <v/>
      </c>
      <c r="CG557" t="str">
        <f>""</f>
        <v/>
      </c>
      <c r="CH557" t="str">
        <f>""</f>
        <v/>
      </c>
      <c r="CI557" t="str">
        <f>""</f>
        <v/>
      </c>
      <c r="CJ557" t="str">
        <f>""</f>
        <v/>
      </c>
      <c r="CK557" t="str">
        <f>""</f>
        <v/>
      </c>
      <c r="CL557" t="str">
        <f>""</f>
        <v/>
      </c>
      <c r="CM557" t="str">
        <f>""</f>
        <v/>
      </c>
      <c r="CN557" t="str">
        <f>""</f>
        <v/>
      </c>
      <c r="CO557" t="str">
        <f>""</f>
        <v/>
      </c>
      <c r="CP557" t="str">
        <f>""</f>
        <v/>
      </c>
      <c r="CQ557" t="str">
        <f>""</f>
        <v/>
      </c>
      <c r="CR557" t="str">
        <f>""</f>
        <v/>
      </c>
      <c r="CS557" t="str">
        <f>""</f>
        <v/>
      </c>
      <c r="CT557" t="str">
        <f>""</f>
        <v/>
      </c>
      <c r="CU557" t="str">
        <f>""</f>
        <v/>
      </c>
      <c r="CV557" t="str">
        <f>""</f>
        <v/>
      </c>
      <c r="CW557" t="str">
        <f>""</f>
        <v/>
      </c>
      <c r="CX557" t="str">
        <f>""</f>
        <v/>
      </c>
      <c r="CY557" t="str">
        <f>""</f>
        <v/>
      </c>
      <c r="CZ557" t="str">
        <f>""</f>
        <v/>
      </c>
      <c r="DA557" t="str">
        <f>""</f>
        <v/>
      </c>
      <c r="DB557" t="str">
        <f>""</f>
        <v/>
      </c>
      <c r="DC557" t="str">
        <f>""</f>
        <v/>
      </c>
      <c r="DD557" t="str">
        <f>""</f>
        <v/>
      </c>
      <c r="DE557" t="str">
        <f>""</f>
        <v/>
      </c>
      <c r="DF557" t="str">
        <f>""</f>
        <v/>
      </c>
      <c r="DG557" t="str">
        <f>""</f>
        <v/>
      </c>
      <c r="DH557" t="str">
        <f>""</f>
        <v/>
      </c>
      <c r="DI557" t="str">
        <f>""</f>
        <v/>
      </c>
      <c r="DJ557" t="str">
        <f>""</f>
        <v/>
      </c>
      <c r="DK557" t="str">
        <f>""</f>
        <v/>
      </c>
      <c r="DL557" t="str">
        <f>""</f>
        <v/>
      </c>
      <c r="DM557" t="str">
        <f>""</f>
        <v/>
      </c>
      <c r="DN557" t="str">
        <f>""</f>
        <v/>
      </c>
      <c r="DO557" t="str">
        <f>""</f>
        <v/>
      </c>
      <c r="DP557" t="str">
        <f>""</f>
        <v/>
      </c>
      <c r="DQ557" t="str">
        <f>""</f>
        <v/>
      </c>
      <c r="DR557" t="str">
        <f>""</f>
        <v/>
      </c>
      <c r="DS557" t="str">
        <f>""</f>
        <v/>
      </c>
      <c r="DT557" t="str">
        <f>""</f>
        <v/>
      </c>
      <c r="DU557" t="str">
        <f>""</f>
        <v/>
      </c>
    </row>
    <row r="558" spans="1:125">
      <c r="A558" t="str">
        <f>$A$271</f>
        <v xml:space="preserve">    Columbia Property Trust Inc</v>
      </c>
      <c r="B558" t="str">
        <f>$B$271</f>
        <v>CXP US Equity</v>
      </c>
      <c r="C558" t="str">
        <f>$C$271</f>
        <v>RR106</v>
      </c>
      <c r="D558" t="str">
        <f>$D$271</f>
        <v>FFO_PAYOUT_RATIO</v>
      </c>
      <c r="E558" t="str">
        <f>$E$271</f>
        <v>动态</v>
      </c>
      <c r="F558" t="str">
        <f ca="1">BDH($B$271,$C$271,$B$292,$B$293,CONCATENATE("Per=",$B$290),"Dts=H","Dir=H",CONCATENATE("Points=",$B$291),"Sort=R","Days=A","Fill=B",CONCATENATE("FX=", $B$289) )</f>
        <v>#N/A Authorization</v>
      </c>
      <c r="BN558" t="str">
        <f>""</f>
        <v/>
      </c>
      <c r="BO558" t="str">
        <f>""</f>
        <v/>
      </c>
      <c r="BP558" t="str">
        <f>""</f>
        <v/>
      </c>
      <c r="BQ558" t="str">
        <f>""</f>
        <v/>
      </c>
      <c r="BR558" t="str">
        <f>""</f>
        <v/>
      </c>
      <c r="BS558" t="str">
        <f>""</f>
        <v/>
      </c>
      <c r="BT558" t="str">
        <f>""</f>
        <v/>
      </c>
      <c r="BU558" t="str">
        <f>""</f>
        <v/>
      </c>
      <c r="BV558" t="str">
        <f>""</f>
        <v/>
      </c>
      <c r="BW558" t="str">
        <f>""</f>
        <v/>
      </c>
      <c r="BX558" t="str">
        <f>""</f>
        <v/>
      </c>
      <c r="BY558" t="str">
        <f>""</f>
        <v/>
      </c>
      <c r="BZ558" t="str">
        <f>""</f>
        <v/>
      </c>
      <c r="CA558" t="str">
        <f>""</f>
        <v/>
      </c>
      <c r="CB558" t="str">
        <f>""</f>
        <v/>
      </c>
      <c r="CC558" t="str">
        <f>""</f>
        <v/>
      </c>
      <c r="CD558" t="str">
        <f>""</f>
        <v/>
      </c>
      <c r="CE558" t="str">
        <f>""</f>
        <v/>
      </c>
      <c r="CF558" t="str">
        <f>""</f>
        <v/>
      </c>
      <c r="CG558" t="str">
        <f>""</f>
        <v/>
      </c>
      <c r="CH558" t="str">
        <f>""</f>
        <v/>
      </c>
      <c r="CI558" t="str">
        <f>""</f>
        <v/>
      </c>
      <c r="CJ558" t="str">
        <f>""</f>
        <v/>
      </c>
      <c r="CK558" t="str">
        <f>""</f>
        <v/>
      </c>
      <c r="CL558" t="str">
        <f>""</f>
        <v/>
      </c>
      <c r="CM558" t="str">
        <f>""</f>
        <v/>
      </c>
      <c r="CN558" t="str">
        <f>""</f>
        <v/>
      </c>
      <c r="CO558" t="str">
        <f>""</f>
        <v/>
      </c>
      <c r="CP558" t="str">
        <f>""</f>
        <v/>
      </c>
      <c r="CQ558" t="str">
        <f>""</f>
        <v/>
      </c>
      <c r="CR558" t="str">
        <f>""</f>
        <v/>
      </c>
      <c r="CS558" t="str">
        <f>""</f>
        <v/>
      </c>
      <c r="CT558" t="str">
        <f>""</f>
        <v/>
      </c>
      <c r="CU558" t="str">
        <f>""</f>
        <v/>
      </c>
      <c r="CV558" t="str">
        <f>""</f>
        <v/>
      </c>
      <c r="CW558" t="str">
        <f>""</f>
        <v/>
      </c>
      <c r="CX558" t="str">
        <f>""</f>
        <v/>
      </c>
      <c r="CY558" t="str">
        <f>""</f>
        <v/>
      </c>
      <c r="CZ558" t="str">
        <f>""</f>
        <v/>
      </c>
      <c r="DA558" t="str">
        <f>""</f>
        <v/>
      </c>
      <c r="DB558" t="str">
        <f>""</f>
        <v/>
      </c>
      <c r="DC558" t="str">
        <f>""</f>
        <v/>
      </c>
      <c r="DD558" t="str">
        <f>""</f>
        <v/>
      </c>
      <c r="DE558" t="str">
        <f>""</f>
        <v/>
      </c>
      <c r="DF558" t="str">
        <f>""</f>
        <v/>
      </c>
      <c r="DG558" t="str">
        <f>""</f>
        <v/>
      </c>
      <c r="DH558" t="str">
        <f>""</f>
        <v/>
      </c>
      <c r="DI558" t="str">
        <f>""</f>
        <v/>
      </c>
      <c r="DJ558" t="str">
        <f>""</f>
        <v/>
      </c>
      <c r="DK558" t="str">
        <f>""</f>
        <v/>
      </c>
      <c r="DL558" t="str">
        <f>""</f>
        <v/>
      </c>
      <c r="DM558" t="str">
        <f>""</f>
        <v/>
      </c>
      <c r="DN558" t="str">
        <f>""</f>
        <v/>
      </c>
      <c r="DO558" t="str">
        <f>""</f>
        <v/>
      </c>
      <c r="DP558" t="str">
        <f>""</f>
        <v/>
      </c>
      <c r="DQ558" t="str">
        <f>""</f>
        <v/>
      </c>
      <c r="DR558" t="str">
        <f>""</f>
        <v/>
      </c>
      <c r="DS558" t="str">
        <f>""</f>
        <v/>
      </c>
      <c r="DT558" t="str">
        <f>""</f>
        <v/>
      </c>
      <c r="DU558" t="str">
        <f>""</f>
        <v/>
      </c>
    </row>
    <row r="559" spans="1:125">
      <c r="A559" t="str">
        <f>$A$272</f>
        <v xml:space="preserve">    Corporate Office Properties Tr</v>
      </c>
      <c r="B559" t="str">
        <f>$B$272</f>
        <v>OFC US Equity</v>
      </c>
      <c r="C559" t="str">
        <f>$C$272</f>
        <v>RR106</v>
      </c>
      <c r="D559" t="str">
        <f>$D$272</f>
        <v>FFO_PAYOUT_RATIO</v>
      </c>
      <c r="E559" t="str">
        <f>$E$272</f>
        <v>动态</v>
      </c>
      <c r="F559" t="str">
        <f ca="1">BDH($B$272,$C$272,$B$292,$B$293,CONCATENATE("Per=",$B$290),"Dts=H","Dir=H",CONCATENATE("Points=",$B$291),"Sort=R","Days=A","Fill=B",CONCATENATE("FX=", $B$289) )</f>
        <v>#N/A Authorization</v>
      </c>
      <c r="BN559" t="str">
        <f>""</f>
        <v/>
      </c>
      <c r="BO559" t="str">
        <f>""</f>
        <v/>
      </c>
      <c r="BP559" t="str">
        <f>""</f>
        <v/>
      </c>
      <c r="BQ559" t="str">
        <f>""</f>
        <v/>
      </c>
      <c r="BR559" t="str">
        <f>""</f>
        <v/>
      </c>
      <c r="BS559" t="str">
        <f>""</f>
        <v/>
      </c>
      <c r="BT559" t="str">
        <f>""</f>
        <v/>
      </c>
      <c r="BU559" t="str">
        <f>""</f>
        <v/>
      </c>
      <c r="BV559" t="str">
        <f>""</f>
        <v/>
      </c>
      <c r="BW559" t="str">
        <f>""</f>
        <v/>
      </c>
      <c r="BX559" t="str">
        <f>""</f>
        <v/>
      </c>
      <c r="BY559" t="str">
        <f>""</f>
        <v/>
      </c>
      <c r="BZ559" t="str">
        <f>""</f>
        <v/>
      </c>
      <c r="CA559" t="str">
        <f>""</f>
        <v/>
      </c>
      <c r="CB559" t="str">
        <f>""</f>
        <v/>
      </c>
      <c r="CC559" t="str">
        <f>""</f>
        <v/>
      </c>
      <c r="CD559" t="str">
        <f>""</f>
        <v/>
      </c>
      <c r="CE559" t="str">
        <f>""</f>
        <v/>
      </c>
      <c r="CF559" t="str">
        <f>""</f>
        <v/>
      </c>
      <c r="CG559" t="str">
        <f>""</f>
        <v/>
      </c>
      <c r="CH559" t="str">
        <f>""</f>
        <v/>
      </c>
      <c r="CI559" t="str">
        <f>""</f>
        <v/>
      </c>
      <c r="CJ559" t="str">
        <f>""</f>
        <v/>
      </c>
      <c r="CK559" t="str">
        <f>""</f>
        <v/>
      </c>
      <c r="CL559" t="str">
        <f>""</f>
        <v/>
      </c>
      <c r="CM559" t="str">
        <f>""</f>
        <v/>
      </c>
      <c r="CN559" t="str">
        <f>""</f>
        <v/>
      </c>
      <c r="CO559" t="str">
        <f>""</f>
        <v/>
      </c>
      <c r="CP559" t="str">
        <f>""</f>
        <v/>
      </c>
      <c r="CQ559" t="str">
        <f>""</f>
        <v/>
      </c>
      <c r="CR559" t="str">
        <f>""</f>
        <v/>
      </c>
      <c r="CS559" t="str">
        <f>""</f>
        <v/>
      </c>
      <c r="CT559" t="str">
        <f>""</f>
        <v/>
      </c>
      <c r="CU559" t="str">
        <f>""</f>
        <v/>
      </c>
      <c r="CV559" t="str">
        <f>""</f>
        <v/>
      </c>
      <c r="CW559" t="str">
        <f>""</f>
        <v/>
      </c>
      <c r="CX559" t="str">
        <f>""</f>
        <v/>
      </c>
      <c r="CY559" t="str">
        <f>""</f>
        <v/>
      </c>
      <c r="CZ559" t="str">
        <f>""</f>
        <v/>
      </c>
      <c r="DA559" t="str">
        <f>""</f>
        <v/>
      </c>
      <c r="DB559" t="str">
        <f>""</f>
        <v/>
      </c>
      <c r="DC559" t="str">
        <f>""</f>
        <v/>
      </c>
      <c r="DD559" t="str">
        <f>""</f>
        <v/>
      </c>
      <c r="DE559" t="str">
        <f>""</f>
        <v/>
      </c>
      <c r="DF559" t="str">
        <f>""</f>
        <v/>
      </c>
      <c r="DG559" t="str">
        <f>""</f>
        <v/>
      </c>
      <c r="DH559" t="str">
        <f>""</f>
        <v/>
      </c>
      <c r="DI559" t="str">
        <f>""</f>
        <v/>
      </c>
      <c r="DJ559" t="str">
        <f>""</f>
        <v/>
      </c>
      <c r="DK559" t="str">
        <f>""</f>
        <v/>
      </c>
      <c r="DL559" t="str">
        <f>""</f>
        <v/>
      </c>
      <c r="DM559" t="str">
        <f>""</f>
        <v/>
      </c>
      <c r="DN559" t="str">
        <f>""</f>
        <v/>
      </c>
      <c r="DO559" t="str">
        <f>""</f>
        <v/>
      </c>
      <c r="DP559" t="str">
        <f>""</f>
        <v/>
      </c>
      <c r="DQ559" t="str">
        <f>""</f>
        <v/>
      </c>
      <c r="DR559" t="str">
        <f>""</f>
        <v/>
      </c>
      <c r="DS559" t="str">
        <f>""</f>
        <v/>
      </c>
      <c r="DT559" t="str">
        <f>""</f>
        <v/>
      </c>
      <c r="DU559" t="str">
        <f>""</f>
        <v/>
      </c>
    </row>
    <row r="560" spans="1:125">
      <c r="A560" t="str">
        <f>$A$273</f>
        <v xml:space="preserve">    Highwoods Properties Inc</v>
      </c>
      <c r="B560" t="str">
        <f>$B$273</f>
        <v>HIW US Equity</v>
      </c>
      <c r="C560" t="str">
        <f>$C$273</f>
        <v>RR106</v>
      </c>
      <c r="D560" t="str">
        <f>$D$273</f>
        <v>FFO_PAYOUT_RATIO</v>
      </c>
      <c r="E560" t="str">
        <f>$E$273</f>
        <v>动态</v>
      </c>
      <c r="F560" t="str">
        <f ca="1">BDH($B$273,$C$273,$B$292,$B$293,CONCATENATE("Per=",$B$290),"Dts=H","Dir=H",CONCATENATE("Points=",$B$291),"Sort=R","Days=A","Fill=B",CONCATENATE("FX=", $B$289) )</f>
        <v>#N/A Authorization</v>
      </c>
      <c r="BN560" t="str">
        <f>""</f>
        <v/>
      </c>
      <c r="BO560" t="str">
        <f>""</f>
        <v/>
      </c>
      <c r="BP560" t="str">
        <f>""</f>
        <v/>
      </c>
      <c r="BQ560" t="str">
        <f>""</f>
        <v/>
      </c>
      <c r="BR560" t="str">
        <f>""</f>
        <v/>
      </c>
      <c r="BS560" t="str">
        <f>""</f>
        <v/>
      </c>
      <c r="BT560" t="str">
        <f>""</f>
        <v/>
      </c>
      <c r="BU560" t="str">
        <f>""</f>
        <v/>
      </c>
      <c r="BV560" t="str">
        <f>""</f>
        <v/>
      </c>
      <c r="BW560" t="str">
        <f>""</f>
        <v/>
      </c>
      <c r="BX560" t="str">
        <f>""</f>
        <v/>
      </c>
      <c r="BY560" t="str">
        <f>""</f>
        <v/>
      </c>
      <c r="BZ560" t="str">
        <f>""</f>
        <v/>
      </c>
      <c r="CA560" t="str">
        <f>""</f>
        <v/>
      </c>
      <c r="CB560" t="str">
        <f>""</f>
        <v/>
      </c>
      <c r="CC560" t="str">
        <f>""</f>
        <v/>
      </c>
      <c r="CD560" t="str">
        <f>""</f>
        <v/>
      </c>
      <c r="CE560" t="str">
        <f>""</f>
        <v/>
      </c>
      <c r="CF560" t="str">
        <f>""</f>
        <v/>
      </c>
      <c r="CG560" t="str">
        <f>""</f>
        <v/>
      </c>
      <c r="CH560" t="str">
        <f>""</f>
        <v/>
      </c>
      <c r="CI560" t="str">
        <f>""</f>
        <v/>
      </c>
      <c r="CJ560" t="str">
        <f>""</f>
        <v/>
      </c>
      <c r="CK560" t="str">
        <f>""</f>
        <v/>
      </c>
      <c r="CL560" t="str">
        <f>""</f>
        <v/>
      </c>
      <c r="CM560" t="str">
        <f>""</f>
        <v/>
      </c>
      <c r="CN560" t="str">
        <f>""</f>
        <v/>
      </c>
      <c r="CO560" t="str">
        <f>""</f>
        <v/>
      </c>
      <c r="CP560" t="str">
        <f>""</f>
        <v/>
      </c>
      <c r="CQ560" t="str">
        <f>""</f>
        <v/>
      </c>
      <c r="CR560" t="str">
        <f>""</f>
        <v/>
      </c>
      <c r="CS560" t="str">
        <f>""</f>
        <v/>
      </c>
      <c r="CT560" t="str">
        <f>""</f>
        <v/>
      </c>
      <c r="CU560" t="str">
        <f>""</f>
        <v/>
      </c>
      <c r="CV560" t="str">
        <f>""</f>
        <v/>
      </c>
      <c r="CW560" t="str">
        <f>""</f>
        <v/>
      </c>
      <c r="CX560" t="str">
        <f>""</f>
        <v/>
      </c>
      <c r="CY560" t="str">
        <f>""</f>
        <v/>
      </c>
      <c r="CZ560" t="str">
        <f>""</f>
        <v/>
      </c>
      <c r="DA560" t="str">
        <f>""</f>
        <v/>
      </c>
      <c r="DB560" t="str">
        <f>""</f>
        <v/>
      </c>
      <c r="DC560" t="str">
        <f>""</f>
        <v/>
      </c>
      <c r="DD560" t="str">
        <f>""</f>
        <v/>
      </c>
      <c r="DE560" t="str">
        <f>""</f>
        <v/>
      </c>
      <c r="DF560" t="str">
        <f>""</f>
        <v/>
      </c>
      <c r="DG560" t="str">
        <f>""</f>
        <v/>
      </c>
      <c r="DH560" t="str">
        <f>""</f>
        <v/>
      </c>
      <c r="DI560" t="str">
        <f>""</f>
        <v/>
      </c>
      <c r="DJ560" t="str">
        <f>""</f>
        <v/>
      </c>
      <c r="DK560" t="str">
        <f>""</f>
        <v/>
      </c>
      <c r="DL560" t="str">
        <f>""</f>
        <v/>
      </c>
      <c r="DM560" t="str">
        <f>""</f>
        <v/>
      </c>
      <c r="DN560" t="str">
        <f>""</f>
        <v/>
      </c>
      <c r="DO560" t="str">
        <f>""</f>
        <v/>
      </c>
      <c r="DP560" t="str">
        <f>""</f>
        <v/>
      </c>
      <c r="DQ560" t="str">
        <f>""</f>
        <v/>
      </c>
      <c r="DR560" t="str">
        <f>""</f>
        <v/>
      </c>
      <c r="DS560" t="str">
        <f>""</f>
        <v/>
      </c>
      <c r="DT560" t="str">
        <f>""</f>
        <v/>
      </c>
      <c r="DU560" t="str">
        <f>""</f>
        <v/>
      </c>
    </row>
    <row r="561" spans="1:125">
      <c r="A561" t="str">
        <f>$A$274</f>
        <v xml:space="preserve">    Kilroy Realty Corp</v>
      </c>
      <c r="B561" t="str">
        <f>$B$274</f>
        <v>KRC US Equity</v>
      </c>
      <c r="C561" t="str">
        <f>$C$274</f>
        <v>RR106</v>
      </c>
      <c r="D561" t="str">
        <f>$D$274</f>
        <v>FFO_PAYOUT_RATIO</v>
      </c>
      <c r="E561" t="str">
        <f>$E$274</f>
        <v>动态</v>
      </c>
      <c r="F561" t="str">
        <f ca="1">BDH($B$274,$C$274,$B$292,$B$293,CONCATENATE("Per=",$B$290),"Dts=H","Dir=H",CONCATENATE("Points=",$B$291),"Sort=R","Days=A","Fill=B",CONCATENATE("FX=", $B$289) )</f>
        <v>#N/A Authorization</v>
      </c>
      <c r="BN561" t="str">
        <f>""</f>
        <v/>
      </c>
      <c r="BO561" t="str">
        <f>""</f>
        <v/>
      </c>
      <c r="BP561" t="str">
        <f>""</f>
        <v/>
      </c>
      <c r="BQ561" t="str">
        <f>""</f>
        <v/>
      </c>
      <c r="BR561" t="str">
        <f>""</f>
        <v/>
      </c>
      <c r="BS561" t="str">
        <f>""</f>
        <v/>
      </c>
      <c r="BT561" t="str">
        <f>""</f>
        <v/>
      </c>
      <c r="BU561" t="str">
        <f>""</f>
        <v/>
      </c>
      <c r="BV561" t="str">
        <f>""</f>
        <v/>
      </c>
      <c r="BW561" t="str">
        <f>""</f>
        <v/>
      </c>
      <c r="BX561" t="str">
        <f>""</f>
        <v/>
      </c>
      <c r="BY561" t="str">
        <f>""</f>
        <v/>
      </c>
      <c r="BZ561" t="str">
        <f>""</f>
        <v/>
      </c>
      <c r="CA561" t="str">
        <f>""</f>
        <v/>
      </c>
      <c r="CB561" t="str">
        <f>""</f>
        <v/>
      </c>
      <c r="CC561" t="str">
        <f>""</f>
        <v/>
      </c>
      <c r="CD561" t="str">
        <f>""</f>
        <v/>
      </c>
      <c r="CE561" t="str">
        <f>""</f>
        <v/>
      </c>
      <c r="CF561" t="str">
        <f>""</f>
        <v/>
      </c>
      <c r="CG561" t="str">
        <f>""</f>
        <v/>
      </c>
      <c r="CH561" t="str">
        <f>""</f>
        <v/>
      </c>
      <c r="CI561" t="str">
        <f>""</f>
        <v/>
      </c>
      <c r="CJ561" t="str">
        <f>""</f>
        <v/>
      </c>
      <c r="CK561" t="str">
        <f>""</f>
        <v/>
      </c>
      <c r="CL561" t="str">
        <f>""</f>
        <v/>
      </c>
      <c r="CM561" t="str">
        <f>""</f>
        <v/>
      </c>
      <c r="CN561" t="str">
        <f>""</f>
        <v/>
      </c>
      <c r="CO561" t="str">
        <f>""</f>
        <v/>
      </c>
      <c r="CP561" t="str">
        <f>""</f>
        <v/>
      </c>
      <c r="CQ561" t="str">
        <f>""</f>
        <v/>
      </c>
      <c r="CR561" t="str">
        <f>""</f>
        <v/>
      </c>
      <c r="CS561" t="str">
        <f>""</f>
        <v/>
      </c>
      <c r="CT561" t="str">
        <f>""</f>
        <v/>
      </c>
      <c r="CU561" t="str">
        <f>""</f>
        <v/>
      </c>
      <c r="CV561" t="str">
        <f>""</f>
        <v/>
      </c>
      <c r="CW561" t="str">
        <f>""</f>
        <v/>
      </c>
      <c r="CX561" t="str">
        <f>""</f>
        <v/>
      </c>
      <c r="CY561" t="str">
        <f>""</f>
        <v/>
      </c>
      <c r="CZ561" t="str">
        <f>""</f>
        <v/>
      </c>
      <c r="DA561" t="str">
        <f>""</f>
        <v/>
      </c>
      <c r="DB561" t="str">
        <f>""</f>
        <v/>
      </c>
      <c r="DC561" t="str">
        <f>""</f>
        <v/>
      </c>
      <c r="DD561" t="str">
        <f>""</f>
        <v/>
      </c>
      <c r="DE561" t="str">
        <f>""</f>
        <v/>
      </c>
      <c r="DF561" t="str">
        <f>""</f>
        <v/>
      </c>
      <c r="DG561" t="str">
        <f>""</f>
        <v/>
      </c>
      <c r="DH561" t="str">
        <f>""</f>
        <v/>
      </c>
      <c r="DI561" t="str">
        <f>""</f>
        <v/>
      </c>
      <c r="DJ561" t="str">
        <f>""</f>
        <v/>
      </c>
      <c r="DK561" t="str">
        <f>""</f>
        <v/>
      </c>
      <c r="DL561" t="str">
        <f>""</f>
        <v/>
      </c>
      <c r="DM561" t="str">
        <f>""</f>
        <v/>
      </c>
      <c r="DN561" t="str">
        <f>""</f>
        <v/>
      </c>
      <c r="DO561" t="str">
        <f>""</f>
        <v/>
      </c>
      <c r="DP561" t="str">
        <f>""</f>
        <v/>
      </c>
      <c r="DQ561" t="str">
        <f>""</f>
        <v/>
      </c>
      <c r="DR561" t="str">
        <f>""</f>
        <v/>
      </c>
      <c r="DS561" t="str">
        <f>""</f>
        <v/>
      </c>
      <c r="DT561" t="str">
        <f>""</f>
        <v/>
      </c>
      <c r="DU561" t="str">
        <f>""</f>
        <v/>
      </c>
    </row>
    <row r="562" spans="1:125">
      <c r="A562" t="str">
        <f>$A$275</f>
        <v xml:space="preserve">    Mack-Cali Realty Corp</v>
      </c>
      <c r="B562" t="str">
        <f>$B$275</f>
        <v>CLI US Equity</v>
      </c>
      <c r="C562" t="str">
        <f>$C$275</f>
        <v>RR106</v>
      </c>
      <c r="D562" t="str">
        <f>$D$275</f>
        <v>FFO_PAYOUT_RATIO</v>
      </c>
      <c r="E562" t="str">
        <f>$E$275</f>
        <v>动态</v>
      </c>
      <c r="F562" t="str">
        <f ca="1">BDH($B$275,$C$275,$B$292,$B$293,CONCATENATE("Per=",$B$290),"Dts=H","Dir=H",CONCATENATE("Points=",$B$291),"Sort=R","Days=A","Fill=B",CONCATENATE("FX=", $B$289) )</f>
        <v>#N/A Authorization</v>
      </c>
      <c r="BN562" t="str">
        <f>""</f>
        <v/>
      </c>
      <c r="BO562" t="str">
        <f>""</f>
        <v/>
      </c>
      <c r="BP562" t="str">
        <f>""</f>
        <v/>
      </c>
      <c r="BQ562" t="str">
        <f>""</f>
        <v/>
      </c>
      <c r="BR562" t="str">
        <f>""</f>
        <v/>
      </c>
      <c r="BS562" t="str">
        <f>""</f>
        <v/>
      </c>
      <c r="BT562" t="str">
        <f>""</f>
        <v/>
      </c>
      <c r="BU562" t="str">
        <f>""</f>
        <v/>
      </c>
      <c r="BV562" t="str">
        <f>""</f>
        <v/>
      </c>
      <c r="BW562" t="str">
        <f>""</f>
        <v/>
      </c>
      <c r="BX562" t="str">
        <f>""</f>
        <v/>
      </c>
      <c r="BY562" t="str">
        <f>""</f>
        <v/>
      </c>
      <c r="BZ562" t="str">
        <f>""</f>
        <v/>
      </c>
      <c r="CA562" t="str">
        <f>""</f>
        <v/>
      </c>
      <c r="CB562" t="str">
        <f>""</f>
        <v/>
      </c>
      <c r="CC562" t="str">
        <f>""</f>
        <v/>
      </c>
      <c r="CD562" t="str">
        <f>""</f>
        <v/>
      </c>
      <c r="CE562" t="str">
        <f>""</f>
        <v/>
      </c>
      <c r="CF562" t="str">
        <f>""</f>
        <v/>
      </c>
      <c r="CG562" t="str">
        <f>""</f>
        <v/>
      </c>
      <c r="CH562" t="str">
        <f>""</f>
        <v/>
      </c>
      <c r="CI562" t="str">
        <f>""</f>
        <v/>
      </c>
      <c r="CJ562" t="str">
        <f>""</f>
        <v/>
      </c>
      <c r="CK562" t="str">
        <f>""</f>
        <v/>
      </c>
      <c r="CL562" t="str">
        <f>""</f>
        <v/>
      </c>
      <c r="CM562" t="str">
        <f>""</f>
        <v/>
      </c>
      <c r="CN562" t="str">
        <f>""</f>
        <v/>
      </c>
      <c r="CO562" t="str">
        <f>""</f>
        <v/>
      </c>
      <c r="CP562" t="str">
        <f>""</f>
        <v/>
      </c>
      <c r="CQ562" t="str">
        <f>""</f>
        <v/>
      </c>
      <c r="CR562" t="str">
        <f>""</f>
        <v/>
      </c>
      <c r="CS562" t="str">
        <f>""</f>
        <v/>
      </c>
      <c r="CT562" t="str">
        <f>""</f>
        <v/>
      </c>
      <c r="CU562" t="str">
        <f>""</f>
        <v/>
      </c>
      <c r="CV562" t="str">
        <f>""</f>
        <v/>
      </c>
      <c r="CW562" t="str">
        <f>""</f>
        <v/>
      </c>
      <c r="CX562" t="str">
        <f>""</f>
        <v/>
      </c>
      <c r="CY562" t="str">
        <f>""</f>
        <v/>
      </c>
      <c r="CZ562" t="str">
        <f>""</f>
        <v/>
      </c>
      <c r="DA562" t="str">
        <f>""</f>
        <v/>
      </c>
      <c r="DB562" t="str">
        <f>""</f>
        <v/>
      </c>
      <c r="DC562" t="str">
        <f>""</f>
        <v/>
      </c>
      <c r="DD562" t="str">
        <f>""</f>
        <v/>
      </c>
      <c r="DE562" t="str">
        <f>""</f>
        <v/>
      </c>
      <c r="DF562" t="str">
        <f>""</f>
        <v/>
      </c>
      <c r="DG562" t="str">
        <f>""</f>
        <v/>
      </c>
      <c r="DH562" t="str">
        <f>""</f>
        <v/>
      </c>
      <c r="DI562" t="str">
        <f>""</f>
        <v/>
      </c>
      <c r="DJ562" t="str">
        <f>""</f>
        <v/>
      </c>
      <c r="DK562" t="str">
        <f>""</f>
        <v/>
      </c>
      <c r="DL562" t="str">
        <f>""</f>
        <v/>
      </c>
      <c r="DM562" t="str">
        <f>""</f>
        <v/>
      </c>
      <c r="DN562" t="str">
        <f>""</f>
        <v/>
      </c>
      <c r="DO562" t="str">
        <f>""</f>
        <v/>
      </c>
      <c r="DP562" t="str">
        <f>""</f>
        <v/>
      </c>
      <c r="DQ562" t="str">
        <f>""</f>
        <v/>
      </c>
      <c r="DR562" t="str">
        <f>""</f>
        <v/>
      </c>
      <c r="DS562" t="str">
        <f>""</f>
        <v/>
      </c>
      <c r="DT562" t="str">
        <f>""</f>
        <v/>
      </c>
      <c r="DU562" t="str">
        <f>""</f>
        <v/>
      </c>
    </row>
    <row r="563" spans="1:125">
      <c r="A563" t="str">
        <f>$A$276</f>
        <v xml:space="preserve">    Piedmont Office Realty Trust I</v>
      </c>
      <c r="B563" t="str">
        <f>$B$276</f>
        <v>PDM US Equity</v>
      </c>
      <c r="C563" t="str">
        <f>$C$276</f>
        <v>RR106</v>
      </c>
      <c r="D563" t="str">
        <f>$D$276</f>
        <v>FFO_PAYOUT_RATIO</v>
      </c>
      <c r="E563" t="str">
        <f>$E$276</f>
        <v>动态</v>
      </c>
      <c r="F563" t="str">
        <f ca="1">BDH($B$276,$C$276,$B$292,$B$293,CONCATENATE("Per=",$B$290),"Dts=H","Dir=H",CONCATENATE("Points=",$B$291),"Sort=R","Days=A","Fill=B",CONCATENATE("FX=", $B$289) )</f>
        <v>#N/A Authorization</v>
      </c>
      <c r="BN563" t="str">
        <f>""</f>
        <v/>
      </c>
      <c r="BO563" t="str">
        <f>""</f>
        <v/>
      </c>
      <c r="BP563" t="str">
        <f>""</f>
        <v/>
      </c>
      <c r="BQ563" t="str">
        <f>""</f>
        <v/>
      </c>
      <c r="BR563" t="str">
        <f>""</f>
        <v/>
      </c>
      <c r="BS563" t="str">
        <f>""</f>
        <v/>
      </c>
      <c r="BT563" t="str">
        <f>""</f>
        <v/>
      </c>
      <c r="BU563" t="str">
        <f>""</f>
        <v/>
      </c>
      <c r="BV563" t="str">
        <f>""</f>
        <v/>
      </c>
      <c r="BW563" t="str">
        <f>""</f>
        <v/>
      </c>
      <c r="BX563" t="str">
        <f>""</f>
        <v/>
      </c>
      <c r="BY563" t="str">
        <f>""</f>
        <v/>
      </c>
      <c r="BZ563" t="str">
        <f>""</f>
        <v/>
      </c>
      <c r="CA563" t="str">
        <f>""</f>
        <v/>
      </c>
      <c r="CB563" t="str">
        <f>""</f>
        <v/>
      </c>
      <c r="CC563" t="str">
        <f>""</f>
        <v/>
      </c>
      <c r="CD563" t="str">
        <f>""</f>
        <v/>
      </c>
      <c r="CE563" t="str">
        <f>""</f>
        <v/>
      </c>
      <c r="CF563" t="str">
        <f>""</f>
        <v/>
      </c>
      <c r="CG563" t="str">
        <f>""</f>
        <v/>
      </c>
      <c r="CH563" t="str">
        <f>""</f>
        <v/>
      </c>
      <c r="CI563" t="str">
        <f>""</f>
        <v/>
      </c>
      <c r="CJ563" t="str">
        <f>""</f>
        <v/>
      </c>
      <c r="CK563" t="str">
        <f>""</f>
        <v/>
      </c>
      <c r="CL563" t="str">
        <f>""</f>
        <v/>
      </c>
      <c r="CM563" t="str">
        <f>""</f>
        <v/>
      </c>
      <c r="CN563" t="str">
        <f>""</f>
        <v/>
      </c>
      <c r="CO563" t="str">
        <f>""</f>
        <v/>
      </c>
      <c r="CP563" t="str">
        <f>""</f>
        <v/>
      </c>
      <c r="CQ563" t="str">
        <f>""</f>
        <v/>
      </c>
      <c r="CR563" t="str">
        <f>""</f>
        <v/>
      </c>
      <c r="CS563" t="str">
        <f>""</f>
        <v/>
      </c>
      <c r="CT563" t="str">
        <f>""</f>
        <v/>
      </c>
      <c r="CU563" t="str">
        <f>""</f>
        <v/>
      </c>
      <c r="CV563" t="str">
        <f>""</f>
        <v/>
      </c>
      <c r="CW563" t="str">
        <f>""</f>
        <v/>
      </c>
      <c r="CX563" t="str">
        <f>""</f>
        <v/>
      </c>
      <c r="CY563" t="str">
        <f>""</f>
        <v/>
      </c>
      <c r="CZ563" t="str">
        <f>""</f>
        <v/>
      </c>
      <c r="DA563" t="str">
        <f>""</f>
        <v/>
      </c>
      <c r="DB563" t="str">
        <f>""</f>
        <v/>
      </c>
      <c r="DC563" t="str">
        <f>""</f>
        <v/>
      </c>
      <c r="DD563" t="str">
        <f>""</f>
        <v/>
      </c>
      <c r="DE563" t="str">
        <f>""</f>
        <v/>
      </c>
      <c r="DF563" t="str">
        <f>""</f>
        <v/>
      </c>
      <c r="DG563" t="str">
        <f>""</f>
        <v/>
      </c>
      <c r="DH563" t="str">
        <f>""</f>
        <v/>
      </c>
      <c r="DI563" t="str">
        <f>""</f>
        <v/>
      </c>
      <c r="DJ563" t="str">
        <f>""</f>
        <v/>
      </c>
      <c r="DK563" t="str">
        <f>""</f>
        <v/>
      </c>
      <c r="DL563" t="str">
        <f>""</f>
        <v/>
      </c>
      <c r="DM563" t="str">
        <f>""</f>
        <v/>
      </c>
      <c r="DN563" t="str">
        <f>""</f>
        <v/>
      </c>
      <c r="DO563" t="str">
        <f>""</f>
        <v/>
      </c>
      <c r="DP563" t="str">
        <f>""</f>
        <v/>
      </c>
      <c r="DQ563" t="str">
        <f>""</f>
        <v/>
      </c>
      <c r="DR563" t="str">
        <f>""</f>
        <v/>
      </c>
      <c r="DS563" t="str">
        <f>""</f>
        <v/>
      </c>
      <c r="DT563" t="str">
        <f>""</f>
        <v/>
      </c>
      <c r="DU563" t="str">
        <f>""</f>
        <v/>
      </c>
    </row>
    <row r="564" spans="1:125">
      <c r="A564" t="str">
        <f>$A$277</f>
        <v xml:space="preserve">    SL Green Realty Corp</v>
      </c>
      <c r="B564" t="str">
        <f>$B$277</f>
        <v>SLG US Equity</v>
      </c>
      <c r="C564" t="str">
        <f>$C$277</f>
        <v>RR106</v>
      </c>
      <c r="D564" t="str">
        <f>$D$277</f>
        <v>FFO_PAYOUT_RATIO</v>
      </c>
      <c r="E564" t="str">
        <f>$E$277</f>
        <v>动态</v>
      </c>
      <c r="F564" t="str">
        <f ca="1">BDH($B$277,$C$277,$B$292,$B$293,CONCATENATE("Per=",$B$290),"Dts=H","Dir=H",CONCATENATE("Points=",$B$291),"Sort=R","Days=A","Fill=B",CONCATENATE("FX=", $B$289) )</f>
        <v>#N/A Authorization</v>
      </c>
      <c r="BN564" t="str">
        <f>""</f>
        <v/>
      </c>
      <c r="BO564" t="str">
        <f>""</f>
        <v/>
      </c>
      <c r="BP564" t="str">
        <f>""</f>
        <v/>
      </c>
      <c r="BQ564" t="str">
        <f>""</f>
        <v/>
      </c>
      <c r="BR564" t="str">
        <f>""</f>
        <v/>
      </c>
      <c r="BS564" t="str">
        <f>""</f>
        <v/>
      </c>
      <c r="BT564" t="str">
        <f>""</f>
        <v/>
      </c>
      <c r="BU564" t="str">
        <f>""</f>
        <v/>
      </c>
      <c r="BV564" t="str">
        <f>""</f>
        <v/>
      </c>
      <c r="BW564" t="str">
        <f>""</f>
        <v/>
      </c>
      <c r="BX564" t="str">
        <f>""</f>
        <v/>
      </c>
      <c r="BY564" t="str">
        <f>""</f>
        <v/>
      </c>
      <c r="BZ564" t="str">
        <f>""</f>
        <v/>
      </c>
      <c r="CA564" t="str">
        <f>""</f>
        <v/>
      </c>
      <c r="CB564" t="str">
        <f>""</f>
        <v/>
      </c>
      <c r="CC564" t="str">
        <f>""</f>
        <v/>
      </c>
      <c r="CD564" t="str">
        <f>""</f>
        <v/>
      </c>
      <c r="CE564" t="str">
        <f>""</f>
        <v/>
      </c>
      <c r="CF564" t="str">
        <f>""</f>
        <v/>
      </c>
      <c r="CG564" t="str">
        <f>""</f>
        <v/>
      </c>
      <c r="CH564" t="str">
        <f>""</f>
        <v/>
      </c>
      <c r="CI564" t="str">
        <f>""</f>
        <v/>
      </c>
      <c r="CJ564" t="str">
        <f>""</f>
        <v/>
      </c>
      <c r="CK564" t="str">
        <f>""</f>
        <v/>
      </c>
      <c r="CL564" t="str">
        <f>""</f>
        <v/>
      </c>
      <c r="CM564" t="str">
        <f>""</f>
        <v/>
      </c>
      <c r="CN564" t="str">
        <f>""</f>
        <v/>
      </c>
      <c r="CO564" t="str">
        <f>""</f>
        <v/>
      </c>
      <c r="CP564" t="str">
        <f>""</f>
        <v/>
      </c>
      <c r="CQ564" t="str">
        <f>""</f>
        <v/>
      </c>
      <c r="CR564" t="str">
        <f>""</f>
        <v/>
      </c>
      <c r="CS564" t="str">
        <f>""</f>
        <v/>
      </c>
      <c r="CT564" t="str">
        <f>""</f>
        <v/>
      </c>
      <c r="CU564" t="str">
        <f>""</f>
        <v/>
      </c>
      <c r="CV564" t="str">
        <f>""</f>
        <v/>
      </c>
      <c r="CW564" t="str">
        <f>""</f>
        <v/>
      </c>
      <c r="CX564" t="str">
        <f>""</f>
        <v/>
      </c>
      <c r="CY564" t="str">
        <f>""</f>
        <v/>
      </c>
      <c r="CZ564" t="str">
        <f>""</f>
        <v/>
      </c>
      <c r="DA564" t="str">
        <f>""</f>
        <v/>
      </c>
      <c r="DB564" t="str">
        <f>""</f>
        <v/>
      </c>
      <c r="DC564" t="str">
        <f>""</f>
        <v/>
      </c>
      <c r="DD564" t="str">
        <f>""</f>
        <v/>
      </c>
      <c r="DE564" t="str">
        <f>""</f>
        <v/>
      </c>
      <c r="DF564" t="str">
        <f>""</f>
        <v/>
      </c>
      <c r="DG564" t="str">
        <f>""</f>
        <v/>
      </c>
      <c r="DH564" t="str">
        <f>""</f>
        <v/>
      </c>
      <c r="DI564" t="str">
        <f>""</f>
        <v/>
      </c>
      <c r="DJ564" t="str">
        <f>""</f>
        <v/>
      </c>
      <c r="DK564" t="str">
        <f>""</f>
        <v/>
      </c>
      <c r="DL564" t="str">
        <f>""</f>
        <v/>
      </c>
      <c r="DM564" t="str">
        <f>""</f>
        <v/>
      </c>
      <c r="DN564" t="str">
        <f>""</f>
        <v/>
      </c>
      <c r="DO564" t="str">
        <f>""</f>
        <v/>
      </c>
      <c r="DP564" t="str">
        <f>""</f>
        <v/>
      </c>
      <c r="DQ564" t="str">
        <f>""</f>
        <v/>
      </c>
      <c r="DR564" t="str">
        <f>""</f>
        <v/>
      </c>
      <c r="DS564" t="str">
        <f>""</f>
        <v/>
      </c>
      <c r="DT564" t="str">
        <f>""</f>
        <v/>
      </c>
      <c r="DU564" t="str">
        <f>""</f>
        <v/>
      </c>
    </row>
    <row r="565" spans="1:125">
      <c r="A565" t="str">
        <f>$A$278</f>
        <v xml:space="preserve">    Vornado Realty Trust</v>
      </c>
      <c r="B565" t="str">
        <f>$B$278</f>
        <v>VNO US Equity</v>
      </c>
      <c r="C565" t="str">
        <f>$C$278</f>
        <v>RR106</v>
      </c>
      <c r="D565" t="str">
        <f>$D$278</f>
        <v>FFO_PAYOUT_RATIO</v>
      </c>
      <c r="E565" t="str">
        <f>$E$278</f>
        <v>动态</v>
      </c>
      <c r="F565" t="str">
        <f ca="1">BDH($B$278,$C$278,$B$292,$B$293,CONCATENATE("Per=",$B$290),"Dts=H","Dir=H",CONCATENATE("Points=",$B$291),"Sort=R","Days=A","Fill=B",CONCATENATE("FX=", $B$289) )</f>
        <v>#N/A Authorization</v>
      </c>
      <c r="BN565" t="str">
        <f>""</f>
        <v/>
      </c>
      <c r="BO565" t="str">
        <f>""</f>
        <v/>
      </c>
      <c r="BP565" t="str">
        <f>""</f>
        <v/>
      </c>
      <c r="BQ565" t="str">
        <f>""</f>
        <v/>
      </c>
      <c r="BR565" t="str">
        <f>""</f>
        <v/>
      </c>
      <c r="BS565" t="str">
        <f>""</f>
        <v/>
      </c>
      <c r="BT565" t="str">
        <f>""</f>
        <v/>
      </c>
      <c r="BU565" t="str">
        <f>""</f>
        <v/>
      </c>
      <c r="BV565" t="str">
        <f>""</f>
        <v/>
      </c>
      <c r="BW565" t="str">
        <f>""</f>
        <v/>
      </c>
      <c r="BX565" t="str">
        <f>""</f>
        <v/>
      </c>
      <c r="BY565" t="str">
        <f>""</f>
        <v/>
      </c>
      <c r="BZ565" t="str">
        <f>""</f>
        <v/>
      </c>
      <c r="CA565" t="str">
        <f>""</f>
        <v/>
      </c>
      <c r="CB565" t="str">
        <f>""</f>
        <v/>
      </c>
      <c r="CC565" t="str">
        <f>""</f>
        <v/>
      </c>
      <c r="CD565" t="str">
        <f>""</f>
        <v/>
      </c>
      <c r="CE565" t="str">
        <f>""</f>
        <v/>
      </c>
      <c r="CF565" t="str">
        <f>""</f>
        <v/>
      </c>
      <c r="CG565" t="str">
        <f>""</f>
        <v/>
      </c>
      <c r="CH565" t="str">
        <f>""</f>
        <v/>
      </c>
      <c r="CI565" t="str">
        <f>""</f>
        <v/>
      </c>
      <c r="CJ565" t="str">
        <f>""</f>
        <v/>
      </c>
      <c r="CK565" t="str">
        <f>""</f>
        <v/>
      </c>
      <c r="CL565" t="str">
        <f>""</f>
        <v/>
      </c>
      <c r="CM565" t="str">
        <f>""</f>
        <v/>
      </c>
      <c r="CN565" t="str">
        <f>""</f>
        <v/>
      </c>
      <c r="CO565" t="str">
        <f>""</f>
        <v/>
      </c>
      <c r="CP565" t="str">
        <f>""</f>
        <v/>
      </c>
      <c r="CQ565" t="str">
        <f>""</f>
        <v/>
      </c>
      <c r="CR565" t="str">
        <f>""</f>
        <v/>
      </c>
      <c r="CS565" t="str">
        <f>""</f>
        <v/>
      </c>
      <c r="CT565" t="str">
        <f>""</f>
        <v/>
      </c>
      <c r="CU565" t="str">
        <f>""</f>
        <v/>
      </c>
      <c r="CV565" t="str">
        <f>""</f>
        <v/>
      </c>
      <c r="CW565" t="str">
        <f>""</f>
        <v/>
      </c>
      <c r="CX565" t="str">
        <f>""</f>
        <v/>
      </c>
      <c r="CY565" t="str">
        <f>""</f>
        <v/>
      </c>
      <c r="CZ565" t="str">
        <f>""</f>
        <v/>
      </c>
      <c r="DA565" t="str">
        <f>""</f>
        <v/>
      </c>
      <c r="DB565" t="str">
        <f>""</f>
        <v/>
      </c>
      <c r="DC565" t="str">
        <f>""</f>
        <v/>
      </c>
      <c r="DD565" t="str">
        <f>""</f>
        <v/>
      </c>
      <c r="DE565" t="str">
        <f>""</f>
        <v/>
      </c>
      <c r="DF565" t="str">
        <f>""</f>
        <v/>
      </c>
      <c r="DG565" t="str">
        <f>""</f>
        <v/>
      </c>
      <c r="DH565" t="str">
        <f>""</f>
        <v/>
      </c>
      <c r="DI565" t="str">
        <f>""</f>
        <v/>
      </c>
      <c r="DJ565" t="str">
        <f>""</f>
        <v/>
      </c>
      <c r="DK565" t="str">
        <f>""</f>
        <v/>
      </c>
      <c r="DL565" t="str">
        <f>""</f>
        <v/>
      </c>
      <c r="DM565" t="str">
        <f>""</f>
        <v/>
      </c>
      <c r="DN565" t="str">
        <f>""</f>
        <v/>
      </c>
      <c r="DO565" t="str">
        <f>""</f>
        <v/>
      </c>
      <c r="DP565" t="str">
        <f>""</f>
        <v/>
      </c>
      <c r="DQ565" t="str">
        <f>""</f>
        <v/>
      </c>
      <c r="DR565" t="str">
        <f>""</f>
        <v/>
      </c>
      <c r="DS565" t="str">
        <f>""</f>
        <v/>
      </c>
      <c r="DT565" t="str">
        <f>""</f>
        <v/>
      </c>
      <c r="DU565" t="str">
        <f>""</f>
        <v/>
      </c>
    </row>
    <row r="566" spans="1:125">
      <c r="A566" t="str">
        <f>""</f>
        <v/>
      </c>
      <c r="B566" t="str">
        <f>""</f>
        <v/>
      </c>
      <c r="C566" t="str">
        <f>""</f>
        <v/>
      </c>
      <c r="D566" t="str">
        <f>""</f>
        <v/>
      </c>
      <c r="E566" t="str">
        <f>""</f>
        <v/>
      </c>
      <c r="BN566" t="str">
        <f>""</f>
        <v/>
      </c>
      <c r="BO566" t="str">
        <f>""</f>
        <v/>
      </c>
      <c r="BP566" t="str">
        <f>""</f>
        <v/>
      </c>
      <c r="BQ566" t="str">
        <f>""</f>
        <v/>
      </c>
      <c r="BR566" t="str">
        <f>""</f>
        <v/>
      </c>
      <c r="BS566" t="str">
        <f>""</f>
        <v/>
      </c>
      <c r="BT566" t="str">
        <f>""</f>
        <v/>
      </c>
      <c r="BU566" t="str">
        <f>""</f>
        <v/>
      </c>
      <c r="BV566" t="str">
        <f>""</f>
        <v/>
      </c>
      <c r="BW566" t="str">
        <f>""</f>
        <v/>
      </c>
      <c r="BX566" t="str">
        <f>""</f>
        <v/>
      </c>
      <c r="BY566" t="str">
        <f>""</f>
        <v/>
      </c>
      <c r="BZ566" t="str">
        <f>""</f>
        <v/>
      </c>
      <c r="CA566" t="str">
        <f>""</f>
        <v/>
      </c>
      <c r="CB566" t="str">
        <f>""</f>
        <v/>
      </c>
      <c r="CC566" t="str">
        <f>""</f>
        <v/>
      </c>
      <c r="CD566" t="str">
        <f>""</f>
        <v/>
      </c>
      <c r="CE566" t="str">
        <f>""</f>
        <v/>
      </c>
      <c r="CF566" t="str">
        <f>""</f>
        <v/>
      </c>
      <c r="CG566" t="str">
        <f>""</f>
        <v/>
      </c>
      <c r="CH566" t="str">
        <f>""</f>
        <v/>
      </c>
      <c r="CI566" t="str">
        <f>""</f>
        <v/>
      </c>
      <c r="CJ566" t="str">
        <f>""</f>
        <v/>
      </c>
      <c r="CK566" t="str">
        <f>""</f>
        <v/>
      </c>
      <c r="CL566" t="str">
        <f>""</f>
        <v/>
      </c>
      <c r="CM566" t="str">
        <f>""</f>
        <v/>
      </c>
      <c r="CN566" t="str">
        <f>""</f>
        <v/>
      </c>
      <c r="CO566" t="str">
        <f>""</f>
        <v/>
      </c>
      <c r="CP566" t="str">
        <f>""</f>
        <v/>
      </c>
      <c r="CQ566" t="str">
        <f>""</f>
        <v/>
      </c>
      <c r="CR566" t="str">
        <f>""</f>
        <v/>
      </c>
      <c r="CS566" t="str">
        <f>""</f>
        <v/>
      </c>
      <c r="CT566" t="str">
        <f>""</f>
        <v/>
      </c>
      <c r="CU566" t="str">
        <f>""</f>
        <v/>
      </c>
      <c r="CV566" t="str">
        <f>""</f>
        <v/>
      </c>
      <c r="CW566" t="str">
        <f>""</f>
        <v/>
      </c>
      <c r="CX566" t="str">
        <f>""</f>
        <v/>
      </c>
      <c r="CY566" t="str">
        <f>""</f>
        <v/>
      </c>
      <c r="CZ566" t="str">
        <f>""</f>
        <v/>
      </c>
      <c r="DA566" t="str">
        <f>""</f>
        <v/>
      </c>
      <c r="DB566" t="str">
        <f>""</f>
        <v/>
      </c>
      <c r="DC566" t="str">
        <f>""</f>
        <v/>
      </c>
      <c r="DD566" t="str">
        <f>""</f>
        <v/>
      </c>
      <c r="DE566" t="str">
        <f>""</f>
        <v/>
      </c>
      <c r="DF566" t="str">
        <f>""</f>
        <v/>
      </c>
      <c r="DG566" t="str">
        <f>""</f>
        <v/>
      </c>
      <c r="DH566" t="str">
        <f>""</f>
        <v/>
      </c>
      <c r="DI566" t="str">
        <f>""</f>
        <v/>
      </c>
      <c r="DJ566" t="str">
        <f>""</f>
        <v/>
      </c>
      <c r="DK566" t="str">
        <f>""</f>
        <v/>
      </c>
      <c r="DL566" t="str">
        <f>""</f>
        <v/>
      </c>
      <c r="DM566" t="str">
        <f>""</f>
        <v/>
      </c>
      <c r="DN566" t="str">
        <f>""</f>
        <v/>
      </c>
      <c r="DO566" t="str">
        <f>""</f>
        <v/>
      </c>
      <c r="DP566" t="str">
        <f>""</f>
        <v/>
      </c>
      <c r="DQ566" t="str">
        <f>""</f>
        <v/>
      </c>
      <c r="DR566" t="str">
        <f>""</f>
        <v/>
      </c>
      <c r="DS566" t="str">
        <f>""</f>
        <v/>
      </c>
      <c r="DT566" t="str">
        <f>""</f>
        <v/>
      </c>
      <c r="DU566" t="str">
        <f>""</f>
        <v/>
      </c>
    </row>
    <row r="567" spans="1:125">
      <c r="A567" t="str">
        <f>""</f>
        <v/>
      </c>
      <c r="B567" t="str">
        <f>""</f>
        <v/>
      </c>
      <c r="C567" t="str">
        <f>""</f>
        <v/>
      </c>
      <c r="D567" t="str">
        <f>""</f>
        <v/>
      </c>
      <c r="E567" t="str">
        <f>""</f>
        <v/>
      </c>
      <c r="BN567" t="str">
        <f>""</f>
        <v/>
      </c>
      <c r="BO567" t="str">
        <f>""</f>
        <v/>
      </c>
      <c r="BP567" t="str">
        <f>""</f>
        <v/>
      </c>
      <c r="BQ567" t="str">
        <f>""</f>
        <v/>
      </c>
      <c r="BR567" t="str">
        <f>""</f>
        <v/>
      </c>
      <c r="BS567" t="str">
        <f>""</f>
        <v/>
      </c>
      <c r="BT567" t="str">
        <f>""</f>
        <v/>
      </c>
      <c r="BU567" t="str">
        <f>""</f>
        <v/>
      </c>
      <c r="BV567" t="str">
        <f>""</f>
        <v/>
      </c>
      <c r="BW567" t="str">
        <f>""</f>
        <v/>
      </c>
      <c r="BX567" t="str">
        <f>""</f>
        <v/>
      </c>
      <c r="BY567" t="str">
        <f>""</f>
        <v/>
      </c>
      <c r="BZ567" t="str">
        <f>""</f>
        <v/>
      </c>
      <c r="CA567" t="str">
        <f>""</f>
        <v/>
      </c>
      <c r="CB567" t="str">
        <f>""</f>
        <v/>
      </c>
      <c r="CC567" t="str">
        <f>""</f>
        <v/>
      </c>
      <c r="CD567" t="str">
        <f>""</f>
        <v/>
      </c>
      <c r="CE567" t="str">
        <f>""</f>
        <v/>
      </c>
      <c r="CF567" t="str">
        <f>""</f>
        <v/>
      </c>
      <c r="CG567" t="str">
        <f>""</f>
        <v/>
      </c>
      <c r="CH567" t="str">
        <f>""</f>
        <v/>
      </c>
      <c r="CI567" t="str">
        <f>""</f>
        <v/>
      </c>
      <c r="CJ567" t="str">
        <f>""</f>
        <v/>
      </c>
      <c r="CK567" t="str">
        <f>""</f>
        <v/>
      </c>
      <c r="CL567" t="str">
        <f>""</f>
        <v/>
      </c>
      <c r="CM567" t="str">
        <f>""</f>
        <v/>
      </c>
      <c r="CN567" t="str">
        <f>""</f>
        <v/>
      </c>
      <c r="CO567" t="str">
        <f>""</f>
        <v/>
      </c>
      <c r="CP567" t="str">
        <f>""</f>
        <v/>
      </c>
      <c r="CQ567" t="str">
        <f>""</f>
        <v/>
      </c>
      <c r="CR567" t="str">
        <f>""</f>
        <v/>
      </c>
      <c r="CS567" t="str">
        <f>""</f>
        <v/>
      </c>
      <c r="CT567" t="str">
        <f>""</f>
        <v/>
      </c>
      <c r="CU567" t="str">
        <f>""</f>
        <v/>
      </c>
      <c r="CV567" t="str">
        <f>""</f>
        <v/>
      </c>
      <c r="CW567" t="str">
        <f>""</f>
        <v/>
      </c>
      <c r="CX567" t="str">
        <f>""</f>
        <v/>
      </c>
      <c r="CY567" t="str">
        <f>""</f>
        <v/>
      </c>
      <c r="CZ567" t="str">
        <f>""</f>
        <v/>
      </c>
      <c r="DA567" t="str">
        <f>""</f>
        <v/>
      </c>
      <c r="DB567" t="str">
        <f>""</f>
        <v/>
      </c>
      <c r="DC567" t="str">
        <f>""</f>
        <v/>
      </c>
      <c r="DD567" t="str">
        <f>""</f>
        <v/>
      </c>
      <c r="DE567" t="str">
        <f>""</f>
        <v/>
      </c>
      <c r="DF567" t="str">
        <f>""</f>
        <v/>
      </c>
      <c r="DG567" t="str">
        <f>""</f>
        <v/>
      </c>
      <c r="DH567" t="str">
        <f>""</f>
        <v/>
      </c>
      <c r="DI567" t="str">
        <f>""</f>
        <v/>
      </c>
      <c r="DJ567" t="str">
        <f>""</f>
        <v/>
      </c>
      <c r="DK567" t="str">
        <f>""</f>
        <v/>
      </c>
      <c r="DL567" t="str">
        <f>""</f>
        <v/>
      </c>
      <c r="DM567" t="str">
        <f>""</f>
        <v/>
      </c>
      <c r="DN567" t="str">
        <f>""</f>
        <v/>
      </c>
      <c r="DO567" t="str">
        <f>""</f>
        <v/>
      </c>
      <c r="DP567" t="str">
        <f>""</f>
        <v/>
      </c>
      <c r="DQ567" t="str">
        <f>""</f>
        <v/>
      </c>
      <c r="DR567" t="str">
        <f>""</f>
        <v/>
      </c>
      <c r="DS567" t="str">
        <f>""</f>
        <v/>
      </c>
      <c r="DT567" t="str">
        <f>""</f>
        <v/>
      </c>
      <c r="DU567" t="str">
        <f>""</f>
        <v/>
      </c>
    </row>
    <row r="568" spans="1:125">
      <c r="A568" t="str">
        <f>""</f>
        <v/>
      </c>
      <c r="B568" t="str">
        <f>""</f>
        <v/>
      </c>
      <c r="C568" t="str">
        <f>""</f>
        <v/>
      </c>
      <c r="D568" t="str">
        <f>""</f>
        <v/>
      </c>
      <c r="E568" t="str">
        <f>""</f>
        <v/>
      </c>
      <c r="BN568" t="str">
        <f>""</f>
        <v/>
      </c>
      <c r="BO568" t="str">
        <f>""</f>
        <v/>
      </c>
      <c r="BP568" t="str">
        <f>""</f>
        <v/>
      </c>
      <c r="BQ568" t="str">
        <f>""</f>
        <v/>
      </c>
      <c r="BR568" t="str">
        <f>""</f>
        <v/>
      </c>
      <c r="BS568" t="str">
        <f>""</f>
        <v/>
      </c>
      <c r="BT568" t="str">
        <f>""</f>
        <v/>
      </c>
      <c r="BU568" t="str">
        <f>""</f>
        <v/>
      </c>
      <c r="BV568" t="str">
        <f>""</f>
        <v/>
      </c>
      <c r="BW568" t="str">
        <f>""</f>
        <v/>
      </c>
      <c r="BX568" t="str">
        <f>""</f>
        <v/>
      </c>
      <c r="BY568" t="str">
        <f>""</f>
        <v/>
      </c>
      <c r="BZ568" t="str">
        <f>""</f>
        <v/>
      </c>
      <c r="CA568" t="str">
        <f>""</f>
        <v/>
      </c>
      <c r="CB568" t="str">
        <f>""</f>
        <v/>
      </c>
      <c r="CC568" t="str">
        <f>""</f>
        <v/>
      </c>
      <c r="CD568" t="str">
        <f>""</f>
        <v/>
      </c>
      <c r="CE568" t="str">
        <f>""</f>
        <v/>
      </c>
      <c r="CF568" t="str">
        <f>""</f>
        <v/>
      </c>
      <c r="CG568" t="str">
        <f>""</f>
        <v/>
      </c>
      <c r="CH568" t="str">
        <f>""</f>
        <v/>
      </c>
      <c r="CI568" t="str">
        <f>""</f>
        <v/>
      </c>
      <c r="CJ568" t="str">
        <f>""</f>
        <v/>
      </c>
      <c r="CK568" t="str">
        <f>""</f>
        <v/>
      </c>
      <c r="CL568" t="str">
        <f>""</f>
        <v/>
      </c>
      <c r="CM568" t="str">
        <f>""</f>
        <v/>
      </c>
      <c r="CN568" t="str">
        <f>""</f>
        <v/>
      </c>
      <c r="CO568" t="str">
        <f>""</f>
        <v/>
      </c>
      <c r="CP568" t="str">
        <f>""</f>
        <v/>
      </c>
      <c r="CQ568" t="str">
        <f>""</f>
        <v/>
      </c>
      <c r="CR568" t="str">
        <f>""</f>
        <v/>
      </c>
      <c r="CS568" t="str">
        <f>""</f>
        <v/>
      </c>
      <c r="CT568" t="str">
        <f>""</f>
        <v/>
      </c>
      <c r="CU568" t="str">
        <f>""</f>
        <v/>
      </c>
      <c r="CV568" t="str">
        <f>""</f>
        <v/>
      </c>
      <c r="CW568" t="str">
        <f>""</f>
        <v/>
      </c>
      <c r="CX568" t="str">
        <f>""</f>
        <v/>
      </c>
      <c r="CY568" t="str">
        <f>""</f>
        <v/>
      </c>
      <c r="CZ568" t="str">
        <f>""</f>
        <v/>
      </c>
      <c r="DA568" t="str">
        <f>""</f>
        <v/>
      </c>
      <c r="DB568" t="str">
        <f>""</f>
        <v/>
      </c>
      <c r="DC568" t="str">
        <f>""</f>
        <v/>
      </c>
      <c r="DD568" t="str">
        <f>""</f>
        <v/>
      </c>
      <c r="DE568" t="str">
        <f>""</f>
        <v/>
      </c>
      <c r="DF568" t="str">
        <f>""</f>
        <v/>
      </c>
      <c r="DG568" t="str">
        <f>""</f>
        <v/>
      </c>
      <c r="DH568" t="str">
        <f>""</f>
        <v/>
      </c>
      <c r="DI568" t="str">
        <f>""</f>
        <v/>
      </c>
      <c r="DJ568" t="str">
        <f>""</f>
        <v/>
      </c>
      <c r="DK568" t="str">
        <f>""</f>
        <v/>
      </c>
      <c r="DL568" t="str">
        <f>""</f>
        <v/>
      </c>
      <c r="DM568" t="str">
        <f>""</f>
        <v/>
      </c>
      <c r="DN568" t="str">
        <f>""</f>
        <v/>
      </c>
      <c r="DO568" t="str">
        <f>""</f>
        <v/>
      </c>
      <c r="DP568" t="str">
        <f>""</f>
        <v/>
      </c>
      <c r="DQ568" t="str">
        <f>""</f>
        <v/>
      </c>
      <c r="DR568" t="str">
        <f>""</f>
        <v/>
      </c>
      <c r="DS568" t="str">
        <f>""</f>
        <v/>
      </c>
      <c r="DT568" t="str">
        <f>""</f>
        <v/>
      </c>
      <c r="DU568" t="str">
        <f>""</f>
        <v/>
      </c>
    </row>
    <row r="569" spans="1:125">
      <c r="A569" t="str">
        <f>""</f>
        <v/>
      </c>
      <c r="B569" t="str">
        <f>""</f>
        <v/>
      </c>
      <c r="C569" t="str">
        <f>""</f>
        <v/>
      </c>
      <c r="D569" t="str">
        <f>""</f>
        <v/>
      </c>
      <c r="E569" t="str">
        <f>""</f>
        <v/>
      </c>
      <c r="BN569" t="str">
        <f>""</f>
        <v/>
      </c>
      <c r="BO569" t="str">
        <f>""</f>
        <v/>
      </c>
      <c r="BP569" t="str">
        <f>""</f>
        <v/>
      </c>
      <c r="BQ569" t="str">
        <f>""</f>
        <v/>
      </c>
      <c r="BR569" t="str">
        <f>""</f>
        <v/>
      </c>
      <c r="BS569" t="str">
        <f>""</f>
        <v/>
      </c>
      <c r="BT569" t="str">
        <f>""</f>
        <v/>
      </c>
      <c r="BU569" t="str">
        <f>""</f>
        <v/>
      </c>
      <c r="BV569" t="str">
        <f>""</f>
        <v/>
      </c>
      <c r="BW569" t="str">
        <f>""</f>
        <v/>
      </c>
      <c r="BX569" t="str">
        <f>""</f>
        <v/>
      </c>
      <c r="BY569" t="str">
        <f>""</f>
        <v/>
      </c>
      <c r="BZ569" t="str">
        <f>""</f>
        <v/>
      </c>
      <c r="CA569" t="str">
        <f>""</f>
        <v/>
      </c>
      <c r="CB569" t="str">
        <f>""</f>
        <v/>
      </c>
      <c r="CC569" t="str">
        <f>""</f>
        <v/>
      </c>
      <c r="CD569" t="str">
        <f>""</f>
        <v/>
      </c>
      <c r="CE569" t="str">
        <f>""</f>
        <v/>
      </c>
      <c r="CF569" t="str">
        <f>""</f>
        <v/>
      </c>
      <c r="CG569" t="str">
        <f>""</f>
        <v/>
      </c>
      <c r="CH569" t="str">
        <f>""</f>
        <v/>
      </c>
      <c r="CI569" t="str">
        <f>""</f>
        <v/>
      </c>
      <c r="CJ569" t="str">
        <f>""</f>
        <v/>
      </c>
      <c r="CK569" t="str">
        <f>""</f>
        <v/>
      </c>
      <c r="CL569" t="str">
        <f>""</f>
        <v/>
      </c>
      <c r="CM569" t="str">
        <f>""</f>
        <v/>
      </c>
      <c r="CN569" t="str">
        <f>""</f>
        <v/>
      </c>
      <c r="CO569" t="str">
        <f>""</f>
        <v/>
      </c>
      <c r="CP569" t="str">
        <f>""</f>
        <v/>
      </c>
      <c r="CQ569" t="str">
        <f>""</f>
        <v/>
      </c>
      <c r="CR569" t="str">
        <f>""</f>
        <v/>
      </c>
      <c r="CS569" t="str">
        <f>""</f>
        <v/>
      </c>
      <c r="CT569" t="str">
        <f>""</f>
        <v/>
      </c>
      <c r="CU569" t="str">
        <f>""</f>
        <v/>
      </c>
      <c r="CV569" t="str">
        <f>""</f>
        <v/>
      </c>
      <c r="CW569" t="str">
        <f>""</f>
        <v/>
      </c>
      <c r="CX569" t="str">
        <f>""</f>
        <v/>
      </c>
      <c r="CY569" t="str">
        <f>""</f>
        <v/>
      </c>
      <c r="CZ569" t="str">
        <f>""</f>
        <v/>
      </c>
      <c r="DA569" t="str">
        <f>""</f>
        <v/>
      </c>
      <c r="DB569" t="str">
        <f>""</f>
        <v/>
      </c>
      <c r="DC569" t="str">
        <f>""</f>
        <v/>
      </c>
      <c r="DD569" t="str">
        <f>""</f>
        <v/>
      </c>
      <c r="DE569" t="str">
        <f>""</f>
        <v/>
      </c>
      <c r="DF569" t="str">
        <f>""</f>
        <v/>
      </c>
      <c r="DG569" t="str">
        <f>""</f>
        <v/>
      </c>
      <c r="DH569" t="str">
        <f>""</f>
        <v/>
      </c>
      <c r="DI569" t="str">
        <f>""</f>
        <v/>
      </c>
      <c r="DJ569" t="str">
        <f>""</f>
        <v/>
      </c>
      <c r="DK569" t="str">
        <f>""</f>
        <v/>
      </c>
      <c r="DL569" t="str">
        <f>""</f>
        <v/>
      </c>
      <c r="DM569" t="str">
        <f>""</f>
        <v/>
      </c>
      <c r="DN569" t="str">
        <f>""</f>
        <v/>
      </c>
      <c r="DO569" t="str">
        <f>""</f>
        <v/>
      </c>
      <c r="DP569" t="str">
        <f>""</f>
        <v/>
      </c>
      <c r="DQ569" t="str">
        <f>""</f>
        <v/>
      </c>
      <c r="DR569" t="str">
        <f>""</f>
        <v/>
      </c>
      <c r="DS569" t="str">
        <f>""</f>
        <v/>
      </c>
      <c r="DT569" t="str">
        <f>""</f>
        <v/>
      </c>
      <c r="DU569" t="str">
        <f>""</f>
        <v/>
      </c>
    </row>
    <row r="570" spans="1:125">
      <c r="A570" t="str">
        <f>""</f>
        <v/>
      </c>
      <c r="B570" t="str">
        <f>""</f>
        <v/>
      </c>
      <c r="C570" t="str">
        <f>""</f>
        <v/>
      </c>
      <c r="D570" t="str">
        <f>""</f>
        <v/>
      </c>
      <c r="E570" t="str">
        <f>""</f>
        <v/>
      </c>
      <c r="BN570" t="str">
        <f>""</f>
        <v/>
      </c>
      <c r="BO570" t="str">
        <f>""</f>
        <v/>
      </c>
      <c r="BP570" t="str">
        <f>""</f>
        <v/>
      </c>
      <c r="BQ570" t="str">
        <f>""</f>
        <v/>
      </c>
      <c r="BR570" t="str">
        <f>""</f>
        <v/>
      </c>
      <c r="BS570" t="str">
        <f>""</f>
        <v/>
      </c>
      <c r="BT570" t="str">
        <f>""</f>
        <v/>
      </c>
      <c r="BU570" t="str">
        <f>""</f>
        <v/>
      </c>
      <c r="BV570" t="str">
        <f>""</f>
        <v/>
      </c>
      <c r="BW570" t="str">
        <f>""</f>
        <v/>
      </c>
      <c r="BX570" t="str">
        <f>""</f>
        <v/>
      </c>
      <c r="BY570" t="str">
        <f>""</f>
        <v/>
      </c>
      <c r="BZ570" t="str">
        <f>""</f>
        <v/>
      </c>
      <c r="CA570" t="str">
        <f>""</f>
        <v/>
      </c>
      <c r="CB570" t="str">
        <f>""</f>
        <v/>
      </c>
      <c r="CC570" t="str">
        <f>""</f>
        <v/>
      </c>
      <c r="CD570" t="str">
        <f>""</f>
        <v/>
      </c>
      <c r="CE570" t="str">
        <f>""</f>
        <v/>
      </c>
      <c r="CF570" t="str">
        <f>""</f>
        <v/>
      </c>
      <c r="CG570" t="str">
        <f>""</f>
        <v/>
      </c>
      <c r="CH570" t="str">
        <f>""</f>
        <v/>
      </c>
      <c r="CI570" t="str">
        <f>""</f>
        <v/>
      </c>
      <c r="CJ570" t="str">
        <f>""</f>
        <v/>
      </c>
      <c r="CK570" t="str">
        <f>""</f>
        <v/>
      </c>
      <c r="CL570" t="str">
        <f>""</f>
        <v/>
      </c>
      <c r="CM570" t="str">
        <f>""</f>
        <v/>
      </c>
      <c r="CN570" t="str">
        <f>""</f>
        <v/>
      </c>
      <c r="CO570" t="str">
        <f>""</f>
        <v/>
      </c>
      <c r="CP570" t="str">
        <f>""</f>
        <v/>
      </c>
      <c r="CQ570" t="str">
        <f>""</f>
        <v/>
      </c>
      <c r="CR570" t="str">
        <f>""</f>
        <v/>
      </c>
      <c r="CS570" t="str">
        <f>""</f>
        <v/>
      </c>
      <c r="CT570" t="str">
        <f>""</f>
        <v/>
      </c>
      <c r="CU570" t="str">
        <f>""</f>
        <v/>
      </c>
      <c r="CV570" t="str">
        <f>""</f>
        <v/>
      </c>
      <c r="CW570" t="str">
        <f>""</f>
        <v/>
      </c>
      <c r="CX570" t="str">
        <f>""</f>
        <v/>
      </c>
      <c r="CY570" t="str">
        <f>""</f>
        <v/>
      </c>
      <c r="CZ570" t="str">
        <f>""</f>
        <v/>
      </c>
      <c r="DA570" t="str">
        <f>""</f>
        <v/>
      </c>
      <c r="DB570" t="str">
        <f>""</f>
        <v/>
      </c>
      <c r="DC570" t="str">
        <f>""</f>
        <v/>
      </c>
      <c r="DD570" t="str">
        <f>""</f>
        <v/>
      </c>
      <c r="DE570" t="str">
        <f>""</f>
        <v/>
      </c>
      <c r="DF570" t="str">
        <f>""</f>
        <v/>
      </c>
      <c r="DG570" t="str">
        <f>""</f>
        <v/>
      </c>
      <c r="DH570" t="str">
        <f>""</f>
        <v/>
      </c>
      <c r="DI570" t="str">
        <f>""</f>
        <v/>
      </c>
      <c r="DJ570" t="str">
        <f>""</f>
        <v/>
      </c>
      <c r="DK570" t="str">
        <f>""</f>
        <v/>
      </c>
      <c r="DL570" t="str">
        <f>""</f>
        <v/>
      </c>
      <c r="DM570" t="str">
        <f>""</f>
        <v/>
      </c>
      <c r="DN570" t="str">
        <f>""</f>
        <v/>
      </c>
      <c r="DO570" t="str">
        <f>""</f>
        <v/>
      </c>
      <c r="DP570" t="str">
        <f>""</f>
        <v/>
      </c>
      <c r="DQ570" t="str">
        <f>""</f>
        <v/>
      </c>
      <c r="DR570" t="str">
        <f>""</f>
        <v/>
      </c>
      <c r="DS570" t="str">
        <f>""</f>
        <v/>
      </c>
      <c r="DT570" t="str">
        <f>""</f>
        <v/>
      </c>
      <c r="DU570" t="str">
        <f>""</f>
        <v/>
      </c>
    </row>
    <row r="571" spans="1:125">
      <c r="A571" t="str">
        <f>"~~~~~~~~~~~~~~~~~~~~~"</f>
        <v>~~~~~~~~~~~~~~~~~~~~~</v>
      </c>
      <c r="B571" t="str">
        <f>"~~~~~~~~~~~~~~~~~~~~~"</f>
        <v>~~~~~~~~~~~~~~~~~~~~~</v>
      </c>
      <c r="C571" t="str">
        <f>"~~~~~~~~~~~~~~~~~~~~~"</f>
        <v>~~~~~~~~~~~~~~~~~~~~~</v>
      </c>
      <c r="D571" t="str">
        <f>"~~~~~~~~~~~~~~~~~~~~~"</f>
        <v>~~~~~~~~~~~~~~~~~~~~~</v>
      </c>
      <c r="E571" t="str">
        <f>"~~~~~~~~~~~~~~~~~~~~~"</f>
        <v>~~~~~~~~~~~~~~~~~~~~~</v>
      </c>
      <c r="BN571" t="str">
        <f>""</f>
        <v/>
      </c>
      <c r="BO571" t="str">
        <f>""</f>
        <v/>
      </c>
      <c r="BP571" t="str">
        <f>""</f>
        <v/>
      </c>
      <c r="BQ571" t="str">
        <f>""</f>
        <v/>
      </c>
      <c r="BR571" t="str">
        <f>""</f>
        <v/>
      </c>
      <c r="BS571" t="str">
        <f>""</f>
        <v/>
      </c>
      <c r="BT571" t="str">
        <f>""</f>
        <v/>
      </c>
      <c r="BU571" t="str">
        <f>""</f>
        <v/>
      </c>
      <c r="BV571" t="str">
        <f>""</f>
        <v/>
      </c>
      <c r="BW571" t="str">
        <f>""</f>
        <v/>
      </c>
      <c r="BX571" t="str">
        <f>""</f>
        <v/>
      </c>
      <c r="BY571" t="str">
        <f>""</f>
        <v/>
      </c>
      <c r="BZ571" t="str">
        <f>""</f>
        <v/>
      </c>
      <c r="CA571" t="str">
        <f>""</f>
        <v/>
      </c>
      <c r="CB571" t="str">
        <f>""</f>
        <v/>
      </c>
      <c r="CC571" t="str">
        <f>""</f>
        <v/>
      </c>
      <c r="CD571" t="str">
        <f>""</f>
        <v/>
      </c>
      <c r="CE571" t="str">
        <f>""</f>
        <v/>
      </c>
      <c r="CF571" t="str">
        <f>""</f>
        <v/>
      </c>
      <c r="CG571" t="str">
        <f>""</f>
        <v/>
      </c>
      <c r="CH571" t="str">
        <f>""</f>
        <v/>
      </c>
      <c r="CI571" t="str">
        <f>""</f>
        <v/>
      </c>
      <c r="CJ571" t="str">
        <f>""</f>
        <v/>
      </c>
      <c r="CK571" t="str">
        <f>""</f>
        <v/>
      </c>
      <c r="CL571" t="str">
        <f>""</f>
        <v/>
      </c>
      <c r="CM571" t="str">
        <f>""</f>
        <v/>
      </c>
      <c r="CN571" t="str">
        <f>""</f>
        <v/>
      </c>
      <c r="CO571" t="str">
        <f>""</f>
        <v/>
      </c>
      <c r="CP571" t="str">
        <f>""</f>
        <v/>
      </c>
      <c r="CQ571" t="str">
        <f>""</f>
        <v/>
      </c>
      <c r="CR571" t="str">
        <f>""</f>
        <v/>
      </c>
      <c r="CS571" t="str">
        <f>""</f>
        <v/>
      </c>
      <c r="CT571" t="str">
        <f>""</f>
        <v/>
      </c>
      <c r="CU571" t="str">
        <f>""</f>
        <v/>
      </c>
      <c r="CV571" t="str">
        <f>""</f>
        <v/>
      </c>
      <c r="CW571" t="str">
        <f>""</f>
        <v/>
      </c>
      <c r="CX571" t="str">
        <f>""</f>
        <v/>
      </c>
      <c r="CY571" t="str">
        <f>""</f>
        <v/>
      </c>
      <c r="CZ571" t="str">
        <f>""</f>
        <v/>
      </c>
      <c r="DA571" t="str">
        <f>""</f>
        <v/>
      </c>
      <c r="DB571" t="str">
        <f>""</f>
        <v/>
      </c>
      <c r="DC571" t="str">
        <f>""</f>
        <v/>
      </c>
      <c r="DD571" t="str">
        <f>""</f>
        <v/>
      </c>
      <c r="DE571" t="str">
        <f>""</f>
        <v/>
      </c>
      <c r="DF571" t="str">
        <f>""</f>
        <v/>
      </c>
      <c r="DG571" t="str">
        <f>""</f>
        <v/>
      </c>
      <c r="DH571" t="str">
        <f>""</f>
        <v/>
      </c>
      <c r="DI571" t="str">
        <f>""</f>
        <v/>
      </c>
      <c r="DJ571" t="str">
        <f>""</f>
        <v/>
      </c>
      <c r="DK571" t="str">
        <f>""</f>
        <v/>
      </c>
      <c r="DL571" t="str">
        <f>""</f>
        <v/>
      </c>
      <c r="DM571" t="str">
        <f>""</f>
        <v/>
      </c>
      <c r="DN571" t="str">
        <f>""</f>
        <v/>
      </c>
      <c r="DO571" t="str">
        <f>""</f>
        <v/>
      </c>
      <c r="DP571" t="str">
        <f>""</f>
        <v/>
      </c>
      <c r="DQ571" t="str">
        <f>""</f>
        <v/>
      </c>
      <c r="DR571" t="str">
        <f>""</f>
        <v/>
      </c>
      <c r="DS571" t="str">
        <f>""</f>
        <v/>
      </c>
      <c r="DT571" t="str">
        <f>""</f>
        <v/>
      </c>
      <c r="DU571" t="str">
        <f>""</f>
        <v/>
      </c>
    </row>
    <row r="572" spans="1:125">
      <c r="A572" t="str">
        <f>"Rows below for column date calculation"</f>
        <v>Rows below for column date calculation</v>
      </c>
      <c r="BN572" t="str">
        <f>""</f>
        <v/>
      </c>
      <c r="BO572" t="str">
        <f>""</f>
        <v/>
      </c>
      <c r="BP572" t="str">
        <f>""</f>
        <v/>
      </c>
      <c r="BQ572" t="str">
        <f>""</f>
        <v/>
      </c>
      <c r="BR572" t="str">
        <f>""</f>
        <v/>
      </c>
      <c r="BS572" t="str">
        <f>""</f>
        <v/>
      </c>
      <c r="BT572" t="str">
        <f>""</f>
        <v/>
      </c>
      <c r="BU572" t="str">
        <f>""</f>
        <v/>
      </c>
      <c r="BV572" t="str">
        <f>""</f>
        <v/>
      </c>
      <c r="BW572" t="str">
        <f>""</f>
        <v/>
      </c>
      <c r="BX572" t="str">
        <f>""</f>
        <v/>
      </c>
      <c r="BY572" t="str">
        <f>""</f>
        <v/>
      </c>
      <c r="BZ572" t="str">
        <f>""</f>
        <v/>
      </c>
      <c r="CA572" t="str">
        <f>""</f>
        <v/>
      </c>
      <c r="CB572" t="str">
        <f>""</f>
        <v/>
      </c>
      <c r="CC572" t="str">
        <f>""</f>
        <v/>
      </c>
      <c r="CD572" t="str">
        <f>""</f>
        <v/>
      </c>
      <c r="CE572" t="str">
        <f>""</f>
        <v/>
      </c>
      <c r="CF572" t="str">
        <f>""</f>
        <v/>
      </c>
      <c r="CG572" t="str">
        <f>""</f>
        <v/>
      </c>
      <c r="CH572" t="str">
        <f>""</f>
        <v/>
      </c>
      <c r="CI572" t="str">
        <f>""</f>
        <v/>
      </c>
      <c r="CJ572" t="str">
        <f>""</f>
        <v/>
      </c>
      <c r="CK572" t="str">
        <f>""</f>
        <v/>
      </c>
      <c r="CL572" t="str">
        <f>""</f>
        <v/>
      </c>
      <c r="CM572" t="str">
        <f>""</f>
        <v/>
      </c>
      <c r="CN572" t="str">
        <f>""</f>
        <v/>
      </c>
      <c r="CO572" t="str">
        <f>""</f>
        <v/>
      </c>
      <c r="CP572" t="str">
        <f>""</f>
        <v/>
      </c>
      <c r="CQ572" t="str">
        <f>""</f>
        <v/>
      </c>
      <c r="CR572" t="str">
        <f>""</f>
        <v/>
      </c>
      <c r="CS572" t="str">
        <f>""</f>
        <v/>
      </c>
      <c r="CT572" t="str">
        <f>""</f>
        <v/>
      </c>
      <c r="CU572" t="str">
        <f>""</f>
        <v/>
      </c>
      <c r="CV572" t="str">
        <f>""</f>
        <v/>
      </c>
      <c r="CW572" t="str">
        <f>""</f>
        <v/>
      </c>
      <c r="CX572" t="str">
        <f>""</f>
        <v/>
      </c>
      <c r="CY572" t="str">
        <f>""</f>
        <v/>
      </c>
      <c r="CZ572" t="str">
        <f>""</f>
        <v/>
      </c>
      <c r="DA572" t="str">
        <f>""</f>
        <v/>
      </c>
      <c r="DB572" t="str">
        <f>""</f>
        <v/>
      </c>
      <c r="DC572" t="str">
        <f>""</f>
        <v/>
      </c>
      <c r="DD572" t="str">
        <f>""</f>
        <v/>
      </c>
      <c r="DE572" t="str">
        <f>""</f>
        <v/>
      </c>
      <c r="DF572" t="str">
        <f>""</f>
        <v/>
      </c>
      <c r="DG572" t="str">
        <f>""</f>
        <v/>
      </c>
      <c r="DH572" t="str">
        <f>""</f>
        <v/>
      </c>
      <c r="DI572" t="str">
        <f>""</f>
        <v/>
      </c>
      <c r="DJ572" t="str">
        <f>""</f>
        <v/>
      </c>
      <c r="DK572" t="str">
        <f>""</f>
        <v/>
      </c>
      <c r="DL572" t="str">
        <f>""</f>
        <v/>
      </c>
      <c r="DM572" t="str">
        <f>""</f>
        <v/>
      </c>
      <c r="DN572" t="str">
        <f>""</f>
        <v/>
      </c>
      <c r="DO572" t="str">
        <f>""</f>
        <v/>
      </c>
      <c r="DP572" t="str">
        <f>""</f>
        <v/>
      </c>
      <c r="DQ572" t="str">
        <f>""</f>
        <v/>
      </c>
      <c r="DR572" t="str">
        <f>""</f>
        <v/>
      </c>
      <c r="DS572" t="str">
        <f>""</f>
        <v/>
      </c>
      <c r="DT572" t="str">
        <f>""</f>
        <v/>
      </c>
      <c r="DU572" t="str">
        <f>""</f>
        <v/>
      </c>
    </row>
    <row r="573" spans="1:125">
      <c r="A573" t="str">
        <f>"Downloaded at"</f>
        <v>Downloaded at</v>
      </c>
      <c r="B573">
        <f>DATE(2018, 3,13)</f>
        <v>43172</v>
      </c>
      <c r="C573" t="str">
        <f>""</f>
        <v/>
      </c>
      <c r="D573" t="str">
        <f>""</f>
        <v/>
      </c>
      <c r="E573" t="str">
        <f>""</f>
        <v/>
      </c>
      <c r="BN573" t="str">
        <f>""</f>
        <v/>
      </c>
      <c r="BO573" t="str">
        <f>""</f>
        <v/>
      </c>
      <c r="BP573" t="str">
        <f>""</f>
        <v/>
      </c>
      <c r="BQ573" t="str">
        <f>""</f>
        <v/>
      </c>
      <c r="BR573" t="str">
        <f>""</f>
        <v/>
      </c>
      <c r="BS573" t="str">
        <f>""</f>
        <v/>
      </c>
      <c r="BT573" t="str">
        <f>""</f>
        <v/>
      </c>
      <c r="BU573" t="str">
        <f>""</f>
        <v/>
      </c>
      <c r="BV573" t="str">
        <f>""</f>
        <v/>
      </c>
      <c r="BW573" t="str">
        <f>""</f>
        <v/>
      </c>
      <c r="BX573" t="str">
        <f>""</f>
        <v/>
      </c>
      <c r="BY573" t="str">
        <f>""</f>
        <v/>
      </c>
      <c r="BZ573" t="str">
        <f>""</f>
        <v/>
      </c>
      <c r="CA573" t="str">
        <f>""</f>
        <v/>
      </c>
      <c r="CB573" t="str">
        <f>""</f>
        <v/>
      </c>
      <c r="CC573" t="str">
        <f>""</f>
        <v/>
      </c>
      <c r="CD573" t="str">
        <f>""</f>
        <v/>
      </c>
      <c r="CE573" t="str">
        <f>""</f>
        <v/>
      </c>
      <c r="CF573" t="str">
        <f>""</f>
        <v/>
      </c>
      <c r="CG573" t="str">
        <f>""</f>
        <v/>
      </c>
      <c r="CH573" t="str">
        <f>""</f>
        <v/>
      </c>
      <c r="CI573" t="str">
        <f>""</f>
        <v/>
      </c>
      <c r="CJ573" t="str">
        <f>""</f>
        <v/>
      </c>
      <c r="CK573" t="str">
        <f>""</f>
        <v/>
      </c>
      <c r="CL573" t="str">
        <f>""</f>
        <v/>
      </c>
      <c r="CM573" t="str">
        <f>""</f>
        <v/>
      </c>
      <c r="CN573" t="str">
        <f>""</f>
        <v/>
      </c>
      <c r="CO573" t="str">
        <f>""</f>
        <v/>
      </c>
      <c r="CP573" t="str">
        <f>""</f>
        <v/>
      </c>
      <c r="CQ573" t="str">
        <f>""</f>
        <v/>
      </c>
      <c r="CR573" t="str">
        <f>""</f>
        <v/>
      </c>
      <c r="CS573" t="str">
        <f>""</f>
        <v/>
      </c>
      <c r="CT573" t="str">
        <f>""</f>
        <v/>
      </c>
      <c r="CU573" t="str">
        <f>""</f>
        <v/>
      </c>
      <c r="CV573" t="str">
        <f>""</f>
        <v/>
      </c>
      <c r="CW573" t="str">
        <f>""</f>
        <v/>
      </c>
      <c r="CX573" t="str">
        <f>""</f>
        <v/>
      </c>
      <c r="CY573" t="str">
        <f>""</f>
        <v/>
      </c>
      <c r="CZ573" t="str">
        <f>""</f>
        <v/>
      </c>
      <c r="DA573" t="str">
        <f>""</f>
        <v/>
      </c>
      <c r="DB573" t="str">
        <f>""</f>
        <v/>
      </c>
      <c r="DC573" t="str">
        <f>""</f>
        <v/>
      </c>
      <c r="DD573" t="str">
        <f>""</f>
        <v/>
      </c>
      <c r="DE573" t="str">
        <f>""</f>
        <v/>
      </c>
      <c r="DF573" t="str">
        <f>""</f>
        <v/>
      </c>
      <c r="DG573" t="str">
        <f>""</f>
        <v/>
      </c>
      <c r="DH573" t="str">
        <f>""</f>
        <v/>
      </c>
      <c r="DI573" t="str">
        <f>""</f>
        <v/>
      </c>
      <c r="DJ573" t="str">
        <f>""</f>
        <v/>
      </c>
      <c r="DK573" t="str">
        <f>""</f>
        <v/>
      </c>
      <c r="DL573" t="str">
        <f>""</f>
        <v/>
      </c>
      <c r="DM573" t="str">
        <f>""</f>
        <v/>
      </c>
      <c r="DN573" t="str">
        <f>""</f>
        <v/>
      </c>
      <c r="DO573" t="str">
        <f>""</f>
        <v/>
      </c>
      <c r="DP573" t="str">
        <f>""</f>
        <v/>
      </c>
      <c r="DQ573" t="str">
        <f>""</f>
        <v/>
      </c>
      <c r="DR573" t="str">
        <f>""</f>
        <v/>
      </c>
      <c r="DS573" t="str">
        <f>""</f>
        <v/>
      </c>
      <c r="DT573" t="str">
        <f>""</f>
        <v/>
      </c>
      <c r="DU573" t="str">
        <f>""</f>
        <v/>
      </c>
    </row>
    <row r="574" spans="1:125">
      <c r="A574" t="str">
        <f>"This is End Date"</f>
        <v>This is End Date</v>
      </c>
      <c r="B574">
        <f ca="1">$B$293</f>
        <v>43190</v>
      </c>
      <c r="C574" t="str">
        <f>""</f>
        <v/>
      </c>
      <c r="D574" t="str">
        <f>""</f>
        <v/>
      </c>
      <c r="E574" t="str">
        <f>""</f>
        <v/>
      </c>
      <c r="BN574" t="str">
        <f>""</f>
        <v/>
      </c>
      <c r="BO574" t="str">
        <f>""</f>
        <v/>
      </c>
      <c r="BP574" t="str">
        <f>""</f>
        <v/>
      </c>
      <c r="BQ574" t="str">
        <f>""</f>
        <v/>
      </c>
      <c r="BR574" t="str">
        <f>""</f>
        <v/>
      </c>
      <c r="BS574" t="str">
        <f>""</f>
        <v/>
      </c>
      <c r="BT574" t="str">
        <f>""</f>
        <v/>
      </c>
      <c r="BU574" t="str">
        <f>""</f>
        <v/>
      </c>
      <c r="BV574" t="str">
        <f>""</f>
        <v/>
      </c>
      <c r="BW574" t="str">
        <f>""</f>
        <v/>
      </c>
      <c r="BX574" t="str">
        <f>""</f>
        <v/>
      </c>
      <c r="BY574" t="str">
        <f>""</f>
        <v/>
      </c>
      <c r="BZ574" t="str">
        <f>""</f>
        <v/>
      </c>
      <c r="CA574" t="str">
        <f>""</f>
        <v/>
      </c>
      <c r="CB574" t="str">
        <f>""</f>
        <v/>
      </c>
      <c r="CC574" t="str">
        <f>""</f>
        <v/>
      </c>
      <c r="CD574" t="str">
        <f>""</f>
        <v/>
      </c>
      <c r="CE574" t="str">
        <f>""</f>
        <v/>
      </c>
      <c r="CF574" t="str">
        <f>""</f>
        <v/>
      </c>
      <c r="CG574" t="str">
        <f>""</f>
        <v/>
      </c>
      <c r="CH574" t="str">
        <f>""</f>
        <v/>
      </c>
      <c r="CI574" t="str">
        <f>""</f>
        <v/>
      </c>
      <c r="CJ574" t="str">
        <f>""</f>
        <v/>
      </c>
      <c r="CK574" t="str">
        <f>""</f>
        <v/>
      </c>
      <c r="CL574" t="str">
        <f>""</f>
        <v/>
      </c>
      <c r="CM574" t="str">
        <f>""</f>
        <v/>
      </c>
      <c r="CN574" t="str">
        <f>""</f>
        <v/>
      </c>
      <c r="CO574" t="str">
        <f>""</f>
        <v/>
      </c>
      <c r="CP574" t="str">
        <f>""</f>
        <v/>
      </c>
      <c r="CQ574" t="str">
        <f>""</f>
        <v/>
      </c>
      <c r="CR574" t="str">
        <f>""</f>
        <v/>
      </c>
      <c r="CS574" t="str">
        <f>""</f>
        <v/>
      </c>
      <c r="CT574" t="str">
        <f>""</f>
        <v/>
      </c>
      <c r="CU574" t="str">
        <f>""</f>
        <v/>
      </c>
      <c r="CV574" t="str">
        <f>""</f>
        <v/>
      </c>
      <c r="CW574" t="str">
        <f>""</f>
        <v/>
      </c>
      <c r="CX574" t="str">
        <f>""</f>
        <v/>
      </c>
      <c r="CY574" t="str">
        <f>""</f>
        <v/>
      </c>
      <c r="CZ574" t="str">
        <f>""</f>
        <v/>
      </c>
      <c r="DA574" t="str">
        <f>""</f>
        <v/>
      </c>
      <c r="DB574" t="str">
        <f>""</f>
        <v/>
      </c>
      <c r="DC574" t="str">
        <f>""</f>
        <v/>
      </c>
      <c r="DD574" t="str">
        <f>""</f>
        <v/>
      </c>
      <c r="DE574" t="str">
        <f>""</f>
        <v/>
      </c>
      <c r="DF574" t="str">
        <f>""</f>
        <v/>
      </c>
      <c r="DG574" t="str">
        <f>""</f>
        <v/>
      </c>
      <c r="DH574" t="str">
        <f>""</f>
        <v/>
      </c>
      <c r="DI574" t="str">
        <f>""</f>
        <v/>
      </c>
      <c r="DJ574" t="str">
        <f>""</f>
        <v/>
      </c>
      <c r="DK574" t="str">
        <f>""</f>
        <v/>
      </c>
      <c r="DL574" t="str">
        <f>""</f>
        <v/>
      </c>
      <c r="DM574" t="str">
        <f>""</f>
        <v/>
      </c>
      <c r="DN574" t="str">
        <f>""</f>
        <v/>
      </c>
      <c r="DO574" t="str">
        <f>""</f>
        <v/>
      </c>
      <c r="DP574" t="str">
        <f>""</f>
        <v/>
      </c>
      <c r="DQ574" t="str">
        <f>""</f>
        <v/>
      </c>
      <c r="DR574" t="str">
        <f>""</f>
        <v/>
      </c>
      <c r="DS574" t="str">
        <f>""</f>
        <v/>
      </c>
      <c r="DT574" t="str">
        <f>""</f>
        <v/>
      </c>
      <c r="DU574" t="str">
        <f>""</f>
        <v/>
      </c>
    </row>
    <row r="575" spans="1:125">
      <c r="A575" t="str">
        <f>"简述"</f>
        <v>简述</v>
      </c>
      <c r="B575" t="str">
        <f>"代码"</f>
        <v>代码</v>
      </c>
      <c r="C575" t="str">
        <f>"栏目ID"</f>
        <v>栏目ID</v>
      </c>
      <c r="D575" t="str">
        <f>"栏目助记符"</f>
        <v>栏目助记符</v>
      </c>
      <c r="E575" t="str">
        <f>"数据状态"</f>
        <v>数据状态</v>
      </c>
      <c r="BN575" t="str">
        <f>""</f>
        <v/>
      </c>
      <c r="BO575" t="str">
        <f>""</f>
        <v/>
      </c>
      <c r="BP575" t="str">
        <f>""</f>
        <v/>
      </c>
      <c r="BQ575" t="str">
        <f>""</f>
        <v/>
      </c>
      <c r="BR575" t="str">
        <f>""</f>
        <v/>
      </c>
      <c r="BS575" t="str">
        <f>""</f>
        <v/>
      </c>
      <c r="BT575" t="str">
        <f>""</f>
        <v/>
      </c>
      <c r="BU575" t="str">
        <f>""</f>
        <v/>
      </c>
      <c r="BV575" t="str">
        <f>""</f>
        <v/>
      </c>
      <c r="BW575" t="str">
        <f>""</f>
        <v/>
      </c>
      <c r="BX575" t="str">
        <f>""</f>
        <v/>
      </c>
      <c r="BY575" t="str">
        <f>""</f>
        <v/>
      </c>
      <c r="BZ575" t="str">
        <f>""</f>
        <v/>
      </c>
      <c r="CA575" t="str">
        <f>""</f>
        <v/>
      </c>
      <c r="CB575" t="str">
        <f>""</f>
        <v/>
      </c>
      <c r="CC575" t="str">
        <f>""</f>
        <v/>
      </c>
      <c r="CD575" t="str">
        <f>""</f>
        <v/>
      </c>
      <c r="CE575" t="str">
        <f>""</f>
        <v/>
      </c>
      <c r="CF575" t="str">
        <f>""</f>
        <v/>
      </c>
      <c r="CG575" t="str">
        <f>""</f>
        <v/>
      </c>
      <c r="CH575" t="str">
        <f>""</f>
        <v/>
      </c>
      <c r="CI575" t="str">
        <f>""</f>
        <v/>
      </c>
      <c r="CJ575" t="str">
        <f>""</f>
        <v/>
      </c>
      <c r="CK575" t="str">
        <f>""</f>
        <v/>
      </c>
      <c r="CL575" t="str">
        <f>""</f>
        <v/>
      </c>
      <c r="CM575" t="str">
        <f>""</f>
        <v/>
      </c>
      <c r="CN575" t="str">
        <f>""</f>
        <v/>
      </c>
      <c r="CO575" t="str">
        <f>""</f>
        <v/>
      </c>
      <c r="CP575" t="str">
        <f>""</f>
        <v/>
      </c>
      <c r="CQ575" t="str">
        <f>""</f>
        <v/>
      </c>
      <c r="CR575" t="str">
        <f>""</f>
        <v/>
      </c>
      <c r="CS575" t="str">
        <f>""</f>
        <v/>
      </c>
      <c r="CT575" t="str">
        <f>""</f>
        <v/>
      </c>
      <c r="CU575" t="str">
        <f>""</f>
        <v/>
      </c>
      <c r="CV575" t="str">
        <f>""</f>
        <v/>
      </c>
      <c r="CW575" t="str">
        <f>""</f>
        <v/>
      </c>
      <c r="CX575" t="str">
        <f>""</f>
        <v/>
      </c>
      <c r="CY575" t="str">
        <f>""</f>
        <v/>
      </c>
      <c r="CZ575" t="str">
        <f>""</f>
        <v/>
      </c>
      <c r="DA575" t="str">
        <f>""</f>
        <v/>
      </c>
      <c r="DB575" t="str">
        <f>""</f>
        <v/>
      </c>
      <c r="DC575" t="str">
        <f>""</f>
        <v/>
      </c>
      <c r="DD575" t="str">
        <f>""</f>
        <v/>
      </c>
      <c r="DE575" t="str">
        <f>""</f>
        <v/>
      </c>
      <c r="DF575" t="str">
        <f>""</f>
        <v/>
      </c>
      <c r="DG575" t="str">
        <f>""</f>
        <v/>
      </c>
      <c r="DH575" t="str">
        <f>""</f>
        <v/>
      </c>
      <c r="DI575" t="str">
        <f>""</f>
        <v/>
      </c>
      <c r="DJ575" t="str">
        <f>""</f>
        <v/>
      </c>
      <c r="DK575" t="str">
        <f>""</f>
        <v/>
      </c>
      <c r="DL575" t="str">
        <f>""</f>
        <v/>
      </c>
      <c r="DM575" t="str">
        <f>""</f>
        <v/>
      </c>
      <c r="DN575" t="str">
        <f>""</f>
        <v/>
      </c>
      <c r="DO575" t="str">
        <f>""</f>
        <v/>
      </c>
      <c r="DP575" t="str">
        <f>""</f>
        <v/>
      </c>
      <c r="DQ575" t="str">
        <f>""</f>
        <v/>
      </c>
      <c r="DR575" t="str">
        <f>""</f>
        <v/>
      </c>
      <c r="DS575" t="str">
        <f>""</f>
        <v/>
      </c>
      <c r="DT575" t="str">
        <f>""</f>
        <v/>
      </c>
      <c r="DU575" t="str">
        <f>""</f>
        <v/>
      </c>
    </row>
    <row r="576" spans="1:125">
      <c r="A576" t="str">
        <f>"Snapshot Date"</f>
        <v>Snapshot Date</v>
      </c>
      <c r="B576">
        <f>DATE(2018, 3,31)</f>
        <v>43190</v>
      </c>
      <c r="C576" t="str">
        <f>""</f>
        <v/>
      </c>
      <c r="D576" t="str">
        <f>""</f>
        <v/>
      </c>
      <c r="E576" t="str">
        <f>""</f>
        <v/>
      </c>
      <c r="BN576" t="str">
        <f>""</f>
        <v/>
      </c>
      <c r="BO576" t="str">
        <f>""</f>
        <v/>
      </c>
      <c r="BP576" t="str">
        <f>""</f>
        <v/>
      </c>
      <c r="BQ576" t="str">
        <f>""</f>
        <v/>
      </c>
      <c r="BR576" t="str">
        <f>""</f>
        <v/>
      </c>
      <c r="BS576" t="str">
        <f>""</f>
        <v/>
      </c>
      <c r="BT576" t="str">
        <f>""</f>
        <v/>
      </c>
      <c r="BU576" t="str">
        <f>""</f>
        <v/>
      </c>
      <c r="BV576" t="str">
        <f>""</f>
        <v/>
      </c>
      <c r="BW576" t="str">
        <f>""</f>
        <v/>
      </c>
      <c r="BX576" t="str">
        <f>""</f>
        <v/>
      </c>
      <c r="BY576" t="str">
        <f>""</f>
        <v/>
      </c>
      <c r="BZ576" t="str">
        <f>""</f>
        <v/>
      </c>
      <c r="CA576" t="str">
        <f>""</f>
        <v/>
      </c>
      <c r="CB576" t="str">
        <f>""</f>
        <v/>
      </c>
      <c r="CC576" t="str">
        <f>""</f>
        <v/>
      </c>
      <c r="CD576" t="str">
        <f>""</f>
        <v/>
      </c>
      <c r="CE576" t="str">
        <f>""</f>
        <v/>
      </c>
      <c r="CF576" t="str">
        <f>""</f>
        <v/>
      </c>
      <c r="CG576" t="str">
        <f>""</f>
        <v/>
      </c>
      <c r="CH576" t="str">
        <f>""</f>
        <v/>
      </c>
      <c r="CI576" t="str">
        <f>""</f>
        <v/>
      </c>
      <c r="CJ576" t="str">
        <f>""</f>
        <v/>
      </c>
      <c r="CK576" t="str">
        <f>""</f>
        <v/>
      </c>
      <c r="CL576" t="str">
        <f>""</f>
        <v/>
      </c>
      <c r="CM576" t="str">
        <f>""</f>
        <v/>
      </c>
      <c r="CN576" t="str">
        <f>""</f>
        <v/>
      </c>
      <c r="CO576" t="str">
        <f>""</f>
        <v/>
      </c>
      <c r="CP576" t="str">
        <f>""</f>
        <v/>
      </c>
      <c r="CQ576" t="str">
        <f>""</f>
        <v/>
      </c>
      <c r="CR576" t="str">
        <f>""</f>
        <v/>
      </c>
      <c r="CS576" t="str">
        <f>""</f>
        <v/>
      </c>
      <c r="CT576" t="str">
        <f>""</f>
        <v/>
      </c>
      <c r="CU576" t="str">
        <f>""</f>
        <v/>
      </c>
      <c r="CV576" t="str">
        <f>""</f>
        <v/>
      </c>
      <c r="CW576" t="str">
        <f>""</f>
        <v/>
      </c>
      <c r="CX576" t="str">
        <f>""</f>
        <v/>
      </c>
      <c r="CY576" t="str">
        <f>""</f>
        <v/>
      </c>
      <c r="CZ576" t="str">
        <f>""</f>
        <v/>
      </c>
      <c r="DA576" t="str">
        <f>""</f>
        <v/>
      </c>
      <c r="DB576" t="str">
        <f>""</f>
        <v/>
      </c>
      <c r="DC576" t="str">
        <f>""</f>
        <v/>
      </c>
      <c r="DD576" t="str">
        <f>""</f>
        <v/>
      </c>
      <c r="DE576" t="str">
        <f>""</f>
        <v/>
      </c>
      <c r="DF576" t="str">
        <f>""</f>
        <v/>
      </c>
      <c r="DG576" t="str">
        <f>""</f>
        <v/>
      </c>
      <c r="DH576" t="str">
        <f>""</f>
        <v/>
      </c>
      <c r="DI576" t="str">
        <f>""</f>
        <v/>
      </c>
      <c r="DJ576" t="str">
        <f>""</f>
        <v/>
      </c>
      <c r="DK576" t="str">
        <f>""</f>
        <v/>
      </c>
      <c r="DL576" t="str">
        <f>""</f>
        <v/>
      </c>
      <c r="DM576" t="str">
        <f>""</f>
        <v/>
      </c>
      <c r="DN576" t="str">
        <f>""</f>
        <v/>
      </c>
      <c r="DO576" t="str">
        <f>""</f>
        <v/>
      </c>
      <c r="DP576" t="str">
        <f>""</f>
        <v/>
      </c>
      <c r="DQ576" t="str">
        <f>""</f>
        <v/>
      </c>
      <c r="DR576" t="str">
        <f>""</f>
        <v/>
      </c>
      <c r="DS576" t="str">
        <f>""</f>
        <v/>
      </c>
      <c r="DT576" t="str">
        <f>""</f>
        <v/>
      </c>
      <c r="DU576" t="str">
        <f>""</f>
        <v/>
      </c>
    </row>
    <row r="577" spans="1:125">
      <c r="A577" t="str">
        <f>"Snapshot header"</f>
        <v>Snapshot header</v>
      </c>
      <c r="B577">
        <f>2</f>
        <v>2</v>
      </c>
      <c r="C577" t="str">
        <f>"2018 Q1"</f>
        <v>2018 Q1</v>
      </c>
      <c r="D577" t="str">
        <f>"2017 Q4"</f>
        <v>2017 Q4</v>
      </c>
      <c r="E577" t="str">
        <f>"2017 Q3"</f>
        <v>2017 Q3</v>
      </c>
      <c r="F577" t="str">
        <f>"2017 Q2"</f>
        <v>2017 Q2</v>
      </c>
      <c r="G577" t="str">
        <f>"2017 Q1"</f>
        <v>2017 Q1</v>
      </c>
      <c r="H577" t="str">
        <f>"2016 Q4"</f>
        <v>2016 Q4</v>
      </c>
      <c r="I577" t="str">
        <f>"2016 Q3"</f>
        <v>2016 Q3</v>
      </c>
      <c r="J577" t="str">
        <f>"2016 Q2"</f>
        <v>2016 Q2</v>
      </c>
      <c r="K577" t="str">
        <f>"2016 Q1"</f>
        <v>2016 Q1</v>
      </c>
      <c r="L577" t="str">
        <f>"2015 Q4"</f>
        <v>2015 Q4</v>
      </c>
      <c r="M577" t="str">
        <f>"2015 Q3"</f>
        <v>2015 Q3</v>
      </c>
      <c r="N577" t="str">
        <f>"2015 Q2"</f>
        <v>2015 Q2</v>
      </c>
      <c r="O577" t="str">
        <f>"2015 Q1"</f>
        <v>2015 Q1</v>
      </c>
      <c r="P577" t="str">
        <f>"2014 Q4"</f>
        <v>2014 Q4</v>
      </c>
      <c r="Q577" t="str">
        <f>"2014 Q3"</f>
        <v>2014 Q3</v>
      </c>
      <c r="R577" t="str">
        <f>"2014 Q2"</f>
        <v>2014 Q2</v>
      </c>
      <c r="S577" t="str">
        <f>"2014 Q1"</f>
        <v>2014 Q1</v>
      </c>
      <c r="T577" t="str">
        <f>"2013 Q4"</f>
        <v>2013 Q4</v>
      </c>
      <c r="U577" t="str">
        <f>"2013 Q3"</f>
        <v>2013 Q3</v>
      </c>
      <c r="V577" t="str">
        <f>"2013 Q2"</f>
        <v>2013 Q2</v>
      </c>
      <c r="W577" t="str">
        <f>"2013 Q1"</f>
        <v>2013 Q1</v>
      </c>
      <c r="X577" t="str">
        <f>"2012 Q4"</f>
        <v>2012 Q4</v>
      </c>
      <c r="Y577" t="str">
        <f>"2012 Q3"</f>
        <v>2012 Q3</v>
      </c>
      <c r="Z577" t="str">
        <f>"2012 Q2"</f>
        <v>2012 Q2</v>
      </c>
      <c r="AA577" t="str">
        <f>"2012 Q1"</f>
        <v>2012 Q1</v>
      </c>
      <c r="AB577" t="str">
        <f>"2011 Q4"</f>
        <v>2011 Q4</v>
      </c>
      <c r="AC577" t="str">
        <f>"2011 Q3"</f>
        <v>2011 Q3</v>
      </c>
      <c r="AD577" t="str">
        <f>"2011 Q2"</f>
        <v>2011 Q2</v>
      </c>
      <c r="AE577" t="str">
        <f>"2011 Q1"</f>
        <v>2011 Q1</v>
      </c>
      <c r="AF577" t="str">
        <f>"2010 Q4"</f>
        <v>2010 Q4</v>
      </c>
      <c r="AG577" t="str">
        <f>"2010 Q3"</f>
        <v>2010 Q3</v>
      </c>
      <c r="AH577" t="str">
        <f>"2010 Q2"</f>
        <v>2010 Q2</v>
      </c>
      <c r="AI577" t="str">
        <f>"2010 Q1"</f>
        <v>2010 Q1</v>
      </c>
      <c r="AJ577" t="str">
        <f>"2009 Q4"</f>
        <v>2009 Q4</v>
      </c>
      <c r="AK577" t="str">
        <f>"2009 Q3"</f>
        <v>2009 Q3</v>
      </c>
      <c r="AL577" t="str">
        <f>"2009 Q2"</f>
        <v>2009 Q2</v>
      </c>
      <c r="AM577" t="str">
        <f>"2009 Q1"</f>
        <v>2009 Q1</v>
      </c>
      <c r="AN577" t="str">
        <f>"2008 Q4"</f>
        <v>2008 Q4</v>
      </c>
      <c r="AO577" t="str">
        <f>"2008 Q3"</f>
        <v>2008 Q3</v>
      </c>
      <c r="AP577" t="str">
        <f>"2008 Q2"</f>
        <v>2008 Q2</v>
      </c>
      <c r="AQ577" t="str">
        <f>"2008 Q1"</f>
        <v>2008 Q1</v>
      </c>
      <c r="AR577" t="str">
        <f>"2007 Q4"</f>
        <v>2007 Q4</v>
      </c>
      <c r="AS577" t="str">
        <f>"2007 Q3"</f>
        <v>2007 Q3</v>
      </c>
      <c r="AT577" t="str">
        <f>"2007 Q2"</f>
        <v>2007 Q2</v>
      </c>
      <c r="AU577" t="str">
        <f>"2007 Q1"</f>
        <v>2007 Q1</v>
      </c>
      <c r="AV577" t="str">
        <f>"2006 Q4"</f>
        <v>2006 Q4</v>
      </c>
      <c r="AW577" t="str">
        <f>"2006 Q3"</f>
        <v>2006 Q3</v>
      </c>
      <c r="AX577" t="str">
        <f>"2006 Q2"</f>
        <v>2006 Q2</v>
      </c>
      <c r="AY577" t="str">
        <f>"2006 Q1"</f>
        <v>2006 Q1</v>
      </c>
      <c r="AZ577" t="str">
        <f>"2005 Q4"</f>
        <v>2005 Q4</v>
      </c>
      <c r="BA577" t="str">
        <f>"2005 Q3"</f>
        <v>2005 Q3</v>
      </c>
      <c r="BB577" t="str">
        <f>"2005 Q2"</f>
        <v>2005 Q2</v>
      </c>
      <c r="BC577" t="str">
        <f>"2005 Q1"</f>
        <v>2005 Q1</v>
      </c>
      <c r="BD577" t="str">
        <f>"2004 Q4"</f>
        <v>2004 Q4</v>
      </c>
      <c r="BE577" t="str">
        <f>"2004 Q3"</f>
        <v>2004 Q3</v>
      </c>
      <c r="BF577" t="str">
        <f>"2004 Q2"</f>
        <v>2004 Q2</v>
      </c>
      <c r="BG577" t="str">
        <f>"2004 Q1"</f>
        <v>2004 Q1</v>
      </c>
      <c r="BH577" t="str">
        <f>"2003 Q4"</f>
        <v>2003 Q4</v>
      </c>
      <c r="BI577" t="str">
        <f>"2003 Q3"</f>
        <v>2003 Q3</v>
      </c>
      <c r="BJ577" t="str">
        <f>"2003 Q2"</f>
        <v>2003 Q2</v>
      </c>
      <c r="BN577" t="str">
        <f>""</f>
        <v/>
      </c>
      <c r="BO577" t="str">
        <f>""</f>
        <v/>
      </c>
      <c r="BP577" t="str">
        <f>""</f>
        <v/>
      </c>
      <c r="BQ577" t="str">
        <f>""</f>
        <v/>
      </c>
      <c r="BR577" t="str">
        <f>""</f>
        <v/>
      </c>
      <c r="BS577" t="str">
        <f>""</f>
        <v/>
      </c>
      <c r="BT577" t="str">
        <f>""</f>
        <v/>
      </c>
      <c r="BU577" t="str">
        <f>""</f>
        <v/>
      </c>
      <c r="BV577" t="str">
        <f>""</f>
        <v/>
      </c>
      <c r="BW577" t="str">
        <f>""</f>
        <v/>
      </c>
      <c r="BX577" t="str">
        <f>""</f>
        <v/>
      </c>
      <c r="BY577" t="str">
        <f>""</f>
        <v/>
      </c>
      <c r="BZ577" t="str">
        <f>""</f>
        <v/>
      </c>
      <c r="CA577" t="str">
        <f>""</f>
        <v/>
      </c>
      <c r="CB577" t="str">
        <f>""</f>
        <v/>
      </c>
      <c r="CC577" t="str">
        <f>""</f>
        <v/>
      </c>
      <c r="CD577" t="str">
        <f>""</f>
        <v/>
      </c>
      <c r="CE577" t="str">
        <f>""</f>
        <v/>
      </c>
      <c r="CF577" t="str">
        <f>""</f>
        <v/>
      </c>
      <c r="CG577" t="str">
        <f>""</f>
        <v/>
      </c>
      <c r="CH577" t="str">
        <f>""</f>
        <v/>
      </c>
      <c r="CI577" t="str">
        <f>""</f>
        <v/>
      </c>
      <c r="CJ577" t="str">
        <f>""</f>
        <v/>
      </c>
      <c r="CK577" t="str">
        <f>""</f>
        <v/>
      </c>
      <c r="CL577" t="str">
        <f>""</f>
        <v/>
      </c>
      <c r="CM577" t="str">
        <f>""</f>
        <v/>
      </c>
      <c r="CN577" t="str">
        <f>""</f>
        <v/>
      </c>
      <c r="CO577" t="str">
        <f>""</f>
        <v/>
      </c>
      <c r="CP577" t="str">
        <f>""</f>
        <v/>
      </c>
      <c r="CQ577" t="str">
        <f>""</f>
        <v/>
      </c>
      <c r="CR577" t="str">
        <f>""</f>
        <v/>
      </c>
      <c r="CS577" t="str">
        <f>""</f>
        <v/>
      </c>
      <c r="CT577" t="str">
        <f>""</f>
        <v/>
      </c>
      <c r="CU577" t="str">
        <f>""</f>
        <v/>
      </c>
      <c r="CV577" t="str">
        <f>""</f>
        <v/>
      </c>
      <c r="CW577" t="str">
        <f>""</f>
        <v/>
      </c>
      <c r="CX577" t="str">
        <f>""</f>
        <v/>
      </c>
      <c r="CY577" t="str">
        <f>""</f>
        <v/>
      </c>
      <c r="CZ577" t="str">
        <f>""</f>
        <v/>
      </c>
      <c r="DA577" t="str">
        <f>""</f>
        <v/>
      </c>
      <c r="DB577" t="str">
        <f>""</f>
        <v/>
      </c>
      <c r="DC577" t="str">
        <f>""</f>
        <v/>
      </c>
      <c r="DD577" t="str">
        <f>""</f>
        <v/>
      </c>
      <c r="DE577" t="str">
        <f>""</f>
        <v/>
      </c>
      <c r="DF577" t="str">
        <f>""</f>
        <v/>
      </c>
      <c r="DG577" t="str">
        <f>""</f>
        <v/>
      </c>
      <c r="DH577" t="str">
        <f>""</f>
        <v/>
      </c>
      <c r="DI577" t="str">
        <f>""</f>
        <v/>
      </c>
      <c r="DJ577" t="str">
        <f>""</f>
        <v/>
      </c>
      <c r="DK577" t="str">
        <f>""</f>
        <v/>
      </c>
      <c r="DL577" t="str">
        <f>""</f>
        <v/>
      </c>
      <c r="DM577" t="str">
        <f>""</f>
        <v/>
      </c>
      <c r="DN577" t="str">
        <f>""</f>
        <v/>
      </c>
      <c r="DO577" t="str">
        <f>""</f>
        <v/>
      </c>
      <c r="DP577" t="str">
        <f>""</f>
        <v/>
      </c>
      <c r="DQ577" t="str">
        <f>""</f>
        <v/>
      </c>
      <c r="DR577" t="str">
        <f>""</f>
        <v/>
      </c>
      <c r="DS577" t="str">
        <f>""</f>
        <v/>
      </c>
      <c r="DT577" t="str">
        <f>""</f>
        <v/>
      </c>
      <c r="DU577" t="str">
        <f>""</f>
        <v/>
      </c>
    </row>
    <row r="578" spans="1:125">
      <c r="A578" t="str">
        <f>"BDH snapshot header0"</f>
        <v>BDH snapshot header0</v>
      </c>
      <c r="B578">
        <f>IF(OR(ISERROR($C$578),ISBLANK($C$578),ISNUMBER(SEARCH("N/A",$C$578) ),ISERROR($C$579),ISBLANK($C$579)),0,1)</f>
        <v>0</v>
      </c>
      <c r="C578" t="str">
        <f>BDH($B$296,$C$296,$B$292,$B$576,"PER=CQ","Dts=S","DtFmt=FI", "rows=2","Dir=H","Points=60","Sort=R","Days=A","Fill=B","FX=USD" )</f>
        <v>#N/A Authorization</v>
      </c>
      <c r="BN578" t="str">
        <f>""</f>
        <v/>
      </c>
      <c r="BO578" t="str">
        <f>""</f>
        <v/>
      </c>
      <c r="BP578" t="str">
        <f>""</f>
        <v/>
      </c>
      <c r="BQ578" t="str">
        <f>""</f>
        <v/>
      </c>
      <c r="BR578" t="str">
        <f>""</f>
        <v/>
      </c>
      <c r="BS578" t="str">
        <f>""</f>
        <v/>
      </c>
      <c r="BT578" t="str">
        <f>""</f>
        <v/>
      </c>
      <c r="BU578" t="str">
        <f>""</f>
        <v/>
      </c>
      <c r="BV578" t="str">
        <f>""</f>
        <v/>
      </c>
      <c r="BW578" t="str">
        <f>""</f>
        <v/>
      </c>
      <c r="BX578" t="str">
        <f>""</f>
        <v/>
      </c>
      <c r="BY578" t="str">
        <f>""</f>
        <v/>
      </c>
      <c r="BZ578" t="str">
        <f>""</f>
        <v/>
      </c>
      <c r="CA578" t="str">
        <f>""</f>
        <v/>
      </c>
      <c r="CB578" t="str">
        <f>""</f>
        <v/>
      </c>
      <c r="CC578" t="str">
        <f>""</f>
        <v/>
      </c>
      <c r="CD578" t="str">
        <f>""</f>
        <v/>
      </c>
      <c r="CE578" t="str">
        <f>""</f>
        <v/>
      </c>
      <c r="CF578" t="str">
        <f>""</f>
        <v/>
      </c>
      <c r="CG578" t="str">
        <f>""</f>
        <v/>
      </c>
      <c r="CH578" t="str">
        <f>""</f>
        <v/>
      </c>
      <c r="CI578" t="str">
        <f>""</f>
        <v/>
      </c>
      <c r="CJ578" t="str">
        <f>""</f>
        <v/>
      </c>
      <c r="CK578" t="str">
        <f>""</f>
        <v/>
      </c>
      <c r="CL578" t="str">
        <f>""</f>
        <v/>
      </c>
      <c r="CM578" t="str">
        <f>""</f>
        <v/>
      </c>
      <c r="CN578" t="str">
        <f>""</f>
        <v/>
      </c>
      <c r="CO578" t="str">
        <f>""</f>
        <v/>
      </c>
      <c r="CP578" t="str">
        <f>""</f>
        <v/>
      </c>
      <c r="CQ578" t="str">
        <f>""</f>
        <v/>
      </c>
      <c r="CR578" t="str">
        <f>""</f>
        <v/>
      </c>
      <c r="CS578" t="str">
        <f>""</f>
        <v/>
      </c>
      <c r="CT578" t="str">
        <f>""</f>
        <v/>
      </c>
      <c r="CU578" t="str">
        <f>""</f>
        <v/>
      </c>
      <c r="CV578" t="str">
        <f>""</f>
        <v/>
      </c>
      <c r="CW578" t="str">
        <f>""</f>
        <v/>
      </c>
      <c r="CX578" t="str">
        <f>""</f>
        <v/>
      </c>
      <c r="CY578" t="str">
        <f>""</f>
        <v/>
      </c>
      <c r="CZ578" t="str">
        <f>""</f>
        <v/>
      </c>
      <c r="DA578" t="str">
        <f>""</f>
        <v/>
      </c>
      <c r="DB578" t="str">
        <f>""</f>
        <v/>
      </c>
      <c r="DC578" t="str">
        <f>""</f>
        <v/>
      </c>
      <c r="DD578" t="str">
        <f>""</f>
        <v/>
      </c>
      <c r="DE578" t="str">
        <f>""</f>
        <v/>
      </c>
      <c r="DF578" t="str">
        <f>""</f>
        <v/>
      </c>
      <c r="DG578" t="str">
        <f>""</f>
        <v/>
      </c>
      <c r="DH578" t="str">
        <f>""</f>
        <v/>
      </c>
      <c r="DI578" t="str">
        <f>""</f>
        <v/>
      </c>
      <c r="DJ578" t="str">
        <f>""</f>
        <v/>
      </c>
      <c r="DK578" t="str">
        <f>""</f>
        <v/>
      </c>
      <c r="DL578" t="str">
        <f>""</f>
        <v/>
      </c>
      <c r="DM578" t="str">
        <f>""</f>
        <v/>
      </c>
      <c r="DN578" t="str">
        <f>""</f>
        <v/>
      </c>
      <c r="DO578" t="str">
        <f>""</f>
        <v/>
      </c>
      <c r="DP578" t="str">
        <f>""</f>
        <v/>
      </c>
      <c r="DQ578" t="str">
        <f>""</f>
        <v/>
      </c>
      <c r="DR578" t="str">
        <f>""</f>
        <v/>
      </c>
      <c r="DS578" t="str">
        <f>""</f>
        <v/>
      </c>
      <c r="DT578" t="str">
        <f>""</f>
        <v/>
      </c>
      <c r="DU578" t="str">
        <f>""</f>
        <v/>
      </c>
    </row>
    <row r="579" spans="1:125">
      <c r="A579" t="str">
        <f>"BDH snapshot result0"</f>
        <v>BDH snapshot result0</v>
      </c>
      <c r="BN579" t="str">
        <f>""</f>
        <v/>
      </c>
      <c r="BO579" t="str">
        <f>""</f>
        <v/>
      </c>
      <c r="BP579" t="str">
        <f>""</f>
        <v/>
      </c>
      <c r="BQ579" t="str">
        <f>""</f>
        <v/>
      </c>
      <c r="BR579" t="str">
        <f>""</f>
        <v/>
      </c>
      <c r="BS579" t="str">
        <f>""</f>
        <v/>
      </c>
      <c r="BT579" t="str">
        <f>""</f>
        <v/>
      </c>
      <c r="BU579" t="str">
        <f>""</f>
        <v/>
      </c>
      <c r="BV579" t="str">
        <f>""</f>
        <v/>
      </c>
      <c r="BW579" t="str">
        <f>""</f>
        <v/>
      </c>
      <c r="BX579" t="str">
        <f>""</f>
        <v/>
      </c>
      <c r="BY579" t="str">
        <f>""</f>
        <v/>
      </c>
      <c r="BZ579" t="str">
        <f>""</f>
        <v/>
      </c>
      <c r="CA579" t="str">
        <f>""</f>
        <v/>
      </c>
      <c r="CB579" t="str">
        <f>""</f>
        <v/>
      </c>
      <c r="CC579" t="str">
        <f>""</f>
        <v/>
      </c>
      <c r="CD579" t="str">
        <f>""</f>
        <v/>
      </c>
      <c r="CE579" t="str">
        <f>""</f>
        <v/>
      </c>
      <c r="CF579" t="str">
        <f>""</f>
        <v/>
      </c>
      <c r="CG579" t="str">
        <f>""</f>
        <v/>
      </c>
      <c r="CH579" t="str">
        <f>""</f>
        <v/>
      </c>
      <c r="CI579" t="str">
        <f>""</f>
        <v/>
      </c>
      <c r="CJ579" t="str">
        <f>""</f>
        <v/>
      </c>
      <c r="CK579" t="str">
        <f>""</f>
        <v/>
      </c>
      <c r="CL579" t="str">
        <f>""</f>
        <v/>
      </c>
      <c r="CM579" t="str">
        <f>""</f>
        <v/>
      </c>
      <c r="CN579" t="str">
        <f>""</f>
        <v/>
      </c>
      <c r="CO579" t="str">
        <f>""</f>
        <v/>
      </c>
      <c r="CP579" t="str">
        <f>""</f>
        <v/>
      </c>
      <c r="CQ579" t="str">
        <f>""</f>
        <v/>
      </c>
      <c r="CR579" t="str">
        <f>""</f>
        <v/>
      </c>
      <c r="CS579" t="str">
        <f>""</f>
        <v/>
      </c>
      <c r="CT579" t="str">
        <f>""</f>
        <v/>
      </c>
      <c r="CU579" t="str">
        <f>""</f>
        <v/>
      </c>
      <c r="CV579" t="str">
        <f>""</f>
        <v/>
      </c>
      <c r="CW579" t="str">
        <f>""</f>
        <v/>
      </c>
      <c r="CX579" t="str">
        <f>""</f>
        <v/>
      </c>
      <c r="CY579" t="str">
        <f>""</f>
        <v/>
      </c>
      <c r="CZ579" t="str">
        <f>""</f>
        <v/>
      </c>
      <c r="DA579" t="str">
        <f>""</f>
        <v/>
      </c>
      <c r="DB579" t="str">
        <f>""</f>
        <v/>
      </c>
      <c r="DC579" t="str">
        <f>""</f>
        <v/>
      </c>
      <c r="DD579" t="str">
        <f>""</f>
        <v/>
      </c>
      <c r="DE579" t="str">
        <f>""</f>
        <v/>
      </c>
      <c r="DF579" t="str">
        <f>""</f>
        <v/>
      </c>
      <c r="DG579" t="str">
        <f>""</f>
        <v/>
      </c>
      <c r="DH579" t="str">
        <f>""</f>
        <v/>
      </c>
      <c r="DI579" t="str">
        <f>""</f>
        <v/>
      </c>
      <c r="DJ579" t="str">
        <f>""</f>
        <v/>
      </c>
      <c r="DK579" t="str">
        <f>""</f>
        <v/>
      </c>
      <c r="DL579" t="str">
        <f>""</f>
        <v/>
      </c>
      <c r="DM579" t="str">
        <f>""</f>
        <v/>
      </c>
      <c r="DN579" t="str">
        <f>""</f>
        <v/>
      </c>
      <c r="DO579" t="str">
        <f>""</f>
        <v/>
      </c>
      <c r="DP579" t="str">
        <f>""</f>
        <v/>
      </c>
      <c r="DQ579" t="str">
        <f>""</f>
        <v/>
      </c>
      <c r="DR579" t="str">
        <f>""</f>
        <v/>
      </c>
      <c r="DS579" t="str">
        <f>""</f>
        <v/>
      </c>
      <c r="DT579" t="str">
        <f>""</f>
        <v/>
      </c>
      <c r="DU579" t="str">
        <f>""</f>
        <v/>
      </c>
    </row>
    <row r="580" spans="1:125">
      <c r="A580" t="str">
        <f>"BDH snapshot header1"</f>
        <v>BDH snapshot header1</v>
      </c>
      <c r="B580">
        <f>IF(OR(ISERROR($C$580),ISBLANK($C$580),ISNUMBER(SEARCH("N/A",$C$580) ),ISERROR($C$581),ISBLANK($C$581)),0,1)</f>
        <v>0</v>
      </c>
      <c r="C580" t="str">
        <f>BDH($B$297,$C$297,$B$292,$B$576,"PER=CQ","Dts=S","DtFmt=FI", "rows=2","Dir=H","Points=60","Sort=R","Days=A","Fill=B","FX=USD" )</f>
        <v>#N/A Authorization</v>
      </c>
      <c r="BN580" t="str">
        <f>""</f>
        <v/>
      </c>
      <c r="BO580" t="str">
        <f>""</f>
        <v/>
      </c>
      <c r="BP580" t="str">
        <f>""</f>
        <v/>
      </c>
      <c r="BQ580" t="str">
        <f>""</f>
        <v/>
      </c>
      <c r="BR580" t="str">
        <f>""</f>
        <v/>
      </c>
      <c r="BS580" t="str">
        <f>""</f>
        <v/>
      </c>
      <c r="BT580" t="str">
        <f>""</f>
        <v/>
      </c>
      <c r="BU580" t="str">
        <f>""</f>
        <v/>
      </c>
      <c r="BV580" t="str">
        <f>""</f>
        <v/>
      </c>
      <c r="BW580" t="str">
        <f>""</f>
        <v/>
      </c>
      <c r="BX580" t="str">
        <f>""</f>
        <v/>
      </c>
      <c r="BY580" t="str">
        <f>""</f>
        <v/>
      </c>
      <c r="BZ580" t="str">
        <f>""</f>
        <v/>
      </c>
      <c r="CA580" t="str">
        <f>""</f>
        <v/>
      </c>
      <c r="CB580" t="str">
        <f>""</f>
        <v/>
      </c>
      <c r="CC580" t="str">
        <f>""</f>
        <v/>
      </c>
      <c r="CD580" t="str">
        <f>""</f>
        <v/>
      </c>
      <c r="CE580" t="str">
        <f>""</f>
        <v/>
      </c>
      <c r="CF580" t="str">
        <f>""</f>
        <v/>
      </c>
      <c r="CG580" t="str">
        <f>""</f>
        <v/>
      </c>
      <c r="CH580" t="str">
        <f>""</f>
        <v/>
      </c>
      <c r="CI580" t="str">
        <f>""</f>
        <v/>
      </c>
      <c r="CJ580" t="str">
        <f>""</f>
        <v/>
      </c>
      <c r="CK580" t="str">
        <f>""</f>
        <v/>
      </c>
      <c r="CL580" t="str">
        <f>""</f>
        <v/>
      </c>
      <c r="CM580" t="str">
        <f>""</f>
        <v/>
      </c>
      <c r="CN580" t="str">
        <f>""</f>
        <v/>
      </c>
      <c r="CO580" t="str">
        <f>""</f>
        <v/>
      </c>
      <c r="CP580" t="str">
        <f>""</f>
        <v/>
      </c>
      <c r="CQ580" t="str">
        <f>""</f>
        <v/>
      </c>
      <c r="CR580" t="str">
        <f>""</f>
        <v/>
      </c>
      <c r="CS580" t="str">
        <f>""</f>
        <v/>
      </c>
      <c r="CT580" t="str">
        <f>""</f>
        <v/>
      </c>
      <c r="CU580" t="str">
        <f>""</f>
        <v/>
      </c>
      <c r="CV580" t="str">
        <f>""</f>
        <v/>
      </c>
      <c r="CW580" t="str">
        <f>""</f>
        <v/>
      </c>
      <c r="CX580" t="str">
        <f>""</f>
        <v/>
      </c>
      <c r="CY580" t="str">
        <f>""</f>
        <v/>
      </c>
      <c r="CZ580" t="str">
        <f>""</f>
        <v/>
      </c>
      <c r="DA580" t="str">
        <f>""</f>
        <v/>
      </c>
      <c r="DB580" t="str">
        <f>""</f>
        <v/>
      </c>
      <c r="DC580" t="str">
        <f>""</f>
        <v/>
      </c>
      <c r="DD580" t="str">
        <f>""</f>
        <v/>
      </c>
      <c r="DE580" t="str">
        <f>""</f>
        <v/>
      </c>
      <c r="DF580" t="str">
        <f>""</f>
        <v/>
      </c>
      <c r="DG580" t="str">
        <f>""</f>
        <v/>
      </c>
      <c r="DH580" t="str">
        <f>""</f>
        <v/>
      </c>
      <c r="DI580" t="str">
        <f>""</f>
        <v/>
      </c>
      <c r="DJ580" t="str">
        <f>""</f>
        <v/>
      </c>
      <c r="DK580" t="str">
        <f>""</f>
        <v/>
      </c>
      <c r="DL580" t="str">
        <f>""</f>
        <v/>
      </c>
      <c r="DM580" t="str">
        <f>""</f>
        <v/>
      </c>
      <c r="DN580" t="str">
        <f>""</f>
        <v/>
      </c>
      <c r="DO580" t="str">
        <f>""</f>
        <v/>
      </c>
      <c r="DP580" t="str">
        <f>""</f>
        <v/>
      </c>
      <c r="DQ580" t="str">
        <f>""</f>
        <v/>
      </c>
      <c r="DR580" t="str">
        <f>""</f>
        <v/>
      </c>
      <c r="DS580" t="str">
        <f>""</f>
        <v/>
      </c>
      <c r="DT580" t="str">
        <f>""</f>
        <v/>
      </c>
      <c r="DU580" t="str">
        <f>""</f>
        <v/>
      </c>
    </row>
    <row r="581" spans="1:125">
      <c r="A581" t="str">
        <f>"BDH snapshot result1"</f>
        <v>BDH snapshot result1</v>
      </c>
      <c r="BN581" t="str">
        <f>""</f>
        <v/>
      </c>
      <c r="BO581" t="str">
        <f>""</f>
        <v/>
      </c>
      <c r="BP581" t="str">
        <f>""</f>
        <v/>
      </c>
      <c r="BQ581" t="str">
        <f>""</f>
        <v/>
      </c>
      <c r="BR581" t="str">
        <f>""</f>
        <v/>
      </c>
      <c r="BS581" t="str">
        <f>""</f>
        <v/>
      </c>
      <c r="BT581" t="str">
        <f>""</f>
        <v/>
      </c>
      <c r="BU581" t="str">
        <f>""</f>
        <v/>
      </c>
      <c r="BV581" t="str">
        <f>""</f>
        <v/>
      </c>
      <c r="BW581" t="str">
        <f>""</f>
        <v/>
      </c>
      <c r="BX581" t="str">
        <f>""</f>
        <v/>
      </c>
      <c r="BY581" t="str">
        <f>""</f>
        <v/>
      </c>
      <c r="BZ581" t="str">
        <f>""</f>
        <v/>
      </c>
      <c r="CA581" t="str">
        <f>""</f>
        <v/>
      </c>
      <c r="CB581" t="str">
        <f>""</f>
        <v/>
      </c>
      <c r="CC581" t="str">
        <f>""</f>
        <v/>
      </c>
      <c r="CD581" t="str">
        <f>""</f>
        <v/>
      </c>
      <c r="CE581" t="str">
        <f>""</f>
        <v/>
      </c>
      <c r="CF581" t="str">
        <f>""</f>
        <v/>
      </c>
      <c r="CG581" t="str">
        <f>""</f>
        <v/>
      </c>
      <c r="CH581" t="str">
        <f>""</f>
        <v/>
      </c>
      <c r="CI581" t="str">
        <f>""</f>
        <v/>
      </c>
      <c r="CJ581" t="str">
        <f>""</f>
        <v/>
      </c>
      <c r="CK581" t="str">
        <f>""</f>
        <v/>
      </c>
      <c r="CL581" t="str">
        <f>""</f>
        <v/>
      </c>
      <c r="CM581" t="str">
        <f>""</f>
        <v/>
      </c>
      <c r="CN581" t="str">
        <f>""</f>
        <v/>
      </c>
      <c r="CO581" t="str">
        <f>""</f>
        <v/>
      </c>
      <c r="CP581" t="str">
        <f>""</f>
        <v/>
      </c>
      <c r="CQ581" t="str">
        <f>""</f>
        <v/>
      </c>
      <c r="CR581" t="str">
        <f>""</f>
        <v/>
      </c>
      <c r="CS581" t="str">
        <f>""</f>
        <v/>
      </c>
      <c r="CT581" t="str">
        <f>""</f>
        <v/>
      </c>
      <c r="CU581" t="str">
        <f>""</f>
        <v/>
      </c>
      <c r="CV581" t="str">
        <f>""</f>
        <v/>
      </c>
      <c r="CW581" t="str">
        <f>""</f>
        <v/>
      </c>
      <c r="CX581" t="str">
        <f>""</f>
        <v/>
      </c>
      <c r="CY581" t="str">
        <f>""</f>
        <v/>
      </c>
      <c r="CZ581" t="str">
        <f>""</f>
        <v/>
      </c>
      <c r="DA581" t="str">
        <f>""</f>
        <v/>
      </c>
      <c r="DB581" t="str">
        <f>""</f>
        <v/>
      </c>
      <c r="DC581" t="str">
        <f>""</f>
        <v/>
      </c>
      <c r="DD581" t="str">
        <f>""</f>
        <v/>
      </c>
      <c r="DE581" t="str">
        <f>""</f>
        <v/>
      </c>
      <c r="DF581" t="str">
        <f>""</f>
        <v/>
      </c>
      <c r="DG581" t="str">
        <f>""</f>
        <v/>
      </c>
      <c r="DH581" t="str">
        <f>""</f>
        <v/>
      </c>
      <c r="DI581" t="str">
        <f>""</f>
        <v/>
      </c>
      <c r="DJ581" t="str">
        <f>""</f>
        <v/>
      </c>
      <c r="DK581" t="str">
        <f>""</f>
        <v/>
      </c>
      <c r="DL581" t="str">
        <f>""</f>
        <v/>
      </c>
      <c r="DM581" t="str">
        <f>""</f>
        <v/>
      </c>
      <c r="DN581" t="str">
        <f>""</f>
        <v/>
      </c>
      <c r="DO581" t="str">
        <f>""</f>
        <v/>
      </c>
      <c r="DP581" t="str">
        <f>""</f>
        <v/>
      </c>
      <c r="DQ581" t="str">
        <f>""</f>
        <v/>
      </c>
      <c r="DR581" t="str">
        <f>""</f>
        <v/>
      </c>
      <c r="DS581" t="str">
        <f>""</f>
        <v/>
      </c>
      <c r="DT581" t="str">
        <f>""</f>
        <v/>
      </c>
      <c r="DU581" t="str">
        <f>""</f>
        <v/>
      </c>
    </row>
    <row r="582" spans="1:125">
      <c r="A582" t="str">
        <f>"BDH snapshot header2"</f>
        <v>BDH snapshot header2</v>
      </c>
      <c r="B582">
        <f>IF(OR(ISERROR($C$582),ISBLANK($C$582),ISNUMBER(SEARCH("N/A",$C$582) ),ISERROR($C$583),ISBLANK($C$583)),0,1)</f>
        <v>0</v>
      </c>
      <c r="C582" t="str">
        <f>BDH($B$298,$C$298,$B$292,$B$576,"PER=CQ","Dts=S","DtFmt=FI", "rows=2","Dir=H","Points=60","Sort=R","Days=A","Fill=B","FX=USD" )</f>
        <v>#N/A Authorization</v>
      </c>
      <c r="BN582" t="str">
        <f>""</f>
        <v/>
      </c>
      <c r="BO582" t="str">
        <f>""</f>
        <v/>
      </c>
      <c r="BP582" t="str">
        <f>""</f>
        <v/>
      </c>
      <c r="BQ582" t="str">
        <f>""</f>
        <v/>
      </c>
      <c r="BR582" t="str">
        <f>""</f>
        <v/>
      </c>
      <c r="BS582" t="str">
        <f>""</f>
        <v/>
      </c>
      <c r="BT582" t="str">
        <f>""</f>
        <v/>
      </c>
      <c r="BU582" t="str">
        <f>""</f>
        <v/>
      </c>
      <c r="BV582" t="str">
        <f>""</f>
        <v/>
      </c>
      <c r="BW582" t="str">
        <f>""</f>
        <v/>
      </c>
      <c r="BX582" t="str">
        <f>""</f>
        <v/>
      </c>
      <c r="BY582" t="str">
        <f>""</f>
        <v/>
      </c>
      <c r="BZ582" t="str">
        <f>""</f>
        <v/>
      </c>
      <c r="CA582" t="str">
        <f>""</f>
        <v/>
      </c>
      <c r="CB582" t="str">
        <f>""</f>
        <v/>
      </c>
      <c r="CC582" t="str">
        <f>""</f>
        <v/>
      </c>
      <c r="CD582" t="str">
        <f>""</f>
        <v/>
      </c>
      <c r="CE582" t="str">
        <f>""</f>
        <v/>
      </c>
      <c r="CF582" t="str">
        <f>""</f>
        <v/>
      </c>
      <c r="CG582" t="str">
        <f>""</f>
        <v/>
      </c>
      <c r="CH582" t="str">
        <f>""</f>
        <v/>
      </c>
      <c r="CI582" t="str">
        <f>""</f>
        <v/>
      </c>
      <c r="CJ582" t="str">
        <f>""</f>
        <v/>
      </c>
      <c r="CK582" t="str">
        <f>""</f>
        <v/>
      </c>
      <c r="CL582" t="str">
        <f>""</f>
        <v/>
      </c>
      <c r="CM582" t="str">
        <f>""</f>
        <v/>
      </c>
      <c r="CN582" t="str">
        <f>""</f>
        <v/>
      </c>
      <c r="CO582" t="str">
        <f>""</f>
        <v/>
      </c>
      <c r="CP582" t="str">
        <f>""</f>
        <v/>
      </c>
      <c r="CQ582" t="str">
        <f>""</f>
        <v/>
      </c>
      <c r="CR582" t="str">
        <f>""</f>
        <v/>
      </c>
      <c r="CS582" t="str">
        <f>""</f>
        <v/>
      </c>
      <c r="CT582" t="str">
        <f>""</f>
        <v/>
      </c>
      <c r="CU582" t="str">
        <f>""</f>
        <v/>
      </c>
      <c r="CV582" t="str">
        <f>""</f>
        <v/>
      </c>
      <c r="CW582" t="str">
        <f>""</f>
        <v/>
      </c>
      <c r="CX582" t="str">
        <f>""</f>
        <v/>
      </c>
      <c r="CY582" t="str">
        <f>""</f>
        <v/>
      </c>
      <c r="CZ582" t="str">
        <f>""</f>
        <v/>
      </c>
      <c r="DA582" t="str">
        <f>""</f>
        <v/>
      </c>
      <c r="DB582" t="str">
        <f>""</f>
        <v/>
      </c>
      <c r="DC582" t="str">
        <f>""</f>
        <v/>
      </c>
      <c r="DD582" t="str">
        <f>""</f>
        <v/>
      </c>
      <c r="DE582" t="str">
        <f>""</f>
        <v/>
      </c>
      <c r="DF582" t="str">
        <f>""</f>
        <v/>
      </c>
      <c r="DG582" t="str">
        <f>""</f>
        <v/>
      </c>
      <c r="DH582" t="str">
        <f>""</f>
        <v/>
      </c>
      <c r="DI582" t="str">
        <f>""</f>
        <v/>
      </c>
      <c r="DJ582" t="str">
        <f>""</f>
        <v/>
      </c>
      <c r="DK582" t="str">
        <f>""</f>
        <v/>
      </c>
      <c r="DL582" t="str">
        <f>""</f>
        <v/>
      </c>
      <c r="DM582" t="str">
        <f>""</f>
        <v/>
      </c>
      <c r="DN582" t="str">
        <f>""</f>
        <v/>
      </c>
      <c r="DO582" t="str">
        <f>""</f>
        <v/>
      </c>
      <c r="DP582" t="str">
        <f>""</f>
        <v/>
      </c>
      <c r="DQ582" t="str">
        <f>""</f>
        <v/>
      </c>
      <c r="DR582" t="str">
        <f>""</f>
        <v/>
      </c>
      <c r="DS582" t="str">
        <f>""</f>
        <v/>
      </c>
      <c r="DT582" t="str">
        <f>""</f>
        <v/>
      </c>
      <c r="DU582" t="str">
        <f>""</f>
        <v/>
      </c>
    </row>
    <row r="583" spans="1:125">
      <c r="A583" t="str">
        <f>"BDH snapshot result2"</f>
        <v>BDH snapshot result2</v>
      </c>
      <c r="BN583" t="str">
        <f>""</f>
        <v/>
      </c>
      <c r="BO583" t="str">
        <f>""</f>
        <v/>
      </c>
      <c r="BP583" t="str">
        <f>""</f>
        <v/>
      </c>
      <c r="BQ583" t="str">
        <f>""</f>
        <v/>
      </c>
      <c r="BR583" t="str">
        <f>""</f>
        <v/>
      </c>
      <c r="BS583" t="str">
        <f>""</f>
        <v/>
      </c>
      <c r="BT583" t="str">
        <f>""</f>
        <v/>
      </c>
      <c r="BU583" t="str">
        <f>""</f>
        <v/>
      </c>
      <c r="BV583" t="str">
        <f>""</f>
        <v/>
      </c>
      <c r="BW583" t="str">
        <f>""</f>
        <v/>
      </c>
      <c r="BX583" t="str">
        <f>""</f>
        <v/>
      </c>
      <c r="BY583" t="str">
        <f>""</f>
        <v/>
      </c>
      <c r="BZ583" t="str">
        <f>""</f>
        <v/>
      </c>
      <c r="CA583" t="str">
        <f>""</f>
        <v/>
      </c>
      <c r="CB583" t="str">
        <f>""</f>
        <v/>
      </c>
      <c r="CC583" t="str">
        <f>""</f>
        <v/>
      </c>
      <c r="CD583" t="str">
        <f>""</f>
        <v/>
      </c>
      <c r="CE583" t="str">
        <f>""</f>
        <v/>
      </c>
      <c r="CF583" t="str">
        <f>""</f>
        <v/>
      </c>
      <c r="CG583" t="str">
        <f>""</f>
        <v/>
      </c>
      <c r="CH583" t="str">
        <f>""</f>
        <v/>
      </c>
      <c r="CI583" t="str">
        <f>""</f>
        <v/>
      </c>
      <c r="CJ583" t="str">
        <f>""</f>
        <v/>
      </c>
      <c r="CK583" t="str">
        <f>""</f>
        <v/>
      </c>
      <c r="CL583" t="str">
        <f>""</f>
        <v/>
      </c>
      <c r="CM583" t="str">
        <f>""</f>
        <v/>
      </c>
      <c r="CN583" t="str">
        <f>""</f>
        <v/>
      </c>
      <c r="CO583" t="str">
        <f>""</f>
        <v/>
      </c>
      <c r="CP583" t="str">
        <f>""</f>
        <v/>
      </c>
      <c r="CQ583" t="str">
        <f>""</f>
        <v/>
      </c>
      <c r="CR583" t="str">
        <f>""</f>
        <v/>
      </c>
      <c r="CS583" t="str">
        <f>""</f>
        <v/>
      </c>
      <c r="CT583" t="str">
        <f>""</f>
        <v/>
      </c>
      <c r="CU583" t="str">
        <f>""</f>
        <v/>
      </c>
      <c r="CV583" t="str">
        <f>""</f>
        <v/>
      </c>
      <c r="CW583" t="str">
        <f>""</f>
        <v/>
      </c>
      <c r="CX583" t="str">
        <f>""</f>
        <v/>
      </c>
      <c r="CY583" t="str">
        <f>""</f>
        <v/>
      </c>
      <c r="CZ583" t="str">
        <f>""</f>
        <v/>
      </c>
      <c r="DA583" t="str">
        <f>""</f>
        <v/>
      </c>
      <c r="DB583" t="str">
        <f>""</f>
        <v/>
      </c>
      <c r="DC583" t="str">
        <f>""</f>
        <v/>
      </c>
      <c r="DD583" t="str">
        <f>""</f>
        <v/>
      </c>
      <c r="DE583" t="str">
        <f>""</f>
        <v/>
      </c>
      <c r="DF583" t="str">
        <f>""</f>
        <v/>
      </c>
      <c r="DG583" t="str">
        <f>""</f>
        <v/>
      </c>
      <c r="DH583" t="str">
        <f>""</f>
        <v/>
      </c>
      <c r="DI583" t="str">
        <f>""</f>
        <v/>
      </c>
      <c r="DJ583" t="str">
        <f>""</f>
        <v/>
      </c>
      <c r="DK583" t="str">
        <f>""</f>
        <v/>
      </c>
      <c r="DL583" t="str">
        <f>""</f>
        <v/>
      </c>
      <c r="DM583" t="str">
        <f>""</f>
        <v/>
      </c>
      <c r="DN583" t="str">
        <f>""</f>
        <v/>
      </c>
      <c r="DO583" t="str">
        <f>""</f>
        <v/>
      </c>
      <c r="DP583" t="str">
        <f>""</f>
        <v/>
      </c>
      <c r="DQ583" t="str">
        <f>""</f>
        <v/>
      </c>
      <c r="DR583" t="str">
        <f>""</f>
        <v/>
      </c>
      <c r="DS583" t="str">
        <f>""</f>
        <v/>
      </c>
      <c r="DT583" t="str">
        <f>""</f>
        <v/>
      </c>
      <c r="DU583" t="str">
        <f>""</f>
        <v/>
      </c>
    </row>
    <row r="584" spans="1:125">
      <c r="A584" t="str">
        <f>"BDH snapshot"</f>
        <v>BDH snapshot</v>
      </c>
      <c r="B584">
        <f>IF($B$578&gt;=1,$B$578,IF($B$580&gt;=1,$B$580,IF($B$582&gt;=1,$B$582,$B$577)))</f>
        <v>2</v>
      </c>
      <c r="C584" t="str">
        <f>IF($B$578&gt;=1,$C$578,IF($B$580&gt;=1,$C$580,IF($B$582&gt;=1,$C$582,$C$577)))</f>
        <v>2018 Q1</v>
      </c>
      <c r="D584" t="str">
        <f>IF($B$578&gt;=1,$D$578,IF($B$580&gt;=1,$D$580,IF($B$582&gt;=1,$D$582,$D$577)))</f>
        <v>2017 Q4</v>
      </c>
      <c r="E584" t="str">
        <f>IF($B$578&gt;=1,$E$578,IF($B$580&gt;=1,$E$580,IF($B$582&gt;=1,$E$582,$E$577)))</f>
        <v>2017 Q3</v>
      </c>
      <c r="F584" t="str">
        <f>IF($B$578&gt;=1,$F$578,IF($B$580&gt;=1,$F$580,IF($B$582&gt;=1,$F$582,$F$577)))</f>
        <v>2017 Q2</v>
      </c>
      <c r="G584" t="str">
        <f>IF($B$578&gt;=1,$G$578,IF($B$580&gt;=1,$G$580,IF($B$582&gt;=1,$G$582,$G$577)))</f>
        <v>2017 Q1</v>
      </c>
      <c r="H584" t="str">
        <f>IF($B$578&gt;=1,$H$578,IF($B$580&gt;=1,$H$580,IF($B$582&gt;=1,$H$582,$H$577)))</f>
        <v>2016 Q4</v>
      </c>
      <c r="I584" t="str">
        <f>IF($B$578&gt;=1,$I$578,IF($B$580&gt;=1,$I$580,IF($B$582&gt;=1,$I$582,$I$577)))</f>
        <v>2016 Q3</v>
      </c>
      <c r="J584" t="str">
        <f>IF($B$578&gt;=1,$J$578,IF($B$580&gt;=1,$J$580,IF($B$582&gt;=1,$J$582,$J$577)))</f>
        <v>2016 Q2</v>
      </c>
      <c r="K584" t="str">
        <f>IF($B$578&gt;=1,$K$578,IF($B$580&gt;=1,$K$580,IF($B$582&gt;=1,$K$582,$K$577)))</f>
        <v>2016 Q1</v>
      </c>
      <c r="L584" t="str">
        <f>IF($B$578&gt;=1,$L$578,IF($B$580&gt;=1,$L$580,IF($B$582&gt;=1,$L$582,$L$577)))</f>
        <v>2015 Q4</v>
      </c>
      <c r="M584" t="str">
        <f>IF($B$578&gt;=1,$M$578,IF($B$580&gt;=1,$M$580,IF($B$582&gt;=1,$M$582,$M$577)))</f>
        <v>2015 Q3</v>
      </c>
      <c r="N584" t="str">
        <f>IF($B$578&gt;=1,$N$578,IF($B$580&gt;=1,$N$580,IF($B$582&gt;=1,$N$582,$N$577)))</f>
        <v>2015 Q2</v>
      </c>
      <c r="O584" t="str">
        <f>IF($B$578&gt;=1,$O$578,IF($B$580&gt;=1,$O$580,IF($B$582&gt;=1,$O$582,$O$577)))</f>
        <v>2015 Q1</v>
      </c>
      <c r="P584" t="str">
        <f>IF($B$578&gt;=1,$P$578,IF($B$580&gt;=1,$P$580,IF($B$582&gt;=1,$P$582,$P$577)))</f>
        <v>2014 Q4</v>
      </c>
      <c r="Q584" t="str">
        <f>IF($B$578&gt;=1,$Q$578,IF($B$580&gt;=1,$Q$580,IF($B$582&gt;=1,$Q$582,$Q$577)))</f>
        <v>2014 Q3</v>
      </c>
      <c r="R584" t="str">
        <f>IF($B$578&gt;=1,$R$578,IF($B$580&gt;=1,$R$580,IF($B$582&gt;=1,$R$582,$R$577)))</f>
        <v>2014 Q2</v>
      </c>
      <c r="S584" t="str">
        <f>IF($B$578&gt;=1,$S$578,IF($B$580&gt;=1,$S$580,IF($B$582&gt;=1,$S$582,$S$577)))</f>
        <v>2014 Q1</v>
      </c>
      <c r="T584" t="str">
        <f>IF($B$578&gt;=1,$T$578,IF($B$580&gt;=1,$T$580,IF($B$582&gt;=1,$T$582,$T$577)))</f>
        <v>2013 Q4</v>
      </c>
      <c r="U584" t="str">
        <f>IF($B$578&gt;=1,$U$578,IF($B$580&gt;=1,$U$580,IF($B$582&gt;=1,$U$582,$U$577)))</f>
        <v>2013 Q3</v>
      </c>
      <c r="V584" t="str">
        <f>IF($B$578&gt;=1,$V$578,IF($B$580&gt;=1,$V$580,IF($B$582&gt;=1,$V$582,$V$577)))</f>
        <v>2013 Q2</v>
      </c>
      <c r="W584" t="str">
        <f>IF($B$578&gt;=1,$W$578,IF($B$580&gt;=1,$W$580,IF($B$582&gt;=1,$W$582,$W$577)))</f>
        <v>2013 Q1</v>
      </c>
      <c r="X584" t="str">
        <f>IF($B$578&gt;=1,$X$578,IF($B$580&gt;=1,$X$580,IF($B$582&gt;=1,$X$582,$X$577)))</f>
        <v>2012 Q4</v>
      </c>
      <c r="Y584" t="str">
        <f>IF($B$578&gt;=1,$Y$578,IF($B$580&gt;=1,$Y$580,IF($B$582&gt;=1,$Y$582,$Y$577)))</f>
        <v>2012 Q3</v>
      </c>
      <c r="Z584" t="str">
        <f>IF($B$578&gt;=1,$Z$578,IF($B$580&gt;=1,$Z$580,IF($B$582&gt;=1,$Z$582,$Z$577)))</f>
        <v>2012 Q2</v>
      </c>
      <c r="AA584" t="str">
        <f>IF($B$578&gt;=1,$AA$578,IF($B$580&gt;=1,$AA$580,IF($B$582&gt;=1,$AA$582,$AA$577)))</f>
        <v>2012 Q1</v>
      </c>
      <c r="AB584" t="str">
        <f>IF($B$578&gt;=1,$AB$578,IF($B$580&gt;=1,$AB$580,IF($B$582&gt;=1,$AB$582,$AB$577)))</f>
        <v>2011 Q4</v>
      </c>
      <c r="AC584" t="str">
        <f>IF($B$578&gt;=1,$AC$578,IF($B$580&gt;=1,$AC$580,IF($B$582&gt;=1,$AC$582,$AC$577)))</f>
        <v>2011 Q3</v>
      </c>
      <c r="AD584" t="str">
        <f>IF($B$578&gt;=1,$AD$578,IF($B$580&gt;=1,$AD$580,IF($B$582&gt;=1,$AD$582,$AD$577)))</f>
        <v>2011 Q2</v>
      </c>
      <c r="AE584" t="str">
        <f>IF($B$578&gt;=1,$AE$578,IF($B$580&gt;=1,$AE$580,IF($B$582&gt;=1,$AE$582,$AE$577)))</f>
        <v>2011 Q1</v>
      </c>
      <c r="AF584" t="str">
        <f>IF($B$578&gt;=1,$AF$578,IF($B$580&gt;=1,$AF$580,IF($B$582&gt;=1,$AF$582,$AF$577)))</f>
        <v>2010 Q4</v>
      </c>
      <c r="AG584" t="str">
        <f>IF($B$578&gt;=1,$AG$578,IF($B$580&gt;=1,$AG$580,IF($B$582&gt;=1,$AG$582,$AG$577)))</f>
        <v>2010 Q3</v>
      </c>
      <c r="AH584" t="str">
        <f>IF($B$578&gt;=1,$AH$578,IF($B$580&gt;=1,$AH$580,IF($B$582&gt;=1,$AH$582,$AH$577)))</f>
        <v>2010 Q2</v>
      </c>
      <c r="AI584" t="str">
        <f>IF($B$578&gt;=1,$AI$578,IF($B$580&gt;=1,$AI$580,IF($B$582&gt;=1,$AI$582,$AI$577)))</f>
        <v>2010 Q1</v>
      </c>
      <c r="AJ584" t="str">
        <f>IF($B$578&gt;=1,$AJ$578,IF($B$580&gt;=1,$AJ$580,IF($B$582&gt;=1,$AJ$582,$AJ$577)))</f>
        <v>2009 Q4</v>
      </c>
      <c r="AK584" t="str">
        <f>IF($B$578&gt;=1,$AK$578,IF($B$580&gt;=1,$AK$580,IF($B$582&gt;=1,$AK$582,$AK$577)))</f>
        <v>2009 Q3</v>
      </c>
      <c r="AL584" t="str">
        <f>IF($B$578&gt;=1,$AL$578,IF($B$580&gt;=1,$AL$580,IF($B$582&gt;=1,$AL$582,$AL$577)))</f>
        <v>2009 Q2</v>
      </c>
      <c r="AM584" t="str">
        <f>IF($B$578&gt;=1,$AM$578,IF($B$580&gt;=1,$AM$580,IF($B$582&gt;=1,$AM$582,$AM$577)))</f>
        <v>2009 Q1</v>
      </c>
      <c r="AN584" t="str">
        <f>IF($B$578&gt;=1,$AN$578,IF($B$580&gt;=1,$AN$580,IF($B$582&gt;=1,$AN$582,$AN$577)))</f>
        <v>2008 Q4</v>
      </c>
      <c r="AO584" t="str">
        <f>IF($B$578&gt;=1,$AO$578,IF($B$580&gt;=1,$AO$580,IF($B$582&gt;=1,$AO$582,$AO$577)))</f>
        <v>2008 Q3</v>
      </c>
      <c r="AP584" t="str">
        <f>IF($B$578&gt;=1,$AP$578,IF($B$580&gt;=1,$AP$580,IF($B$582&gt;=1,$AP$582,$AP$577)))</f>
        <v>2008 Q2</v>
      </c>
      <c r="AQ584" t="str">
        <f>IF($B$578&gt;=1,$AQ$578,IF($B$580&gt;=1,$AQ$580,IF($B$582&gt;=1,$AQ$582,$AQ$577)))</f>
        <v>2008 Q1</v>
      </c>
      <c r="AR584" t="str">
        <f>IF($B$578&gt;=1,$AR$578,IF($B$580&gt;=1,$AR$580,IF($B$582&gt;=1,$AR$582,$AR$577)))</f>
        <v>2007 Q4</v>
      </c>
      <c r="AS584" t="str">
        <f>IF($B$578&gt;=1,$AS$578,IF($B$580&gt;=1,$AS$580,IF($B$582&gt;=1,$AS$582,$AS$577)))</f>
        <v>2007 Q3</v>
      </c>
      <c r="AT584" t="str">
        <f>IF($B$578&gt;=1,$AT$578,IF($B$580&gt;=1,$AT$580,IF($B$582&gt;=1,$AT$582,$AT$577)))</f>
        <v>2007 Q2</v>
      </c>
      <c r="AU584" t="str">
        <f>IF($B$578&gt;=1,$AU$578,IF($B$580&gt;=1,$AU$580,IF($B$582&gt;=1,$AU$582,$AU$577)))</f>
        <v>2007 Q1</v>
      </c>
      <c r="AV584" t="str">
        <f>IF($B$578&gt;=1,$AV$578,IF($B$580&gt;=1,$AV$580,IF($B$582&gt;=1,$AV$582,$AV$577)))</f>
        <v>2006 Q4</v>
      </c>
      <c r="AW584" t="str">
        <f>IF($B$578&gt;=1,$AW$578,IF($B$580&gt;=1,$AW$580,IF($B$582&gt;=1,$AW$582,$AW$577)))</f>
        <v>2006 Q3</v>
      </c>
      <c r="AX584" t="str">
        <f>IF($B$578&gt;=1,$AX$578,IF($B$580&gt;=1,$AX$580,IF($B$582&gt;=1,$AX$582,$AX$577)))</f>
        <v>2006 Q2</v>
      </c>
      <c r="AY584" t="str">
        <f>IF($B$578&gt;=1,$AY$578,IF($B$580&gt;=1,$AY$580,IF($B$582&gt;=1,$AY$582,$AY$577)))</f>
        <v>2006 Q1</v>
      </c>
      <c r="AZ584" t="str">
        <f>IF($B$578&gt;=1,$AZ$578,IF($B$580&gt;=1,$AZ$580,IF($B$582&gt;=1,$AZ$582,$AZ$577)))</f>
        <v>2005 Q4</v>
      </c>
      <c r="BA584" t="str">
        <f>IF($B$578&gt;=1,$BA$578,IF($B$580&gt;=1,$BA$580,IF($B$582&gt;=1,$BA$582,$BA$577)))</f>
        <v>2005 Q3</v>
      </c>
      <c r="BB584" t="str">
        <f>IF($B$578&gt;=1,$BB$578,IF($B$580&gt;=1,$BB$580,IF($B$582&gt;=1,$BB$582,$BB$577)))</f>
        <v>2005 Q2</v>
      </c>
      <c r="BC584" t="str">
        <f>IF($B$578&gt;=1,$BC$578,IF($B$580&gt;=1,$BC$580,IF($B$582&gt;=1,$BC$582,$BC$577)))</f>
        <v>2005 Q1</v>
      </c>
      <c r="BD584" t="str">
        <f>IF($B$578&gt;=1,$BD$578,IF($B$580&gt;=1,$BD$580,IF($B$582&gt;=1,$BD$582,$BD$577)))</f>
        <v>2004 Q4</v>
      </c>
      <c r="BE584" t="str">
        <f>IF($B$578&gt;=1,$BE$578,IF($B$580&gt;=1,$BE$580,IF($B$582&gt;=1,$BE$582,$BE$577)))</f>
        <v>2004 Q3</v>
      </c>
      <c r="BF584" t="str">
        <f>IF($B$578&gt;=1,$BF$578,IF($B$580&gt;=1,$BF$580,IF($B$582&gt;=1,$BF$582,$BF$577)))</f>
        <v>2004 Q2</v>
      </c>
      <c r="BG584" t="str">
        <f>IF($B$578&gt;=1,$BG$578,IF($B$580&gt;=1,$BG$580,IF($B$582&gt;=1,$BG$582,$BG$577)))</f>
        <v>2004 Q1</v>
      </c>
      <c r="BH584" t="str">
        <f>IF($B$578&gt;=1,$BH$578,IF($B$580&gt;=1,$BH$580,IF($B$582&gt;=1,$BH$582,$BH$577)))</f>
        <v>2003 Q4</v>
      </c>
      <c r="BI584" t="str">
        <f>IF($B$578&gt;=1,$BI$578,IF($B$580&gt;=1,$BI$580,IF($B$582&gt;=1,$BI$582,$BI$577)))</f>
        <v>2003 Q3</v>
      </c>
      <c r="BJ584" t="str">
        <f>IF($B$578&gt;=1,$BJ$578,IF($B$580&gt;=1,$BJ$580,IF($B$582&gt;=1,$BJ$582,$BJ$577)))</f>
        <v>2003 Q2</v>
      </c>
      <c r="BN584" t="str">
        <f>""</f>
        <v/>
      </c>
      <c r="BO584" t="str">
        <f>""</f>
        <v/>
      </c>
      <c r="BP584" t="str">
        <f>""</f>
        <v/>
      </c>
      <c r="BQ584" t="str">
        <f>""</f>
        <v/>
      </c>
      <c r="BR584" t="str">
        <f>""</f>
        <v/>
      </c>
      <c r="BS584" t="str">
        <f>""</f>
        <v/>
      </c>
      <c r="BT584" t="str">
        <f>""</f>
        <v/>
      </c>
      <c r="BU584" t="str">
        <f>""</f>
        <v/>
      </c>
      <c r="BV584" t="str">
        <f>""</f>
        <v/>
      </c>
      <c r="BW584" t="str">
        <f>""</f>
        <v/>
      </c>
      <c r="BX584" t="str">
        <f>""</f>
        <v/>
      </c>
      <c r="BY584" t="str">
        <f>""</f>
        <v/>
      </c>
      <c r="BZ584" t="str">
        <f>""</f>
        <v/>
      </c>
      <c r="CA584" t="str">
        <f>""</f>
        <v/>
      </c>
      <c r="CB584" t="str">
        <f>""</f>
        <v/>
      </c>
      <c r="CC584" t="str">
        <f>""</f>
        <v/>
      </c>
      <c r="CD584" t="str">
        <f>""</f>
        <v/>
      </c>
      <c r="CE584" t="str">
        <f>""</f>
        <v/>
      </c>
      <c r="CF584" t="str">
        <f>""</f>
        <v/>
      </c>
      <c r="CG584" t="str">
        <f>""</f>
        <v/>
      </c>
      <c r="CH584" t="str">
        <f>""</f>
        <v/>
      </c>
      <c r="CI584" t="str">
        <f>""</f>
        <v/>
      </c>
      <c r="CJ584" t="str">
        <f>""</f>
        <v/>
      </c>
      <c r="CK584" t="str">
        <f>""</f>
        <v/>
      </c>
      <c r="CL584" t="str">
        <f>""</f>
        <v/>
      </c>
      <c r="CM584" t="str">
        <f>""</f>
        <v/>
      </c>
      <c r="CN584" t="str">
        <f>""</f>
        <v/>
      </c>
      <c r="CO584" t="str">
        <f>""</f>
        <v/>
      </c>
      <c r="CP584" t="str">
        <f>""</f>
        <v/>
      </c>
      <c r="CQ584" t="str">
        <f>""</f>
        <v/>
      </c>
      <c r="CR584" t="str">
        <f>""</f>
        <v/>
      </c>
      <c r="CS584" t="str">
        <f>""</f>
        <v/>
      </c>
      <c r="CT584" t="str">
        <f>""</f>
        <v/>
      </c>
      <c r="CU584" t="str">
        <f>""</f>
        <v/>
      </c>
      <c r="CV584" t="str">
        <f>""</f>
        <v/>
      </c>
      <c r="CW584" t="str">
        <f>""</f>
        <v/>
      </c>
      <c r="CX584" t="str">
        <f>""</f>
        <v/>
      </c>
      <c r="CY584" t="str">
        <f>""</f>
        <v/>
      </c>
      <c r="CZ584" t="str">
        <f>""</f>
        <v/>
      </c>
      <c r="DA584" t="str">
        <f>""</f>
        <v/>
      </c>
      <c r="DB584" t="str">
        <f>""</f>
        <v/>
      </c>
      <c r="DC584" t="str">
        <f>""</f>
        <v/>
      </c>
      <c r="DD584" t="str">
        <f>""</f>
        <v/>
      </c>
      <c r="DE584" t="str">
        <f>""</f>
        <v/>
      </c>
      <c r="DF584" t="str">
        <f>""</f>
        <v/>
      </c>
      <c r="DG584" t="str">
        <f>""</f>
        <v/>
      </c>
      <c r="DH584" t="str">
        <f>""</f>
        <v/>
      </c>
      <c r="DI584" t="str">
        <f>""</f>
        <v/>
      </c>
      <c r="DJ584" t="str">
        <f>""</f>
        <v/>
      </c>
      <c r="DK584" t="str">
        <f>""</f>
        <v/>
      </c>
      <c r="DL584" t="str">
        <f>""</f>
        <v/>
      </c>
      <c r="DM584" t="str">
        <f>""</f>
        <v/>
      </c>
      <c r="DN584" t="str">
        <f>""</f>
        <v/>
      </c>
      <c r="DO584" t="str">
        <f>""</f>
        <v/>
      </c>
      <c r="DP584" t="str">
        <f>""</f>
        <v/>
      </c>
      <c r="DQ584" t="str">
        <f>""</f>
        <v/>
      </c>
      <c r="DR584" t="str">
        <f>""</f>
        <v/>
      </c>
      <c r="DS584" t="str">
        <f>""</f>
        <v/>
      </c>
      <c r="DT584" t="str">
        <f>""</f>
        <v/>
      </c>
      <c r="DU584" t="str">
        <f>""</f>
        <v/>
      </c>
    </row>
    <row r="585" spans="1:125">
      <c r="A585" t="str">
        <f>"BDH snapshot title"</f>
        <v>BDH snapshot title</v>
      </c>
      <c r="B585">
        <f>$B$584</f>
        <v>2</v>
      </c>
      <c r="C585" t="str">
        <f>IF(LEN($C$584)&lt;&gt;8,$C$584,RIGHT($C$584,4)&amp;" "&amp;MID($C$584,3,1)&amp;LEFT($C$584,1))</f>
        <v>2018 Q1</v>
      </c>
      <c r="D585" t="str">
        <f>IF(LEN($D$584)&lt;&gt;8,$D$584,RIGHT($D$584,4)&amp;" "&amp;MID($D$584,3,1)&amp;LEFT($D$584,1))</f>
        <v>2017 Q4</v>
      </c>
      <c r="E585" t="str">
        <f>IF(LEN($E$584)&lt;&gt;8,$E$584,RIGHT($E$584,4)&amp;" "&amp;MID($E$584,3,1)&amp;LEFT($E$584,1))</f>
        <v>2017 Q3</v>
      </c>
      <c r="F585" t="str">
        <f>IF(LEN($F$584)&lt;&gt;8,$F$584,RIGHT($F$584,4)&amp;" "&amp;MID($F$584,3,1)&amp;LEFT($F$584,1))</f>
        <v>2017 Q2</v>
      </c>
      <c r="G585" t="str">
        <f>IF(LEN($G$584)&lt;&gt;8,$G$584,RIGHT($G$584,4)&amp;" "&amp;MID($G$584,3,1)&amp;LEFT($G$584,1))</f>
        <v>2017 Q1</v>
      </c>
      <c r="H585" t="str">
        <f>IF(LEN($H$584)&lt;&gt;8,$H$584,RIGHT($H$584,4)&amp;" "&amp;MID($H$584,3,1)&amp;LEFT($H$584,1))</f>
        <v>2016 Q4</v>
      </c>
      <c r="I585" t="str">
        <f>IF(LEN($I$584)&lt;&gt;8,$I$584,RIGHT($I$584,4)&amp;" "&amp;MID($I$584,3,1)&amp;LEFT($I$584,1))</f>
        <v>2016 Q3</v>
      </c>
      <c r="J585" t="str">
        <f>IF(LEN($J$584)&lt;&gt;8,$J$584,RIGHT($J$584,4)&amp;" "&amp;MID($J$584,3,1)&amp;LEFT($J$584,1))</f>
        <v>2016 Q2</v>
      </c>
      <c r="K585" t="str">
        <f>IF(LEN($K$584)&lt;&gt;8,$K$584,RIGHT($K$584,4)&amp;" "&amp;MID($K$584,3,1)&amp;LEFT($K$584,1))</f>
        <v>2016 Q1</v>
      </c>
      <c r="L585" t="str">
        <f>IF(LEN($L$584)&lt;&gt;8,$L$584,RIGHT($L$584,4)&amp;" "&amp;MID($L$584,3,1)&amp;LEFT($L$584,1))</f>
        <v>2015 Q4</v>
      </c>
      <c r="M585" t="str">
        <f>IF(LEN($M$584)&lt;&gt;8,$M$584,RIGHT($M$584,4)&amp;" "&amp;MID($M$584,3,1)&amp;LEFT($M$584,1))</f>
        <v>2015 Q3</v>
      </c>
      <c r="N585" t="str">
        <f>IF(LEN($N$584)&lt;&gt;8,$N$584,RIGHT($N$584,4)&amp;" "&amp;MID($N$584,3,1)&amp;LEFT($N$584,1))</f>
        <v>2015 Q2</v>
      </c>
      <c r="O585" t="str">
        <f>IF(LEN($O$584)&lt;&gt;8,$O$584,RIGHT($O$584,4)&amp;" "&amp;MID($O$584,3,1)&amp;LEFT($O$584,1))</f>
        <v>2015 Q1</v>
      </c>
      <c r="P585" t="str">
        <f>IF(LEN($P$584)&lt;&gt;8,$P$584,RIGHT($P$584,4)&amp;" "&amp;MID($P$584,3,1)&amp;LEFT($P$584,1))</f>
        <v>2014 Q4</v>
      </c>
      <c r="Q585" t="str">
        <f>IF(LEN($Q$584)&lt;&gt;8,$Q$584,RIGHT($Q$584,4)&amp;" "&amp;MID($Q$584,3,1)&amp;LEFT($Q$584,1))</f>
        <v>2014 Q3</v>
      </c>
      <c r="R585" t="str">
        <f>IF(LEN($R$584)&lt;&gt;8,$R$584,RIGHT($R$584,4)&amp;" "&amp;MID($R$584,3,1)&amp;LEFT($R$584,1))</f>
        <v>2014 Q2</v>
      </c>
      <c r="S585" t="str">
        <f>IF(LEN($S$584)&lt;&gt;8,$S$584,RIGHT($S$584,4)&amp;" "&amp;MID($S$584,3,1)&amp;LEFT($S$584,1))</f>
        <v>2014 Q1</v>
      </c>
      <c r="T585" t="str">
        <f>IF(LEN($T$584)&lt;&gt;8,$T$584,RIGHT($T$584,4)&amp;" "&amp;MID($T$584,3,1)&amp;LEFT($T$584,1))</f>
        <v>2013 Q4</v>
      </c>
      <c r="U585" t="str">
        <f>IF(LEN($U$584)&lt;&gt;8,$U$584,RIGHT($U$584,4)&amp;" "&amp;MID($U$584,3,1)&amp;LEFT($U$584,1))</f>
        <v>2013 Q3</v>
      </c>
      <c r="V585" t="str">
        <f>IF(LEN($V$584)&lt;&gt;8,$V$584,RIGHT($V$584,4)&amp;" "&amp;MID($V$584,3,1)&amp;LEFT($V$584,1))</f>
        <v>2013 Q2</v>
      </c>
      <c r="W585" t="str">
        <f>IF(LEN($W$584)&lt;&gt;8,$W$584,RIGHT($W$584,4)&amp;" "&amp;MID($W$584,3,1)&amp;LEFT($W$584,1))</f>
        <v>2013 Q1</v>
      </c>
      <c r="X585" t="str">
        <f>IF(LEN($X$584)&lt;&gt;8,$X$584,RIGHT($X$584,4)&amp;" "&amp;MID($X$584,3,1)&amp;LEFT($X$584,1))</f>
        <v>2012 Q4</v>
      </c>
      <c r="Y585" t="str">
        <f>IF(LEN($Y$584)&lt;&gt;8,$Y$584,RIGHT($Y$584,4)&amp;" "&amp;MID($Y$584,3,1)&amp;LEFT($Y$584,1))</f>
        <v>2012 Q3</v>
      </c>
      <c r="Z585" t="str">
        <f>IF(LEN($Z$584)&lt;&gt;8,$Z$584,RIGHT($Z$584,4)&amp;" "&amp;MID($Z$584,3,1)&amp;LEFT($Z$584,1))</f>
        <v>2012 Q2</v>
      </c>
      <c r="AA585" t="str">
        <f>IF(LEN($AA$584)&lt;&gt;8,$AA$584,RIGHT($AA$584,4)&amp;" "&amp;MID($AA$584,3,1)&amp;LEFT($AA$584,1))</f>
        <v>2012 Q1</v>
      </c>
      <c r="AB585" t="str">
        <f>IF(LEN($AB$584)&lt;&gt;8,$AB$584,RIGHT($AB$584,4)&amp;" "&amp;MID($AB$584,3,1)&amp;LEFT($AB$584,1))</f>
        <v>2011 Q4</v>
      </c>
      <c r="AC585" t="str">
        <f>IF(LEN($AC$584)&lt;&gt;8,$AC$584,RIGHT($AC$584,4)&amp;" "&amp;MID($AC$584,3,1)&amp;LEFT($AC$584,1))</f>
        <v>2011 Q3</v>
      </c>
      <c r="AD585" t="str">
        <f>IF(LEN($AD$584)&lt;&gt;8,$AD$584,RIGHT($AD$584,4)&amp;" "&amp;MID($AD$584,3,1)&amp;LEFT($AD$584,1))</f>
        <v>2011 Q2</v>
      </c>
      <c r="AE585" t="str">
        <f>IF(LEN($AE$584)&lt;&gt;8,$AE$584,RIGHT($AE$584,4)&amp;" "&amp;MID($AE$584,3,1)&amp;LEFT($AE$584,1))</f>
        <v>2011 Q1</v>
      </c>
      <c r="AF585" t="str">
        <f>IF(LEN($AF$584)&lt;&gt;8,$AF$584,RIGHT($AF$584,4)&amp;" "&amp;MID($AF$584,3,1)&amp;LEFT($AF$584,1))</f>
        <v>2010 Q4</v>
      </c>
      <c r="AG585" t="str">
        <f>IF(LEN($AG$584)&lt;&gt;8,$AG$584,RIGHT($AG$584,4)&amp;" "&amp;MID($AG$584,3,1)&amp;LEFT($AG$584,1))</f>
        <v>2010 Q3</v>
      </c>
      <c r="AH585" t="str">
        <f>IF(LEN($AH$584)&lt;&gt;8,$AH$584,RIGHT($AH$584,4)&amp;" "&amp;MID($AH$584,3,1)&amp;LEFT($AH$584,1))</f>
        <v>2010 Q2</v>
      </c>
      <c r="AI585" t="str">
        <f>IF(LEN($AI$584)&lt;&gt;8,$AI$584,RIGHT($AI$584,4)&amp;" "&amp;MID($AI$584,3,1)&amp;LEFT($AI$584,1))</f>
        <v>2010 Q1</v>
      </c>
      <c r="AJ585" t="str">
        <f>IF(LEN($AJ$584)&lt;&gt;8,$AJ$584,RIGHT($AJ$584,4)&amp;" "&amp;MID($AJ$584,3,1)&amp;LEFT($AJ$584,1))</f>
        <v>2009 Q4</v>
      </c>
      <c r="AK585" t="str">
        <f>IF(LEN($AK$584)&lt;&gt;8,$AK$584,RIGHT($AK$584,4)&amp;" "&amp;MID($AK$584,3,1)&amp;LEFT($AK$584,1))</f>
        <v>2009 Q3</v>
      </c>
      <c r="AL585" t="str">
        <f>IF(LEN($AL$584)&lt;&gt;8,$AL$584,RIGHT($AL$584,4)&amp;" "&amp;MID($AL$584,3,1)&amp;LEFT($AL$584,1))</f>
        <v>2009 Q2</v>
      </c>
      <c r="AM585" t="str">
        <f>IF(LEN($AM$584)&lt;&gt;8,$AM$584,RIGHT($AM$584,4)&amp;" "&amp;MID($AM$584,3,1)&amp;LEFT($AM$584,1))</f>
        <v>2009 Q1</v>
      </c>
      <c r="AN585" t="str">
        <f>IF(LEN($AN$584)&lt;&gt;8,$AN$584,RIGHT($AN$584,4)&amp;" "&amp;MID($AN$584,3,1)&amp;LEFT($AN$584,1))</f>
        <v>2008 Q4</v>
      </c>
      <c r="AO585" t="str">
        <f>IF(LEN($AO$584)&lt;&gt;8,$AO$584,RIGHT($AO$584,4)&amp;" "&amp;MID($AO$584,3,1)&amp;LEFT($AO$584,1))</f>
        <v>2008 Q3</v>
      </c>
      <c r="AP585" t="str">
        <f>IF(LEN($AP$584)&lt;&gt;8,$AP$584,RIGHT($AP$584,4)&amp;" "&amp;MID($AP$584,3,1)&amp;LEFT($AP$584,1))</f>
        <v>2008 Q2</v>
      </c>
      <c r="AQ585" t="str">
        <f>IF(LEN($AQ$584)&lt;&gt;8,$AQ$584,RIGHT($AQ$584,4)&amp;" "&amp;MID($AQ$584,3,1)&amp;LEFT($AQ$584,1))</f>
        <v>2008 Q1</v>
      </c>
      <c r="AR585" t="str">
        <f>IF(LEN($AR$584)&lt;&gt;8,$AR$584,RIGHT($AR$584,4)&amp;" "&amp;MID($AR$584,3,1)&amp;LEFT($AR$584,1))</f>
        <v>2007 Q4</v>
      </c>
      <c r="AS585" t="str">
        <f>IF(LEN($AS$584)&lt;&gt;8,$AS$584,RIGHT($AS$584,4)&amp;" "&amp;MID($AS$584,3,1)&amp;LEFT($AS$584,1))</f>
        <v>2007 Q3</v>
      </c>
      <c r="AT585" t="str">
        <f>IF(LEN($AT$584)&lt;&gt;8,$AT$584,RIGHT($AT$584,4)&amp;" "&amp;MID($AT$584,3,1)&amp;LEFT($AT$584,1))</f>
        <v>2007 Q2</v>
      </c>
      <c r="AU585" t="str">
        <f>IF(LEN($AU$584)&lt;&gt;8,$AU$584,RIGHT($AU$584,4)&amp;" "&amp;MID($AU$584,3,1)&amp;LEFT($AU$584,1))</f>
        <v>2007 Q1</v>
      </c>
      <c r="AV585" t="str">
        <f>IF(LEN($AV$584)&lt;&gt;8,$AV$584,RIGHT($AV$584,4)&amp;" "&amp;MID($AV$584,3,1)&amp;LEFT($AV$584,1))</f>
        <v>2006 Q4</v>
      </c>
      <c r="AW585" t="str">
        <f>IF(LEN($AW$584)&lt;&gt;8,$AW$584,RIGHT($AW$584,4)&amp;" "&amp;MID($AW$584,3,1)&amp;LEFT($AW$584,1))</f>
        <v>2006 Q3</v>
      </c>
      <c r="AX585" t="str">
        <f>IF(LEN($AX$584)&lt;&gt;8,$AX$584,RIGHT($AX$584,4)&amp;" "&amp;MID($AX$584,3,1)&amp;LEFT($AX$584,1))</f>
        <v>2006 Q2</v>
      </c>
      <c r="AY585" t="str">
        <f>IF(LEN($AY$584)&lt;&gt;8,$AY$584,RIGHT($AY$584,4)&amp;" "&amp;MID($AY$584,3,1)&amp;LEFT($AY$584,1))</f>
        <v>2006 Q1</v>
      </c>
      <c r="AZ585" t="str">
        <f>IF(LEN($AZ$584)&lt;&gt;8,$AZ$584,RIGHT($AZ$584,4)&amp;" "&amp;MID($AZ$584,3,1)&amp;LEFT($AZ$584,1))</f>
        <v>2005 Q4</v>
      </c>
      <c r="BA585" t="str">
        <f>IF(LEN($BA$584)&lt;&gt;8,$BA$584,RIGHT($BA$584,4)&amp;" "&amp;MID($BA$584,3,1)&amp;LEFT($BA$584,1))</f>
        <v>2005 Q3</v>
      </c>
      <c r="BB585" t="str">
        <f>IF(LEN($BB$584)&lt;&gt;8,$BB$584,RIGHT($BB$584,4)&amp;" "&amp;MID($BB$584,3,1)&amp;LEFT($BB$584,1))</f>
        <v>2005 Q2</v>
      </c>
      <c r="BC585" t="str">
        <f>IF(LEN($BC$584)&lt;&gt;8,$BC$584,RIGHT($BC$584,4)&amp;" "&amp;MID($BC$584,3,1)&amp;LEFT($BC$584,1))</f>
        <v>2005 Q1</v>
      </c>
      <c r="BD585" t="str">
        <f>IF(LEN($BD$584)&lt;&gt;8,$BD$584,RIGHT($BD$584,4)&amp;" "&amp;MID($BD$584,3,1)&amp;LEFT($BD$584,1))</f>
        <v>2004 Q4</v>
      </c>
      <c r="BE585" t="str">
        <f>IF(LEN($BE$584)&lt;&gt;8,$BE$584,RIGHT($BE$584,4)&amp;" "&amp;MID($BE$584,3,1)&amp;LEFT($BE$584,1))</f>
        <v>2004 Q3</v>
      </c>
      <c r="BF585" t="str">
        <f>IF(LEN($BF$584)&lt;&gt;8,$BF$584,RIGHT($BF$584,4)&amp;" "&amp;MID($BF$584,3,1)&amp;LEFT($BF$584,1))</f>
        <v>2004 Q2</v>
      </c>
      <c r="BG585" t="str">
        <f>IF(LEN($BG$584)&lt;&gt;8,$BG$584,RIGHT($BG$584,4)&amp;" "&amp;MID($BG$584,3,1)&amp;LEFT($BG$584,1))</f>
        <v>2004 Q1</v>
      </c>
      <c r="BH585" t="str">
        <f>IF(LEN($BH$584)&lt;&gt;8,$BH$584,RIGHT($BH$584,4)&amp;" "&amp;MID($BH$584,3,1)&amp;LEFT($BH$584,1))</f>
        <v>2003 Q4</v>
      </c>
      <c r="BI585" t="str">
        <f>IF(LEN($BI$584)&lt;&gt;8,$BI$584,RIGHT($BI$584,4)&amp;" "&amp;MID($BI$584,3,1)&amp;LEFT($BI$584,1))</f>
        <v>2003 Q3</v>
      </c>
      <c r="BJ585" t="str">
        <f>IF(LEN($BJ$584)&lt;&gt;8,$BJ$584,RIGHT($BJ$584,4)&amp;" "&amp;MID($BJ$584,3,1)&amp;LEFT($BJ$584,1))</f>
        <v>2003 Q2</v>
      </c>
      <c r="BN585" t="str">
        <f>""</f>
        <v/>
      </c>
      <c r="BO585" t="str">
        <f>""</f>
        <v/>
      </c>
      <c r="BP585" t="str">
        <f>""</f>
        <v/>
      </c>
      <c r="BQ585" t="str">
        <f>""</f>
        <v/>
      </c>
      <c r="BR585" t="str">
        <f>""</f>
        <v/>
      </c>
      <c r="BS585" t="str">
        <f>""</f>
        <v/>
      </c>
      <c r="BT585" t="str">
        <f>""</f>
        <v/>
      </c>
      <c r="BU585" t="str">
        <f>""</f>
        <v/>
      </c>
      <c r="BV585" t="str">
        <f>""</f>
        <v/>
      </c>
      <c r="BW585" t="str">
        <f>""</f>
        <v/>
      </c>
      <c r="BX585" t="str">
        <f>""</f>
        <v/>
      </c>
      <c r="BY585" t="str">
        <f>""</f>
        <v/>
      </c>
      <c r="BZ585" t="str">
        <f>""</f>
        <v/>
      </c>
      <c r="CA585" t="str">
        <f>""</f>
        <v/>
      </c>
      <c r="CB585" t="str">
        <f>""</f>
        <v/>
      </c>
      <c r="CC585" t="str">
        <f>""</f>
        <v/>
      </c>
      <c r="CD585" t="str">
        <f>""</f>
        <v/>
      </c>
      <c r="CE585" t="str">
        <f>""</f>
        <v/>
      </c>
      <c r="CF585" t="str">
        <f>""</f>
        <v/>
      </c>
      <c r="CG585" t="str">
        <f>""</f>
        <v/>
      </c>
      <c r="CH585" t="str">
        <f>""</f>
        <v/>
      </c>
      <c r="CI585" t="str">
        <f>""</f>
        <v/>
      </c>
      <c r="CJ585" t="str">
        <f>""</f>
        <v/>
      </c>
      <c r="CK585" t="str">
        <f>""</f>
        <v/>
      </c>
      <c r="CL585" t="str">
        <f>""</f>
        <v/>
      </c>
      <c r="CM585" t="str">
        <f>""</f>
        <v/>
      </c>
      <c r="CN585" t="str">
        <f>""</f>
        <v/>
      </c>
      <c r="CO585" t="str">
        <f>""</f>
        <v/>
      </c>
      <c r="CP585" t="str">
        <f>""</f>
        <v/>
      </c>
      <c r="CQ585" t="str">
        <f>""</f>
        <v/>
      </c>
      <c r="CR585" t="str">
        <f>""</f>
        <v/>
      </c>
      <c r="CS585" t="str">
        <f>""</f>
        <v/>
      </c>
      <c r="CT585" t="str">
        <f>""</f>
        <v/>
      </c>
      <c r="CU585" t="str">
        <f>""</f>
        <v/>
      </c>
      <c r="CV585" t="str">
        <f>""</f>
        <v/>
      </c>
      <c r="CW585" t="str">
        <f>""</f>
        <v/>
      </c>
      <c r="CX585" t="str">
        <f>""</f>
        <v/>
      </c>
      <c r="CY585" t="str">
        <f>""</f>
        <v/>
      </c>
      <c r="CZ585" t="str">
        <f>""</f>
        <v/>
      </c>
      <c r="DA585" t="str">
        <f>""</f>
        <v/>
      </c>
      <c r="DB585" t="str">
        <f>""</f>
        <v/>
      </c>
      <c r="DC585" t="str">
        <f>""</f>
        <v/>
      </c>
      <c r="DD585" t="str">
        <f>""</f>
        <v/>
      </c>
      <c r="DE585" t="str">
        <f>""</f>
        <v/>
      </c>
      <c r="DF585" t="str">
        <f>""</f>
        <v/>
      </c>
      <c r="DG585" t="str">
        <f>""</f>
        <v/>
      </c>
      <c r="DH585" t="str">
        <f>""</f>
        <v/>
      </c>
      <c r="DI585" t="str">
        <f>""</f>
        <v/>
      </c>
      <c r="DJ585" t="str">
        <f>""</f>
        <v/>
      </c>
      <c r="DK585" t="str">
        <f>""</f>
        <v/>
      </c>
      <c r="DL585" t="str">
        <f>""</f>
        <v/>
      </c>
      <c r="DM585" t="str">
        <f>""</f>
        <v/>
      </c>
      <c r="DN585" t="str">
        <f>""</f>
        <v/>
      </c>
      <c r="DO585" t="str">
        <f>""</f>
        <v/>
      </c>
      <c r="DP585" t="str">
        <f>""</f>
        <v/>
      </c>
      <c r="DQ585" t="str">
        <f>""</f>
        <v/>
      </c>
      <c r="DR585" t="str">
        <f>""</f>
        <v/>
      </c>
      <c r="DS585" t="str">
        <f>""</f>
        <v/>
      </c>
      <c r="DT585" t="str">
        <f>""</f>
        <v/>
      </c>
      <c r="DU585" t="str">
        <f>""</f>
        <v/>
      </c>
    </row>
    <row r="586" spans="1:125">
      <c r="A586" t="str">
        <f>"BDH dynamic header0"</f>
        <v>BDH dynamic header0</v>
      </c>
      <c r="B586">
        <f ca="1">IF(OR(ISERROR($C$586),ISBLANK($C$586),ISNUMBER(SEARCH("N/A",$C$586) ),ISERROR($C$587),ISBLANK($C$587)),0,1)</f>
        <v>0</v>
      </c>
      <c r="C586" t="str">
        <f ca="1">BDH($B$296,$C$296,$B$292,$B$293,"PER=CQ","Dts=S","DtFmt=FI", "rows=2","Dir=H","Points=60","Sort=R","Days=A","Fill=B","FX=USD" )</f>
        <v>#N/A Authorization</v>
      </c>
      <c r="BN586" t="str">
        <f>""</f>
        <v/>
      </c>
      <c r="BO586" t="str">
        <f>""</f>
        <v/>
      </c>
      <c r="BP586" t="str">
        <f>""</f>
        <v/>
      </c>
      <c r="BQ586" t="str">
        <f>""</f>
        <v/>
      </c>
      <c r="BR586" t="str">
        <f>""</f>
        <v/>
      </c>
      <c r="BS586" t="str">
        <f>""</f>
        <v/>
      </c>
      <c r="BT586" t="str">
        <f>""</f>
        <v/>
      </c>
      <c r="BU586" t="str">
        <f>""</f>
        <v/>
      </c>
      <c r="BV586" t="str">
        <f>""</f>
        <v/>
      </c>
      <c r="BW586" t="str">
        <f>""</f>
        <v/>
      </c>
      <c r="BX586" t="str">
        <f>""</f>
        <v/>
      </c>
      <c r="BY586" t="str">
        <f>""</f>
        <v/>
      </c>
      <c r="BZ586" t="str">
        <f>""</f>
        <v/>
      </c>
      <c r="CA586" t="str">
        <f>""</f>
        <v/>
      </c>
      <c r="CB586" t="str">
        <f>""</f>
        <v/>
      </c>
      <c r="CC586" t="str">
        <f>""</f>
        <v/>
      </c>
      <c r="CD586" t="str">
        <f>""</f>
        <v/>
      </c>
      <c r="CE586" t="str">
        <f>""</f>
        <v/>
      </c>
      <c r="CF586" t="str">
        <f>""</f>
        <v/>
      </c>
      <c r="CG586" t="str">
        <f>""</f>
        <v/>
      </c>
      <c r="CH586" t="str">
        <f>""</f>
        <v/>
      </c>
      <c r="CI586" t="str">
        <f>""</f>
        <v/>
      </c>
      <c r="CJ586" t="str">
        <f>""</f>
        <v/>
      </c>
      <c r="CK586" t="str">
        <f>""</f>
        <v/>
      </c>
      <c r="CL586" t="str">
        <f>""</f>
        <v/>
      </c>
      <c r="CM586" t="str">
        <f>""</f>
        <v/>
      </c>
      <c r="CN586" t="str">
        <f>""</f>
        <v/>
      </c>
      <c r="CO586" t="str">
        <f>""</f>
        <v/>
      </c>
      <c r="CP586" t="str">
        <f>""</f>
        <v/>
      </c>
      <c r="CQ586" t="str">
        <f>""</f>
        <v/>
      </c>
      <c r="CR586" t="str">
        <f>""</f>
        <v/>
      </c>
      <c r="CS586" t="str">
        <f>""</f>
        <v/>
      </c>
      <c r="CT586" t="str">
        <f>""</f>
        <v/>
      </c>
      <c r="CU586" t="str">
        <f>""</f>
        <v/>
      </c>
      <c r="CV586" t="str">
        <f>""</f>
        <v/>
      </c>
      <c r="CW586" t="str">
        <f>""</f>
        <v/>
      </c>
      <c r="CX586" t="str">
        <f>""</f>
        <v/>
      </c>
      <c r="CY586" t="str">
        <f>""</f>
        <v/>
      </c>
      <c r="CZ586" t="str">
        <f>""</f>
        <v/>
      </c>
      <c r="DA586" t="str">
        <f>""</f>
        <v/>
      </c>
      <c r="DB586" t="str">
        <f>""</f>
        <v/>
      </c>
      <c r="DC586" t="str">
        <f>""</f>
        <v/>
      </c>
      <c r="DD586" t="str">
        <f>""</f>
        <v/>
      </c>
      <c r="DE586" t="str">
        <f>""</f>
        <v/>
      </c>
      <c r="DF586" t="str">
        <f>""</f>
        <v/>
      </c>
      <c r="DG586" t="str">
        <f>""</f>
        <v/>
      </c>
      <c r="DH586" t="str">
        <f>""</f>
        <v/>
      </c>
      <c r="DI586" t="str">
        <f>""</f>
        <v/>
      </c>
      <c r="DJ586" t="str">
        <f>""</f>
        <v/>
      </c>
      <c r="DK586" t="str">
        <f>""</f>
        <v/>
      </c>
      <c r="DL586" t="str">
        <f>""</f>
        <v/>
      </c>
      <c r="DM586" t="str">
        <f>""</f>
        <v/>
      </c>
      <c r="DN586" t="str">
        <f>""</f>
        <v/>
      </c>
      <c r="DO586" t="str">
        <f>""</f>
        <v/>
      </c>
      <c r="DP586" t="str">
        <f>""</f>
        <v/>
      </c>
      <c r="DQ586" t="str">
        <f>""</f>
        <v/>
      </c>
      <c r="DR586" t="str">
        <f>""</f>
        <v/>
      </c>
      <c r="DS586" t="str">
        <f>""</f>
        <v/>
      </c>
      <c r="DT586" t="str">
        <f>""</f>
        <v/>
      </c>
      <c r="DU586" t="str">
        <f>""</f>
        <v/>
      </c>
    </row>
    <row r="587" spans="1:125">
      <c r="A587" t="str">
        <f>"BDH dynamic result0"</f>
        <v>BDH dynamic result0</v>
      </c>
      <c r="BN587" t="str">
        <f>""</f>
        <v/>
      </c>
      <c r="BO587" t="str">
        <f>""</f>
        <v/>
      </c>
      <c r="BP587" t="str">
        <f>""</f>
        <v/>
      </c>
      <c r="BQ587" t="str">
        <f>""</f>
        <v/>
      </c>
      <c r="BR587" t="str">
        <f>""</f>
        <v/>
      </c>
      <c r="BS587" t="str">
        <f>""</f>
        <v/>
      </c>
      <c r="BT587" t="str">
        <f>""</f>
        <v/>
      </c>
      <c r="BU587" t="str">
        <f>""</f>
        <v/>
      </c>
      <c r="BV587" t="str">
        <f>""</f>
        <v/>
      </c>
      <c r="BW587" t="str">
        <f>""</f>
        <v/>
      </c>
      <c r="BX587" t="str">
        <f>""</f>
        <v/>
      </c>
      <c r="BY587" t="str">
        <f>""</f>
        <v/>
      </c>
      <c r="BZ587" t="str">
        <f>""</f>
        <v/>
      </c>
      <c r="CA587" t="str">
        <f>""</f>
        <v/>
      </c>
      <c r="CB587" t="str">
        <f>""</f>
        <v/>
      </c>
      <c r="CC587" t="str">
        <f>""</f>
        <v/>
      </c>
      <c r="CD587" t="str">
        <f>""</f>
        <v/>
      </c>
      <c r="CE587" t="str">
        <f>""</f>
        <v/>
      </c>
      <c r="CF587" t="str">
        <f>""</f>
        <v/>
      </c>
      <c r="CG587" t="str">
        <f>""</f>
        <v/>
      </c>
      <c r="CH587" t="str">
        <f>""</f>
        <v/>
      </c>
      <c r="CI587" t="str">
        <f>""</f>
        <v/>
      </c>
      <c r="CJ587" t="str">
        <f>""</f>
        <v/>
      </c>
      <c r="CK587" t="str">
        <f>""</f>
        <v/>
      </c>
      <c r="CL587" t="str">
        <f>""</f>
        <v/>
      </c>
      <c r="CM587" t="str">
        <f>""</f>
        <v/>
      </c>
      <c r="CN587" t="str">
        <f>""</f>
        <v/>
      </c>
      <c r="CO587" t="str">
        <f>""</f>
        <v/>
      </c>
      <c r="CP587" t="str">
        <f>""</f>
        <v/>
      </c>
      <c r="CQ587" t="str">
        <f>""</f>
        <v/>
      </c>
      <c r="CR587" t="str">
        <f>""</f>
        <v/>
      </c>
      <c r="CS587" t="str">
        <f>""</f>
        <v/>
      </c>
      <c r="CT587" t="str">
        <f>""</f>
        <v/>
      </c>
      <c r="CU587" t="str">
        <f>""</f>
        <v/>
      </c>
      <c r="CV587" t="str">
        <f>""</f>
        <v/>
      </c>
      <c r="CW587" t="str">
        <f>""</f>
        <v/>
      </c>
      <c r="CX587" t="str">
        <f>""</f>
        <v/>
      </c>
      <c r="CY587" t="str">
        <f>""</f>
        <v/>
      </c>
      <c r="CZ587" t="str">
        <f>""</f>
        <v/>
      </c>
      <c r="DA587" t="str">
        <f>""</f>
        <v/>
      </c>
      <c r="DB587" t="str">
        <f>""</f>
        <v/>
      </c>
      <c r="DC587" t="str">
        <f>""</f>
        <v/>
      </c>
      <c r="DD587" t="str">
        <f>""</f>
        <v/>
      </c>
      <c r="DE587" t="str">
        <f>""</f>
        <v/>
      </c>
      <c r="DF587" t="str">
        <f>""</f>
        <v/>
      </c>
      <c r="DG587" t="str">
        <f>""</f>
        <v/>
      </c>
      <c r="DH587" t="str">
        <f>""</f>
        <v/>
      </c>
      <c r="DI587" t="str">
        <f>""</f>
        <v/>
      </c>
      <c r="DJ587" t="str">
        <f>""</f>
        <v/>
      </c>
      <c r="DK587" t="str">
        <f>""</f>
        <v/>
      </c>
      <c r="DL587" t="str">
        <f>""</f>
        <v/>
      </c>
      <c r="DM587" t="str">
        <f>""</f>
        <v/>
      </c>
      <c r="DN587" t="str">
        <f>""</f>
        <v/>
      </c>
      <c r="DO587" t="str">
        <f>""</f>
        <v/>
      </c>
      <c r="DP587" t="str">
        <f>""</f>
        <v/>
      </c>
      <c r="DQ587" t="str">
        <f>""</f>
        <v/>
      </c>
      <c r="DR587" t="str">
        <f>""</f>
        <v/>
      </c>
      <c r="DS587" t="str">
        <f>""</f>
        <v/>
      </c>
      <c r="DT587" t="str">
        <f>""</f>
        <v/>
      </c>
      <c r="DU587" t="str">
        <f>""</f>
        <v/>
      </c>
    </row>
    <row r="588" spans="1:125">
      <c r="A588" t="str">
        <f>"BDH dynamic header1"</f>
        <v>BDH dynamic header1</v>
      </c>
      <c r="B588">
        <f ca="1">IF(OR(ISERROR($C$588),ISBLANK($C$588),ISNUMBER(SEARCH("N/A",$C$588) ),ISERROR($C$589),ISBLANK($C$589)),0,1)</f>
        <v>0</v>
      </c>
      <c r="C588" t="str">
        <f ca="1">BDH($B$297,$C$297,$B$292,$B$293,"PER=CQ","Dts=S","DtFmt=FI", "rows=2","Dir=H","Points=60","Sort=R","Days=A","Fill=B","FX=USD" )</f>
        <v>#N/A Authorization</v>
      </c>
      <c r="BN588" t="str">
        <f>""</f>
        <v/>
      </c>
      <c r="BO588" t="str">
        <f>""</f>
        <v/>
      </c>
      <c r="BP588" t="str">
        <f>""</f>
        <v/>
      </c>
      <c r="BQ588" t="str">
        <f>""</f>
        <v/>
      </c>
      <c r="BR588" t="str">
        <f>""</f>
        <v/>
      </c>
      <c r="BS588" t="str">
        <f>""</f>
        <v/>
      </c>
      <c r="BT588" t="str">
        <f>""</f>
        <v/>
      </c>
      <c r="BU588" t="str">
        <f>""</f>
        <v/>
      </c>
      <c r="BV588" t="str">
        <f>""</f>
        <v/>
      </c>
      <c r="BW588" t="str">
        <f>""</f>
        <v/>
      </c>
      <c r="BX588" t="str">
        <f>""</f>
        <v/>
      </c>
      <c r="BY588" t="str">
        <f>""</f>
        <v/>
      </c>
      <c r="BZ588" t="str">
        <f>""</f>
        <v/>
      </c>
      <c r="CA588" t="str">
        <f>""</f>
        <v/>
      </c>
      <c r="CB588" t="str">
        <f>""</f>
        <v/>
      </c>
      <c r="CC588" t="str">
        <f>""</f>
        <v/>
      </c>
      <c r="CD588" t="str">
        <f>""</f>
        <v/>
      </c>
      <c r="CE588" t="str">
        <f>""</f>
        <v/>
      </c>
      <c r="CF588" t="str">
        <f>""</f>
        <v/>
      </c>
      <c r="CG588" t="str">
        <f>""</f>
        <v/>
      </c>
      <c r="CH588" t="str">
        <f>""</f>
        <v/>
      </c>
      <c r="CI588" t="str">
        <f>""</f>
        <v/>
      </c>
      <c r="CJ588" t="str">
        <f>""</f>
        <v/>
      </c>
      <c r="CK588" t="str">
        <f>""</f>
        <v/>
      </c>
      <c r="CL588" t="str">
        <f>""</f>
        <v/>
      </c>
      <c r="CM588" t="str">
        <f>""</f>
        <v/>
      </c>
      <c r="CN588" t="str">
        <f>""</f>
        <v/>
      </c>
      <c r="CO588" t="str">
        <f>""</f>
        <v/>
      </c>
      <c r="CP588" t="str">
        <f>""</f>
        <v/>
      </c>
      <c r="CQ588" t="str">
        <f>""</f>
        <v/>
      </c>
      <c r="CR588" t="str">
        <f>""</f>
        <v/>
      </c>
      <c r="CS588" t="str">
        <f>""</f>
        <v/>
      </c>
      <c r="CT588" t="str">
        <f>""</f>
        <v/>
      </c>
      <c r="CU588" t="str">
        <f>""</f>
        <v/>
      </c>
      <c r="CV588" t="str">
        <f>""</f>
        <v/>
      </c>
      <c r="CW588" t="str">
        <f>""</f>
        <v/>
      </c>
      <c r="CX588" t="str">
        <f>""</f>
        <v/>
      </c>
      <c r="CY588" t="str">
        <f>""</f>
        <v/>
      </c>
      <c r="CZ588" t="str">
        <f>""</f>
        <v/>
      </c>
      <c r="DA588" t="str">
        <f>""</f>
        <v/>
      </c>
      <c r="DB588" t="str">
        <f>""</f>
        <v/>
      </c>
      <c r="DC588" t="str">
        <f>""</f>
        <v/>
      </c>
      <c r="DD588" t="str">
        <f>""</f>
        <v/>
      </c>
      <c r="DE588" t="str">
        <f>""</f>
        <v/>
      </c>
      <c r="DF588" t="str">
        <f>""</f>
        <v/>
      </c>
      <c r="DG588" t="str">
        <f>""</f>
        <v/>
      </c>
      <c r="DH588" t="str">
        <f>""</f>
        <v/>
      </c>
      <c r="DI588" t="str">
        <f>""</f>
        <v/>
      </c>
      <c r="DJ588" t="str">
        <f>""</f>
        <v/>
      </c>
      <c r="DK588" t="str">
        <f>""</f>
        <v/>
      </c>
      <c r="DL588" t="str">
        <f>""</f>
        <v/>
      </c>
      <c r="DM588" t="str">
        <f>""</f>
        <v/>
      </c>
      <c r="DN588" t="str">
        <f>""</f>
        <v/>
      </c>
      <c r="DO588" t="str">
        <f>""</f>
        <v/>
      </c>
      <c r="DP588" t="str">
        <f>""</f>
        <v/>
      </c>
      <c r="DQ588" t="str">
        <f>""</f>
        <v/>
      </c>
      <c r="DR588" t="str">
        <f>""</f>
        <v/>
      </c>
      <c r="DS588" t="str">
        <f>""</f>
        <v/>
      </c>
      <c r="DT588" t="str">
        <f>""</f>
        <v/>
      </c>
      <c r="DU588" t="str">
        <f>""</f>
        <v/>
      </c>
    </row>
    <row r="589" spans="1:125">
      <c r="A589" t="str">
        <f>"BDH dynamic result1"</f>
        <v>BDH dynamic result1</v>
      </c>
      <c r="BN589" t="str">
        <f>""</f>
        <v/>
      </c>
      <c r="BO589" t="str">
        <f>""</f>
        <v/>
      </c>
      <c r="BP589" t="str">
        <f>""</f>
        <v/>
      </c>
      <c r="BQ589" t="str">
        <f>""</f>
        <v/>
      </c>
      <c r="BR589" t="str">
        <f>""</f>
        <v/>
      </c>
      <c r="BS589" t="str">
        <f>""</f>
        <v/>
      </c>
      <c r="BT589" t="str">
        <f>""</f>
        <v/>
      </c>
      <c r="BU589" t="str">
        <f>""</f>
        <v/>
      </c>
      <c r="BV589" t="str">
        <f>""</f>
        <v/>
      </c>
      <c r="BW589" t="str">
        <f>""</f>
        <v/>
      </c>
      <c r="BX589" t="str">
        <f>""</f>
        <v/>
      </c>
      <c r="BY589" t="str">
        <f>""</f>
        <v/>
      </c>
      <c r="BZ589" t="str">
        <f>""</f>
        <v/>
      </c>
      <c r="CA589" t="str">
        <f>""</f>
        <v/>
      </c>
      <c r="CB589" t="str">
        <f>""</f>
        <v/>
      </c>
      <c r="CC589" t="str">
        <f>""</f>
        <v/>
      </c>
      <c r="CD589" t="str">
        <f>""</f>
        <v/>
      </c>
      <c r="CE589" t="str">
        <f>""</f>
        <v/>
      </c>
      <c r="CF589" t="str">
        <f>""</f>
        <v/>
      </c>
      <c r="CG589" t="str">
        <f>""</f>
        <v/>
      </c>
      <c r="CH589" t="str">
        <f>""</f>
        <v/>
      </c>
      <c r="CI589" t="str">
        <f>""</f>
        <v/>
      </c>
      <c r="CJ589" t="str">
        <f>""</f>
        <v/>
      </c>
      <c r="CK589" t="str">
        <f>""</f>
        <v/>
      </c>
      <c r="CL589" t="str">
        <f>""</f>
        <v/>
      </c>
      <c r="CM589" t="str">
        <f>""</f>
        <v/>
      </c>
      <c r="CN589" t="str">
        <f>""</f>
        <v/>
      </c>
      <c r="CO589" t="str">
        <f>""</f>
        <v/>
      </c>
      <c r="CP589" t="str">
        <f>""</f>
        <v/>
      </c>
      <c r="CQ589" t="str">
        <f>""</f>
        <v/>
      </c>
      <c r="CR589" t="str">
        <f>""</f>
        <v/>
      </c>
      <c r="CS589" t="str">
        <f>""</f>
        <v/>
      </c>
      <c r="CT589" t="str">
        <f>""</f>
        <v/>
      </c>
      <c r="CU589" t="str">
        <f>""</f>
        <v/>
      </c>
      <c r="CV589" t="str">
        <f>""</f>
        <v/>
      </c>
      <c r="CW589" t="str">
        <f>""</f>
        <v/>
      </c>
      <c r="CX589" t="str">
        <f>""</f>
        <v/>
      </c>
      <c r="CY589" t="str">
        <f>""</f>
        <v/>
      </c>
      <c r="CZ589" t="str">
        <f>""</f>
        <v/>
      </c>
      <c r="DA589" t="str">
        <f>""</f>
        <v/>
      </c>
      <c r="DB589" t="str">
        <f>""</f>
        <v/>
      </c>
      <c r="DC589" t="str">
        <f>""</f>
        <v/>
      </c>
      <c r="DD589" t="str">
        <f>""</f>
        <v/>
      </c>
      <c r="DE589" t="str">
        <f>""</f>
        <v/>
      </c>
      <c r="DF589" t="str">
        <f>""</f>
        <v/>
      </c>
      <c r="DG589" t="str">
        <f>""</f>
        <v/>
      </c>
      <c r="DH589" t="str">
        <f>""</f>
        <v/>
      </c>
      <c r="DI589" t="str">
        <f>""</f>
        <v/>
      </c>
      <c r="DJ589" t="str">
        <f>""</f>
        <v/>
      </c>
      <c r="DK589" t="str">
        <f>""</f>
        <v/>
      </c>
      <c r="DL589" t="str">
        <f>""</f>
        <v/>
      </c>
      <c r="DM589" t="str">
        <f>""</f>
        <v/>
      </c>
      <c r="DN589" t="str">
        <f>""</f>
        <v/>
      </c>
      <c r="DO589" t="str">
        <f>""</f>
        <v/>
      </c>
      <c r="DP589" t="str">
        <f>""</f>
        <v/>
      </c>
      <c r="DQ589" t="str">
        <f>""</f>
        <v/>
      </c>
      <c r="DR589" t="str">
        <f>""</f>
        <v/>
      </c>
      <c r="DS589" t="str">
        <f>""</f>
        <v/>
      </c>
      <c r="DT589" t="str">
        <f>""</f>
        <v/>
      </c>
      <c r="DU589" t="str">
        <f>""</f>
        <v/>
      </c>
    </row>
    <row r="590" spans="1:125">
      <c r="A590" t="str">
        <f>"BDH dynamic header2"</f>
        <v>BDH dynamic header2</v>
      </c>
      <c r="B590">
        <f ca="1">IF(OR(ISERROR($C$590),ISBLANK($C$590),ISNUMBER(SEARCH("N/A",$C$590) ),ISERROR($C$591),ISBLANK($C$591)),0,1)</f>
        <v>0</v>
      </c>
      <c r="C590" t="str">
        <f ca="1">BDH($B$298,$C$298,$B$292,$B$293,"PER=CQ","Dts=S","DtFmt=FI", "rows=2","Dir=H","Points=60","Sort=R","Days=A","Fill=B","FX=USD" )</f>
        <v>#N/A Authorization</v>
      </c>
      <c r="BN590" t="str">
        <f>""</f>
        <v/>
      </c>
      <c r="BO590" t="str">
        <f>""</f>
        <v/>
      </c>
      <c r="BP590" t="str">
        <f>""</f>
        <v/>
      </c>
      <c r="BQ590" t="str">
        <f>""</f>
        <v/>
      </c>
      <c r="BR590" t="str">
        <f>""</f>
        <v/>
      </c>
      <c r="BS590" t="str">
        <f>""</f>
        <v/>
      </c>
      <c r="BT590" t="str">
        <f>""</f>
        <v/>
      </c>
      <c r="BU590" t="str">
        <f>""</f>
        <v/>
      </c>
      <c r="BV590" t="str">
        <f>""</f>
        <v/>
      </c>
      <c r="BW590" t="str">
        <f>""</f>
        <v/>
      </c>
      <c r="BX590" t="str">
        <f>""</f>
        <v/>
      </c>
      <c r="BY590" t="str">
        <f>""</f>
        <v/>
      </c>
      <c r="BZ590" t="str">
        <f>""</f>
        <v/>
      </c>
      <c r="CA590" t="str">
        <f>""</f>
        <v/>
      </c>
      <c r="CB590" t="str">
        <f>""</f>
        <v/>
      </c>
      <c r="CC590" t="str">
        <f>""</f>
        <v/>
      </c>
      <c r="CD590" t="str">
        <f>""</f>
        <v/>
      </c>
      <c r="CE590" t="str">
        <f>""</f>
        <v/>
      </c>
      <c r="CF590" t="str">
        <f>""</f>
        <v/>
      </c>
      <c r="CG590" t="str">
        <f>""</f>
        <v/>
      </c>
      <c r="CH590" t="str">
        <f>""</f>
        <v/>
      </c>
      <c r="CI590" t="str">
        <f>""</f>
        <v/>
      </c>
      <c r="CJ590" t="str">
        <f>""</f>
        <v/>
      </c>
      <c r="CK590" t="str">
        <f>""</f>
        <v/>
      </c>
      <c r="CL590" t="str">
        <f>""</f>
        <v/>
      </c>
      <c r="CM590" t="str">
        <f>""</f>
        <v/>
      </c>
      <c r="CN590" t="str">
        <f>""</f>
        <v/>
      </c>
      <c r="CO590" t="str">
        <f>""</f>
        <v/>
      </c>
      <c r="CP590" t="str">
        <f>""</f>
        <v/>
      </c>
      <c r="CQ590" t="str">
        <f>""</f>
        <v/>
      </c>
      <c r="CR590" t="str">
        <f>""</f>
        <v/>
      </c>
      <c r="CS590" t="str">
        <f>""</f>
        <v/>
      </c>
      <c r="CT590" t="str">
        <f>""</f>
        <v/>
      </c>
      <c r="CU590" t="str">
        <f>""</f>
        <v/>
      </c>
      <c r="CV590" t="str">
        <f>""</f>
        <v/>
      </c>
      <c r="CW590" t="str">
        <f>""</f>
        <v/>
      </c>
      <c r="CX590" t="str">
        <f>""</f>
        <v/>
      </c>
      <c r="CY590" t="str">
        <f>""</f>
        <v/>
      </c>
      <c r="CZ590" t="str">
        <f>""</f>
        <v/>
      </c>
      <c r="DA590" t="str">
        <f>""</f>
        <v/>
      </c>
      <c r="DB590" t="str">
        <f>""</f>
        <v/>
      </c>
      <c r="DC590" t="str">
        <f>""</f>
        <v/>
      </c>
      <c r="DD590" t="str">
        <f>""</f>
        <v/>
      </c>
      <c r="DE590" t="str">
        <f>""</f>
        <v/>
      </c>
      <c r="DF590" t="str">
        <f>""</f>
        <v/>
      </c>
      <c r="DG590" t="str">
        <f>""</f>
        <v/>
      </c>
      <c r="DH590" t="str">
        <f>""</f>
        <v/>
      </c>
      <c r="DI590" t="str">
        <f>""</f>
        <v/>
      </c>
      <c r="DJ590" t="str">
        <f>""</f>
        <v/>
      </c>
      <c r="DK590" t="str">
        <f>""</f>
        <v/>
      </c>
      <c r="DL590" t="str">
        <f>""</f>
        <v/>
      </c>
      <c r="DM590" t="str">
        <f>""</f>
        <v/>
      </c>
      <c r="DN590" t="str">
        <f>""</f>
        <v/>
      </c>
      <c r="DO590" t="str">
        <f>""</f>
        <v/>
      </c>
      <c r="DP590" t="str">
        <f>""</f>
        <v/>
      </c>
      <c r="DQ590" t="str">
        <f>""</f>
        <v/>
      </c>
      <c r="DR590" t="str">
        <f>""</f>
        <v/>
      </c>
      <c r="DS590" t="str">
        <f>""</f>
        <v/>
      </c>
      <c r="DT590" t="str">
        <f>""</f>
        <v/>
      </c>
      <c r="DU590" t="str">
        <f>""</f>
        <v/>
      </c>
    </row>
    <row r="591" spans="1:125">
      <c r="A591" t="str">
        <f>"BDH dynamic result2"</f>
        <v>BDH dynamic result2</v>
      </c>
      <c r="BN591" t="str">
        <f>""</f>
        <v/>
      </c>
      <c r="BO591" t="str">
        <f>""</f>
        <v/>
      </c>
      <c r="BP591" t="str">
        <f>""</f>
        <v/>
      </c>
      <c r="BQ591" t="str">
        <f>""</f>
        <v/>
      </c>
      <c r="BR591" t="str">
        <f>""</f>
        <v/>
      </c>
      <c r="BS591" t="str">
        <f>""</f>
        <v/>
      </c>
      <c r="BT591" t="str">
        <f>""</f>
        <v/>
      </c>
      <c r="BU591" t="str">
        <f>""</f>
        <v/>
      </c>
      <c r="BV591" t="str">
        <f>""</f>
        <v/>
      </c>
      <c r="BW591" t="str">
        <f>""</f>
        <v/>
      </c>
      <c r="BX591" t="str">
        <f>""</f>
        <v/>
      </c>
      <c r="BY591" t="str">
        <f>""</f>
        <v/>
      </c>
      <c r="BZ591" t="str">
        <f>""</f>
        <v/>
      </c>
      <c r="CA591" t="str">
        <f>""</f>
        <v/>
      </c>
      <c r="CB591" t="str">
        <f>""</f>
        <v/>
      </c>
      <c r="CC591" t="str">
        <f>""</f>
        <v/>
      </c>
      <c r="CD591" t="str">
        <f>""</f>
        <v/>
      </c>
      <c r="CE591" t="str">
        <f>""</f>
        <v/>
      </c>
      <c r="CF591" t="str">
        <f>""</f>
        <v/>
      </c>
      <c r="CG591" t="str">
        <f>""</f>
        <v/>
      </c>
      <c r="CH591" t="str">
        <f>""</f>
        <v/>
      </c>
      <c r="CI591" t="str">
        <f>""</f>
        <v/>
      </c>
      <c r="CJ591" t="str">
        <f>""</f>
        <v/>
      </c>
      <c r="CK591" t="str">
        <f>""</f>
        <v/>
      </c>
      <c r="CL591" t="str">
        <f>""</f>
        <v/>
      </c>
      <c r="CM591" t="str">
        <f>""</f>
        <v/>
      </c>
      <c r="CN591" t="str">
        <f>""</f>
        <v/>
      </c>
      <c r="CO591" t="str">
        <f>""</f>
        <v/>
      </c>
      <c r="CP591" t="str">
        <f>""</f>
        <v/>
      </c>
      <c r="CQ591" t="str">
        <f>""</f>
        <v/>
      </c>
      <c r="CR591" t="str">
        <f>""</f>
        <v/>
      </c>
      <c r="CS591" t="str">
        <f>""</f>
        <v/>
      </c>
      <c r="CT591" t="str">
        <f>""</f>
        <v/>
      </c>
      <c r="CU591" t="str">
        <f>""</f>
        <v/>
      </c>
      <c r="CV591" t="str">
        <f>""</f>
        <v/>
      </c>
      <c r="CW591" t="str">
        <f>""</f>
        <v/>
      </c>
      <c r="CX591" t="str">
        <f>""</f>
        <v/>
      </c>
      <c r="CY591" t="str">
        <f>""</f>
        <v/>
      </c>
      <c r="CZ591" t="str">
        <f>""</f>
        <v/>
      </c>
      <c r="DA591" t="str">
        <f>""</f>
        <v/>
      </c>
      <c r="DB591" t="str">
        <f>""</f>
        <v/>
      </c>
      <c r="DC591" t="str">
        <f>""</f>
        <v/>
      </c>
      <c r="DD591" t="str">
        <f>""</f>
        <v/>
      </c>
      <c r="DE591" t="str">
        <f>""</f>
        <v/>
      </c>
      <c r="DF591" t="str">
        <f>""</f>
        <v/>
      </c>
      <c r="DG591" t="str">
        <f>""</f>
        <v/>
      </c>
      <c r="DH591" t="str">
        <f>""</f>
        <v/>
      </c>
      <c r="DI591" t="str">
        <f>""</f>
        <v/>
      </c>
      <c r="DJ591" t="str">
        <f>""</f>
        <v/>
      </c>
      <c r="DK591" t="str">
        <f>""</f>
        <v/>
      </c>
      <c r="DL591" t="str">
        <f>""</f>
        <v/>
      </c>
      <c r="DM591" t="str">
        <f>""</f>
        <v/>
      </c>
      <c r="DN591" t="str">
        <f>""</f>
        <v/>
      </c>
      <c r="DO591" t="str">
        <f>""</f>
        <v/>
      </c>
      <c r="DP591" t="str">
        <f>""</f>
        <v/>
      </c>
      <c r="DQ591" t="str">
        <f>""</f>
        <v/>
      </c>
      <c r="DR591" t="str">
        <f>""</f>
        <v/>
      </c>
      <c r="DS591" t="str">
        <f>""</f>
        <v/>
      </c>
      <c r="DT591" t="str">
        <f>""</f>
        <v/>
      </c>
      <c r="DU591" t="str">
        <f>""</f>
        <v/>
      </c>
    </row>
    <row r="592" spans="1:125">
      <c r="A592" t="str">
        <f>"BDH dynamic"</f>
        <v>BDH dynamic</v>
      </c>
      <c r="B592">
        <f ca="1">IF($B$586&gt;=1,$B$586,IF($B$588&gt;=1,$B$588,IF($B$590&gt;=1,$B$590,$B$577)))</f>
        <v>2</v>
      </c>
      <c r="C592" t="str">
        <f ca="1">IF($B$586&gt;=1,$C$586,IF($B$588&gt;=1,$C$588,IF($B$590&gt;=1,$C$590,$C$577)))</f>
        <v>2018 Q1</v>
      </c>
      <c r="D592" t="str">
        <f ca="1">IF($B$586&gt;=1,$D$586,IF($B$588&gt;=1,$D$588,IF($B$590&gt;=1,$D$590,$D$577)))</f>
        <v>2017 Q4</v>
      </c>
      <c r="E592" t="str">
        <f ca="1">IF($B$586&gt;=1,$E$586,IF($B$588&gt;=1,$E$588,IF($B$590&gt;=1,$E$590,$E$577)))</f>
        <v>2017 Q3</v>
      </c>
      <c r="F592" t="str">
        <f ca="1">IF($B$586&gt;=1,$F$586,IF($B$588&gt;=1,$F$588,IF($B$590&gt;=1,$F$590,$F$577)))</f>
        <v>2017 Q2</v>
      </c>
      <c r="G592" t="str">
        <f ca="1">IF($B$586&gt;=1,$G$586,IF($B$588&gt;=1,$G$588,IF($B$590&gt;=1,$G$590,$G$577)))</f>
        <v>2017 Q1</v>
      </c>
      <c r="H592" t="str">
        <f ca="1">IF($B$586&gt;=1,$H$586,IF($B$588&gt;=1,$H$588,IF($B$590&gt;=1,$H$590,$H$577)))</f>
        <v>2016 Q4</v>
      </c>
      <c r="I592" t="str">
        <f ca="1">IF($B$586&gt;=1,$I$586,IF($B$588&gt;=1,$I$588,IF($B$590&gt;=1,$I$590,$I$577)))</f>
        <v>2016 Q3</v>
      </c>
      <c r="J592" t="str">
        <f ca="1">IF($B$586&gt;=1,$J$586,IF($B$588&gt;=1,$J$588,IF($B$590&gt;=1,$J$590,$J$577)))</f>
        <v>2016 Q2</v>
      </c>
      <c r="K592" t="str">
        <f ca="1">IF($B$586&gt;=1,$K$586,IF($B$588&gt;=1,$K$588,IF($B$590&gt;=1,$K$590,$K$577)))</f>
        <v>2016 Q1</v>
      </c>
      <c r="L592" t="str">
        <f ca="1">IF($B$586&gt;=1,$L$586,IF($B$588&gt;=1,$L$588,IF($B$590&gt;=1,$L$590,$L$577)))</f>
        <v>2015 Q4</v>
      </c>
      <c r="M592" t="str">
        <f ca="1">IF($B$586&gt;=1,$M$586,IF($B$588&gt;=1,$M$588,IF($B$590&gt;=1,$M$590,$M$577)))</f>
        <v>2015 Q3</v>
      </c>
      <c r="N592" t="str">
        <f ca="1">IF($B$586&gt;=1,$N$586,IF($B$588&gt;=1,$N$588,IF($B$590&gt;=1,$N$590,$N$577)))</f>
        <v>2015 Q2</v>
      </c>
      <c r="O592" t="str">
        <f ca="1">IF($B$586&gt;=1,$O$586,IF($B$588&gt;=1,$O$588,IF($B$590&gt;=1,$O$590,$O$577)))</f>
        <v>2015 Q1</v>
      </c>
      <c r="P592" t="str">
        <f ca="1">IF($B$586&gt;=1,$P$586,IF($B$588&gt;=1,$P$588,IF($B$590&gt;=1,$P$590,$P$577)))</f>
        <v>2014 Q4</v>
      </c>
      <c r="Q592" t="str">
        <f ca="1">IF($B$586&gt;=1,$Q$586,IF($B$588&gt;=1,$Q$588,IF($B$590&gt;=1,$Q$590,$Q$577)))</f>
        <v>2014 Q3</v>
      </c>
      <c r="R592" t="str">
        <f ca="1">IF($B$586&gt;=1,$R$586,IF($B$588&gt;=1,$R$588,IF($B$590&gt;=1,$R$590,$R$577)))</f>
        <v>2014 Q2</v>
      </c>
      <c r="S592" t="str">
        <f ca="1">IF($B$586&gt;=1,$S$586,IF($B$588&gt;=1,$S$588,IF($B$590&gt;=1,$S$590,$S$577)))</f>
        <v>2014 Q1</v>
      </c>
      <c r="T592" t="str">
        <f ca="1">IF($B$586&gt;=1,$T$586,IF($B$588&gt;=1,$T$588,IF($B$590&gt;=1,$T$590,$T$577)))</f>
        <v>2013 Q4</v>
      </c>
      <c r="U592" t="str">
        <f ca="1">IF($B$586&gt;=1,$U$586,IF($B$588&gt;=1,$U$588,IF($B$590&gt;=1,$U$590,$U$577)))</f>
        <v>2013 Q3</v>
      </c>
      <c r="V592" t="str">
        <f ca="1">IF($B$586&gt;=1,$V$586,IF($B$588&gt;=1,$V$588,IF($B$590&gt;=1,$V$590,$V$577)))</f>
        <v>2013 Q2</v>
      </c>
      <c r="W592" t="str">
        <f ca="1">IF($B$586&gt;=1,$W$586,IF($B$588&gt;=1,$W$588,IF($B$590&gt;=1,$W$590,$W$577)))</f>
        <v>2013 Q1</v>
      </c>
      <c r="X592" t="str">
        <f ca="1">IF($B$586&gt;=1,$X$586,IF($B$588&gt;=1,$X$588,IF($B$590&gt;=1,$X$590,$X$577)))</f>
        <v>2012 Q4</v>
      </c>
      <c r="Y592" t="str">
        <f ca="1">IF($B$586&gt;=1,$Y$586,IF($B$588&gt;=1,$Y$588,IF($B$590&gt;=1,$Y$590,$Y$577)))</f>
        <v>2012 Q3</v>
      </c>
      <c r="Z592" t="str">
        <f ca="1">IF($B$586&gt;=1,$Z$586,IF($B$588&gt;=1,$Z$588,IF($B$590&gt;=1,$Z$590,$Z$577)))</f>
        <v>2012 Q2</v>
      </c>
      <c r="AA592" t="str">
        <f ca="1">IF($B$586&gt;=1,$AA$586,IF($B$588&gt;=1,$AA$588,IF($B$590&gt;=1,$AA$590,$AA$577)))</f>
        <v>2012 Q1</v>
      </c>
      <c r="AB592" t="str">
        <f ca="1">IF($B$586&gt;=1,$AB$586,IF($B$588&gt;=1,$AB$588,IF($B$590&gt;=1,$AB$590,$AB$577)))</f>
        <v>2011 Q4</v>
      </c>
      <c r="AC592" t="str">
        <f ca="1">IF($B$586&gt;=1,$AC$586,IF($B$588&gt;=1,$AC$588,IF($B$590&gt;=1,$AC$590,$AC$577)))</f>
        <v>2011 Q3</v>
      </c>
      <c r="AD592" t="str">
        <f ca="1">IF($B$586&gt;=1,$AD$586,IF($B$588&gt;=1,$AD$588,IF($B$590&gt;=1,$AD$590,$AD$577)))</f>
        <v>2011 Q2</v>
      </c>
      <c r="AE592" t="str">
        <f ca="1">IF($B$586&gt;=1,$AE$586,IF($B$588&gt;=1,$AE$588,IF($B$590&gt;=1,$AE$590,$AE$577)))</f>
        <v>2011 Q1</v>
      </c>
      <c r="AF592" t="str">
        <f ca="1">IF($B$586&gt;=1,$AF$586,IF($B$588&gt;=1,$AF$588,IF($B$590&gt;=1,$AF$590,$AF$577)))</f>
        <v>2010 Q4</v>
      </c>
      <c r="AG592" t="str">
        <f ca="1">IF($B$586&gt;=1,$AG$586,IF($B$588&gt;=1,$AG$588,IF($B$590&gt;=1,$AG$590,$AG$577)))</f>
        <v>2010 Q3</v>
      </c>
      <c r="AH592" t="str">
        <f ca="1">IF($B$586&gt;=1,$AH$586,IF($B$588&gt;=1,$AH$588,IF($B$590&gt;=1,$AH$590,$AH$577)))</f>
        <v>2010 Q2</v>
      </c>
      <c r="AI592" t="str">
        <f ca="1">IF($B$586&gt;=1,$AI$586,IF($B$588&gt;=1,$AI$588,IF($B$590&gt;=1,$AI$590,$AI$577)))</f>
        <v>2010 Q1</v>
      </c>
      <c r="AJ592" t="str">
        <f ca="1">IF($B$586&gt;=1,$AJ$586,IF($B$588&gt;=1,$AJ$588,IF($B$590&gt;=1,$AJ$590,$AJ$577)))</f>
        <v>2009 Q4</v>
      </c>
      <c r="AK592" t="str">
        <f ca="1">IF($B$586&gt;=1,$AK$586,IF($B$588&gt;=1,$AK$588,IF($B$590&gt;=1,$AK$590,$AK$577)))</f>
        <v>2009 Q3</v>
      </c>
      <c r="AL592" t="str">
        <f ca="1">IF($B$586&gt;=1,$AL$586,IF($B$588&gt;=1,$AL$588,IF($B$590&gt;=1,$AL$590,$AL$577)))</f>
        <v>2009 Q2</v>
      </c>
      <c r="AM592" t="str">
        <f ca="1">IF($B$586&gt;=1,$AM$586,IF($B$588&gt;=1,$AM$588,IF($B$590&gt;=1,$AM$590,$AM$577)))</f>
        <v>2009 Q1</v>
      </c>
      <c r="AN592" t="str">
        <f ca="1">IF($B$586&gt;=1,$AN$586,IF($B$588&gt;=1,$AN$588,IF($B$590&gt;=1,$AN$590,$AN$577)))</f>
        <v>2008 Q4</v>
      </c>
      <c r="AO592" t="str">
        <f ca="1">IF($B$586&gt;=1,$AO$586,IF($B$588&gt;=1,$AO$588,IF($B$590&gt;=1,$AO$590,$AO$577)))</f>
        <v>2008 Q3</v>
      </c>
      <c r="AP592" t="str">
        <f ca="1">IF($B$586&gt;=1,$AP$586,IF($B$588&gt;=1,$AP$588,IF($B$590&gt;=1,$AP$590,$AP$577)))</f>
        <v>2008 Q2</v>
      </c>
      <c r="AQ592" t="str">
        <f ca="1">IF($B$586&gt;=1,$AQ$586,IF($B$588&gt;=1,$AQ$588,IF($B$590&gt;=1,$AQ$590,$AQ$577)))</f>
        <v>2008 Q1</v>
      </c>
      <c r="AR592" t="str">
        <f ca="1">IF($B$586&gt;=1,$AR$586,IF($B$588&gt;=1,$AR$588,IF($B$590&gt;=1,$AR$590,$AR$577)))</f>
        <v>2007 Q4</v>
      </c>
      <c r="AS592" t="str">
        <f ca="1">IF($B$586&gt;=1,$AS$586,IF($B$588&gt;=1,$AS$588,IF($B$590&gt;=1,$AS$590,$AS$577)))</f>
        <v>2007 Q3</v>
      </c>
      <c r="AT592" t="str">
        <f ca="1">IF($B$586&gt;=1,$AT$586,IF($B$588&gt;=1,$AT$588,IF($B$590&gt;=1,$AT$590,$AT$577)))</f>
        <v>2007 Q2</v>
      </c>
      <c r="AU592" t="str">
        <f ca="1">IF($B$586&gt;=1,$AU$586,IF($B$588&gt;=1,$AU$588,IF($B$590&gt;=1,$AU$590,$AU$577)))</f>
        <v>2007 Q1</v>
      </c>
      <c r="AV592" t="str">
        <f ca="1">IF($B$586&gt;=1,$AV$586,IF($B$588&gt;=1,$AV$588,IF($B$590&gt;=1,$AV$590,$AV$577)))</f>
        <v>2006 Q4</v>
      </c>
      <c r="AW592" t="str">
        <f ca="1">IF($B$586&gt;=1,$AW$586,IF($B$588&gt;=1,$AW$588,IF($B$590&gt;=1,$AW$590,$AW$577)))</f>
        <v>2006 Q3</v>
      </c>
      <c r="AX592" t="str">
        <f ca="1">IF($B$586&gt;=1,$AX$586,IF($B$588&gt;=1,$AX$588,IF($B$590&gt;=1,$AX$590,$AX$577)))</f>
        <v>2006 Q2</v>
      </c>
      <c r="AY592" t="str">
        <f ca="1">IF($B$586&gt;=1,$AY$586,IF($B$588&gt;=1,$AY$588,IF($B$590&gt;=1,$AY$590,$AY$577)))</f>
        <v>2006 Q1</v>
      </c>
      <c r="AZ592" t="str">
        <f ca="1">IF($B$586&gt;=1,$AZ$586,IF($B$588&gt;=1,$AZ$588,IF($B$590&gt;=1,$AZ$590,$AZ$577)))</f>
        <v>2005 Q4</v>
      </c>
      <c r="BA592" t="str">
        <f ca="1">IF($B$586&gt;=1,$BA$586,IF($B$588&gt;=1,$BA$588,IF($B$590&gt;=1,$BA$590,$BA$577)))</f>
        <v>2005 Q3</v>
      </c>
      <c r="BB592" t="str">
        <f ca="1">IF($B$586&gt;=1,$BB$586,IF($B$588&gt;=1,$BB$588,IF($B$590&gt;=1,$BB$590,$BB$577)))</f>
        <v>2005 Q2</v>
      </c>
      <c r="BC592" t="str">
        <f ca="1">IF($B$586&gt;=1,$BC$586,IF($B$588&gt;=1,$BC$588,IF($B$590&gt;=1,$BC$590,$BC$577)))</f>
        <v>2005 Q1</v>
      </c>
      <c r="BD592" t="str">
        <f ca="1">IF($B$586&gt;=1,$BD$586,IF($B$588&gt;=1,$BD$588,IF($B$590&gt;=1,$BD$590,$BD$577)))</f>
        <v>2004 Q4</v>
      </c>
      <c r="BE592" t="str">
        <f ca="1">IF($B$586&gt;=1,$BE$586,IF($B$588&gt;=1,$BE$588,IF($B$590&gt;=1,$BE$590,$BE$577)))</f>
        <v>2004 Q3</v>
      </c>
      <c r="BF592" t="str">
        <f ca="1">IF($B$586&gt;=1,$BF$586,IF($B$588&gt;=1,$BF$588,IF($B$590&gt;=1,$BF$590,$BF$577)))</f>
        <v>2004 Q2</v>
      </c>
      <c r="BG592" t="str">
        <f ca="1">IF($B$586&gt;=1,$BG$586,IF($B$588&gt;=1,$BG$588,IF($B$590&gt;=1,$BG$590,$BG$577)))</f>
        <v>2004 Q1</v>
      </c>
      <c r="BH592" t="str">
        <f ca="1">IF($B$586&gt;=1,$BH$586,IF($B$588&gt;=1,$BH$588,IF($B$590&gt;=1,$BH$590,$BH$577)))</f>
        <v>2003 Q4</v>
      </c>
      <c r="BI592" t="str">
        <f ca="1">IF($B$586&gt;=1,$BI$586,IF($B$588&gt;=1,$BI$588,IF($B$590&gt;=1,$BI$590,$BI$577)))</f>
        <v>2003 Q3</v>
      </c>
      <c r="BJ592" t="str">
        <f ca="1">IF($B$586&gt;=1,$BJ$586,IF($B$588&gt;=1,$BJ$588,IF($B$590&gt;=1,$BJ$590,$BJ$577)))</f>
        <v>2003 Q2</v>
      </c>
      <c r="BN592" t="str">
        <f>""</f>
        <v/>
      </c>
      <c r="BO592" t="str">
        <f>""</f>
        <v/>
      </c>
      <c r="BP592" t="str">
        <f>""</f>
        <v/>
      </c>
      <c r="BQ592" t="str">
        <f>""</f>
        <v/>
      </c>
      <c r="BR592" t="str">
        <f>""</f>
        <v/>
      </c>
      <c r="BS592" t="str">
        <f>""</f>
        <v/>
      </c>
      <c r="BT592" t="str">
        <f>""</f>
        <v/>
      </c>
      <c r="BU592" t="str">
        <f>""</f>
        <v/>
      </c>
      <c r="BV592" t="str">
        <f>""</f>
        <v/>
      </c>
      <c r="BW592" t="str">
        <f>""</f>
        <v/>
      </c>
      <c r="BX592" t="str">
        <f>""</f>
        <v/>
      </c>
      <c r="BY592" t="str">
        <f>""</f>
        <v/>
      </c>
      <c r="BZ592" t="str">
        <f>""</f>
        <v/>
      </c>
      <c r="CA592" t="str">
        <f>""</f>
        <v/>
      </c>
      <c r="CB592" t="str">
        <f>""</f>
        <v/>
      </c>
      <c r="CC592" t="str">
        <f>""</f>
        <v/>
      </c>
      <c r="CD592" t="str">
        <f>""</f>
        <v/>
      </c>
      <c r="CE592" t="str">
        <f>""</f>
        <v/>
      </c>
      <c r="CF592" t="str">
        <f>""</f>
        <v/>
      </c>
      <c r="CG592" t="str">
        <f>""</f>
        <v/>
      </c>
      <c r="CH592" t="str">
        <f>""</f>
        <v/>
      </c>
      <c r="CI592" t="str">
        <f>""</f>
        <v/>
      </c>
      <c r="CJ592" t="str">
        <f>""</f>
        <v/>
      </c>
      <c r="CK592" t="str">
        <f>""</f>
        <v/>
      </c>
      <c r="CL592" t="str">
        <f>""</f>
        <v/>
      </c>
      <c r="CM592" t="str">
        <f>""</f>
        <v/>
      </c>
      <c r="CN592" t="str">
        <f>""</f>
        <v/>
      </c>
      <c r="CO592" t="str">
        <f>""</f>
        <v/>
      </c>
      <c r="CP592" t="str">
        <f>""</f>
        <v/>
      </c>
      <c r="CQ592" t="str">
        <f>""</f>
        <v/>
      </c>
      <c r="CR592" t="str">
        <f>""</f>
        <v/>
      </c>
      <c r="CS592" t="str">
        <f>""</f>
        <v/>
      </c>
      <c r="CT592" t="str">
        <f>""</f>
        <v/>
      </c>
      <c r="CU592" t="str">
        <f>""</f>
        <v/>
      </c>
      <c r="CV592" t="str">
        <f>""</f>
        <v/>
      </c>
      <c r="CW592" t="str">
        <f>""</f>
        <v/>
      </c>
      <c r="CX592" t="str">
        <f>""</f>
        <v/>
      </c>
      <c r="CY592" t="str">
        <f>""</f>
        <v/>
      </c>
      <c r="CZ592" t="str">
        <f>""</f>
        <v/>
      </c>
      <c r="DA592" t="str">
        <f>""</f>
        <v/>
      </c>
      <c r="DB592" t="str">
        <f>""</f>
        <v/>
      </c>
      <c r="DC592" t="str">
        <f>""</f>
        <v/>
      </c>
      <c r="DD592" t="str">
        <f>""</f>
        <v/>
      </c>
      <c r="DE592" t="str">
        <f>""</f>
        <v/>
      </c>
      <c r="DF592" t="str">
        <f>""</f>
        <v/>
      </c>
      <c r="DG592" t="str">
        <f>""</f>
        <v/>
      </c>
      <c r="DH592" t="str">
        <f>""</f>
        <v/>
      </c>
      <c r="DI592" t="str">
        <f>""</f>
        <v/>
      </c>
      <c r="DJ592" t="str">
        <f>""</f>
        <v/>
      </c>
      <c r="DK592" t="str">
        <f>""</f>
        <v/>
      </c>
      <c r="DL592" t="str">
        <f>""</f>
        <v/>
      </c>
      <c r="DM592" t="str">
        <f>""</f>
        <v/>
      </c>
      <c r="DN592" t="str">
        <f>""</f>
        <v/>
      </c>
      <c r="DO592" t="str">
        <f>""</f>
        <v/>
      </c>
      <c r="DP592" t="str">
        <f>""</f>
        <v/>
      </c>
      <c r="DQ592" t="str">
        <f>""</f>
        <v/>
      </c>
      <c r="DR592" t="str">
        <f>""</f>
        <v/>
      </c>
      <c r="DS592" t="str">
        <f>""</f>
        <v/>
      </c>
      <c r="DT592" t="str">
        <f>""</f>
        <v/>
      </c>
      <c r="DU592" t="str">
        <f>""</f>
        <v/>
      </c>
    </row>
    <row r="593" spans="1:125">
      <c r="A593" t="str">
        <f>"BDH dynamic title"</f>
        <v>BDH dynamic title</v>
      </c>
      <c r="B593">
        <f ca="1">$B$592</f>
        <v>2</v>
      </c>
      <c r="C593" t="str">
        <f ca="1">IF(LEN($C$592)&lt;&gt;8,$C$592,RIGHT($C$592,4)&amp;" "&amp;MID($C$592,3,1)&amp;LEFT($C$592,1))</f>
        <v>2018 Q1</v>
      </c>
      <c r="D593" t="str">
        <f ca="1">IF(LEN($D$592)&lt;&gt;8,$D$592,RIGHT($D$592,4)&amp;" "&amp;MID($D$592,3,1)&amp;LEFT($D$592,1))</f>
        <v>2017 Q4</v>
      </c>
      <c r="E593" t="str">
        <f ca="1">IF(LEN($E$592)&lt;&gt;8,$E$592,RIGHT($E$592,4)&amp;" "&amp;MID($E$592,3,1)&amp;LEFT($E$592,1))</f>
        <v>2017 Q3</v>
      </c>
      <c r="F593" t="str">
        <f ca="1">IF(LEN($F$592)&lt;&gt;8,$F$592,RIGHT($F$592,4)&amp;" "&amp;MID($F$592,3,1)&amp;LEFT($F$592,1))</f>
        <v>2017 Q2</v>
      </c>
      <c r="G593" t="str">
        <f ca="1">IF(LEN($G$592)&lt;&gt;8,$G$592,RIGHT($G$592,4)&amp;" "&amp;MID($G$592,3,1)&amp;LEFT($G$592,1))</f>
        <v>2017 Q1</v>
      </c>
      <c r="H593" t="str">
        <f ca="1">IF(LEN($H$592)&lt;&gt;8,$H$592,RIGHT($H$592,4)&amp;" "&amp;MID($H$592,3,1)&amp;LEFT($H$592,1))</f>
        <v>2016 Q4</v>
      </c>
      <c r="I593" t="str">
        <f ca="1">IF(LEN($I$592)&lt;&gt;8,$I$592,RIGHT($I$592,4)&amp;" "&amp;MID($I$592,3,1)&amp;LEFT($I$592,1))</f>
        <v>2016 Q3</v>
      </c>
      <c r="J593" t="str">
        <f ca="1">IF(LEN($J$592)&lt;&gt;8,$J$592,RIGHT($J$592,4)&amp;" "&amp;MID($J$592,3,1)&amp;LEFT($J$592,1))</f>
        <v>2016 Q2</v>
      </c>
      <c r="K593" t="str">
        <f ca="1">IF(LEN($K$592)&lt;&gt;8,$K$592,RIGHT($K$592,4)&amp;" "&amp;MID($K$592,3,1)&amp;LEFT($K$592,1))</f>
        <v>2016 Q1</v>
      </c>
      <c r="L593" t="str">
        <f ca="1">IF(LEN($L$592)&lt;&gt;8,$L$592,RIGHT($L$592,4)&amp;" "&amp;MID($L$592,3,1)&amp;LEFT($L$592,1))</f>
        <v>2015 Q4</v>
      </c>
      <c r="M593" t="str">
        <f ca="1">IF(LEN($M$592)&lt;&gt;8,$M$592,RIGHT($M$592,4)&amp;" "&amp;MID($M$592,3,1)&amp;LEFT($M$592,1))</f>
        <v>2015 Q3</v>
      </c>
      <c r="N593" t="str">
        <f ca="1">IF(LEN($N$592)&lt;&gt;8,$N$592,RIGHT($N$592,4)&amp;" "&amp;MID($N$592,3,1)&amp;LEFT($N$592,1))</f>
        <v>2015 Q2</v>
      </c>
      <c r="O593" t="str">
        <f ca="1">IF(LEN($O$592)&lt;&gt;8,$O$592,RIGHT($O$592,4)&amp;" "&amp;MID($O$592,3,1)&amp;LEFT($O$592,1))</f>
        <v>2015 Q1</v>
      </c>
      <c r="P593" t="str">
        <f ca="1">IF(LEN($P$592)&lt;&gt;8,$P$592,RIGHT($P$592,4)&amp;" "&amp;MID($P$592,3,1)&amp;LEFT($P$592,1))</f>
        <v>2014 Q4</v>
      </c>
      <c r="Q593" t="str">
        <f ca="1">IF(LEN($Q$592)&lt;&gt;8,$Q$592,RIGHT($Q$592,4)&amp;" "&amp;MID($Q$592,3,1)&amp;LEFT($Q$592,1))</f>
        <v>2014 Q3</v>
      </c>
      <c r="R593" t="str">
        <f ca="1">IF(LEN($R$592)&lt;&gt;8,$R$592,RIGHT($R$592,4)&amp;" "&amp;MID($R$592,3,1)&amp;LEFT($R$592,1))</f>
        <v>2014 Q2</v>
      </c>
      <c r="S593" t="str">
        <f ca="1">IF(LEN($S$592)&lt;&gt;8,$S$592,RIGHT($S$592,4)&amp;" "&amp;MID($S$592,3,1)&amp;LEFT($S$592,1))</f>
        <v>2014 Q1</v>
      </c>
      <c r="T593" t="str">
        <f ca="1">IF(LEN($T$592)&lt;&gt;8,$T$592,RIGHT($T$592,4)&amp;" "&amp;MID($T$592,3,1)&amp;LEFT($T$592,1))</f>
        <v>2013 Q4</v>
      </c>
      <c r="U593" t="str">
        <f ca="1">IF(LEN($U$592)&lt;&gt;8,$U$592,RIGHT($U$592,4)&amp;" "&amp;MID($U$592,3,1)&amp;LEFT($U$592,1))</f>
        <v>2013 Q3</v>
      </c>
      <c r="V593" t="str">
        <f ca="1">IF(LEN($V$592)&lt;&gt;8,$V$592,RIGHT($V$592,4)&amp;" "&amp;MID($V$592,3,1)&amp;LEFT($V$592,1))</f>
        <v>2013 Q2</v>
      </c>
      <c r="W593" t="str">
        <f ca="1">IF(LEN($W$592)&lt;&gt;8,$W$592,RIGHT($W$592,4)&amp;" "&amp;MID($W$592,3,1)&amp;LEFT($W$592,1))</f>
        <v>2013 Q1</v>
      </c>
      <c r="X593" t="str">
        <f ca="1">IF(LEN($X$592)&lt;&gt;8,$X$592,RIGHT($X$592,4)&amp;" "&amp;MID($X$592,3,1)&amp;LEFT($X$592,1))</f>
        <v>2012 Q4</v>
      </c>
      <c r="Y593" t="str">
        <f ca="1">IF(LEN($Y$592)&lt;&gt;8,$Y$592,RIGHT($Y$592,4)&amp;" "&amp;MID($Y$592,3,1)&amp;LEFT($Y$592,1))</f>
        <v>2012 Q3</v>
      </c>
      <c r="Z593" t="str">
        <f ca="1">IF(LEN($Z$592)&lt;&gt;8,$Z$592,RIGHT($Z$592,4)&amp;" "&amp;MID($Z$592,3,1)&amp;LEFT($Z$592,1))</f>
        <v>2012 Q2</v>
      </c>
      <c r="AA593" t="str">
        <f ca="1">IF(LEN($AA$592)&lt;&gt;8,$AA$592,RIGHT($AA$592,4)&amp;" "&amp;MID($AA$592,3,1)&amp;LEFT($AA$592,1))</f>
        <v>2012 Q1</v>
      </c>
      <c r="AB593" t="str">
        <f ca="1">IF(LEN($AB$592)&lt;&gt;8,$AB$592,RIGHT($AB$592,4)&amp;" "&amp;MID($AB$592,3,1)&amp;LEFT($AB$592,1))</f>
        <v>2011 Q4</v>
      </c>
      <c r="AC593" t="str">
        <f ca="1">IF(LEN($AC$592)&lt;&gt;8,$AC$592,RIGHT($AC$592,4)&amp;" "&amp;MID($AC$592,3,1)&amp;LEFT($AC$592,1))</f>
        <v>2011 Q3</v>
      </c>
      <c r="AD593" t="str">
        <f ca="1">IF(LEN($AD$592)&lt;&gt;8,$AD$592,RIGHT($AD$592,4)&amp;" "&amp;MID($AD$592,3,1)&amp;LEFT($AD$592,1))</f>
        <v>2011 Q2</v>
      </c>
      <c r="AE593" t="str">
        <f ca="1">IF(LEN($AE$592)&lt;&gt;8,$AE$592,RIGHT($AE$592,4)&amp;" "&amp;MID($AE$592,3,1)&amp;LEFT($AE$592,1))</f>
        <v>2011 Q1</v>
      </c>
      <c r="AF593" t="str">
        <f ca="1">IF(LEN($AF$592)&lt;&gt;8,$AF$592,RIGHT($AF$592,4)&amp;" "&amp;MID($AF$592,3,1)&amp;LEFT($AF$592,1))</f>
        <v>2010 Q4</v>
      </c>
      <c r="AG593" t="str">
        <f ca="1">IF(LEN($AG$592)&lt;&gt;8,$AG$592,RIGHT($AG$592,4)&amp;" "&amp;MID($AG$592,3,1)&amp;LEFT($AG$592,1))</f>
        <v>2010 Q3</v>
      </c>
      <c r="AH593" t="str">
        <f ca="1">IF(LEN($AH$592)&lt;&gt;8,$AH$592,RIGHT($AH$592,4)&amp;" "&amp;MID($AH$592,3,1)&amp;LEFT($AH$592,1))</f>
        <v>2010 Q2</v>
      </c>
      <c r="AI593" t="str">
        <f ca="1">IF(LEN($AI$592)&lt;&gt;8,$AI$592,RIGHT($AI$592,4)&amp;" "&amp;MID($AI$592,3,1)&amp;LEFT($AI$592,1))</f>
        <v>2010 Q1</v>
      </c>
      <c r="AJ593" t="str">
        <f ca="1">IF(LEN($AJ$592)&lt;&gt;8,$AJ$592,RIGHT($AJ$592,4)&amp;" "&amp;MID($AJ$592,3,1)&amp;LEFT($AJ$592,1))</f>
        <v>2009 Q4</v>
      </c>
      <c r="AK593" t="str">
        <f ca="1">IF(LEN($AK$592)&lt;&gt;8,$AK$592,RIGHT($AK$592,4)&amp;" "&amp;MID($AK$592,3,1)&amp;LEFT($AK$592,1))</f>
        <v>2009 Q3</v>
      </c>
      <c r="AL593" t="str">
        <f ca="1">IF(LEN($AL$592)&lt;&gt;8,$AL$592,RIGHT($AL$592,4)&amp;" "&amp;MID($AL$592,3,1)&amp;LEFT($AL$592,1))</f>
        <v>2009 Q2</v>
      </c>
      <c r="AM593" t="str">
        <f ca="1">IF(LEN($AM$592)&lt;&gt;8,$AM$592,RIGHT($AM$592,4)&amp;" "&amp;MID($AM$592,3,1)&amp;LEFT($AM$592,1))</f>
        <v>2009 Q1</v>
      </c>
      <c r="AN593" t="str">
        <f ca="1">IF(LEN($AN$592)&lt;&gt;8,$AN$592,RIGHT($AN$592,4)&amp;" "&amp;MID($AN$592,3,1)&amp;LEFT($AN$592,1))</f>
        <v>2008 Q4</v>
      </c>
      <c r="AO593" t="str">
        <f ca="1">IF(LEN($AO$592)&lt;&gt;8,$AO$592,RIGHT($AO$592,4)&amp;" "&amp;MID($AO$592,3,1)&amp;LEFT($AO$592,1))</f>
        <v>2008 Q3</v>
      </c>
      <c r="AP593" t="str">
        <f ca="1">IF(LEN($AP$592)&lt;&gt;8,$AP$592,RIGHT($AP$592,4)&amp;" "&amp;MID($AP$592,3,1)&amp;LEFT($AP$592,1))</f>
        <v>2008 Q2</v>
      </c>
      <c r="AQ593" t="str">
        <f ca="1">IF(LEN($AQ$592)&lt;&gt;8,$AQ$592,RIGHT($AQ$592,4)&amp;" "&amp;MID($AQ$592,3,1)&amp;LEFT($AQ$592,1))</f>
        <v>2008 Q1</v>
      </c>
      <c r="AR593" t="str">
        <f ca="1">IF(LEN($AR$592)&lt;&gt;8,$AR$592,RIGHT($AR$592,4)&amp;" "&amp;MID($AR$592,3,1)&amp;LEFT($AR$592,1))</f>
        <v>2007 Q4</v>
      </c>
      <c r="AS593" t="str">
        <f ca="1">IF(LEN($AS$592)&lt;&gt;8,$AS$592,RIGHT($AS$592,4)&amp;" "&amp;MID($AS$592,3,1)&amp;LEFT($AS$592,1))</f>
        <v>2007 Q3</v>
      </c>
      <c r="AT593" t="str">
        <f ca="1">IF(LEN($AT$592)&lt;&gt;8,$AT$592,RIGHT($AT$592,4)&amp;" "&amp;MID($AT$592,3,1)&amp;LEFT($AT$592,1))</f>
        <v>2007 Q2</v>
      </c>
      <c r="AU593" t="str">
        <f ca="1">IF(LEN($AU$592)&lt;&gt;8,$AU$592,RIGHT($AU$592,4)&amp;" "&amp;MID($AU$592,3,1)&amp;LEFT($AU$592,1))</f>
        <v>2007 Q1</v>
      </c>
      <c r="AV593" t="str">
        <f ca="1">IF(LEN($AV$592)&lt;&gt;8,$AV$592,RIGHT($AV$592,4)&amp;" "&amp;MID($AV$592,3,1)&amp;LEFT($AV$592,1))</f>
        <v>2006 Q4</v>
      </c>
      <c r="AW593" t="str">
        <f ca="1">IF(LEN($AW$592)&lt;&gt;8,$AW$592,RIGHT($AW$592,4)&amp;" "&amp;MID($AW$592,3,1)&amp;LEFT($AW$592,1))</f>
        <v>2006 Q3</v>
      </c>
      <c r="AX593" t="str">
        <f ca="1">IF(LEN($AX$592)&lt;&gt;8,$AX$592,RIGHT($AX$592,4)&amp;" "&amp;MID($AX$592,3,1)&amp;LEFT($AX$592,1))</f>
        <v>2006 Q2</v>
      </c>
      <c r="AY593" t="str">
        <f ca="1">IF(LEN($AY$592)&lt;&gt;8,$AY$592,RIGHT($AY$592,4)&amp;" "&amp;MID($AY$592,3,1)&amp;LEFT($AY$592,1))</f>
        <v>2006 Q1</v>
      </c>
      <c r="AZ593" t="str">
        <f ca="1">IF(LEN($AZ$592)&lt;&gt;8,$AZ$592,RIGHT($AZ$592,4)&amp;" "&amp;MID($AZ$592,3,1)&amp;LEFT($AZ$592,1))</f>
        <v>2005 Q4</v>
      </c>
      <c r="BA593" t="str">
        <f ca="1">IF(LEN($BA$592)&lt;&gt;8,$BA$592,RIGHT($BA$592,4)&amp;" "&amp;MID($BA$592,3,1)&amp;LEFT($BA$592,1))</f>
        <v>2005 Q3</v>
      </c>
      <c r="BB593" t="str">
        <f ca="1">IF(LEN($BB$592)&lt;&gt;8,$BB$592,RIGHT($BB$592,4)&amp;" "&amp;MID($BB$592,3,1)&amp;LEFT($BB$592,1))</f>
        <v>2005 Q2</v>
      </c>
      <c r="BC593" t="str">
        <f ca="1">IF(LEN($BC$592)&lt;&gt;8,$BC$592,RIGHT($BC$592,4)&amp;" "&amp;MID($BC$592,3,1)&amp;LEFT($BC$592,1))</f>
        <v>2005 Q1</v>
      </c>
      <c r="BD593" t="str">
        <f ca="1">IF(LEN($BD$592)&lt;&gt;8,$BD$592,RIGHT($BD$592,4)&amp;" "&amp;MID($BD$592,3,1)&amp;LEFT($BD$592,1))</f>
        <v>2004 Q4</v>
      </c>
      <c r="BE593" t="str">
        <f ca="1">IF(LEN($BE$592)&lt;&gt;8,$BE$592,RIGHT($BE$592,4)&amp;" "&amp;MID($BE$592,3,1)&amp;LEFT($BE$592,1))</f>
        <v>2004 Q3</v>
      </c>
      <c r="BF593" t="str">
        <f ca="1">IF(LEN($BF$592)&lt;&gt;8,$BF$592,RIGHT($BF$592,4)&amp;" "&amp;MID($BF$592,3,1)&amp;LEFT($BF$592,1))</f>
        <v>2004 Q2</v>
      </c>
      <c r="BG593" t="str">
        <f ca="1">IF(LEN($BG$592)&lt;&gt;8,$BG$592,RIGHT($BG$592,4)&amp;" "&amp;MID($BG$592,3,1)&amp;LEFT($BG$592,1))</f>
        <v>2004 Q1</v>
      </c>
      <c r="BH593" t="str">
        <f ca="1">IF(LEN($BH$592)&lt;&gt;8,$BH$592,RIGHT($BH$592,4)&amp;" "&amp;MID($BH$592,3,1)&amp;LEFT($BH$592,1))</f>
        <v>2003 Q4</v>
      </c>
      <c r="BI593" t="str">
        <f ca="1">IF(LEN($BI$592)&lt;&gt;8,$BI$592,RIGHT($BI$592,4)&amp;" "&amp;MID($BI$592,3,1)&amp;LEFT($BI$592,1))</f>
        <v>2003 Q3</v>
      </c>
      <c r="BJ593" t="str">
        <f ca="1">IF(LEN($BJ$592)&lt;&gt;8,$BJ$592,RIGHT($BJ$592,4)&amp;" "&amp;MID($BJ$592,3,1)&amp;LEFT($BJ$592,1))</f>
        <v>2003 Q2</v>
      </c>
      <c r="BN593" t="str">
        <f>""</f>
        <v/>
      </c>
      <c r="BO593" t="str">
        <f>""</f>
        <v/>
      </c>
      <c r="BP593" t="str">
        <f>""</f>
        <v/>
      </c>
      <c r="BQ593" t="str">
        <f>""</f>
        <v/>
      </c>
      <c r="BR593" t="str">
        <f>""</f>
        <v/>
      </c>
      <c r="BS593" t="str">
        <f>""</f>
        <v/>
      </c>
      <c r="BT593" t="str">
        <f>""</f>
        <v/>
      </c>
      <c r="BU593" t="str">
        <f>""</f>
        <v/>
      </c>
      <c r="BV593" t="str">
        <f>""</f>
        <v/>
      </c>
      <c r="BW593" t="str">
        <f>""</f>
        <v/>
      </c>
      <c r="BX593" t="str">
        <f>""</f>
        <v/>
      </c>
      <c r="BY593" t="str">
        <f>""</f>
        <v/>
      </c>
      <c r="BZ593" t="str">
        <f>""</f>
        <v/>
      </c>
      <c r="CA593" t="str">
        <f>""</f>
        <v/>
      </c>
      <c r="CB593" t="str">
        <f>""</f>
        <v/>
      </c>
      <c r="CC593" t="str">
        <f>""</f>
        <v/>
      </c>
      <c r="CD593" t="str">
        <f>""</f>
        <v/>
      </c>
      <c r="CE593" t="str">
        <f>""</f>
        <v/>
      </c>
      <c r="CF593" t="str">
        <f>""</f>
        <v/>
      </c>
      <c r="CG593" t="str">
        <f>""</f>
        <v/>
      </c>
      <c r="CH593" t="str">
        <f>""</f>
        <v/>
      </c>
      <c r="CI593" t="str">
        <f>""</f>
        <v/>
      </c>
      <c r="CJ593" t="str">
        <f>""</f>
        <v/>
      </c>
      <c r="CK593" t="str">
        <f>""</f>
        <v/>
      </c>
      <c r="CL593" t="str">
        <f>""</f>
        <v/>
      </c>
      <c r="CM593" t="str">
        <f>""</f>
        <v/>
      </c>
      <c r="CN593" t="str">
        <f>""</f>
        <v/>
      </c>
      <c r="CO593" t="str">
        <f>""</f>
        <v/>
      </c>
      <c r="CP593" t="str">
        <f>""</f>
        <v/>
      </c>
      <c r="CQ593" t="str">
        <f>""</f>
        <v/>
      </c>
      <c r="CR593" t="str">
        <f>""</f>
        <v/>
      </c>
      <c r="CS593" t="str">
        <f>""</f>
        <v/>
      </c>
      <c r="CT593" t="str">
        <f>""</f>
        <v/>
      </c>
      <c r="CU593" t="str">
        <f>""</f>
        <v/>
      </c>
      <c r="CV593" t="str">
        <f>""</f>
        <v/>
      </c>
      <c r="CW593" t="str">
        <f>""</f>
        <v/>
      </c>
      <c r="CX593" t="str">
        <f>""</f>
        <v/>
      </c>
      <c r="CY593" t="str">
        <f>""</f>
        <v/>
      </c>
      <c r="CZ593" t="str">
        <f>""</f>
        <v/>
      </c>
      <c r="DA593" t="str">
        <f>""</f>
        <v/>
      </c>
      <c r="DB593" t="str">
        <f>""</f>
        <v/>
      </c>
      <c r="DC593" t="str">
        <f>""</f>
        <v/>
      </c>
      <c r="DD593" t="str">
        <f>""</f>
        <v/>
      </c>
      <c r="DE593" t="str">
        <f>""</f>
        <v/>
      </c>
      <c r="DF593" t="str">
        <f>""</f>
        <v/>
      </c>
      <c r="DG593" t="str">
        <f>""</f>
        <v/>
      </c>
      <c r="DH593" t="str">
        <f>""</f>
        <v/>
      </c>
      <c r="DI593" t="str">
        <f>""</f>
        <v/>
      </c>
      <c r="DJ593" t="str">
        <f>""</f>
        <v/>
      </c>
      <c r="DK593" t="str">
        <f>""</f>
        <v/>
      </c>
      <c r="DL593" t="str">
        <f>""</f>
        <v/>
      </c>
      <c r="DM593" t="str">
        <f>""</f>
        <v/>
      </c>
      <c r="DN593" t="str">
        <f>""</f>
        <v/>
      </c>
      <c r="DO593" t="str">
        <f>""</f>
        <v/>
      </c>
      <c r="DP593" t="str">
        <f>""</f>
        <v/>
      </c>
      <c r="DQ593" t="str">
        <f>""</f>
        <v/>
      </c>
      <c r="DR593" t="str">
        <f>""</f>
        <v/>
      </c>
      <c r="DS593" t="str">
        <f>""</f>
        <v/>
      </c>
      <c r="DT593" t="str">
        <f>""</f>
        <v/>
      </c>
      <c r="DU593" t="str">
        <f>""</f>
        <v/>
      </c>
    </row>
    <row r="594" spans="1:125">
      <c r="A594" t="str">
        <f>"No error found"</f>
        <v>No error found</v>
      </c>
      <c r="B594" t="str">
        <f>""</f>
        <v/>
      </c>
      <c r="C594" t="str">
        <f>""</f>
        <v/>
      </c>
      <c r="D594" t="str">
        <f>""</f>
        <v/>
      </c>
      <c r="E594" t="str">
        <f>""</f>
        <v/>
      </c>
      <c r="BN594" t="str">
        <f>""</f>
        <v/>
      </c>
      <c r="BO594" t="str">
        <f>""</f>
        <v/>
      </c>
      <c r="BP594" t="str">
        <f>""</f>
        <v/>
      </c>
      <c r="BQ594" t="str">
        <f>""</f>
        <v/>
      </c>
      <c r="BR594" t="str">
        <f>""</f>
        <v/>
      </c>
      <c r="BS594" t="str">
        <f>""</f>
        <v/>
      </c>
      <c r="BT594" t="str">
        <f>""</f>
        <v/>
      </c>
      <c r="BU594" t="str">
        <f>""</f>
        <v/>
      </c>
      <c r="BV594" t="str">
        <f>""</f>
        <v/>
      </c>
      <c r="BW594" t="str">
        <f>""</f>
        <v/>
      </c>
      <c r="BX594" t="str">
        <f>""</f>
        <v/>
      </c>
      <c r="BY594" t="str">
        <f>""</f>
        <v/>
      </c>
      <c r="BZ594" t="str">
        <f>""</f>
        <v/>
      </c>
      <c r="CA594" t="str">
        <f>""</f>
        <v/>
      </c>
      <c r="CB594" t="str">
        <f>""</f>
        <v/>
      </c>
      <c r="CC594" t="str">
        <f>""</f>
        <v/>
      </c>
      <c r="CD594" t="str">
        <f>""</f>
        <v/>
      </c>
      <c r="CE594" t="str">
        <f>""</f>
        <v/>
      </c>
      <c r="CF594" t="str">
        <f>""</f>
        <v/>
      </c>
      <c r="CG594" t="str">
        <f>""</f>
        <v/>
      </c>
      <c r="CH594" t="str">
        <f>""</f>
        <v/>
      </c>
      <c r="CI594" t="str">
        <f>""</f>
        <v/>
      </c>
      <c r="CJ594" t="str">
        <f>""</f>
        <v/>
      </c>
      <c r="CK594" t="str">
        <f>""</f>
        <v/>
      </c>
      <c r="CL594" t="str">
        <f>""</f>
        <v/>
      </c>
      <c r="CM594" t="str">
        <f>""</f>
        <v/>
      </c>
      <c r="CN594" t="str">
        <f>""</f>
        <v/>
      </c>
      <c r="CO594" t="str">
        <f>""</f>
        <v/>
      </c>
      <c r="CP594" t="str">
        <f>""</f>
        <v/>
      </c>
      <c r="CQ594" t="str">
        <f>""</f>
        <v/>
      </c>
      <c r="CR594" t="str">
        <f>""</f>
        <v/>
      </c>
      <c r="CS594" t="str">
        <f>""</f>
        <v/>
      </c>
      <c r="CT594" t="str">
        <f>""</f>
        <v/>
      </c>
      <c r="CU594" t="str">
        <f>""</f>
        <v/>
      </c>
      <c r="CV594" t="str">
        <f>""</f>
        <v/>
      </c>
      <c r="CW594" t="str">
        <f>""</f>
        <v/>
      </c>
      <c r="CX594" t="str">
        <f>""</f>
        <v/>
      </c>
      <c r="CY594" t="str">
        <f>""</f>
        <v/>
      </c>
      <c r="CZ594" t="str">
        <f>""</f>
        <v/>
      </c>
      <c r="DA594" t="str">
        <f>""</f>
        <v/>
      </c>
      <c r="DB594" t="str">
        <f>""</f>
        <v/>
      </c>
      <c r="DC594" t="str">
        <f>""</f>
        <v/>
      </c>
      <c r="DD594" t="str">
        <f>""</f>
        <v/>
      </c>
      <c r="DE594" t="str">
        <f>""</f>
        <v/>
      </c>
      <c r="DF594" t="str">
        <f>""</f>
        <v/>
      </c>
      <c r="DG594" t="str">
        <f>""</f>
        <v/>
      </c>
      <c r="DH594" t="str">
        <f>""</f>
        <v/>
      </c>
      <c r="DI594" t="str">
        <f>""</f>
        <v/>
      </c>
      <c r="DJ594" t="str">
        <f>""</f>
        <v/>
      </c>
      <c r="DK594" t="str">
        <f>""</f>
        <v/>
      </c>
      <c r="DL594" t="str">
        <f>""</f>
        <v/>
      </c>
      <c r="DM594" t="str">
        <f>""</f>
        <v/>
      </c>
      <c r="DN594" t="str">
        <f>""</f>
        <v/>
      </c>
      <c r="DO594" t="str">
        <f>""</f>
        <v/>
      </c>
      <c r="DP594" t="str">
        <f>""</f>
        <v/>
      </c>
      <c r="DQ594" t="str">
        <f>""</f>
        <v/>
      </c>
      <c r="DR594" t="str">
        <f>""</f>
        <v/>
      </c>
      <c r="DS594" t="str">
        <f>""</f>
        <v/>
      </c>
      <c r="DT594" t="str">
        <f>""</f>
        <v/>
      </c>
      <c r="DU594" t="str">
        <f>""</f>
        <v/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5"/>
  <sheetViews>
    <sheetView workbookViewId="0"/>
  </sheetViews>
  <sheetFormatPr defaultRowHeight="13.5"/>
  <cols>
    <col min="1" max="1" width="9.125" bestFit="1" customWidth="1"/>
  </cols>
  <sheetData>
    <row r="1" spans="1:1" ht="15">
      <c r="A1" s="1"/>
    </row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帮助-参考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lenovo</cp:lastModifiedBy>
  <dcterms:created xsi:type="dcterms:W3CDTF">2013-04-03T15:49:21Z</dcterms:created>
  <dcterms:modified xsi:type="dcterms:W3CDTF">2018-03-14T03:07:50Z</dcterms:modified>
</cp:coreProperties>
</file>